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シート10"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特別清掃"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シート9" sheetId="27" r:id="rId31"/>
    <sheet state="visible" name="年間集計" sheetId="28" r:id="rId32"/>
    <sheet state="visible" name="R8品質データまとめ" sheetId="29" r:id="rId33"/>
  </sheets>
  <definedNames>
    <definedName localSheetId="4" name="シフト印刷">'②R8_4シフト'!$I$7:$AS$101</definedName>
    <definedName name="シフト印刷">'②シフト_原本'!$I$7:$AS$100</definedName>
    <definedName localSheetId="9" name="シフト印刷">'②R8_3シフト'!$I$7:$AS$101</definedName>
    <definedName localSheetId="14" name="シフト印刷">'②R8_2シフト'!$I$7:$AS$100</definedName>
    <definedName localSheetId="3" name="シフト印刷">'②R8_5シフト '!$I$7:$AS$100</definedName>
    <definedName hidden="1" localSheetId="1" name="_xlnm._FilterDatabase">'🔵クレーム'!$B$27:$AK$177</definedName>
    <definedName hidden="1" localSheetId="28"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<sst xmlns="http://schemas.openxmlformats.org/spreadsheetml/2006/main" count="5855" uniqueCount="776">
  <si>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</si>
  <si>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</si>
  <si>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</si>
  <si>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</si>
  <si>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</si>
  <si>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</si>
  <si>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</si>
  <si>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</si>
  <si>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</si>
  <si>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</si>
  <si>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</si>
  <si>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</si>
  <si>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</si>
  <si>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</si>
  <si>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</si>
  <si>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</si>
  <si>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</si>
  <si>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</si>
  <si>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</si>
  <si>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</si>
  <si>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</si>
  <si>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</si>
  <si>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</si>
  <si>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</si>
  <si>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</si>
  <si>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</si>
  <si>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</si>
  <si>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</si>
  <si>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</si>
  <si>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</si>
  <si>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</si>
  <si>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</si>
  <si>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</si>
  <si>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</si>
  <si>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</si>
  <si>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</si>
  <si>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</si>
  <si>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</si>
  <si>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</si>
  <si>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</si>
  <si>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</si>
  <si>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</si>
  <si>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</si>
  <si>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</si>
  <si>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</si>
  <si>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</si>
  <si>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</si>
  <si>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</si>
  <si>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</si>
  <si>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</si>
  <si>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</si>
  <si>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</si>
  <si>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</si>
  <si>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</si>
  <si>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</si>
  <si>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</si>
  <si>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</si>
  <si>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</si>
  <si>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</si>
  <si>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</si>
  <si>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</si>
  <si>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</si>
  <si>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</si>
  <si>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</si>
  <si>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</si>
  <si>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</si>
  <si>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</si>
  <si>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</si>
  <si>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</si>
  <si>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</si>
  <si>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</si>
  <si>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</si>
  <si>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</si>
  <si>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</si>
  <si>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</si>
  <si>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</si>
  <si>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</si>
  <si>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</si>
  <si>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</si>
  <si>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</si>
  <si>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</si>
  <si>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</si>
  <si>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</si>
  <si>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</si>
  <si>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</si>
  <si>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</si>
  <si>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</si>
  <si>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</si>
  <si>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</si>
  <si>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</si>
  <si>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</si>
  <si>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</si>
  <si>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</si>
  <si>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</si>
  <si>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</si>
  <si>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</si>
  <si>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</si>
  <si>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</si>
  <si>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</si>
  <si>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</si>
  <si>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</si>
  <si>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</si>
  <si>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</si>
  <si>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</si>
  <si>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</si>
  <si>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</si>
  <si>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</si>
  <si>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</si>
  <si>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</si>
  <si>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</si>
  <si>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</si>
  <si>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</si>
  <si>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</si>
  <si>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</si>
  <si>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</si>
  <si>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</si>
  <si>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</si>
  <si>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</si>
  <si>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</si>
  <si>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</si>
  <si>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</si>
  <si>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</si>
  <si>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</si>
  <si>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</si>
  <si>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</si>
  <si>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</si>
  <si>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</si>
  <si>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</si>
  <si>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</si>
  <si>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</si>
  <si>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</si>
  <si>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</si>
  <si>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</si>
  <si>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</si>
  <si>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</si>
  <si>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</si>
  <si>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</si>
  <si>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</si>
  <si>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</si>
  <si>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</si>
  <si>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</si>
  <si>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</si>
  <si>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</si>
  <si>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</si>
  <si>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</si>
  <si>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</si>
  <si>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</si>
  <si>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</si>
  <si>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</si>
  <si>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</si>
  <si>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</si>
  <si>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</si>
  <si>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</si>
  <si>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</si>
  <si>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</si>
  <si>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</si>
  <si>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</si>
  <si>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</si>
  <si>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</si>
  <si>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</si>
  <si>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</si>
  <si>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</si>
  <si>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</si>
  <si>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</si>
  <si>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</si>
  <si>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</si>
  <si>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</si>
  <si>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</si>
  <si>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</si>
  <si>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</si>
  <si>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</si>
  <si>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</si>
  <si>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</si>
  <si>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</si>
  <si>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</si>
  <si>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</si>
  <si>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</si>
  <si>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</si>
  <si>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</si>
  <si>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</si>
  <si>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</si>
  <si>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</si>
  <si>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</si>
  <si>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</si>
  <si>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</si>
  <si>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</si>
  <si>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</si>
  <si>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</si>
  <si>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</si>
  <si>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</si>
  <si>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</si>
  <si>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</si>
  <si>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</si>
  <si>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</si>
  <si>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</si>
  <si>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</si>
  <si>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</si>
  <si>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</si>
  <si>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</si>
  <si>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</si>
  <si>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</si>
  <si>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</si>
  <si>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</si>
  <si>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</si>
  <si>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</si>
  <si>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</si>
  <si>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</si>
  <si>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</si>
  <si>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</si>
  <si>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</si>
  <si>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</si>
  <si>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</si>
  <si>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</si>
  <si>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</si>
  <si>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</si>
  <si>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</si>
  <si>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</si>
  <si>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</si>
  <si>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</si>
  <si>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</si>
  <si>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</si>
  <si>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</si>
  <si>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</si>
  <si>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</si>
  <si>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</si>
  <si>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</si>
  <si>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</si>
  <si>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</si>
  <si>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</si>
  <si>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</si>
  <si>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</si>
  <si>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</si>
  <si>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</si>
  <si>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</si>
  <si>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</si>
  <si>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小川</t>
  </si>
  <si>
    <t>2.副責任者</t>
  </si>
  <si>
    <t>週5日</t>
  </si>
  <si>
    <t>サウド</t>
  </si>
  <si>
    <t>3.社員</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</si>
  <si>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</si>
  <si>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</si>
  <si>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</si>
  <si>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</si>
  <si>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</si>
  <si>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</si>
  <si>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</si>
  <si>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</si>
  <si>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</si>
  <si>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</si>
  <si>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</si>
  <si>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</si>
  <si>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</si>
  <si>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</si>
  <si>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</si>
  <si>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</si>
  <si>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</si>
  <si>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</si>
  <si>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</si>
  <si>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</si>
  <si>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</si>
  <si>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</si>
  <si>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</si>
  <si>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</si>
  <si>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</si>
  <si>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</si>
  <si>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</si>
  <si>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</si>
  <si>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ビジャヤ</t>
  </si>
  <si>
    <t>木，金，土休み</t>
  </si>
  <si>
    <t>テンジ</t>
  </si>
  <si>
    <t>週5</t>
  </si>
  <si>
    <t>ニサン</t>
  </si>
  <si>
    <t>シャロン</t>
  </si>
  <si>
    <t>月～金（新人）</t>
  </si>
  <si>
    <t>プラギャ</t>
  </si>
  <si>
    <t>土，日（新人）</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</si>
  <si>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</si>
  <si>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</si>
  <si>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</si>
  <si>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</si>
  <si>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</si>
  <si>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入社</t>
  </si>
  <si>
    <t>研修</t>
  </si>
  <si>
    <t>週4</t>
  </si>
  <si>
    <t>二サン</t>
  </si>
  <si>
    <t>帰国中</t>
  </si>
  <si>
    <t>木，金</t>
  </si>
  <si>
    <t>新人QAR無し</t>
  </si>
  <si>
    <t>シャイロン</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</si>
  <si>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</si>
  <si>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</si>
  <si>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</si>
  <si>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</si>
  <si>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</si>
  <si>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</si>
  <si>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</si>
  <si>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</si>
  <si>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</si>
  <si>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</si>
  <si>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</si>
  <si>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</si>
  <si>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</si>
  <si>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</si>
  <si>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</si>
  <si>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</si>
  <si>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</si>
  <si>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</si>
  <si>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</si>
  <si>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</si>
  <si>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</si>
  <si>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</si>
  <si>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</si>
  <si>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</si>
  <si>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</si>
  <si>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</si>
  <si>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</si>
  <si>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</si>
  <si>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</si>
  <si>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</si>
  <si>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</si>
  <si>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</si>
  <si>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</si>
  <si>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</si>
  <si>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</si>
  <si>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</si>
  <si>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</si>
  <si>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</si>
  <si>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</si>
  <si>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</si>
  <si>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</si>
  <si>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</si>
  <si>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</si>
  <si>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</si>
  <si>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</si>
  <si>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</si>
  <si>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</si>
  <si>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</si>
  <si>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</si>
  <si>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</si>
  <si>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</si>
  <si>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</si>
  <si>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</si>
  <si>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</si>
  <si>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</si>
  <si>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</si>
  <si>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</si>
  <si>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</si>
  <si>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</si>
  <si>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</si>
  <si>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</si>
  <si>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</si>
  <si>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</si>
  <si>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</si>
  <si>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</si>
  <si>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</si>
  <si>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</si>
  <si>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</si>
  <si>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</si>
  <si>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</si>
  <si>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</si>
  <si>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</si>
  <si>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</si>
  <si>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</si>
  <si>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</si>
  <si>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</si>
  <si>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</si>
  <si>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</si>
  <si>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</si>
  <si>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</si>
  <si>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</si>
  <si>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</si>
  <si>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</si>
  <si>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</si>
  <si>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</si>
  <si>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</si>
  <si>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</si>
  <si>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</si>
  <si>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</si>
  <si>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</si>
  <si>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</si>
  <si>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</si>
  <si>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</si>
  <si>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</si>
  <si>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</si>
  <si>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</si>
  <si>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</si>
  <si>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</si>
  <si>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</si>
  <si>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</si>
  <si>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</si>
  <si>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</si>
  <si>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</si>
  <si>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</si>
  <si>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</si>
  <si>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</si>
  <si>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</si>
  <si>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</si>
  <si>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</si>
  <si>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</si>
  <si>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</si>
  <si>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</si>
  <si>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</si>
  <si>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</si>
  <si>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</si>
  <si>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</si>
  <si>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</si>
  <si>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</si>
  <si>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</si>
  <si>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</si>
  <si>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</si>
  <si>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</si>
  <si>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</si>
  <si>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</si>
  <si>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</si>
  <si>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</si>
  <si>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</si>
  <si>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</si>
  <si>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</si>
  <si>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</si>
  <si>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</si>
  <si>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</si>
  <si>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</si>
  <si>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</si>
  <si>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</si>
  <si>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</si>
  <si>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</si>
  <si>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</si>
  <si>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</si>
  <si>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</si>
  <si>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</si>
  <si>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</si>
  <si>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</si>
  <si>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</si>
  <si>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</si>
  <si>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</si>
  <si>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</si>
  <si>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</si>
  <si>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👈15日～20日の日報</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</si>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</sst>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23" fontId="48" numFmtId="0" xfId="0" applyAlignment="1" applyBorder="1" applyFont="1">
      <alignment horizontal="center"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18" fillId="0" fontId="64" numFmtId="0" xfId="0" applyAlignment="1" applyBorder="1" applyFont="1">
      <alignment horizontal="center" shrinkToFit="0" vertical="center" wrapText="1"/>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07803780"/>
        <c:axId val="85349762"/>
      </c:lineChart>
      <c:catAx>
        <c:axId val="12078037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5349762"/>
      </c:catAx>
      <c:valAx>
        <c:axId val="853497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780378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59794916"/>
        <c:axId val="1400570824"/>
      </c:lineChart>
      <c:catAx>
        <c:axId val="19597949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00570824"/>
      </c:catAx>
      <c:valAx>
        <c:axId val="14005708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979491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05081483"/>
        <c:axId val="332161871"/>
      </c:lineChart>
      <c:catAx>
        <c:axId val="17050814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2161871"/>
      </c:catAx>
      <c:valAx>
        <c:axId val="3321618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50814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71579243"/>
        <c:axId val="1240114664"/>
      </c:barChart>
      <c:catAx>
        <c:axId val="2715792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40114664"/>
      </c:catAx>
      <c:valAx>
        <c:axId val="124011466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157924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49872862"/>
        <c:axId val="212221764"/>
      </c:lineChart>
      <c:catAx>
        <c:axId val="19498728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2221764"/>
      </c:catAx>
      <c:valAx>
        <c:axId val="2122217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98728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65258124"/>
        <c:axId val="236254420"/>
      </c:barChart>
      <c:catAx>
        <c:axId val="106525812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36254420"/>
      </c:catAx>
      <c:valAx>
        <c:axId val="23625442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6525812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12" Type="http://schemas.openxmlformats.org/officeDocument/2006/relationships/drawing" Target="../drawings/drawing1.xm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6.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7.xml"/><Relationship Id="rId41"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8.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2.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6.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20.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1.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IFERROR(__xludf.DUMMYFUNCTION("""COMPUTED_VALUE"""),10.0)</f>
        <v>10</v>
      </c>
      <c r="E6" s="19">
        <f>IFERROR(__xludf.DUMMYFUNCTION("""COMPUTED_VALUE"""),46129.0)</f>
        <v>46129</v>
      </c>
      <c r="F6" s="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6" s="4"/>
      <c r="H6" s="4"/>
      <c r="I6" s="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6" s="4" t="str">
        <f>IFERROR(__xludf.DUMMYFUNCTION("""COMPUTED_VALUE"""),"")</f>
        <v/>
      </c>
      <c r="K6" s="4" t="str">
        <f>IFERROR(__xludf.DUMMYFUNCTION("""COMPUTED_VALUE"""),"")</f>
        <v/>
      </c>
      <c r="L6" s="4" t="str">
        <f>IFERROR(__xludf.DUMMYFUNCTION("""COMPUTED_VALUE"""),"Q‍u‍y‍n‍h‍t‍r‍a‍v‍e‍l")</f>
        <v>Q‍u‍y‍n‍h‍t‍r‍a‍v‍e‍l</v>
      </c>
      <c r="N6" s="20" t="b">
        <f>IFERROR(__xludf.DUMMYFUNCTION("IMPORTRANGE(C3,Q3&amp;R3&amp;T3)"),FALSE)</f>
        <v>0</v>
      </c>
      <c r="O6" s="18" t="str">
        <f>IFERROR(__xludf.DUMMYFUNCTION("""COMPUTED_VALUE"""),"Trip.com")</f>
        <v>Trip.com</v>
      </c>
      <c r="P6" s="20">
        <f>IFERROR(__xludf.DUMMYFUNCTION("""COMPUTED_VALUE"""),10.0)</f>
        <v>10</v>
      </c>
      <c r="Q6" s="21">
        <f>IFERROR(__xludf.DUMMYFUNCTION("""COMPUTED_VALUE"""),46129.0)</f>
        <v>46129</v>
      </c>
      <c r="R6" s="20"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6" s="20"/>
      <c r="T6" s="20"/>
      <c r="U6" s="20"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6" s="20" t="str">
        <f>IFERROR(__xludf.DUMMYFUNCTION("""COMPUTED_VALUE"""),"")</f>
        <v/>
      </c>
      <c r="W6" s="20" t="str">
        <f>IFERROR(__xludf.DUMMYFUNCTION("""COMPUTED_VALUE"""),"")</f>
        <v/>
      </c>
      <c r="X6" s="20" t="str">
        <f>IFERROR(__xludf.DUMMYFUNCTION("""COMPUTED_VALUE"""),"Q‍u‍y‍n‍h‍t‍r‍a‍v‍e‍l")</f>
        <v>Q‍u‍y‍n‍h‍t‍r‍a‍v‍e‍l</v>
      </c>
    </row>
    <row r="7">
      <c r="B7" s="17" t="b">
        <f>IFERROR(__xludf.DUMMYFUNCTION("""COMPUTED_VALUE"""),FALSE)</f>
        <v>0</v>
      </c>
      <c r="C7" s="18" t="str">
        <f>IFERROR(__xludf.DUMMYFUNCTION("""COMPUTED_VALUE"""),"Booking.com")</f>
        <v>Booking.com</v>
      </c>
      <c r="D7" s="22">
        <f>IFERROR(__xludf.DUMMYFUNCTION("""COMPUTED_VALUE"""),7.0)</f>
        <v>7</v>
      </c>
      <c r="E7" s="19">
        <f>IFERROR(__xludf.DUMMYFUNCTION("""COMPUTED_VALUE"""),46128.0)</f>
        <v>46128</v>
      </c>
      <c r="F7" s="4"/>
      <c r="G7" s="4" t="str">
        <f>IFERROR(__xludf.DUMMYFUNCTION("""COMPUTED_VALUE"""),"早餐好吃")</f>
        <v>早餐好吃</v>
      </c>
      <c r="H7" s="4" t="str">
        <f>IFERROR(__xludf.DUMMYFUNCTION("""COMPUTED_VALUE"""),"房間內味道可以更好")</f>
        <v>房間內味道可以更好</v>
      </c>
      <c r="I7" s="4" t="str">
        <f>IFERROR(__xludf.DUMMYFUNCTION("""COMPUTED_VALUE"""),"")</f>
        <v/>
      </c>
      <c r="J7" s="4" t="str">
        <f>IFERROR(__xludf.DUMMYFUNCTION("""COMPUTED_VALUE"""),"美味しい朝食")</f>
        <v>美味しい朝食</v>
      </c>
      <c r="K7" s="4" t="str">
        <f>IFERROR(__xludf.DUMMYFUNCTION("""COMPUTED_VALUE"""),"部屋の匂いが良くなった")</f>
        <v>部屋の匂いが良くなった</v>
      </c>
      <c r="L7" s="4" t="str">
        <f>IFERROR(__xludf.DUMMYFUNCTION("""COMPUTED_VALUE"""),"Ya")</f>
        <v>Ya</v>
      </c>
      <c r="N7" s="20" t="b">
        <f>IFERROR(__xludf.DUMMYFUNCTION("""COMPUTED_VALUE"""),FALSE)</f>
        <v>0</v>
      </c>
      <c r="O7" s="18" t="str">
        <f>IFERROR(__xludf.DUMMYFUNCTION("""COMPUTED_VALUE"""),"Booking.com")</f>
        <v>Booking.com</v>
      </c>
      <c r="P7" s="20">
        <f>IFERROR(__xludf.DUMMYFUNCTION("""COMPUTED_VALUE"""),7.0)</f>
        <v>7</v>
      </c>
      <c r="Q7" s="21">
        <f>IFERROR(__xludf.DUMMYFUNCTION("""COMPUTED_VALUE"""),46128.0)</f>
        <v>46128</v>
      </c>
      <c r="R7" s="20"/>
      <c r="S7" s="20" t="str">
        <f>IFERROR(__xludf.DUMMYFUNCTION("""COMPUTED_VALUE"""),"早餐好吃")</f>
        <v>早餐好吃</v>
      </c>
      <c r="T7" s="20" t="str">
        <f>IFERROR(__xludf.DUMMYFUNCTION("""COMPUTED_VALUE"""),"房間內味道可以更好")</f>
        <v>房間內味道可以更好</v>
      </c>
      <c r="U7" s="20" t="str">
        <f>IFERROR(__xludf.DUMMYFUNCTION("""COMPUTED_VALUE"""),"")</f>
        <v/>
      </c>
      <c r="V7" s="20" t="str">
        <f>IFERROR(__xludf.DUMMYFUNCTION("""COMPUTED_VALUE"""),"美味しい朝食")</f>
        <v>美味しい朝食</v>
      </c>
      <c r="W7" s="20" t="str">
        <f>IFERROR(__xludf.DUMMYFUNCTION("""COMPUTED_VALUE"""),"部屋の匂いが良くなった")</f>
        <v>部屋の匂いが良くなった</v>
      </c>
      <c r="X7" s="20" t="str">
        <f>IFERROR(__xludf.DUMMYFUNCTION("""COMPUTED_VALUE"""),"Ya")</f>
        <v>Ya</v>
      </c>
    </row>
    <row r="8">
      <c r="B8" s="17" t="b">
        <f>IFERROR(__xludf.DUMMYFUNCTION("""COMPUTED_VALUE"""),FALSE)</f>
        <v>0</v>
      </c>
      <c r="C8" s="18" t="str">
        <f>IFERROR(__xludf.DUMMYFUNCTION("""COMPUTED_VALUE"""),"Booking.com")</f>
        <v>Booking.com</v>
      </c>
      <c r="D8" s="4">
        <f>IFERROR(__xludf.DUMMYFUNCTION("""COMPUTED_VALUE"""),10.0)</f>
        <v>10</v>
      </c>
      <c r="E8" s="19">
        <f>IFERROR(__xludf.DUMMYFUNCTION("""COMPUTED_VALUE"""),46128.0)</f>
        <v>46128</v>
      </c>
      <c r="F8" s="4"/>
      <c r="G8" s="4"/>
      <c r="H8" s="4"/>
      <c r="I8" s="4" t="str">
        <f>IFERROR(__xludf.DUMMYFUNCTION("""COMPUTED_VALUE"""),"")</f>
        <v/>
      </c>
      <c r="J8" s="23" t="str">
        <f>IFERROR(__xludf.DUMMYFUNCTION("""COMPUTED_VALUE"""),"")</f>
        <v/>
      </c>
      <c r="K8" s="4" t="str">
        <f>IFERROR(__xludf.DUMMYFUNCTION("""COMPUTED_VALUE"""),"")</f>
        <v/>
      </c>
      <c r="L8" s="4" t="str">
        <f>IFERROR(__xludf.DUMMYFUNCTION("""COMPUTED_VALUE"""),"Balakrishnan")</f>
        <v>Balakrishnan</v>
      </c>
      <c r="N8" s="20" t="b">
        <f>IFERROR(__xludf.DUMMYFUNCTION("""COMPUTED_VALUE"""),FALSE)</f>
        <v>0</v>
      </c>
      <c r="O8" s="18" t="str">
        <f>IFERROR(__xludf.DUMMYFUNCTION("""COMPUTED_VALUE"""),"Booking.com")</f>
        <v>Booking.com</v>
      </c>
      <c r="P8" s="20">
        <f>IFERROR(__xludf.DUMMYFUNCTION("""COMPUTED_VALUE"""),10.0)</f>
        <v>10</v>
      </c>
      <c r="Q8" s="21">
        <f>IFERROR(__xludf.DUMMYFUNCTION("""COMPUTED_VALUE"""),46128.0)</f>
        <v>46128</v>
      </c>
      <c r="R8" s="20"/>
      <c r="S8" s="20"/>
      <c r="T8" s="20"/>
      <c r="U8" s="20" t="str">
        <f>IFERROR(__xludf.DUMMYFUNCTION("""COMPUTED_VALUE"""),"")</f>
        <v/>
      </c>
      <c r="V8" s="20" t="str">
        <f>IFERROR(__xludf.DUMMYFUNCTION("""COMPUTED_VALUE"""),"")</f>
        <v/>
      </c>
      <c r="W8" s="20" t="str">
        <f>IFERROR(__xludf.DUMMYFUNCTION("""COMPUTED_VALUE"""),"")</f>
        <v/>
      </c>
      <c r="X8" s="20" t="str">
        <f>IFERROR(__xludf.DUMMYFUNCTION("""COMPUTED_VALUE"""),"Balakrishnan")</f>
        <v>Balakrishnan</v>
      </c>
    </row>
    <row r="9">
      <c r="B9" s="17" t="b">
        <f>IFERROR(__xludf.DUMMYFUNCTION("""COMPUTED_VALUE"""),FALSE)</f>
        <v>0</v>
      </c>
      <c r="C9" s="20" t="str">
        <f>IFERROR(__xludf.DUMMYFUNCTION("""COMPUTED_VALUE"""),"Google")</f>
        <v>Google</v>
      </c>
      <c r="D9" s="4">
        <f>IFERROR(__xludf.DUMMYFUNCTION("""COMPUTED_VALUE"""),4.0)</f>
        <v>4</v>
      </c>
      <c r="E9" s="19">
        <f>IFERROR(__xludf.DUMMYFUNCTION("""COMPUTED_VALUE"""),46128.0)</f>
        <v>46128</v>
      </c>
      <c r="F9" s="4" t="str">
        <f>IFERROR(__xludf.DUMMYFUNCTION("""COMPUTED_VALUE"""),"Comfy bed, good breakfast. Great location.")</f>
        <v>Comfy bed, good breakfast. Great location.</v>
      </c>
      <c r="G9" s="4"/>
      <c r="H9" s="4"/>
      <c r="I9" s="4" t="str">
        <f>IFERROR(__xludf.DUMMYFUNCTION("""COMPUTED_VALUE"""),"快適なベッド、美味しい朝食。最高のロケーション。")</f>
        <v>快適なベッド、美味しい朝食。最高のロケーション。</v>
      </c>
      <c r="J9" s="4" t="str">
        <f>IFERROR(__xludf.DUMMYFUNCTION("""COMPUTED_VALUE"""),"")</f>
        <v/>
      </c>
      <c r="K9" s="4" t="str">
        <f>IFERROR(__xludf.DUMMYFUNCTION("""COMPUTED_VALUE"""),"")</f>
        <v/>
      </c>
      <c r="L9" s="4" t="str">
        <f>IFERROR(__xludf.DUMMYFUNCTION("""COMPUTED_VALUE"""),"Christopher Russell")</f>
        <v>Christopher Russell</v>
      </c>
      <c r="N9" s="20" t="b">
        <f>IFERROR(__xludf.DUMMYFUNCTION("""COMPUTED_VALUE"""),FALSE)</f>
        <v>0</v>
      </c>
      <c r="O9" s="20" t="str">
        <f>IFERROR(__xludf.DUMMYFUNCTION("""COMPUTED_VALUE"""),"Google")</f>
        <v>Google</v>
      </c>
      <c r="P9" s="20">
        <f>IFERROR(__xludf.DUMMYFUNCTION("""COMPUTED_VALUE"""),4.0)</f>
        <v>4</v>
      </c>
      <c r="Q9" s="21">
        <f>IFERROR(__xludf.DUMMYFUNCTION("""COMPUTED_VALUE"""),46128.0)</f>
        <v>46128</v>
      </c>
      <c r="R9" s="20" t="str">
        <f>IFERROR(__xludf.DUMMYFUNCTION("""COMPUTED_VALUE"""),"Comfy bed, good breakfast. Great location.")</f>
        <v>Comfy bed, good breakfast. Great location.</v>
      </c>
      <c r="S9" s="20"/>
      <c r="T9" s="20"/>
      <c r="U9" s="20" t="str">
        <f>IFERROR(__xludf.DUMMYFUNCTION("""COMPUTED_VALUE"""),"快適なベッド、美味しい朝食。最高のロケーション。")</f>
        <v>快適なベッド、美味しい朝食。最高のロケーション。</v>
      </c>
      <c r="V9" s="20" t="str">
        <f>IFERROR(__xludf.DUMMYFUNCTION("""COMPUTED_VALUE"""),"")</f>
        <v/>
      </c>
      <c r="W9" s="20" t="str">
        <f>IFERROR(__xludf.DUMMYFUNCTION("""COMPUTED_VALUE"""),"")</f>
        <v/>
      </c>
      <c r="X9" s="20" t="str">
        <f>IFERROR(__xludf.DUMMYFUNCTION("""COMPUTED_VALUE"""),"Christopher Russell")</f>
        <v>Christopher Russell</v>
      </c>
    </row>
    <row r="10">
      <c r="B10" s="17" t="b">
        <f>IFERROR(__xludf.DUMMYFUNCTION("""COMPUTED_VALUE"""),FALSE)</f>
        <v>0</v>
      </c>
      <c r="C10" s="20" t="str">
        <f>IFERROR(__xludf.DUMMYFUNCTION("""COMPUTED_VALUE"""),"Google")</f>
        <v>Google</v>
      </c>
      <c r="D10" s="22">
        <f>IFERROR(__xludf.DUMMYFUNCTION("""COMPUTED_VALUE"""),5.0)</f>
        <v>5</v>
      </c>
      <c r="E10" s="19">
        <f>IFERROR(__xludf.DUMMYFUNCTION("""COMPUTED_VALUE"""),46127.0)</f>
        <v>46127</v>
      </c>
      <c r="F10" s="4" t="str">
        <f>IFERROR(__xludf.DUMMYFUNCTION("""COMPUTED_VALUE"""),"👍")</f>
        <v>👍</v>
      </c>
      <c r="G10" s="4"/>
      <c r="H10" s="4"/>
      <c r="I10" s="4" t="str">
        <f>IFERROR(__xludf.DUMMYFUNCTION("""COMPUTED_VALUE"""),"👍")</f>
        <v>👍</v>
      </c>
      <c r="J10" s="4" t="str">
        <f>IFERROR(__xludf.DUMMYFUNCTION("""COMPUTED_VALUE"""),"")</f>
        <v/>
      </c>
      <c r="K10" s="4" t="str">
        <f>IFERROR(__xludf.DUMMYFUNCTION("""COMPUTED_VALUE"""),"")</f>
        <v/>
      </c>
      <c r="L10" s="4" t="str">
        <f>IFERROR(__xludf.DUMMYFUNCTION("""COMPUTED_VALUE"""),"洪楷傑")</f>
        <v>洪楷傑</v>
      </c>
      <c r="N10" s="20" t="b">
        <f>IFERROR(__xludf.DUMMYFUNCTION("""COMPUTED_VALUE"""),FALSE)</f>
        <v>0</v>
      </c>
      <c r="O10" s="20" t="str">
        <f>IFERROR(__xludf.DUMMYFUNCTION("""COMPUTED_VALUE"""),"Google")</f>
        <v>Google</v>
      </c>
      <c r="P10" s="20">
        <f>IFERROR(__xludf.DUMMYFUNCTION("""COMPUTED_VALUE"""),5.0)</f>
        <v>5</v>
      </c>
      <c r="Q10" s="21">
        <f>IFERROR(__xludf.DUMMYFUNCTION("""COMPUTED_VALUE"""),46127.0)</f>
        <v>46127</v>
      </c>
      <c r="R10" s="20" t="str">
        <f>IFERROR(__xludf.DUMMYFUNCTION("""COMPUTED_VALUE"""),"👍")</f>
        <v>👍</v>
      </c>
      <c r="S10" s="20"/>
      <c r="T10" s="20"/>
      <c r="U10" s="20" t="str">
        <f>IFERROR(__xludf.DUMMYFUNCTION("""COMPUTED_VALUE"""),"👍")</f>
        <v>👍</v>
      </c>
      <c r="V10" s="20" t="str">
        <f>IFERROR(__xludf.DUMMYFUNCTION("""COMPUTED_VALUE"""),"")</f>
        <v/>
      </c>
      <c r="W10" s="20" t="str">
        <f>IFERROR(__xludf.DUMMYFUNCTION("""COMPUTED_VALUE"""),"")</f>
        <v/>
      </c>
      <c r="X10" s="20" t="str">
        <f>IFERROR(__xludf.DUMMYFUNCTION("""COMPUTED_VALUE"""),"洪楷傑")</f>
        <v>洪楷傑</v>
      </c>
    </row>
    <row r="11">
      <c r="B11" s="17" t="b">
        <f>IFERROR(__xludf.DUMMYFUNCTION("""COMPUTED_VALUE"""),FALSE)</f>
        <v>0</v>
      </c>
      <c r="C11" s="20" t="str">
        <f>IFERROR(__xludf.DUMMYFUNCTION("""COMPUTED_VALUE"""),"Google")</f>
        <v>Google</v>
      </c>
      <c r="D11" s="4">
        <f>IFERROR(__xludf.DUMMYFUNCTION("""COMPUTED_VALUE"""),5.0)</f>
        <v>5</v>
      </c>
      <c r="E11" s="19">
        <f>IFERROR(__xludf.DUMMYFUNCTION("""COMPUTED_VALUE"""),46127.0)</f>
        <v>46127</v>
      </c>
      <c r="F11" s="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11" s="4"/>
      <c r="H11" s="4"/>
      <c r="I11" s="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11" s="4" t="str">
        <f>IFERROR(__xludf.DUMMYFUNCTION("""COMPUTED_VALUE"""),"")</f>
        <v/>
      </c>
      <c r="K11" s="4" t="str">
        <f>IFERROR(__xludf.DUMMYFUNCTION("""COMPUTED_VALUE"""),"")</f>
        <v/>
      </c>
      <c r="L11" s="4" t="str">
        <f>IFERROR(__xludf.DUMMYFUNCTION("""COMPUTED_VALUE"""),"Derek Kim")</f>
        <v>Derek Kim</v>
      </c>
      <c r="N11" s="20" t="b">
        <f>IFERROR(__xludf.DUMMYFUNCTION("""COMPUTED_VALUE"""),FALSE)</f>
        <v>0</v>
      </c>
      <c r="O11" s="20" t="str">
        <f>IFERROR(__xludf.DUMMYFUNCTION("""COMPUTED_VALUE"""),"Google")</f>
        <v>Google</v>
      </c>
      <c r="P11" s="20">
        <f>IFERROR(__xludf.DUMMYFUNCTION("""COMPUTED_VALUE"""),5.0)</f>
        <v>5</v>
      </c>
      <c r="Q11" s="21">
        <f>IFERROR(__xludf.DUMMYFUNCTION("""COMPUTED_VALUE"""),46127.0)</f>
        <v>46127</v>
      </c>
      <c r="R11" s="20"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11" s="20"/>
      <c r="T11" s="20"/>
      <c r="U11" s="20"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11" s="20" t="str">
        <f>IFERROR(__xludf.DUMMYFUNCTION("""COMPUTED_VALUE"""),"")</f>
        <v/>
      </c>
      <c r="W11" s="20" t="str">
        <f>IFERROR(__xludf.DUMMYFUNCTION("""COMPUTED_VALUE"""),"")</f>
        <v/>
      </c>
      <c r="X11" s="20" t="str">
        <f>IFERROR(__xludf.DUMMYFUNCTION("""COMPUTED_VALUE"""),"Derek Kim")</f>
        <v>Derek Kim</v>
      </c>
    </row>
    <row r="12">
      <c r="B12" s="17" t="b">
        <f>IFERROR(__xludf.DUMMYFUNCTION("""COMPUTED_VALUE"""),FALSE)</f>
        <v>0</v>
      </c>
      <c r="C12" s="18" t="str">
        <f>IFERROR(__xludf.DUMMYFUNCTION("""COMPUTED_VALUE"""),"Trip.com")</f>
        <v>Trip.com</v>
      </c>
      <c r="D12" s="4">
        <f>IFERROR(__xludf.DUMMYFUNCTION("""COMPUTED_VALUE"""),10.0)</f>
        <v>10</v>
      </c>
      <c r="E12" s="24">
        <f>IFERROR(__xludf.DUMMYFUNCTION("""COMPUTED_VALUE"""),46125.0)</f>
        <v>46125</v>
      </c>
      <c r="F12" s="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12" s="4"/>
      <c r="H12" s="4"/>
      <c r="I12" s="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12" s="4" t="str">
        <f>IFERROR(__xludf.DUMMYFUNCTION("""COMPUTED_VALUE"""),"")</f>
        <v/>
      </c>
      <c r="K12" s="4" t="str">
        <f>IFERROR(__xludf.DUMMYFUNCTION("""COMPUTED_VALUE"""),"")</f>
        <v/>
      </c>
      <c r="L12" s="4" t="str">
        <f>IFERROR(__xludf.DUMMYFUNCTION("""COMPUTED_VALUE"""),"ゲ‍ス‍ト")</f>
        <v>ゲ‍ス‍ト</v>
      </c>
      <c r="N12" s="20" t="b">
        <f>IFERROR(__xludf.DUMMYFUNCTION("""COMPUTED_VALUE"""),FALSE)</f>
        <v>0</v>
      </c>
      <c r="O12" s="18" t="str">
        <f>IFERROR(__xludf.DUMMYFUNCTION("""COMPUTED_VALUE"""),"Trip.com")</f>
        <v>Trip.com</v>
      </c>
      <c r="P12" s="20">
        <f>IFERROR(__xludf.DUMMYFUNCTION("""COMPUTED_VALUE"""),10.0)</f>
        <v>10</v>
      </c>
      <c r="Q12" s="21">
        <f>IFERROR(__xludf.DUMMYFUNCTION("""COMPUTED_VALUE"""),46125.0)</f>
        <v>46125</v>
      </c>
      <c r="R12" s="20"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12" s="20"/>
      <c r="T12" s="20"/>
      <c r="U12" s="20"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12" s="20" t="str">
        <f>IFERROR(__xludf.DUMMYFUNCTION("""COMPUTED_VALUE"""),"")</f>
        <v/>
      </c>
      <c r="W12" s="20" t="str">
        <f>IFERROR(__xludf.DUMMYFUNCTION("""COMPUTED_VALUE"""),"")</f>
        <v/>
      </c>
      <c r="X12" s="20" t="str">
        <f>IFERROR(__xludf.DUMMYFUNCTION("""COMPUTED_VALUE"""),"ゲ‍ス‍ト")</f>
        <v>ゲ‍ス‍ト</v>
      </c>
    </row>
    <row r="13">
      <c r="B13" s="17" t="b">
        <f>IFERROR(__xludf.DUMMYFUNCTION("""COMPUTED_VALUE"""),FALSE)</f>
        <v>0</v>
      </c>
      <c r="C13" s="18" t="str">
        <f>IFERROR(__xludf.DUMMYFUNCTION("""COMPUTED_VALUE"""),"Booking.com")</f>
        <v>Booking.com</v>
      </c>
      <c r="D13" s="4">
        <f>IFERROR(__xludf.DUMMYFUNCTION("""COMPUTED_VALUE"""),8.0)</f>
        <v>8</v>
      </c>
      <c r="E13" s="19">
        <f>IFERROR(__xludf.DUMMYFUNCTION("""COMPUTED_VALUE"""),46125.0)</f>
        <v>46125</v>
      </c>
      <c r="F13" s="4"/>
      <c r="G13" s="4" t="str">
        <f>IFERROR(__xludf.DUMMYFUNCTION("""COMPUTED_VALUE"""),"Location, staff, and cleanliness of the property. The breakfast was also very good!")</f>
        <v>Location, staff, and cleanliness of the property. The breakfast was also very good!</v>
      </c>
      <c r="H13" s="4" t="str">
        <f>IFERROR(__xludf.DUMMYFUNCTION("""COMPUTED_VALUE"""),"Like most Japanese hotels, it was very small.")</f>
        <v>Like most Japanese hotels, it was very small.</v>
      </c>
      <c r="I13" s="4" t="str">
        <f>IFERROR(__xludf.DUMMYFUNCTION("""COMPUTED_VALUE"""),"")</f>
        <v/>
      </c>
      <c r="J13" s="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13" s="4" t="str">
        <f>IFERROR(__xludf.DUMMYFUNCTION("""COMPUTED_VALUE"""),"他の多くの日本のホテルと同様、とても小さかった。")</f>
        <v>他の多くの日本のホテルと同様、とても小さかった。</v>
      </c>
      <c r="L13" s="4" t="str">
        <f>IFERROR(__xludf.DUMMYFUNCTION("""COMPUTED_VALUE"""),"Holt")</f>
        <v>Holt</v>
      </c>
      <c r="N13" s="20" t="b">
        <f>IFERROR(__xludf.DUMMYFUNCTION("""COMPUTED_VALUE"""),FALSE)</f>
        <v>0</v>
      </c>
      <c r="O13" s="18" t="str">
        <f>IFERROR(__xludf.DUMMYFUNCTION("""COMPUTED_VALUE"""),"Booking.com")</f>
        <v>Booking.com</v>
      </c>
      <c r="P13" s="20">
        <f>IFERROR(__xludf.DUMMYFUNCTION("""COMPUTED_VALUE"""),8.0)</f>
        <v>8</v>
      </c>
      <c r="Q13" s="21">
        <f>IFERROR(__xludf.DUMMYFUNCTION("""COMPUTED_VALUE"""),46125.0)</f>
        <v>46125</v>
      </c>
      <c r="R13" s="20"/>
      <c r="S13" s="20" t="str">
        <f>IFERROR(__xludf.DUMMYFUNCTION("""COMPUTED_VALUE"""),"Location, staff, and cleanliness of the property. The breakfast was also very good!")</f>
        <v>Location, staff, and cleanliness of the property. The breakfast was also very good!</v>
      </c>
      <c r="T13" s="20" t="str">
        <f>IFERROR(__xludf.DUMMYFUNCTION("""COMPUTED_VALUE"""),"Like most Japanese hotels, it was very small.")</f>
        <v>Like most Japanese hotels, it was very small.</v>
      </c>
      <c r="U13" s="20" t="str">
        <f>IFERROR(__xludf.DUMMYFUNCTION("""COMPUTED_VALUE"""),"")</f>
        <v/>
      </c>
      <c r="V13" s="20"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13" s="20" t="str">
        <f>IFERROR(__xludf.DUMMYFUNCTION("""COMPUTED_VALUE"""),"他の多くの日本のホテルと同様、とても小さかった。")</f>
        <v>他の多くの日本のホテルと同様、とても小さかった。</v>
      </c>
      <c r="X13" s="20" t="str">
        <f>IFERROR(__xludf.DUMMYFUNCTION("""COMPUTED_VALUE"""),"Holt")</f>
        <v>Holt</v>
      </c>
    </row>
    <row r="14">
      <c r="B14" s="17" t="b">
        <f>IFERROR(__xludf.DUMMYFUNCTION("""COMPUTED_VALUE"""),FALSE)</f>
        <v>0</v>
      </c>
      <c r="C14" s="18" t="str">
        <f>IFERROR(__xludf.DUMMYFUNCTION("""COMPUTED_VALUE"""),"Booking.com")</f>
        <v>Booking.com</v>
      </c>
      <c r="D14" s="4">
        <f>IFERROR(__xludf.DUMMYFUNCTION("""COMPUTED_VALUE"""),10.0)</f>
        <v>10</v>
      </c>
      <c r="E14" s="19">
        <f>IFERROR(__xludf.DUMMYFUNCTION("""COMPUTED_VALUE"""),46124.0)</f>
        <v>46124</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IFERROR(__xludf.DUMMYFUNCTION("""COMPUTED_VALUE"""),"Davide")</f>
        <v>Davide</v>
      </c>
      <c r="N14" s="20" t="b">
        <f>IFERROR(__xludf.DUMMYFUNCTION("""COMPUTED_VALUE"""),FALSE)</f>
        <v>0</v>
      </c>
      <c r="O14" s="18" t="str">
        <f>IFERROR(__xludf.DUMMYFUNCTION("""COMPUTED_VALUE"""),"Booking.com")</f>
        <v>Booking.com</v>
      </c>
      <c r="P14" s="20">
        <f>IFERROR(__xludf.DUMMYFUNCTION("""COMPUTED_VALUE"""),10.0)</f>
        <v>10</v>
      </c>
      <c r="Q14" s="21">
        <f>IFERROR(__xludf.DUMMYFUNCTION("""COMPUTED_VALUE"""),46124.0)</f>
        <v>46124</v>
      </c>
      <c r="R14" s="20"/>
      <c r="S14" s="20"/>
      <c r="T14" s="20"/>
      <c r="U14" s="20" t="str">
        <f>IFERROR(__xludf.DUMMYFUNCTION("""COMPUTED_VALUE"""),"")</f>
        <v/>
      </c>
      <c r="V14" s="20" t="str">
        <f>IFERROR(__xludf.DUMMYFUNCTION("""COMPUTED_VALUE"""),"")</f>
        <v/>
      </c>
      <c r="W14" s="20" t="str">
        <f>IFERROR(__xludf.DUMMYFUNCTION("""COMPUTED_VALUE"""),"")</f>
        <v/>
      </c>
      <c r="X14" s="20" t="str">
        <f>IFERROR(__xludf.DUMMYFUNCTION("""COMPUTED_VALUE"""),"Davide")</f>
        <v>Davide</v>
      </c>
    </row>
    <row r="15">
      <c r="B15" s="17" t="b">
        <f>IFERROR(__xludf.DUMMYFUNCTION("""COMPUTED_VALUE"""),FALSE)</f>
        <v>0</v>
      </c>
      <c r="C15" s="20" t="str">
        <f>IFERROR(__xludf.DUMMYFUNCTION("""COMPUTED_VALUE"""),"楽天トラベル")</f>
        <v>楽天トラベル</v>
      </c>
      <c r="D15" s="4">
        <f>IFERROR(__xludf.DUMMYFUNCTION("""COMPUTED_VALUE"""),5.0)</f>
        <v>5</v>
      </c>
      <c r="E15" s="19">
        <f>IFERROR(__xludf.DUMMYFUNCTION("""COMPUTED_VALUE"""),46124.0)</f>
        <v>46124</v>
      </c>
      <c r="F15"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15" s="4"/>
      <c r="H15" s="4"/>
      <c r="I15"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15" s="4" t="str">
        <f>IFERROR(__xludf.DUMMYFUNCTION("""COMPUTED_VALUE"""),"")</f>
        <v/>
      </c>
      <c r="K15" s="4" t="str">
        <f>IFERROR(__xludf.DUMMYFUNCTION("""COMPUTED_VALUE"""),"")</f>
        <v/>
      </c>
      <c r="L15" s="4" t="str">
        <f>IFERROR(__xludf.DUMMYFUNCTION("""COMPUTED_VALUE"""),"ゴルゴ64")</f>
        <v>ゴルゴ64</v>
      </c>
      <c r="N15" s="20" t="b">
        <f>IFERROR(__xludf.DUMMYFUNCTION("""COMPUTED_VALUE"""),FALSE)</f>
        <v>0</v>
      </c>
      <c r="O15" s="20" t="str">
        <f>IFERROR(__xludf.DUMMYFUNCTION("""COMPUTED_VALUE"""),"楽天トラベル")</f>
        <v>楽天トラベル</v>
      </c>
      <c r="P15" s="20">
        <f>IFERROR(__xludf.DUMMYFUNCTION("""COMPUTED_VALUE"""),5.0)</f>
        <v>5</v>
      </c>
      <c r="Q15" s="21">
        <f>IFERROR(__xludf.DUMMYFUNCTION("""COMPUTED_VALUE"""),46124.0)</f>
        <v>46124</v>
      </c>
      <c r="R15"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15" s="20"/>
      <c r="T15" s="20"/>
      <c r="U15" s="20"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15" s="20" t="str">
        <f>IFERROR(__xludf.DUMMYFUNCTION("""COMPUTED_VALUE"""),"")</f>
        <v/>
      </c>
      <c r="W15" s="20" t="str">
        <f>IFERROR(__xludf.DUMMYFUNCTION("""COMPUTED_VALUE"""),"")</f>
        <v/>
      </c>
      <c r="X15" s="20" t="str">
        <f>IFERROR(__xludf.DUMMYFUNCTION("""COMPUTED_VALUE"""),"ゴルゴ64")</f>
        <v>ゴルゴ64</v>
      </c>
    </row>
    <row r="16">
      <c r="B16" s="17" t="b">
        <f>IFERROR(__xludf.DUMMYFUNCTION("""COMPUTED_VALUE"""),FALSE)</f>
        <v>0</v>
      </c>
      <c r="C16" s="20" t="str">
        <f>IFERROR(__xludf.DUMMYFUNCTION("""COMPUTED_VALUE"""),"楽天トラベル")</f>
        <v>楽天トラベル</v>
      </c>
      <c r="D16" s="4">
        <f>IFERROR(__xludf.DUMMYFUNCTION("""COMPUTED_VALUE"""),4.0)</f>
        <v>4</v>
      </c>
      <c r="E16" s="19">
        <f>IFERROR(__xludf.DUMMYFUNCTION("""COMPUTED_VALUE"""),46123.0)</f>
        <v>46123</v>
      </c>
      <c r="F16"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16" s="4"/>
      <c r="H16" s="4"/>
      <c r="I16"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16" s="4" t="str">
        <f>IFERROR(__xludf.DUMMYFUNCTION("""COMPUTED_VALUE"""),"")</f>
        <v/>
      </c>
      <c r="K16" s="4" t="str">
        <f>IFERROR(__xludf.DUMMYFUNCTION("""COMPUTED_VALUE"""),"")</f>
        <v/>
      </c>
      <c r="L16" s="4" t="str">
        <f>IFERROR(__xludf.DUMMYFUNCTION("""COMPUTED_VALUE"""),"みーたんとめる")</f>
        <v>みーたんとめる</v>
      </c>
      <c r="N16" s="20" t="b">
        <f>IFERROR(__xludf.DUMMYFUNCTION("""COMPUTED_VALUE"""),FALSE)</f>
        <v>0</v>
      </c>
      <c r="O16" s="20" t="str">
        <f>IFERROR(__xludf.DUMMYFUNCTION("""COMPUTED_VALUE"""),"楽天トラベル")</f>
        <v>楽天トラベル</v>
      </c>
      <c r="P16" s="20">
        <f>IFERROR(__xludf.DUMMYFUNCTION("""COMPUTED_VALUE"""),4.0)</f>
        <v>4</v>
      </c>
      <c r="Q16" s="21">
        <f>IFERROR(__xludf.DUMMYFUNCTION("""COMPUTED_VALUE"""),46123.0)</f>
        <v>46123</v>
      </c>
      <c r="R16"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16" s="20"/>
      <c r="T16" s="20"/>
      <c r="U16" s="20"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16" s="20" t="str">
        <f>IFERROR(__xludf.DUMMYFUNCTION("""COMPUTED_VALUE"""),"")</f>
        <v/>
      </c>
      <c r="W16" s="20" t="str">
        <f>IFERROR(__xludf.DUMMYFUNCTION("""COMPUTED_VALUE"""),"")</f>
        <v/>
      </c>
      <c r="X16" s="20" t="str">
        <f>IFERROR(__xludf.DUMMYFUNCTION("""COMPUTED_VALUE"""),"みーたんとめる")</f>
        <v>みーたんとめる</v>
      </c>
    </row>
    <row r="17">
      <c r="B17" s="17" t="b">
        <f>IFERROR(__xludf.DUMMYFUNCTION("""COMPUTED_VALUE"""),FALSE)</f>
        <v>0</v>
      </c>
      <c r="C17" s="20" t="str">
        <f>IFERROR(__xludf.DUMMYFUNCTION("""COMPUTED_VALUE"""),"Google")</f>
        <v>Google</v>
      </c>
      <c r="D17" s="4">
        <f>IFERROR(__xludf.DUMMYFUNCTION("""COMPUTED_VALUE"""),3.0)</f>
        <v>3</v>
      </c>
      <c r="E17" s="19">
        <f>IFERROR(__xludf.DUMMYFUNCTION("""COMPUTED_VALUE"""),46123.0)</f>
        <v>46123</v>
      </c>
      <c r="F17"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17" s="4"/>
      <c r="H17" s="4"/>
      <c r="I17"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17" s="4" t="str">
        <f>IFERROR(__xludf.DUMMYFUNCTION("""COMPUTED_VALUE"""),"")</f>
        <v/>
      </c>
      <c r="K17" s="4" t="str">
        <f>IFERROR(__xludf.DUMMYFUNCTION("""COMPUTED_VALUE"""),"")</f>
        <v/>
      </c>
      <c r="L17" s="4" t="str">
        <f>IFERROR(__xludf.DUMMYFUNCTION("""COMPUTED_VALUE"""),"李育丞")</f>
        <v>李育丞</v>
      </c>
      <c r="N17" s="20" t="b">
        <f>IFERROR(__xludf.DUMMYFUNCTION("""COMPUTED_VALUE"""),FALSE)</f>
        <v>0</v>
      </c>
      <c r="O17" s="20" t="str">
        <f>IFERROR(__xludf.DUMMYFUNCTION("""COMPUTED_VALUE"""),"Google")</f>
        <v>Google</v>
      </c>
      <c r="P17" s="20">
        <f>IFERROR(__xludf.DUMMYFUNCTION("""COMPUTED_VALUE"""),3.0)</f>
        <v>3</v>
      </c>
      <c r="Q17" s="21">
        <f>IFERROR(__xludf.DUMMYFUNCTION("""COMPUTED_VALUE"""),46123.0)</f>
        <v>46123</v>
      </c>
      <c r="R17"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17" s="20"/>
      <c r="T17" s="20"/>
      <c r="U17" s="20"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17" s="20" t="str">
        <f>IFERROR(__xludf.DUMMYFUNCTION("""COMPUTED_VALUE"""),"")</f>
        <v/>
      </c>
      <c r="W17" s="20" t="str">
        <f>IFERROR(__xludf.DUMMYFUNCTION("""COMPUTED_VALUE"""),"")</f>
        <v/>
      </c>
      <c r="X17" s="20" t="str">
        <f>IFERROR(__xludf.DUMMYFUNCTION("""COMPUTED_VALUE"""),"李育丞")</f>
        <v>李育丞</v>
      </c>
    </row>
    <row r="18">
      <c r="B18" s="17" t="b">
        <f>IFERROR(__xludf.DUMMYFUNCTION("""COMPUTED_VALUE"""),FALSE)</f>
        <v>0</v>
      </c>
      <c r="C18" s="20" t="str">
        <f>IFERROR(__xludf.DUMMYFUNCTION("""COMPUTED_VALUE"""),"じゃらん")</f>
        <v>じゃらん</v>
      </c>
      <c r="D18" s="4">
        <f>IFERROR(__xludf.DUMMYFUNCTION("""COMPUTED_VALUE"""),5.0)</f>
        <v>5</v>
      </c>
      <c r="E18" s="19">
        <f>IFERROR(__xludf.DUMMYFUNCTION("""COMPUTED_VALUE"""),46123.0)</f>
        <v>46123</v>
      </c>
      <c r="F18"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18" s="4"/>
      <c r="H18" s="4"/>
      <c r="I18"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18" s="4" t="str">
        <f>IFERROR(__xludf.DUMMYFUNCTION("""COMPUTED_VALUE"""),"")</f>
        <v/>
      </c>
      <c r="K18" s="4" t="str">
        <f>IFERROR(__xludf.DUMMYFUNCTION("""COMPUTED_VALUE"""),"")</f>
        <v/>
      </c>
      <c r="L18" s="4" t="str">
        <f>IFERROR(__xludf.DUMMYFUNCTION("""COMPUTED_VALUE"""),"ikkさん")</f>
        <v>ikkさん</v>
      </c>
      <c r="N18" s="20" t="b">
        <f>IFERROR(__xludf.DUMMYFUNCTION("""COMPUTED_VALUE"""),FALSE)</f>
        <v>0</v>
      </c>
      <c r="O18" s="20" t="str">
        <f>IFERROR(__xludf.DUMMYFUNCTION("""COMPUTED_VALUE"""),"じゃらん")</f>
        <v>じゃらん</v>
      </c>
      <c r="P18" s="20">
        <f>IFERROR(__xludf.DUMMYFUNCTION("""COMPUTED_VALUE"""),5.0)</f>
        <v>5</v>
      </c>
      <c r="Q18" s="21">
        <f>IFERROR(__xludf.DUMMYFUNCTION("""COMPUTED_VALUE"""),46123.0)</f>
        <v>46123</v>
      </c>
      <c r="R18"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8" s="20"/>
      <c r="T18" s="20"/>
      <c r="U18"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8" s="20" t="str">
        <f>IFERROR(__xludf.DUMMYFUNCTION("""COMPUTED_VALUE"""),"")</f>
        <v/>
      </c>
      <c r="W18" s="20" t="str">
        <f>IFERROR(__xludf.DUMMYFUNCTION("""COMPUTED_VALUE"""),"")</f>
        <v/>
      </c>
      <c r="X18" s="20" t="str">
        <f>IFERROR(__xludf.DUMMYFUNCTION("""COMPUTED_VALUE"""),"ikkさん")</f>
        <v>ikkさん</v>
      </c>
    </row>
    <row r="19">
      <c r="B19" s="17" t="b">
        <f>IFERROR(__xludf.DUMMYFUNCTION("""COMPUTED_VALUE"""),FALSE)</f>
        <v>0</v>
      </c>
      <c r="C19" s="20" t="str">
        <f>IFERROR(__xludf.DUMMYFUNCTION("""COMPUTED_VALUE"""),"じゃらん")</f>
        <v>じゃらん</v>
      </c>
      <c r="D19" s="4">
        <f>IFERROR(__xludf.DUMMYFUNCTION("""COMPUTED_VALUE"""),5.0)</f>
        <v>5</v>
      </c>
      <c r="E19" s="19">
        <f>IFERROR(__xludf.DUMMYFUNCTION("""COMPUTED_VALUE"""),46123.0)</f>
        <v>46123</v>
      </c>
      <c r="F19"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19" s="4"/>
      <c r="H19" s="4"/>
      <c r="I19"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19" s="4" t="str">
        <f>IFERROR(__xludf.DUMMYFUNCTION("""COMPUTED_VALUE"""),"")</f>
        <v/>
      </c>
      <c r="K19" s="4" t="str">
        <f>IFERROR(__xludf.DUMMYFUNCTION("""COMPUTED_VALUE"""),"")</f>
        <v/>
      </c>
      <c r="L19" s="4" t="str">
        <f>IFERROR(__xludf.DUMMYFUNCTION("""COMPUTED_VALUE"""),"ikkさん")</f>
        <v>ikkさん</v>
      </c>
      <c r="N19" s="20" t="b">
        <f>IFERROR(__xludf.DUMMYFUNCTION("""COMPUTED_VALUE"""),FALSE)</f>
        <v>0</v>
      </c>
      <c r="O19" s="20" t="str">
        <f>IFERROR(__xludf.DUMMYFUNCTION("""COMPUTED_VALUE"""),"じゃらん")</f>
        <v>じゃらん</v>
      </c>
      <c r="P19" s="20">
        <f>IFERROR(__xludf.DUMMYFUNCTION("""COMPUTED_VALUE"""),5.0)</f>
        <v>5</v>
      </c>
      <c r="Q19" s="21">
        <f>IFERROR(__xludf.DUMMYFUNCTION("""COMPUTED_VALUE"""),46123.0)</f>
        <v>46123</v>
      </c>
      <c r="R19"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9" s="20"/>
      <c r="T19" s="20"/>
      <c r="U19"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9" s="20" t="str">
        <f>IFERROR(__xludf.DUMMYFUNCTION("""COMPUTED_VALUE"""),"")</f>
        <v/>
      </c>
      <c r="W19" s="20" t="str">
        <f>IFERROR(__xludf.DUMMYFUNCTION("""COMPUTED_VALUE"""),"")</f>
        <v/>
      </c>
      <c r="X19" s="20" t="str">
        <f>IFERROR(__xludf.DUMMYFUNCTION("""COMPUTED_VALUE"""),"ikkさん")</f>
        <v>ikkさん</v>
      </c>
    </row>
    <row r="20">
      <c r="B20" s="17" t="b">
        <f>IFERROR(__xludf.DUMMYFUNCTION("""COMPUTED_VALUE"""),FALSE)</f>
        <v>0</v>
      </c>
      <c r="C20" s="20" t="str">
        <f>IFERROR(__xludf.DUMMYFUNCTION("""COMPUTED_VALUE"""),"Google")</f>
        <v>Google</v>
      </c>
      <c r="D20" s="4">
        <f>IFERROR(__xludf.DUMMYFUNCTION("""COMPUTED_VALUE"""),3.0)</f>
        <v>3</v>
      </c>
      <c r="E20" s="19">
        <f>IFERROR(__xludf.DUMMYFUNCTION("""COMPUTED_VALUE"""),46123.0)</f>
        <v>46123</v>
      </c>
      <c r="F20"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20" s="4"/>
      <c r="H20" s="4"/>
      <c r="I20"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20" s="4" t="str">
        <f>IFERROR(__xludf.DUMMYFUNCTION("""COMPUTED_VALUE"""),"")</f>
        <v/>
      </c>
      <c r="K20" s="4" t="str">
        <f>IFERROR(__xludf.DUMMYFUNCTION("""COMPUTED_VALUE"""),"")</f>
        <v/>
      </c>
      <c r="L20" s="4" t="str">
        <f>IFERROR(__xludf.DUMMYFUNCTION("""COMPUTED_VALUE"""),"李育丞")</f>
        <v>李育丞</v>
      </c>
      <c r="N20" s="20" t="b">
        <f>IFERROR(__xludf.DUMMYFUNCTION("""COMPUTED_VALUE"""),FALSE)</f>
        <v>0</v>
      </c>
      <c r="O20" s="20" t="str">
        <f>IFERROR(__xludf.DUMMYFUNCTION("""COMPUTED_VALUE"""),"Google")</f>
        <v>Google</v>
      </c>
      <c r="P20" s="20">
        <f>IFERROR(__xludf.DUMMYFUNCTION("""COMPUTED_VALUE"""),3.0)</f>
        <v>3</v>
      </c>
      <c r="Q20" s="21">
        <f>IFERROR(__xludf.DUMMYFUNCTION("""COMPUTED_VALUE"""),46123.0)</f>
        <v>46123</v>
      </c>
      <c r="R20"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20" s="20"/>
      <c r="T20" s="20"/>
      <c r="U20" s="20"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20" s="20" t="str">
        <f>IFERROR(__xludf.DUMMYFUNCTION("""COMPUTED_VALUE"""),"")</f>
        <v/>
      </c>
      <c r="W20" s="20" t="str">
        <f>IFERROR(__xludf.DUMMYFUNCTION("""COMPUTED_VALUE"""),"")</f>
        <v/>
      </c>
      <c r="X20" s="20" t="str">
        <f>IFERROR(__xludf.DUMMYFUNCTION("""COMPUTED_VALUE"""),"李育丞")</f>
        <v>李育丞</v>
      </c>
    </row>
    <row r="21">
      <c r="B21" s="17" t="b">
        <f>IFERROR(__xludf.DUMMYFUNCTION("""COMPUTED_VALUE"""),FALSE)</f>
        <v>0</v>
      </c>
      <c r="C21" s="20" t="str">
        <f>IFERROR(__xludf.DUMMYFUNCTION("""COMPUTED_VALUE"""),"じゃらん")</f>
        <v>じゃらん</v>
      </c>
      <c r="D21" s="4">
        <f>IFERROR(__xludf.DUMMYFUNCTION("""COMPUTED_VALUE"""),5.0)</f>
        <v>5</v>
      </c>
      <c r="E21" s="19">
        <f>IFERROR(__xludf.DUMMYFUNCTION("""COMPUTED_VALUE"""),46123.0)</f>
        <v>46123</v>
      </c>
      <c r="F21"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21" s="4"/>
      <c r="H21" s="4"/>
      <c r="I21"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21" s="4" t="str">
        <f>IFERROR(__xludf.DUMMYFUNCTION("""COMPUTED_VALUE"""),"")</f>
        <v/>
      </c>
      <c r="K21" s="4" t="str">
        <f>IFERROR(__xludf.DUMMYFUNCTION("""COMPUTED_VALUE"""),"")</f>
        <v/>
      </c>
      <c r="L21" s="4" t="str">
        <f>IFERROR(__xludf.DUMMYFUNCTION("""COMPUTED_VALUE"""),"不明")</f>
        <v>不明</v>
      </c>
      <c r="N21" s="20" t="b">
        <f>IFERROR(__xludf.DUMMYFUNCTION("""COMPUTED_VALUE"""),FALSE)</f>
        <v>0</v>
      </c>
      <c r="O21" s="20" t="str">
        <f>IFERROR(__xludf.DUMMYFUNCTION("""COMPUTED_VALUE"""),"じゃらん")</f>
        <v>じゃらん</v>
      </c>
      <c r="P21" s="20">
        <f>IFERROR(__xludf.DUMMYFUNCTION("""COMPUTED_VALUE"""),5.0)</f>
        <v>5</v>
      </c>
      <c r="Q21" s="21">
        <f>IFERROR(__xludf.DUMMYFUNCTION("""COMPUTED_VALUE"""),46123.0)</f>
        <v>46123</v>
      </c>
      <c r="R21"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21" s="20"/>
      <c r="T21" s="20"/>
      <c r="U21" s="20"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21" s="20" t="str">
        <f>IFERROR(__xludf.DUMMYFUNCTION("""COMPUTED_VALUE"""),"")</f>
        <v/>
      </c>
      <c r="W21" s="20" t="str">
        <f>IFERROR(__xludf.DUMMYFUNCTION("""COMPUTED_VALUE"""),"")</f>
        <v/>
      </c>
      <c r="X21" s="20" t="str">
        <f>IFERROR(__xludf.DUMMYFUNCTION("""COMPUTED_VALUE"""),"不明")</f>
        <v>不明</v>
      </c>
    </row>
    <row r="22">
      <c r="B22" s="17" t="b">
        <f>IFERROR(__xludf.DUMMYFUNCTION("""COMPUTED_VALUE"""),FALSE)</f>
        <v>0</v>
      </c>
      <c r="C22" s="20" t="str">
        <f>IFERROR(__xludf.DUMMYFUNCTION("""COMPUTED_VALUE"""),"じゃらん")</f>
        <v>じゃらん</v>
      </c>
      <c r="D22" s="4">
        <f>IFERROR(__xludf.DUMMYFUNCTION("""COMPUTED_VALUE"""),5.0)</f>
        <v>5</v>
      </c>
      <c r="E22" s="19">
        <f>IFERROR(__xludf.DUMMYFUNCTION("""COMPUTED_VALUE"""),46123.0)</f>
        <v>46123</v>
      </c>
      <c r="F22"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22" s="4"/>
      <c r="H22" s="4"/>
      <c r="I22"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22" s="4" t="str">
        <f>IFERROR(__xludf.DUMMYFUNCTION("""COMPUTED_VALUE"""),"")</f>
        <v/>
      </c>
      <c r="K22" s="4" t="str">
        <f>IFERROR(__xludf.DUMMYFUNCTION("""COMPUTED_VALUE"""),"")</f>
        <v/>
      </c>
      <c r="L22" s="4" t="str">
        <f>IFERROR(__xludf.DUMMYFUNCTION("""COMPUTED_VALUE"""),"不明")</f>
        <v>不明</v>
      </c>
      <c r="N22" s="20" t="b">
        <f>IFERROR(__xludf.DUMMYFUNCTION("""COMPUTED_VALUE"""),FALSE)</f>
        <v>0</v>
      </c>
      <c r="O22" s="20" t="str">
        <f>IFERROR(__xludf.DUMMYFUNCTION("""COMPUTED_VALUE"""),"じゃらん")</f>
        <v>じゃらん</v>
      </c>
      <c r="P22" s="20">
        <f>IFERROR(__xludf.DUMMYFUNCTION("""COMPUTED_VALUE"""),5.0)</f>
        <v>5</v>
      </c>
      <c r="Q22" s="21">
        <f>IFERROR(__xludf.DUMMYFUNCTION("""COMPUTED_VALUE"""),46123.0)</f>
        <v>46123</v>
      </c>
      <c r="R22"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22" s="20"/>
      <c r="T22" s="20"/>
      <c r="U22" s="20"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22" s="20" t="str">
        <f>IFERROR(__xludf.DUMMYFUNCTION("""COMPUTED_VALUE"""),"")</f>
        <v/>
      </c>
      <c r="W22" s="20" t="str">
        <f>IFERROR(__xludf.DUMMYFUNCTION("""COMPUTED_VALUE"""),"")</f>
        <v/>
      </c>
      <c r="X22" s="20" t="str">
        <f>IFERROR(__xludf.DUMMYFUNCTION("""COMPUTED_VALUE"""),"不明")</f>
        <v>不明</v>
      </c>
    </row>
    <row r="23">
      <c r="B23" s="17" t="b">
        <f>IFERROR(__xludf.DUMMYFUNCTION("""COMPUTED_VALUE"""),FALSE)</f>
        <v>0</v>
      </c>
      <c r="C23" s="20" t="str">
        <f>IFERROR(__xludf.DUMMYFUNCTION("""COMPUTED_VALUE"""),"Agoda")</f>
        <v>Agoda</v>
      </c>
      <c r="D23" s="4">
        <f>IFERROR(__xludf.DUMMYFUNCTION("""COMPUTED_VALUE"""),8.0)</f>
        <v>8</v>
      </c>
      <c r="E23" s="19">
        <f>IFERROR(__xludf.DUMMYFUNCTION("""COMPUTED_VALUE"""),46122.0)</f>
        <v>46122</v>
      </c>
      <c r="F23" s="4" t="str">
        <f>IFERROR(__xludf.DUMMYFUNCTION("""COMPUTED_VALUE"""),"駅近で便利 フリードリンクや朝食も満足")</f>
        <v>駅近で便利 フリードリンクや朝食も満足</v>
      </c>
      <c r="G23" s="4"/>
      <c r="H23" s="4"/>
      <c r="I23" s="4" t="str">
        <f>IFERROR(__xludf.DUMMYFUNCTION("""COMPUTED_VALUE"""),"駅近で便利 フリードリンクや朝食も満足")</f>
        <v>駅近で便利 フリードリンクや朝食も満足</v>
      </c>
      <c r="J23" s="4" t="str">
        <f>IFERROR(__xludf.DUMMYFUNCTION("""COMPUTED_VALUE"""),"")</f>
        <v/>
      </c>
      <c r="K23" s="4" t="str">
        <f>IFERROR(__xludf.DUMMYFUNCTION("""COMPUTED_VALUE"""),"")</f>
        <v/>
      </c>
      <c r="L23" s="4" t="str">
        <f>IFERROR(__xludf.DUMMYFUNCTION("""COMPUTED_VALUE"""),"YAMAWAKI")</f>
        <v>YAMAWAKI</v>
      </c>
      <c r="N23" s="20" t="b">
        <f>IFERROR(__xludf.DUMMYFUNCTION("""COMPUTED_VALUE"""),FALSE)</f>
        <v>0</v>
      </c>
      <c r="O23" s="20" t="str">
        <f>IFERROR(__xludf.DUMMYFUNCTION("""COMPUTED_VALUE"""),"Agoda")</f>
        <v>Agoda</v>
      </c>
      <c r="P23" s="20">
        <f>IFERROR(__xludf.DUMMYFUNCTION("""COMPUTED_VALUE"""),8.0)</f>
        <v>8</v>
      </c>
      <c r="Q23" s="21">
        <f>IFERROR(__xludf.DUMMYFUNCTION("""COMPUTED_VALUE"""),46122.0)</f>
        <v>46122</v>
      </c>
      <c r="R23" s="20" t="str">
        <f>IFERROR(__xludf.DUMMYFUNCTION("""COMPUTED_VALUE"""),"駅近で便利 フリードリンクや朝食も満足")</f>
        <v>駅近で便利 フリードリンクや朝食も満足</v>
      </c>
      <c r="S23" s="20"/>
      <c r="T23" s="20"/>
      <c r="U23" s="20" t="str">
        <f>IFERROR(__xludf.DUMMYFUNCTION("""COMPUTED_VALUE"""),"駅近で便利 フリードリンクや朝食も満足")</f>
        <v>駅近で便利 フリードリンクや朝食も満足</v>
      </c>
      <c r="V23" s="20" t="str">
        <f>IFERROR(__xludf.DUMMYFUNCTION("""COMPUTED_VALUE"""),"")</f>
        <v/>
      </c>
      <c r="W23" s="20" t="str">
        <f>IFERROR(__xludf.DUMMYFUNCTION("""COMPUTED_VALUE"""),"")</f>
        <v/>
      </c>
      <c r="X23" s="20" t="str">
        <f>IFERROR(__xludf.DUMMYFUNCTION("""COMPUTED_VALUE"""),"YAMAWAKI")</f>
        <v>YAMAWAKI</v>
      </c>
    </row>
    <row r="24">
      <c r="B24" s="17" t="b">
        <f>IFERROR(__xludf.DUMMYFUNCTION("""COMPUTED_VALUE"""),FALSE)</f>
        <v>0</v>
      </c>
      <c r="C24" s="18" t="str">
        <f>IFERROR(__xludf.DUMMYFUNCTION("""COMPUTED_VALUE"""),"Booking.com")</f>
        <v>Booking.com</v>
      </c>
      <c r="D24" s="4">
        <f>IFERROR(__xludf.DUMMYFUNCTION("""COMPUTED_VALUE"""),1.0)</f>
        <v>1</v>
      </c>
      <c r="E24" s="19">
        <f>IFERROR(__xludf.DUMMYFUNCTION("""COMPUTED_VALUE"""),46122.0)</f>
        <v>46122</v>
      </c>
      <c r="F24" s="4"/>
      <c r="G24" s="4" t="str">
        <f>IFERROR(__xludf.DUMMYFUNCTION("""COMPUTED_VALUE"""),"Nothing")</f>
        <v>Nothing</v>
      </c>
      <c r="H24" s="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24" s="4" t="str">
        <f>IFERROR(__xludf.DUMMYFUNCTION("""COMPUTED_VALUE"""),"")</f>
        <v/>
      </c>
      <c r="J24" s="4" t="str">
        <f>IFERROR(__xludf.DUMMYFUNCTION("""COMPUTED_VALUE"""),"何もない")</f>
        <v>何もない</v>
      </c>
      <c r="K24" s="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24" s="4" t="str">
        <f>IFERROR(__xludf.DUMMYFUNCTION("""COMPUTED_VALUE"""),"Olga")</f>
        <v>Olga</v>
      </c>
      <c r="N24" s="20" t="b">
        <f>IFERROR(__xludf.DUMMYFUNCTION("""COMPUTED_VALUE"""),FALSE)</f>
        <v>0</v>
      </c>
      <c r="O24" s="18" t="str">
        <f>IFERROR(__xludf.DUMMYFUNCTION("""COMPUTED_VALUE"""),"Booking.com")</f>
        <v>Booking.com</v>
      </c>
      <c r="P24" s="20">
        <f>IFERROR(__xludf.DUMMYFUNCTION("""COMPUTED_VALUE"""),1.0)</f>
        <v>1</v>
      </c>
      <c r="Q24" s="21">
        <f>IFERROR(__xludf.DUMMYFUNCTION("""COMPUTED_VALUE"""),46122.0)</f>
        <v>46122</v>
      </c>
      <c r="R24" s="20"/>
      <c r="S24" s="20" t="str">
        <f>IFERROR(__xludf.DUMMYFUNCTION("""COMPUTED_VALUE"""),"Nothing")</f>
        <v>Nothing</v>
      </c>
      <c r="T24" s="20"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24" s="20" t="str">
        <f>IFERROR(__xludf.DUMMYFUNCTION("""COMPUTED_VALUE"""),"")</f>
        <v/>
      </c>
      <c r="V24" s="20" t="str">
        <f>IFERROR(__xludf.DUMMYFUNCTION("""COMPUTED_VALUE"""),"何もない")</f>
        <v>何もない</v>
      </c>
      <c r="W24" s="20"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24" s="20" t="str">
        <f>IFERROR(__xludf.DUMMYFUNCTION("""COMPUTED_VALUE"""),"Olga")</f>
        <v>Olga</v>
      </c>
    </row>
    <row r="25">
      <c r="B25" s="17" t="b">
        <f>IFERROR(__xludf.DUMMYFUNCTION("""COMPUTED_VALUE"""),FALSE)</f>
        <v>0</v>
      </c>
      <c r="C25" s="18" t="str">
        <f>IFERROR(__xludf.DUMMYFUNCTION("""COMPUTED_VALUE"""),"Booking.com")</f>
        <v>Booking.com</v>
      </c>
      <c r="D25" s="4">
        <f>IFERROR(__xludf.DUMMYFUNCTION("""COMPUTED_VALUE"""),9.0)</f>
        <v>9</v>
      </c>
      <c r="E25" s="19">
        <f>IFERROR(__xludf.DUMMYFUNCTION("""COMPUTED_VALUE"""),46121.0)</f>
        <v>46121</v>
      </c>
      <c r="F25" s="4"/>
      <c r="G25" s="4" t="str">
        <f>IFERROR(__xludf.DUMMYFUNCTION("""COMPUTED_VALUE"""),"La habitación estuvo muy comoda a unos pasos de la estación Narita,")</f>
        <v>La habitación estuvo muy comoda a unos pasos de la estación Narita,</v>
      </c>
      <c r="H25" s="4" t="str">
        <f>IFERROR(__xludf.DUMMYFUNCTION("""COMPUTED_VALUE"""),"Que no tuviera traslado al aeropuerto , pero eso la lo sabía")</f>
        <v>Que no tuviera traslado al aeropuerto , pero eso la lo sabía</v>
      </c>
      <c r="I25" s="4" t="str">
        <f>IFERROR(__xludf.DUMMYFUNCTION("""COMPUTED_VALUE"""),"")</f>
        <v/>
      </c>
      <c r="J25" s="4" t="str">
        <f>IFERROR(__xludf.DUMMYFUNCTION("""COMPUTED_VALUE"""),"部屋はとても快適で、成田駅からすぐの場所でした。")</f>
        <v>部屋はとても快適で、成田駅からすぐの場所でした。</v>
      </c>
      <c r="K25" s="4" t="str">
        <f>IFERROR(__xludf.DUMMYFUNCTION("""COMPUTED_VALUE"""),"彼女は空港への乗り継ぎ便がないことを知っていた。")</f>
        <v>彼女は空港への乗り継ぎ便がないことを知っていた。</v>
      </c>
      <c r="L25" s="4" t="str">
        <f>IFERROR(__xludf.DUMMYFUNCTION("""COMPUTED_VALUE"""),"Julio")</f>
        <v>Julio</v>
      </c>
      <c r="N25" s="20" t="b">
        <f>IFERROR(__xludf.DUMMYFUNCTION("""COMPUTED_VALUE"""),FALSE)</f>
        <v>0</v>
      </c>
      <c r="O25" s="18" t="str">
        <f>IFERROR(__xludf.DUMMYFUNCTION("""COMPUTED_VALUE"""),"Booking.com")</f>
        <v>Booking.com</v>
      </c>
      <c r="P25" s="20">
        <f>IFERROR(__xludf.DUMMYFUNCTION("""COMPUTED_VALUE"""),9.0)</f>
        <v>9</v>
      </c>
      <c r="Q25" s="21">
        <f>IFERROR(__xludf.DUMMYFUNCTION("""COMPUTED_VALUE"""),46121.0)</f>
        <v>46121</v>
      </c>
      <c r="R25" s="20"/>
      <c r="S25" s="20" t="str">
        <f>IFERROR(__xludf.DUMMYFUNCTION("""COMPUTED_VALUE"""),"La habitación estuvo muy comoda a unos pasos de la estación Narita,")</f>
        <v>La habitación estuvo muy comoda a unos pasos de la estación Narita,</v>
      </c>
      <c r="T25" s="20" t="str">
        <f>IFERROR(__xludf.DUMMYFUNCTION("""COMPUTED_VALUE"""),"Que no tuviera traslado al aeropuerto , pero eso la lo sabía")</f>
        <v>Que no tuviera traslado al aeropuerto , pero eso la lo sabía</v>
      </c>
      <c r="U25" s="20" t="str">
        <f>IFERROR(__xludf.DUMMYFUNCTION("""COMPUTED_VALUE"""),"")</f>
        <v/>
      </c>
      <c r="V25" s="20" t="str">
        <f>IFERROR(__xludf.DUMMYFUNCTION("""COMPUTED_VALUE"""),"部屋はとても快適で、成田駅からすぐの場所でした。")</f>
        <v>部屋はとても快適で、成田駅からすぐの場所でした。</v>
      </c>
      <c r="W25" s="20" t="str">
        <f>IFERROR(__xludf.DUMMYFUNCTION("""COMPUTED_VALUE"""),"彼女は空港への乗り継ぎ便がないことを知っていた。")</f>
        <v>彼女は空港への乗り継ぎ便がないことを知っていた。</v>
      </c>
      <c r="X25" s="20" t="str">
        <f>IFERROR(__xludf.DUMMYFUNCTION("""COMPUTED_VALUE"""),"Julio")</f>
        <v>Julio</v>
      </c>
    </row>
    <row r="26">
      <c r="B26" s="17" t="b">
        <f>IFERROR(__xludf.DUMMYFUNCTION("""COMPUTED_VALUE"""),FALSE)</f>
        <v>0</v>
      </c>
      <c r="C26" s="18" t="str">
        <f>IFERROR(__xludf.DUMMYFUNCTION("""COMPUTED_VALUE"""),"Trip.com")</f>
        <v>Trip.com</v>
      </c>
      <c r="D26" s="4">
        <f>IFERROR(__xludf.DUMMYFUNCTION("""COMPUTED_VALUE"""),8.0)</f>
        <v>8</v>
      </c>
      <c r="E26" s="19">
        <f>IFERROR(__xludf.DUMMYFUNCTION("""COMPUTED_VALUE"""),46121.0)</f>
        <v>46121</v>
      </c>
      <c r="F26"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26" s="4"/>
      <c r="H26" s="4"/>
      <c r="I26"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26" s="4" t="str">
        <f>IFERROR(__xludf.DUMMYFUNCTION("""COMPUTED_VALUE"""),"")</f>
        <v/>
      </c>
      <c r="K26" s="4" t="str">
        <f>IFERROR(__xludf.DUMMYFUNCTION("""COMPUTED_VALUE"""),"")</f>
        <v/>
      </c>
      <c r="L26" s="4" t="str">
        <f>IFERROR(__xludf.DUMMYFUNCTION("""COMPUTED_VALUE"""),"N‍i‍k‍k‍o‍ ‍P‍a‍j‍a‍r‍i‍l‍l‍a")</f>
        <v>N‍i‍k‍k‍o‍ ‍P‍a‍j‍a‍r‍i‍l‍l‍a</v>
      </c>
      <c r="N26" s="20" t="b">
        <f>IFERROR(__xludf.DUMMYFUNCTION("""COMPUTED_VALUE"""),FALSE)</f>
        <v>0</v>
      </c>
      <c r="O26" s="18" t="str">
        <f>IFERROR(__xludf.DUMMYFUNCTION("""COMPUTED_VALUE"""),"Trip.com")</f>
        <v>Trip.com</v>
      </c>
      <c r="P26" s="20">
        <f>IFERROR(__xludf.DUMMYFUNCTION("""COMPUTED_VALUE"""),8.0)</f>
        <v>8</v>
      </c>
      <c r="Q26" s="21">
        <f>IFERROR(__xludf.DUMMYFUNCTION("""COMPUTED_VALUE"""),46121.0)</f>
        <v>46121</v>
      </c>
      <c r="R26" s="20"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26" s="20"/>
      <c r="T26" s="20"/>
      <c r="U26" s="20"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26" s="20" t="str">
        <f>IFERROR(__xludf.DUMMYFUNCTION("""COMPUTED_VALUE"""),"")</f>
        <v/>
      </c>
      <c r="W26" s="20" t="str">
        <f>IFERROR(__xludf.DUMMYFUNCTION("""COMPUTED_VALUE"""),"")</f>
        <v/>
      </c>
      <c r="X26" s="20" t="str">
        <f>IFERROR(__xludf.DUMMYFUNCTION("""COMPUTED_VALUE"""),"N‍i‍k‍k‍o‍ ‍P‍a‍j‍a‍r‍i‍l‍l‍a")</f>
        <v>N‍i‍k‍k‍o‍ ‍P‍a‍j‍a‍r‍i‍l‍l‍a</v>
      </c>
    </row>
    <row r="27">
      <c r="B27" s="17" t="b">
        <f>IFERROR(__xludf.DUMMYFUNCTION("""COMPUTED_VALUE"""),FALSE)</f>
        <v>0</v>
      </c>
      <c r="C27" s="20" t="str">
        <f>IFERROR(__xludf.DUMMYFUNCTION("""COMPUTED_VALUE"""),"楽天トラベル")</f>
        <v>楽天トラベル</v>
      </c>
      <c r="D27" s="4">
        <f>IFERROR(__xludf.DUMMYFUNCTION("""COMPUTED_VALUE"""),4.0)</f>
        <v>4</v>
      </c>
      <c r="E27" s="19">
        <f>IFERROR(__xludf.DUMMYFUNCTION("""COMPUTED_VALUE"""),46121.0)</f>
        <v>46121</v>
      </c>
      <c r="F27"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27" s="4"/>
      <c r="H27" s="4"/>
      <c r="I27"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27" s="4" t="str">
        <f>IFERROR(__xludf.DUMMYFUNCTION("""COMPUTED_VALUE"""),"")</f>
        <v/>
      </c>
      <c r="K27" s="4" t="str">
        <f>IFERROR(__xludf.DUMMYFUNCTION("""COMPUTED_VALUE"""),"")</f>
        <v/>
      </c>
      <c r="L27" s="4" t="str">
        <f>IFERROR(__xludf.DUMMYFUNCTION("""COMPUTED_VALUE"""),"かなですが")</f>
        <v>かなですが</v>
      </c>
      <c r="N27" s="20" t="b">
        <f>IFERROR(__xludf.DUMMYFUNCTION("""COMPUTED_VALUE"""),FALSE)</f>
        <v>0</v>
      </c>
      <c r="O27" s="20" t="str">
        <f>IFERROR(__xludf.DUMMYFUNCTION("""COMPUTED_VALUE"""),"楽天トラベル")</f>
        <v>楽天トラベル</v>
      </c>
      <c r="P27" s="20">
        <f>IFERROR(__xludf.DUMMYFUNCTION("""COMPUTED_VALUE"""),4.0)</f>
        <v>4</v>
      </c>
      <c r="Q27" s="21">
        <f>IFERROR(__xludf.DUMMYFUNCTION("""COMPUTED_VALUE"""),46121.0)</f>
        <v>46121</v>
      </c>
      <c r="R27"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27" s="20"/>
      <c r="T27" s="20"/>
      <c r="U27" s="20"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27" s="20" t="str">
        <f>IFERROR(__xludf.DUMMYFUNCTION("""COMPUTED_VALUE"""),"")</f>
        <v/>
      </c>
      <c r="W27" s="20" t="str">
        <f>IFERROR(__xludf.DUMMYFUNCTION("""COMPUTED_VALUE"""),"")</f>
        <v/>
      </c>
      <c r="X27" s="20" t="str">
        <f>IFERROR(__xludf.DUMMYFUNCTION("""COMPUTED_VALUE"""),"かなですが")</f>
        <v>かなですが</v>
      </c>
    </row>
    <row r="28">
      <c r="B28" s="17" t="b">
        <f>IFERROR(__xludf.DUMMYFUNCTION("""COMPUTED_VALUE"""),FALSE)</f>
        <v>0</v>
      </c>
      <c r="C28" s="20" t="str">
        <f>IFERROR(__xludf.DUMMYFUNCTION("""COMPUTED_VALUE"""),"Google")</f>
        <v>Google</v>
      </c>
      <c r="D28" s="4">
        <f>IFERROR(__xludf.DUMMYFUNCTION("""COMPUTED_VALUE"""),2.0)</f>
        <v>2</v>
      </c>
      <c r="E28" s="19">
        <f>IFERROR(__xludf.DUMMYFUNCTION("""COMPUTED_VALUE"""),46121.0)</f>
        <v>46121</v>
      </c>
      <c r="F28"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28" s="4"/>
      <c r="H28" s="4"/>
      <c r="I28"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28" s="4" t="str">
        <f>IFERROR(__xludf.DUMMYFUNCTION("""COMPUTED_VALUE"""),"")</f>
        <v/>
      </c>
      <c r="K28" s="4" t="str">
        <f>IFERROR(__xludf.DUMMYFUNCTION("""COMPUTED_VALUE"""),"")</f>
        <v/>
      </c>
      <c r="L28" s="4" t="str">
        <f>IFERROR(__xludf.DUMMYFUNCTION("""COMPUTED_VALUE"""),"Yan Saint")</f>
        <v>Yan Saint</v>
      </c>
      <c r="N28" s="20" t="b">
        <f>IFERROR(__xludf.DUMMYFUNCTION("""COMPUTED_VALUE"""),FALSE)</f>
        <v>0</v>
      </c>
      <c r="O28" s="20" t="str">
        <f>IFERROR(__xludf.DUMMYFUNCTION("""COMPUTED_VALUE"""),"Google")</f>
        <v>Google</v>
      </c>
      <c r="P28" s="20">
        <f>IFERROR(__xludf.DUMMYFUNCTION("""COMPUTED_VALUE"""),2.0)</f>
        <v>2</v>
      </c>
      <c r="Q28" s="21">
        <f>IFERROR(__xludf.DUMMYFUNCTION("""COMPUTED_VALUE"""),46121.0)</f>
        <v>46121</v>
      </c>
      <c r="R28"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28" s="20"/>
      <c r="T28" s="20"/>
      <c r="U28" s="20"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28" s="20" t="str">
        <f>IFERROR(__xludf.DUMMYFUNCTION("""COMPUTED_VALUE"""),"")</f>
        <v/>
      </c>
      <c r="W28" s="20" t="str">
        <f>IFERROR(__xludf.DUMMYFUNCTION("""COMPUTED_VALUE"""),"")</f>
        <v/>
      </c>
      <c r="X28" s="20" t="str">
        <f>IFERROR(__xludf.DUMMYFUNCTION("""COMPUTED_VALUE"""),"Yan Saint")</f>
        <v>Yan Saint</v>
      </c>
    </row>
    <row r="29">
      <c r="B29" s="17" t="b">
        <f>IFERROR(__xludf.DUMMYFUNCTION("""COMPUTED_VALUE"""),FALSE)</f>
        <v>0</v>
      </c>
      <c r="C29" s="18" t="str">
        <f>IFERROR(__xludf.DUMMYFUNCTION("""COMPUTED_VALUE"""),"Booking.com")</f>
        <v>Booking.com</v>
      </c>
      <c r="D29" s="4">
        <f>IFERROR(__xludf.DUMMYFUNCTION("""COMPUTED_VALUE"""),7.0)</f>
        <v>7</v>
      </c>
      <c r="E29" s="19">
        <f>IFERROR(__xludf.DUMMYFUNCTION("""COMPUTED_VALUE"""),46120.0)</f>
        <v>46120</v>
      </c>
      <c r="F29" s="4"/>
      <c r="G29" s="4" t="str">
        <f>IFERROR(__xludf.DUMMYFUNCTION("""COMPUTED_VALUE"""),"房間大，員工服務態度佳")</f>
        <v>房間大，員工服務態度佳</v>
      </c>
      <c r="H29" s="4" t="str">
        <f>IFERROR(__xludf.DUMMYFUNCTION("""COMPUTED_VALUE"""),"房間內燈光亮度不足。")</f>
        <v>房間內燈光亮度不足。</v>
      </c>
      <c r="I29" s="4" t="str">
        <f>IFERROR(__xludf.DUMMYFUNCTION("""COMPUTED_VALUE"""),"")</f>
        <v/>
      </c>
      <c r="J29" s="4" t="str">
        <f>IFERROR(__xludf.DUMMYFUNCTION("""COMPUTED_VALUE"""),"部屋は広々としていて、スタッフもとても親切です。")</f>
        <v>部屋は広々としていて、スタッフもとても親切です。</v>
      </c>
      <c r="K29" s="4" t="str">
        <f>IFERROR(__xludf.DUMMYFUNCTION("""COMPUTED_VALUE"""),"部屋は薄暗かった。")</f>
        <v>部屋は薄暗かった。</v>
      </c>
      <c r="L29" s="4" t="str">
        <f>IFERROR(__xludf.DUMMYFUNCTION("""COMPUTED_VALUE"""),"Pei")</f>
        <v>Pei</v>
      </c>
      <c r="N29" s="20" t="b">
        <f>IFERROR(__xludf.DUMMYFUNCTION("""COMPUTED_VALUE"""),FALSE)</f>
        <v>0</v>
      </c>
      <c r="O29" s="18" t="str">
        <f>IFERROR(__xludf.DUMMYFUNCTION("""COMPUTED_VALUE"""),"Booking.com")</f>
        <v>Booking.com</v>
      </c>
      <c r="P29" s="20">
        <f>IFERROR(__xludf.DUMMYFUNCTION("""COMPUTED_VALUE"""),7.0)</f>
        <v>7</v>
      </c>
      <c r="Q29" s="21">
        <f>IFERROR(__xludf.DUMMYFUNCTION("""COMPUTED_VALUE"""),46120.0)</f>
        <v>46120</v>
      </c>
      <c r="R29" s="20"/>
      <c r="S29" s="20" t="str">
        <f>IFERROR(__xludf.DUMMYFUNCTION("""COMPUTED_VALUE"""),"房間大，員工服務態度佳")</f>
        <v>房間大，員工服務態度佳</v>
      </c>
      <c r="T29" s="20" t="str">
        <f>IFERROR(__xludf.DUMMYFUNCTION("""COMPUTED_VALUE"""),"房間內燈光亮度不足。")</f>
        <v>房間內燈光亮度不足。</v>
      </c>
      <c r="U29" s="20" t="str">
        <f>IFERROR(__xludf.DUMMYFUNCTION("""COMPUTED_VALUE"""),"")</f>
        <v/>
      </c>
      <c r="V29" s="20" t="str">
        <f>IFERROR(__xludf.DUMMYFUNCTION("""COMPUTED_VALUE"""),"部屋は広々としていて、スタッフもとても親切です。")</f>
        <v>部屋は広々としていて、スタッフもとても親切です。</v>
      </c>
      <c r="W29" s="20" t="str">
        <f>IFERROR(__xludf.DUMMYFUNCTION("""COMPUTED_VALUE"""),"部屋は薄暗かった。")</f>
        <v>部屋は薄暗かった。</v>
      </c>
      <c r="X29" s="20" t="str">
        <f>IFERROR(__xludf.DUMMYFUNCTION("""COMPUTED_VALUE"""),"Pei")</f>
        <v>Pei</v>
      </c>
    </row>
    <row r="30">
      <c r="B30" s="17" t="b">
        <f>IFERROR(__xludf.DUMMYFUNCTION("""COMPUTED_VALUE"""),FALSE)</f>
        <v>0</v>
      </c>
      <c r="C30" s="20" t="str">
        <f>IFERROR(__xludf.DUMMYFUNCTION("""COMPUTED_VALUE"""),"楽天トラベル")</f>
        <v>楽天トラベル</v>
      </c>
      <c r="D30" s="4">
        <f>IFERROR(__xludf.DUMMYFUNCTION("""COMPUTED_VALUE"""),5.0)</f>
        <v>5</v>
      </c>
      <c r="E30" s="19">
        <f>IFERROR(__xludf.DUMMYFUNCTION("""COMPUTED_VALUE"""),46120.0)</f>
        <v>46120</v>
      </c>
      <c r="F30" s="4" t="str">
        <f>IFERROR(__xludf.DUMMYFUNCTION("""COMPUTED_VALUE"""),"スタッフの皆さんが笑顔で気持ちいいです！")</f>
        <v>スタッフの皆さんが笑顔で気持ちいいです！</v>
      </c>
      <c r="G30" s="4"/>
      <c r="H30" s="4"/>
      <c r="I30" s="4" t="str">
        <f>IFERROR(__xludf.DUMMYFUNCTION("""COMPUTED_VALUE"""),"スタッフの皆さんが笑顔で気持ちいいです！")</f>
        <v>スタッフの皆さんが笑顔で気持ちいいです！</v>
      </c>
      <c r="J30" s="4" t="str">
        <f>IFERROR(__xludf.DUMMYFUNCTION("""COMPUTED_VALUE"""),"")</f>
        <v/>
      </c>
      <c r="K30" s="4" t="str">
        <f>IFERROR(__xludf.DUMMYFUNCTION("""COMPUTED_VALUE"""),"")</f>
        <v/>
      </c>
      <c r="L30" s="4" t="str">
        <f>IFERROR(__xludf.DUMMYFUNCTION("""COMPUTED_VALUE"""),"あきみさん")</f>
        <v>あきみさん</v>
      </c>
      <c r="N30" s="20" t="b">
        <f>IFERROR(__xludf.DUMMYFUNCTION("""COMPUTED_VALUE"""),FALSE)</f>
        <v>0</v>
      </c>
      <c r="O30" s="20" t="str">
        <f>IFERROR(__xludf.DUMMYFUNCTION("""COMPUTED_VALUE"""),"楽天トラベル")</f>
        <v>楽天トラベル</v>
      </c>
      <c r="P30" s="20">
        <f>IFERROR(__xludf.DUMMYFUNCTION("""COMPUTED_VALUE"""),5.0)</f>
        <v>5</v>
      </c>
      <c r="Q30" s="21">
        <f>IFERROR(__xludf.DUMMYFUNCTION("""COMPUTED_VALUE"""),46120.0)</f>
        <v>46120</v>
      </c>
      <c r="R30" s="20" t="str">
        <f>IFERROR(__xludf.DUMMYFUNCTION("""COMPUTED_VALUE"""),"スタッフの皆さんが笑顔で気持ちいいです！")</f>
        <v>スタッフの皆さんが笑顔で気持ちいいです！</v>
      </c>
      <c r="S30" s="20"/>
      <c r="T30" s="20"/>
      <c r="U30" s="20" t="str">
        <f>IFERROR(__xludf.DUMMYFUNCTION("""COMPUTED_VALUE"""),"スタッフの皆さんが笑顔で気持ちいいです！")</f>
        <v>スタッフの皆さんが笑顔で気持ちいいです！</v>
      </c>
      <c r="V30" s="20" t="str">
        <f>IFERROR(__xludf.DUMMYFUNCTION("""COMPUTED_VALUE"""),"")</f>
        <v/>
      </c>
      <c r="W30" s="20" t="str">
        <f>IFERROR(__xludf.DUMMYFUNCTION("""COMPUTED_VALUE"""),"")</f>
        <v/>
      </c>
      <c r="X30" s="20" t="str">
        <f>IFERROR(__xludf.DUMMYFUNCTION("""COMPUTED_VALUE"""),"あきみさん")</f>
        <v>あきみさん</v>
      </c>
    </row>
    <row r="31">
      <c r="B31" s="17" t="b">
        <f>IFERROR(__xludf.DUMMYFUNCTION("""COMPUTED_VALUE"""),FALSE)</f>
        <v>0</v>
      </c>
      <c r="C31" s="20" t="str">
        <f>IFERROR(__xludf.DUMMYFUNCTION("""COMPUTED_VALUE"""),"楽天トラベル")</f>
        <v>楽天トラベル</v>
      </c>
      <c r="D31" s="4">
        <f>IFERROR(__xludf.DUMMYFUNCTION("""COMPUTED_VALUE"""),5.0)</f>
        <v>5</v>
      </c>
      <c r="E31" s="19">
        <f>IFERROR(__xludf.DUMMYFUNCTION("""COMPUTED_VALUE"""),46119.0)</f>
        <v>46119</v>
      </c>
      <c r="F31"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31" s="4"/>
      <c r="H31" s="4"/>
      <c r="I31"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31" s="4" t="str">
        <f>IFERROR(__xludf.DUMMYFUNCTION("""COMPUTED_VALUE"""),"")</f>
        <v/>
      </c>
      <c r="K31" s="4" t="str">
        <f>IFERROR(__xludf.DUMMYFUNCTION("""COMPUTED_VALUE"""),"")</f>
        <v/>
      </c>
      <c r="L31" s="4" t="str">
        <f>IFERROR(__xludf.DUMMYFUNCTION("""COMPUTED_VALUE"""),"ケンヨウ")</f>
        <v>ケンヨウ</v>
      </c>
      <c r="N31" s="20" t="b">
        <f>IFERROR(__xludf.DUMMYFUNCTION("""COMPUTED_VALUE"""),FALSE)</f>
        <v>0</v>
      </c>
      <c r="O31" s="20" t="str">
        <f>IFERROR(__xludf.DUMMYFUNCTION("""COMPUTED_VALUE"""),"楽天トラベル")</f>
        <v>楽天トラベル</v>
      </c>
      <c r="P31" s="20">
        <f>IFERROR(__xludf.DUMMYFUNCTION("""COMPUTED_VALUE"""),5.0)</f>
        <v>5</v>
      </c>
      <c r="Q31" s="21">
        <f>IFERROR(__xludf.DUMMYFUNCTION("""COMPUTED_VALUE"""),46119.0)</f>
        <v>46119</v>
      </c>
      <c r="R31"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31" s="20"/>
      <c r="T31" s="20"/>
      <c r="U31" s="20"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31" s="20" t="str">
        <f>IFERROR(__xludf.DUMMYFUNCTION("""COMPUTED_VALUE"""),"")</f>
        <v/>
      </c>
      <c r="W31" s="20" t="str">
        <f>IFERROR(__xludf.DUMMYFUNCTION("""COMPUTED_VALUE"""),"")</f>
        <v/>
      </c>
      <c r="X31" s="20" t="str">
        <f>IFERROR(__xludf.DUMMYFUNCTION("""COMPUTED_VALUE"""),"ケンヨウ")</f>
        <v>ケンヨウ</v>
      </c>
    </row>
    <row r="32">
      <c r="B32" s="17" t="b">
        <f>IFERROR(__xludf.DUMMYFUNCTION("""COMPUTED_VALUE"""),FALSE)</f>
        <v>0</v>
      </c>
      <c r="C32" s="20" t="str">
        <f>IFERROR(__xludf.DUMMYFUNCTION("""COMPUTED_VALUE"""),"楽天トラベル")</f>
        <v>楽天トラベル</v>
      </c>
      <c r="D32" s="4">
        <f>IFERROR(__xludf.DUMMYFUNCTION("""COMPUTED_VALUE"""),4.0)</f>
        <v>4</v>
      </c>
      <c r="E32" s="19">
        <f>IFERROR(__xludf.DUMMYFUNCTION("""COMPUTED_VALUE"""),46117.0)</f>
        <v>46117</v>
      </c>
      <c r="F32"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32" s="4"/>
      <c r="H32" s="4"/>
      <c r="I32"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32" s="4" t="str">
        <f>IFERROR(__xludf.DUMMYFUNCTION("""COMPUTED_VALUE"""),"")</f>
        <v/>
      </c>
      <c r="K32" s="4" t="str">
        <f>IFERROR(__xludf.DUMMYFUNCTION("""COMPUTED_VALUE"""),"")</f>
        <v/>
      </c>
      <c r="L32" s="4" t="str">
        <f>IFERROR(__xludf.DUMMYFUNCTION("""COMPUTED_VALUE"""),"でぶさんと大吉")</f>
        <v>でぶさんと大吉</v>
      </c>
      <c r="N32" s="20" t="b">
        <f>IFERROR(__xludf.DUMMYFUNCTION("""COMPUTED_VALUE"""),FALSE)</f>
        <v>0</v>
      </c>
      <c r="O32" s="20" t="str">
        <f>IFERROR(__xludf.DUMMYFUNCTION("""COMPUTED_VALUE"""),"楽天トラベル")</f>
        <v>楽天トラベル</v>
      </c>
      <c r="P32" s="20">
        <f>IFERROR(__xludf.DUMMYFUNCTION("""COMPUTED_VALUE"""),4.0)</f>
        <v>4</v>
      </c>
      <c r="Q32" s="21">
        <f>IFERROR(__xludf.DUMMYFUNCTION("""COMPUTED_VALUE"""),46117.0)</f>
        <v>46117</v>
      </c>
      <c r="R32"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32" s="20"/>
      <c r="T32" s="20"/>
      <c r="U32" s="20"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32" s="20" t="str">
        <f>IFERROR(__xludf.DUMMYFUNCTION("""COMPUTED_VALUE"""),"")</f>
        <v/>
      </c>
      <c r="W32" s="20" t="str">
        <f>IFERROR(__xludf.DUMMYFUNCTION("""COMPUTED_VALUE"""),"")</f>
        <v/>
      </c>
      <c r="X32" s="20" t="str">
        <f>IFERROR(__xludf.DUMMYFUNCTION("""COMPUTED_VALUE"""),"でぶさんと大吉")</f>
        <v>でぶさんと大吉</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IFERROR(__xludf.DUMMYFUNCTION("""COMPUTED_VALUE"""),46116.0)</f>
        <v>46116</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IFERROR(__xludf.DUMMYFUNCTION("""COMPUTED_VALUE"""),"Joel")</f>
        <v>Joel</v>
      </c>
      <c r="N33" s="20" t="b">
        <f>IFERROR(__xludf.DUMMYFUNCTION("""COMPUTED_VALUE"""),FALSE)</f>
        <v>0</v>
      </c>
      <c r="O33" s="18" t="str">
        <f>IFERROR(__xludf.DUMMYFUNCTION("""COMPUTED_VALUE"""),"Booking.com")</f>
        <v>Booking.com</v>
      </c>
      <c r="P33" s="20">
        <f>IFERROR(__xludf.DUMMYFUNCTION("""COMPUTED_VALUE"""),10.0)</f>
        <v>10</v>
      </c>
      <c r="Q33" s="21">
        <f>IFERROR(__xludf.DUMMYFUNCTION("""COMPUTED_VALUE"""),46116.0)</f>
        <v>46116</v>
      </c>
      <c r="R33" s="20"/>
      <c r="S33" s="20"/>
      <c r="T33" s="20"/>
      <c r="U33" s="20" t="str">
        <f>IFERROR(__xludf.DUMMYFUNCTION("""COMPUTED_VALUE"""),"")</f>
        <v/>
      </c>
      <c r="V33" s="20" t="str">
        <f>IFERROR(__xludf.DUMMYFUNCTION("""COMPUTED_VALUE"""),"")</f>
        <v/>
      </c>
      <c r="W33" s="20" t="str">
        <f>IFERROR(__xludf.DUMMYFUNCTION("""COMPUTED_VALUE"""),"")</f>
        <v/>
      </c>
      <c r="X33" s="20" t="str">
        <f>IFERROR(__xludf.DUMMYFUNCTION("""COMPUTED_VALUE"""),"Joel")</f>
        <v>Joel</v>
      </c>
    </row>
    <row r="34">
      <c r="B34" s="17" t="b">
        <f>IFERROR(__xludf.DUMMYFUNCTION("""COMPUTED_VALUE"""),FALSE)</f>
        <v>0</v>
      </c>
      <c r="C34" s="18" t="str">
        <f>IFERROR(__xludf.DUMMYFUNCTION("""COMPUTED_VALUE"""),"Trip.com")</f>
        <v>Trip.com</v>
      </c>
      <c r="D34" s="4">
        <f>IFERROR(__xludf.DUMMYFUNCTION("""COMPUTED_VALUE"""),10.0)</f>
        <v>10</v>
      </c>
      <c r="E34" s="19">
        <f>IFERROR(__xludf.DUMMYFUNCTION("""COMPUTED_VALUE"""),46115.0)</f>
        <v>46115</v>
      </c>
      <c r="F34"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34" s="4"/>
      <c r="H34" s="4"/>
      <c r="I34" s="4" t="str">
        <f>IFERROR(__xludf.DUMMYFUNCTION("""COMPUTED_VALUE"""),"宿泊施設は少し古いかもしれませんが、駅と空港に近いので便利です。")</f>
        <v>宿泊施設は少し古いかもしれませんが、駅と空港に近いので便利です。</v>
      </c>
      <c r="J34" s="4" t="str">
        <f>IFERROR(__xludf.DUMMYFUNCTION("""COMPUTED_VALUE"""),"")</f>
        <v/>
      </c>
      <c r="K34" s="4" t="str">
        <f>IFERROR(__xludf.DUMMYFUNCTION("""COMPUTED_VALUE"""),"")</f>
        <v/>
      </c>
      <c r="L34" s="4" t="str">
        <f>IFERROR(__xludf.DUMMYFUNCTION("""COMPUTED_VALUE"""),"ป‍อ‍ป‍ี‍้‍ย‍ิ‍้‍ม")</f>
        <v>ป‍อ‍ป‍ี‍้‍ย‍ิ‍้‍ม</v>
      </c>
      <c r="N34" s="20" t="b">
        <f>IFERROR(__xludf.DUMMYFUNCTION("""COMPUTED_VALUE"""),FALSE)</f>
        <v>0</v>
      </c>
      <c r="O34" s="18" t="str">
        <f>IFERROR(__xludf.DUMMYFUNCTION("""COMPUTED_VALUE"""),"Trip.com")</f>
        <v>Trip.com</v>
      </c>
      <c r="P34" s="20">
        <f>IFERROR(__xludf.DUMMYFUNCTION("""COMPUTED_VALUE"""),10.0)</f>
        <v>10</v>
      </c>
      <c r="Q34" s="21">
        <f>IFERROR(__xludf.DUMMYFUNCTION("""COMPUTED_VALUE"""),46115.0)</f>
        <v>46115</v>
      </c>
      <c r="R34" s="20"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34" s="20"/>
      <c r="T34" s="20"/>
      <c r="U34" s="20" t="str">
        <f>IFERROR(__xludf.DUMMYFUNCTION("""COMPUTED_VALUE"""),"宿泊施設は少し古いかもしれませんが、駅と空港に近いので便利です。")</f>
        <v>宿泊施設は少し古いかもしれませんが、駅と空港に近いので便利です。</v>
      </c>
      <c r="V34" s="20" t="str">
        <f>IFERROR(__xludf.DUMMYFUNCTION("""COMPUTED_VALUE"""),"")</f>
        <v/>
      </c>
      <c r="W34" s="20" t="str">
        <f>IFERROR(__xludf.DUMMYFUNCTION("""COMPUTED_VALUE"""),"")</f>
        <v/>
      </c>
      <c r="X34" s="20" t="str">
        <f>IFERROR(__xludf.DUMMYFUNCTION("""COMPUTED_VALUE"""),"ป‍อ‍ป‍ี‍้‍ย‍ิ‍้‍ม")</f>
        <v>ป‍อ‍ป‍ี‍้‍ย‍ิ‍้‍ม</v>
      </c>
    </row>
    <row r="35">
      <c r="B35" s="17" t="b">
        <f>IFERROR(__xludf.DUMMYFUNCTION("""COMPUTED_VALUE"""),FALSE)</f>
        <v>0</v>
      </c>
      <c r="C35" s="18" t="str">
        <f>IFERROR(__xludf.DUMMYFUNCTION("""COMPUTED_VALUE"""),"Trip.com")</f>
        <v>Trip.com</v>
      </c>
      <c r="D35" s="4">
        <f>IFERROR(__xludf.DUMMYFUNCTION("""COMPUTED_VALUE"""),10.0)</f>
        <v>10</v>
      </c>
      <c r="E35" s="19">
        <f>IFERROR(__xludf.DUMMYFUNCTION("""COMPUTED_VALUE"""),46114.0)</f>
        <v>46114</v>
      </c>
      <c r="F35"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35" s="4"/>
      <c r="H35" s="4"/>
      <c r="I35"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35" s="4" t="str">
        <f>IFERROR(__xludf.DUMMYFUNCTION("""COMPUTED_VALUE"""),"")</f>
        <v/>
      </c>
      <c r="K35" s="4" t="str">
        <f>IFERROR(__xludf.DUMMYFUNCTION("""COMPUTED_VALUE"""),"")</f>
        <v/>
      </c>
      <c r="L35" s="4" t="str">
        <f>IFERROR(__xludf.DUMMYFUNCTION("""COMPUTED_VALUE"""),"S‍Z‍4‍2‍5")</f>
        <v>S‍Z‍4‍2‍5</v>
      </c>
      <c r="N35" s="20" t="b">
        <f>IFERROR(__xludf.DUMMYFUNCTION("""COMPUTED_VALUE"""),FALSE)</f>
        <v>0</v>
      </c>
      <c r="O35" s="18" t="str">
        <f>IFERROR(__xludf.DUMMYFUNCTION("""COMPUTED_VALUE"""),"Trip.com")</f>
        <v>Trip.com</v>
      </c>
      <c r="P35" s="20">
        <f>IFERROR(__xludf.DUMMYFUNCTION("""COMPUTED_VALUE"""),10.0)</f>
        <v>10</v>
      </c>
      <c r="Q35" s="21">
        <f>IFERROR(__xludf.DUMMYFUNCTION("""COMPUTED_VALUE"""),46114.0)</f>
        <v>46114</v>
      </c>
      <c r="R35"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35" s="20"/>
      <c r="T35" s="20"/>
      <c r="U35" s="20"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35" s="20" t="str">
        <f>IFERROR(__xludf.DUMMYFUNCTION("""COMPUTED_VALUE"""),"")</f>
        <v/>
      </c>
      <c r="W35" s="20" t="str">
        <f>IFERROR(__xludf.DUMMYFUNCTION("""COMPUTED_VALUE"""),"")</f>
        <v/>
      </c>
      <c r="X35" s="20" t="str">
        <f>IFERROR(__xludf.DUMMYFUNCTION("""COMPUTED_VALUE"""),"S‍Z‍4‍2‍5")</f>
        <v>S‍Z‍4‍2‍5</v>
      </c>
    </row>
    <row r="36">
      <c r="B36" s="17" t="b">
        <f>IFERROR(__xludf.DUMMYFUNCTION("""COMPUTED_VALUE"""),FALSE)</f>
        <v>0</v>
      </c>
      <c r="C36" s="18" t="str">
        <f>IFERROR(__xludf.DUMMYFUNCTION("""COMPUTED_VALUE"""),"Trip.com")</f>
        <v>Trip.com</v>
      </c>
      <c r="D36" s="4">
        <f>IFERROR(__xludf.DUMMYFUNCTION("""COMPUTED_VALUE"""),9.0)</f>
        <v>9</v>
      </c>
      <c r="E36" s="19">
        <f>IFERROR(__xludf.DUMMYFUNCTION("""COMPUTED_VALUE"""),46114.0)</f>
        <v>46114</v>
      </c>
      <c r="F36" s="4" t="str">
        <f>IFERROR(__xludf.DUMMYFUNCTION("""COMPUTED_VALUE"""),"朝食サービスが内容、時間共に最高でした。 忙しい朝にぴったりでした！")</f>
        <v>朝食サービスが内容、時間共に最高でした。 忙しい朝にぴったりでした！</v>
      </c>
      <c r="G36" s="4"/>
      <c r="H36" s="4"/>
      <c r="I36" s="4" t="str">
        <f>IFERROR(__xludf.DUMMYFUNCTION("""COMPUTED_VALUE"""),"朝食サービスが内容、時間共に最高でした。 忙しい朝にぴったりでした！")</f>
        <v>朝食サービスが内容、時間共に最高でした。 忙しい朝にぴったりでした！</v>
      </c>
      <c r="J36" s="4" t="str">
        <f>IFERROR(__xludf.DUMMYFUNCTION("""COMPUTED_VALUE"""),"")</f>
        <v/>
      </c>
      <c r="K36" s="4" t="str">
        <f>IFERROR(__xludf.DUMMYFUNCTION("""COMPUTED_VALUE"""),"")</f>
        <v/>
      </c>
      <c r="L36" s="4" t="str">
        <f>IFERROR(__xludf.DUMMYFUNCTION("""COMPUTED_VALUE"""),"ゲ‍ス‍ト")</f>
        <v>ゲ‍ス‍ト</v>
      </c>
      <c r="N36" s="20" t="b">
        <f>IFERROR(__xludf.DUMMYFUNCTION("""COMPUTED_VALUE"""),FALSE)</f>
        <v>0</v>
      </c>
      <c r="O36" s="18" t="str">
        <f>IFERROR(__xludf.DUMMYFUNCTION("""COMPUTED_VALUE"""),"Trip.com")</f>
        <v>Trip.com</v>
      </c>
      <c r="P36" s="20">
        <f>IFERROR(__xludf.DUMMYFUNCTION("""COMPUTED_VALUE"""),9.0)</f>
        <v>9</v>
      </c>
      <c r="Q36" s="21">
        <f>IFERROR(__xludf.DUMMYFUNCTION("""COMPUTED_VALUE"""),46114.0)</f>
        <v>46114</v>
      </c>
      <c r="R36" s="20" t="str">
        <f>IFERROR(__xludf.DUMMYFUNCTION("""COMPUTED_VALUE"""),"朝食サービスが内容、時間共に最高でした。 忙しい朝にぴったりでした！")</f>
        <v>朝食サービスが内容、時間共に最高でした。 忙しい朝にぴったりでした！</v>
      </c>
      <c r="S36" s="20"/>
      <c r="T36" s="20"/>
      <c r="U36" s="20" t="str">
        <f>IFERROR(__xludf.DUMMYFUNCTION("""COMPUTED_VALUE"""),"朝食サービスが内容、時間共に最高でした。 忙しい朝にぴったりでした！")</f>
        <v>朝食サービスが内容、時間共に最高でした。 忙しい朝にぴったりでした！</v>
      </c>
      <c r="V36" s="20" t="str">
        <f>IFERROR(__xludf.DUMMYFUNCTION("""COMPUTED_VALUE"""),"")</f>
        <v/>
      </c>
      <c r="W36" s="20" t="str">
        <f>IFERROR(__xludf.DUMMYFUNCTION("""COMPUTED_VALUE"""),"")</f>
        <v/>
      </c>
      <c r="X36" s="20" t="str">
        <f>IFERROR(__xludf.DUMMYFUNCTION("""COMPUTED_VALUE"""),"ゲ‍ス‍ト")</f>
        <v>ゲ‍ス‍ト</v>
      </c>
    </row>
    <row r="37">
      <c r="B37" s="17" t="b">
        <f>IFERROR(__xludf.DUMMYFUNCTION("""COMPUTED_VALUE"""),FALSE)</f>
        <v>0</v>
      </c>
      <c r="C37" s="20" t="str">
        <f>IFERROR(__xludf.DUMMYFUNCTION("""COMPUTED_VALUE"""),"Google")</f>
        <v>Google</v>
      </c>
      <c r="D37" s="4">
        <f>IFERROR(__xludf.DUMMYFUNCTION("""COMPUTED_VALUE"""),4.0)</f>
        <v>4</v>
      </c>
      <c r="E37" s="19">
        <f>IFERROR(__xludf.DUMMYFUNCTION("""COMPUTED_VALUE"""),46114.0)</f>
        <v>46114</v>
      </c>
      <c r="F37" s="4" t="str">
        <f>IFERROR(__xludf.DUMMYFUNCTION("""COMPUTED_VALUE"""),"全体的には、まあまあです。")</f>
        <v>全体的には、まあまあです。</v>
      </c>
      <c r="G37" s="4"/>
      <c r="H37" s="4"/>
      <c r="I37" s="4" t="str">
        <f>IFERROR(__xludf.DUMMYFUNCTION("""COMPUTED_VALUE"""),"全体的には、まあまあです。")</f>
        <v>全体的には、まあまあです。</v>
      </c>
      <c r="J37" s="4" t="str">
        <f>IFERROR(__xludf.DUMMYFUNCTION("""COMPUTED_VALUE"""),"")</f>
        <v/>
      </c>
      <c r="K37" s="4" t="str">
        <f>IFERROR(__xludf.DUMMYFUNCTION("""COMPUTED_VALUE"""),"")</f>
        <v/>
      </c>
      <c r="L37" s="4" t="str">
        <f>IFERROR(__xludf.DUMMYFUNCTION("""COMPUTED_VALUE"""),"游俊廷")</f>
        <v>游俊廷</v>
      </c>
      <c r="N37" s="20" t="b">
        <f>IFERROR(__xludf.DUMMYFUNCTION("""COMPUTED_VALUE"""),FALSE)</f>
        <v>0</v>
      </c>
      <c r="O37" s="20" t="str">
        <f>IFERROR(__xludf.DUMMYFUNCTION("""COMPUTED_VALUE"""),"Google")</f>
        <v>Google</v>
      </c>
      <c r="P37" s="20">
        <f>IFERROR(__xludf.DUMMYFUNCTION("""COMPUTED_VALUE"""),4.0)</f>
        <v>4</v>
      </c>
      <c r="Q37" s="21">
        <f>IFERROR(__xludf.DUMMYFUNCTION("""COMPUTED_VALUE"""),46114.0)</f>
        <v>46114</v>
      </c>
      <c r="R37" s="20" t="str">
        <f>IFERROR(__xludf.DUMMYFUNCTION("""COMPUTED_VALUE"""),"全体的には、まあまあです。")</f>
        <v>全体的には、まあまあです。</v>
      </c>
      <c r="S37" s="20"/>
      <c r="T37" s="20"/>
      <c r="U37" s="20" t="str">
        <f>IFERROR(__xludf.DUMMYFUNCTION("""COMPUTED_VALUE"""),"全体的には、まあまあです。")</f>
        <v>全体的には、まあまあです。</v>
      </c>
      <c r="V37" s="20" t="str">
        <f>IFERROR(__xludf.DUMMYFUNCTION("""COMPUTED_VALUE"""),"")</f>
        <v/>
      </c>
      <c r="W37" s="20" t="str">
        <f>IFERROR(__xludf.DUMMYFUNCTION("""COMPUTED_VALUE"""),"")</f>
        <v/>
      </c>
      <c r="X37" s="20" t="str">
        <f>IFERROR(__xludf.DUMMYFUNCTION("""COMPUTED_VALUE"""),"游俊廷")</f>
        <v>游俊廷</v>
      </c>
    </row>
    <row r="38">
      <c r="B38" s="17" t="b">
        <f>IFERROR(__xludf.DUMMYFUNCTION("""COMPUTED_VALUE"""),FALSE)</f>
        <v>0</v>
      </c>
      <c r="C38" s="20" t="str">
        <f>IFERROR(__xludf.DUMMYFUNCTION("""COMPUTED_VALUE"""),"Google")</f>
        <v>Google</v>
      </c>
      <c r="D38" s="4">
        <f>IFERROR(__xludf.DUMMYFUNCTION("""COMPUTED_VALUE"""),4.0)</f>
        <v>4</v>
      </c>
      <c r="E38" s="19">
        <f>IFERROR(__xludf.DUMMYFUNCTION("""COMPUTED_VALUE"""),46114.0)</f>
        <v>46114</v>
      </c>
      <c r="F38" s="4" t="str">
        <f>IFERROR(__xludf.DUMMYFUNCTION("""COMPUTED_VALUE"""),"整體來說 還OK")</f>
        <v>整體來說 還OK</v>
      </c>
      <c r="G38" s="4"/>
      <c r="H38" s="4"/>
      <c r="I38" s="4" t="str">
        <f>IFERROR(__xludf.DUMMYFUNCTION("""COMPUTED_VALUE"""),"全体的には、まあまあです。")</f>
        <v>全体的には、まあまあです。</v>
      </c>
      <c r="J38" s="4" t="str">
        <f>IFERROR(__xludf.DUMMYFUNCTION("""COMPUTED_VALUE"""),"")</f>
        <v/>
      </c>
      <c r="K38" s="4" t="str">
        <f>IFERROR(__xludf.DUMMYFUNCTION("""COMPUTED_VALUE"""),"")</f>
        <v/>
      </c>
      <c r="L38" s="4" t="str">
        <f>IFERROR(__xludf.DUMMYFUNCTION("""COMPUTED_VALUE"""),"游俊廷")</f>
        <v>游俊廷</v>
      </c>
      <c r="N38" s="20" t="b">
        <f>IFERROR(__xludf.DUMMYFUNCTION("""COMPUTED_VALUE"""),FALSE)</f>
        <v>0</v>
      </c>
      <c r="O38" s="20" t="str">
        <f>IFERROR(__xludf.DUMMYFUNCTION("""COMPUTED_VALUE"""),"Google")</f>
        <v>Google</v>
      </c>
      <c r="P38" s="20">
        <f>IFERROR(__xludf.DUMMYFUNCTION("""COMPUTED_VALUE"""),4.0)</f>
        <v>4</v>
      </c>
      <c r="Q38" s="21">
        <f>IFERROR(__xludf.DUMMYFUNCTION("""COMPUTED_VALUE"""),46114.0)</f>
        <v>46114</v>
      </c>
      <c r="R38" s="20" t="str">
        <f>IFERROR(__xludf.DUMMYFUNCTION("""COMPUTED_VALUE"""),"整體來說 還OK")</f>
        <v>整體來說 還OK</v>
      </c>
      <c r="S38" s="20"/>
      <c r="T38" s="20"/>
      <c r="U38" s="20" t="str">
        <f>IFERROR(__xludf.DUMMYFUNCTION("""COMPUTED_VALUE"""),"全体的には、まあまあです。")</f>
        <v>全体的には、まあまあです。</v>
      </c>
      <c r="V38" s="20" t="str">
        <f>IFERROR(__xludf.DUMMYFUNCTION("""COMPUTED_VALUE"""),"")</f>
        <v/>
      </c>
      <c r="W38" s="20" t="str">
        <f>IFERROR(__xludf.DUMMYFUNCTION("""COMPUTED_VALUE"""),"")</f>
        <v/>
      </c>
      <c r="X38" s="20" t="str">
        <f>IFERROR(__xludf.DUMMYFUNCTION("""COMPUTED_VALUE"""),"游俊廷")</f>
        <v>游俊廷</v>
      </c>
    </row>
    <row r="39">
      <c r="B39" s="17" t="b">
        <f>IFERROR(__xludf.DUMMYFUNCTION("""COMPUTED_VALUE"""),FALSE)</f>
        <v>0</v>
      </c>
      <c r="C39" s="20" t="str">
        <f>IFERROR(__xludf.DUMMYFUNCTION("""COMPUTED_VALUE"""),"Google")</f>
        <v>Google</v>
      </c>
      <c r="D39" s="4">
        <f>IFERROR(__xludf.DUMMYFUNCTION("""COMPUTED_VALUE"""),5.0)</f>
        <v>5</v>
      </c>
      <c r="E39" s="19">
        <f>IFERROR(__xludf.DUMMYFUNCTION("""COMPUTED_VALUE"""),46113.0)</f>
        <v>46113</v>
      </c>
      <c r="F39"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39" s="4"/>
      <c r="H39" s="4"/>
      <c r="I39" s="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39" s="4" t="str">
        <f>IFERROR(__xludf.DUMMYFUNCTION("""COMPUTED_VALUE"""),"")</f>
        <v/>
      </c>
      <c r="K39" s="4" t="str">
        <f>IFERROR(__xludf.DUMMYFUNCTION("""COMPUTED_VALUE"""),"")</f>
        <v/>
      </c>
      <c r="L39" s="4" t="str">
        <f>IFERROR(__xludf.DUMMYFUNCTION("""COMPUTED_VALUE"""),"Mark Shimei")</f>
        <v>Mark Shimei</v>
      </c>
      <c r="N39" s="20" t="b">
        <f>IFERROR(__xludf.DUMMYFUNCTION("""COMPUTED_VALUE"""),FALSE)</f>
        <v>0</v>
      </c>
      <c r="O39" s="20" t="str">
        <f>IFERROR(__xludf.DUMMYFUNCTION("""COMPUTED_VALUE"""),"Google")</f>
        <v>Google</v>
      </c>
      <c r="P39" s="20">
        <f>IFERROR(__xludf.DUMMYFUNCTION("""COMPUTED_VALUE"""),5.0)</f>
        <v>5</v>
      </c>
      <c r="Q39" s="21">
        <f>IFERROR(__xludf.DUMMYFUNCTION("""COMPUTED_VALUE"""),46113.0)</f>
        <v>46113</v>
      </c>
      <c r="R39" s="20"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39" s="20"/>
      <c r="T39" s="20"/>
      <c r="U39" s="20"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39" s="20" t="str">
        <f>IFERROR(__xludf.DUMMYFUNCTION("""COMPUTED_VALUE"""),"")</f>
        <v/>
      </c>
      <c r="W39" s="20" t="str">
        <f>IFERROR(__xludf.DUMMYFUNCTION("""COMPUTED_VALUE"""),"")</f>
        <v/>
      </c>
      <c r="X39" s="20" t="str">
        <f>IFERROR(__xludf.DUMMYFUNCTION("""COMPUTED_VALUE"""),"Mark Shimei")</f>
        <v>Mark Shimei</v>
      </c>
    </row>
    <row r="40">
      <c r="B40" s="17" t="b">
        <f>IFERROR(__xludf.DUMMYFUNCTION("""COMPUTED_VALUE"""),FALSE)</f>
        <v>0</v>
      </c>
      <c r="C40" s="18" t="str">
        <f>IFERROR(__xludf.DUMMYFUNCTION("""COMPUTED_VALUE"""),"Trip.com")</f>
        <v>Trip.com</v>
      </c>
      <c r="D40" s="4">
        <f>IFERROR(__xludf.DUMMYFUNCTION("""COMPUTED_VALUE"""),10.0)</f>
        <v>10</v>
      </c>
      <c r="E40" s="19">
        <f>IFERROR(__xludf.DUMMYFUNCTION("""COMPUTED_VALUE"""),46113.0)</f>
        <v>46113</v>
      </c>
      <c r="F40"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40" s="4"/>
      <c r="H40" s="4"/>
      <c r="I40"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40" s="4" t="str">
        <f>IFERROR(__xludf.DUMMYFUNCTION("""COMPUTED_VALUE"""),"")</f>
        <v/>
      </c>
      <c r="K40" s="4" t="str">
        <f>IFERROR(__xludf.DUMMYFUNCTION("""COMPUTED_VALUE"""),"")</f>
        <v/>
      </c>
      <c r="L40" s="4" t="str">
        <f>IFERROR(__xludf.DUMMYFUNCTION("""COMPUTED_VALUE"""),"T‍e‍o‍ ‍T")</f>
        <v>T‍e‍o‍ ‍T</v>
      </c>
      <c r="N40" s="20" t="b">
        <f>IFERROR(__xludf.DUMMYFUNCTION("""COMPUTED_VALUE"""),FALSE)</f>
        <v>0</v>
      </c>
      <c r="O40" s="18" t="str">
        <f>IFERROR(__xludf.DUMMYFUNCTION("""COMPUTED_VALUE"""),"Trip.com")</f>
        <v>Trip.com</v>
      </c>
      <c r="P40" s="20">
        <f>IFERROR(__xludf.DUMMYFUNCTION("""COMPUTED_VALUE"""),10.0)</f>
        <v>10</v>
      </c>
      <c r="Q40" s="21">
        <f>IFERROR(__xludf.DUMMYFUNCTION("""COMPUTED_VALUE"""),46113.0)</f>
        <v>46113</v>
      </c>
      <c r="R40" s="20"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40" s="20"/>
      <c r="T40" s="20"/>
      <c r="U40" s="20"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40" s="20" t="str">
        <f>IFERROR(__xludf.DUMMYFUNCTION("""COMPUTED_VALUE"""),"")</f>
        <v/>
      </c>
      <c r="W40" s="20" t="str">
        <f>IFERROR(__xludf.DUMMYFUNCTION("""COMPUTED_VALUE"""),"")</f>
        <v/>
      </c>
      <c r="X40" s="20" t="str">
        <f>IFERROR(__xludf.DUMMYFUNCTION("""COMPUTED_VALUE"""),"T‍e‍o‍ ‍T")</f>
        <v>T‍e‍o‍ ‍T</v>
      </c>
    </row>
    <row r="41">
      <c r="B41" s="17" t="b">
        <f>IFERROR(__xludf.DUMMYFUNCTION("""COMPUTED_VALUE"""),FALSE)</f>
        <v>0</v>
      </c>
      <c r="C41" s="18" t="str">
        <f>IFERROR(__xludf.DUMMYFUNCTION("""COMPUTED_VALUE"""),"Booking.com")</f>
        <v>Booking.com</v>
      </c>
      <c r="D41" s="4">
        <f>IFERROR(__xludf.DUMMYFUNCTION("""COMPUTED_VALUE"""),8.0)</f>
        <v>8</v>
      </c>
      <c r="E41" s="19">
        <f>IFERROR(__xludf.DUMMYFUNCTION("""COMPUTED_VALUE"""),46113.0)</f>
        <v>46113</v>
      </c>
      <c r="F41" s="4"/>
      <c r="G41" s="4"/>
      <c r="H41" s="4"/>
      <c r="I41" s="4" t="str">
        <f>IFERROR(__xludf.DUMMYFUNCTION("""COMPUTED_VALUE"""),"")</f>
        <v/>
      </c>
      <c r="J41" s="4" t="str">
        <f>IFERROR(__xludf.DUMMYFUNCTION("""COMPUTED_VALUE"""),"")</f>
        <v/>
      </c>
      <c r="K41" s="4" t="str">
        <f>IFERROR(__xludf.DUMMYFUNCTION("""COMPUTED_VALUE"""),"")</f>
        <v/>
      </c>
      <c r="L41" s="4" t="str">
        <f>IFERROR(__xludf.DUMMYFUNCTION("""COMPUTED_VALUE"""),"Kawi")</f>
        <v>Kawi</v>
      </c>
      <c r="N41" s="20" t="b">
        <f>IFERROR(__xludf.DUMMYFUNCTION("""COMPUTED_VALUE"""),FALSE)</f>
        <v>0</v>
      </c>
      <c r="O41" s="18" t="str">
        <f>IFERROR(__xludf.DUMMYFUNCTION("""COMPUTED_VALUE"""),"Booking.com")</f>
        <v>Booking.com</v>
      </c>
      <c r="P41" s="20">
        <f>IFERROR(__xludf.DUMMYFUNCTION("""COMPUTED_VALUE"""),8.0)</f>
        <v>8</v>
      </c>
      <c r="Q41" s="21">
        <f>IFERROR(__xludf.DUMMYFUNCTION("""COMPUTED_VALUE"""),46113.0)</f>
        <v>46113</v>
      </c>
      <c r="R41" s="20"/>
      <c r="S41" s="20"/>
      <c r="T41" s="20"/>
      <c r="U41" s="20" t="str">
        <f>IFERROR(__xludf.DUMMYFUNCTION("""COMPUTED_VALUE"""),"")</f>
        <v/>
      </c>
      <c r="V41" s="20" t="str">
        <f>IFERROR(__xludf.DUMMYFUNCTION("""COMPUTED_VALUE"""),"")</f>
        <v/>
      </c>
      <c r="W41" s="20" t="str">
        <f>IFERROR(__xludf.DUMMYFUNCTION("""COMPUTED_VALUE"""),"")</f>
        <v/>
      </c>
      <c r="X41" s="20" t="str">
        <f>IFERROR(__xludf.DUMMYFUNCTION("""COMPUTED_VALUE"""),"Kawi")</f>
        <v>Kawi</v>
      </c>
    </row>
    <row r="42">
      <c r="B42" s="17" t="b">
        <f>IFERROR(__xludf.DUMMYFUNCTION("""COMPUTED_VALUE"""),FALSE)</f>
        <v>0</v>
      </c>
      <c r="C42" s="18" t="str">
        <f>IFERROR(__xludf.DUMMYFUNCTION("""COMPUTED_VALUE"""),"Booking.com")</f>
        <v>Booking.com</v>
      </c>
      <c r="D42" s="4">
        <f>IFERROR(__xludf.DUMMYFUNCTION("""COMPUTED_VALUE"""),9.0)</f>
        <v>9</v>
      </c>
      <c r="E42" s="19">
        <f>IFERROR(__xludf.DUMMYFUNCTION("""COMPUTED_VALUE"""),46113.0)</f>
        <v>46113</v>
      </c>
      <c r="F42" s="4"/>
      <c r="G42"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42" s="4" t="str">
        <f>IFERROR(__xludf.DUMMYFUNCTION("""COMPUTED_VALUE"""),"Nulla da segnalare")</f>
        <v>Nulla da segnalare</v>
      </c>
      <c r="I42" s="4" t="str">
        <f>IFERROR(__xludf.DUMMYFUNCTION("""COMPUTED_VALUE"""),"")</f>
        <v/>
      </c>
      <c r="J42"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42" s="4" t="str">
        <f>IFERROR(__xludf.DUMMYFUNCTION("""COMPUTED_VALUE"""),"報告事項なし")</f>
        <v>報告事項なし</v>
      </c>
      <c r="L42" s="4" t="str">
        <f>IFERROR(__xludf.DUMMYFUNCTION("""COMPUTED_VALUE"""),"Elena")</f>
        <v>Elena</v>
      </c>
      <c r="N42" s="20" t="b">
        <f>IFERROR(__xludf.DUMMYFUNCTION("""COMPUTED_VALUE"""),FALSE)</f>
        <v>0</v>
      </c>
      <c r="O42" s="18" t="str">
        <f>IFERROR(__xludf.DUMMYFUNCTION("""COMPUTED_VALUE"""),"Booking.com")</f>
        <v>Booking.com</v>
      </c>
      <c r="P42" s="20">
        <f>IFERROR(__xludf.DUMMYFUNCTION("""COMPUTED_VALUE"""),9.0)</f>
        <v>9</v>
      </c>
      <c r="Q42" s="21">
        <f>IFERROR(__xludf.DUMMYFUNCTION("""COMPUTED_VALUE"""),46113.0)</f>
        <v>46113</v>
      </c>
      <c r="R42" s="20"/>
      <c r="S42" s="20"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42" s="20" t="str">
        <f>IFERROR(__xludf.DUMMYFUNCTION("""COMPUTED_VALUE"""),"Nulla da segnalare")</f>
        <v>Nulla da segnalare</v>
      </c>
      <c r="U42" s="20" t="str">
        <f>IFERROR(__xludf.DUMMYFUNCTION("""COMPUTED_VALUE"""),"")</f>
        <v/>
      </c>
      <c r="V42" s="20"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42" s="20" t="str">
        <f>IFERROR(__xludf.DUMMYFUNCTION("""COMPUTED_VALUE"""),"報告事項なし")</f>
        <v>報告事項なし</v>
      </c>
      <c r="X42" s="20" t="str">
        <f>IFERROR(__xludf.DUMMYFUNCTION("""COMPUTED_VALUE"""),"Elena")</f>
        <v>Elena</v>
      </c>
    </row>
    <row r="43">
      <c r="B43" s="17" t="b">
        <f>IFERROR(__xludf.DUMMYFUNCTION("""COMPUTED_VALUE"""),FALSE)</f>
        <v>0</v>
      </c>
      <c r="C43" s="20" t="str">
        <f>IFERROR(__xludf.DUMMYFUNCTION("""COMPUTED_VALUE"""),"Google")</f>
        <v>Google</v>
      </c>
      <c r="D43" s="4">
        <f>IFERROR(__xludf.DUMMYFUNCTION("""COMPUTED_VALUE"""),5.0)</f>
        <v>5</v>
      </c>
      <c r="E43" s="19">
        <f>IFERROR(__xludf.DUMMYFUNCTION("""COMPUTED_VALUE"""),46113.0)</f>
        <v>46113</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IFERROR(__xludf.DUMMYFUNCTION("""COMPUTED_VALUE"""),"Krishna Karnadi")</f>
        <v>Krishna Karnadi</v>
      </c>
      <c r="N43" s="20" t="b">
        <f>IFERROR(__xludf.DUMMYFUNCTION("""COMPUTED_VALUE"""),FALSE)</f>
        <v>0</v>
      </c>
      <c r="O43" s="20" t="str">
        <f>IFERROR(__xludf.DUMMYFUNCTION("""COMPUTED_VALUE"""),"Google")</f>
        <v>Google</v>
      </c>
      <c r="P43" s="20">
        <f>IFERROR(__xludf.DUMMYFUNCTION("""COMPUTED_VALUE"""),5.0)</f>
        <v>5</v>
      </c>
      <c r="Q43" s="21">
        <f>IFERROR(__xludf.DUMMYFUNCTION("""COMPUTED_VALUE"""),46113.0)</f>
        <v>46113</v>
      </c>
      <c r="R43" s="20"/>
      <c r="S43" s="20"/>
      <c r="T43" s="20"/>
      <c r="U43" s="20" t="str">
        <f>IFERROR(__xludf.DUMMYFUNCTION("""COMPUTED_VALUE"""),"")</f>
        <v/>
      </c>
      <c r="V43" s="20" t="str">
        <f>IFERROR(__xludf.DUMMYFUNCTION("""COMPUTED_VALUE"""),"")</f>
        <v/>
      </c>
      <c r="W43" s="20" t="str">
        <f>IFERROR(__xludf.DUMMYFUNCTION("""COMPUTED_VALUE"""),"")</f>
        <v/>
      </c>
      <c r="X43" s="20" t="str">
        <f>IFERROR(__xludf.DUMMYFUNCTION("""COMPUTED_VALUE"""),"Krishna Karnadi")</f>
        <v>Krishna Karnadi</v>
      </c>
    </row>
    <row r="44">
      <c r="B44" s="17" t="b">
        <f>IFERROR(__xludf.DUMMYFUNCTION("""COMPUTED_VALUE"""),FALSE)</f>
        <v>0</v>
      </c>
      <c r="C44" s="20" t="str">
        <f>IFERROR(__xludf.DUMMYFUNCTION("""COMPUTED_VALUE"""),"Google")</f>
        <v>Google</v>
      </c>
      <c r="D44" s="4">
        <f>IFERROR(__xludf.DUMMYFUNCTION("""COMPUTED_VALUE"""),5.0)</f>
        <v>5</v>
      </c>
      <c r="E44" s="19">
        <f>IFERROR(__xludf.DUMMYFUNCTION("""COMPUTED_VALUE"""),46113.0)</f>
        <v>46113</v>
      </c>
      <c r="F44"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44" s="4"/>
      <c r="H44" s="4"/>
      <c r="I44"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44" s="4" t="str">
        <f>IFERROR(__xludf.DUMMYFUNCTION("""COMPUTED_VALUE"""),"")</f>
        <v/>
      </c>
      <c r="K44" s="4" t="str">
        <f>IFERROR(__xludf.DUMMYFUNCTION("""COMPUTED_VALUE"""),"")</f>
        <v/>
      </c>
      <c r="L44" s="4" t="str">
        <f>IFERROR(__xludf.DUMMYFUNCTION("""COMPUTED_VALUE"""),"Mark Shimei")</f>
        <v>Mark Shimei</v>
      </c>
      <c r="N44" s="20" t="b">
        <f>IFERROR(__xludf.DUMMYFUNCTION("""COMPUTED_VALUE"""),FALSE)</f>
        <v>0</v>
      </c>
      <c r="O44" s="20" t="str">
        <f>IFERROR(__xludf.DUMMYFUNCTION("""COMPUTED_VALUE"""),"Google")</f>
        <v>Google</v>
      </c>
      <c r="P44" s="20">
        <f>IFERROR(__xludf.DUMMYFUNCTION("""COMPUTED_VALUE"""),5.0)</f>
        <v>5</v>
      </c>
      <c r="Q44" s="21">
        <f>IFERROR(__xludf.DUMMYFUNCTION("""COMPUTED_VALUE"""),46113.0)</f>
        <v>46113</v>
      </c>
      <c r="R44"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44" s="20"/>
      <c r="T44" s="20"/>
      <c r="U44" s="20"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44" s="20" t="str">
        <f>IFERROR(__xludf.DUMMYFUNCTION("""COMPUTED_VALUE"""),"")</f>
        <v/>
      </c>
      <c r="W44" s="20" t="str">
        <f>IFERROR(__xludf.DUMMYFUNCTION("""COMPUTED_VALUE"""),"")</f>
        <v/>
      </c>
      <c r="X44" s="20" t="str">
        <f>IFERROR(__xludf.DUMMYFUNCTION("""COMPUTED_VALUE"""),"Mark Shimei")</f>
        <v>Mark Shimei</v>
      </c>
    </row>
    <row r="45">
      <c r="B45" s="17" t="b">
        <f>IFERROR(__xludf.DUMMYFUNCTION("""COMPUTED_VALUE"""),FALSE)</f>
        <v>0</v>
      </c>
      <c r="C45" s="20" t="str">
        <f>IFERROR(__xludf.DUMMYFUNCTION("""COMPUTED_VALUE"""),"Google")</f>
        <v>Google</v>
      </c>
      <c r="D45" s="4">
        <f>IFERROR(__xludf.DUMMYFUNCTION("""COMPUTED_VALUE"""),4.0)</f>
        <v>4</v>
      </c>
      <c r="E45" s="19">
        <f>IFERROR(__xludf.DUMMYFUNCTION("""COMPUTED_VALUE"""),46112.0)</f>
        <v>46112</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IFERROR(__xludf.DUMMYFUNCTION("""COMPUTED_VALUE"""),"かわいかつひろ")</f>
        <v>かわいかつひろ</v>
      </c>
      <c r="N45" s="20"/>
      <c r="O45" s="20"/>
      <c r="P45" s="20"/>
      <c r="Q45" s="20"/>
      <c r="R45" s="20"/>
      <c r="S45" s="20"/>
      <c r="T45" s="20"/>
      <c r="U45" s="20"/>
      <c r="V45" s="20"/>
      <c r="W45" s="20"/>
      <c r="X45" s="20"/>
    </row>
    <row r="46">
      <c r="B46" s="17" t="b">
        <f>IFERROR(__xludf.DUMMYFUNCTION("""COMPUTED_VALUE"""),FALSE)</f>
        <v>0</v>
      </c>
      <c r="C46" s="18" t="str">
        <f>IFERROR(__xludf.DUMMYFUNCTION("""COMPUTED_VALUE"""),"Trip.com")</f>
        <v>Trip.com</v>
      </c>
      <c r="D46" s="4">
        <f>IFERROR(__xludf.DUMMYFUNCTION("""COMPUTED_VALUE"""),10.0)</f>
        <v>10</v>
      </c>
      <c r="E46" s="19">
        <f>IFERROR(__xludf.DUMMYFUNCTION("""COMPUTED_VALUE"""),46112.0)</f>
        <v>46112</v>
      </c>
      <c r="F46"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46" s="4"/>
      <c r="H46" s="4"/>
      <c r="I46"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46" s="4" t="str">
        <f>IFERROR(__xludf.DUMMYFUNCTION("""COMPUTED_VALUE"""),"")</f>
        <v/>
      </c>
      <c r="K46" s="4" t="str">
        <f>IFERROR(__xludf.DUMMYFUNCTION("""COMPUTED_VALUE"""),"")</f>
        <v/>
      </c>
      <c r="L46" s="4" t="str">
        <f>IFERROR(__xludf.DUMMYFUNCTION("""COMPUTED_VALUE"""),"S‍y‍a‍m‍r‍a‍t‍u‍l‍ ‍F‍u‍a‍d‍y")</f>
        <v>S‍y‍a‍m‍r‍a‍t‍u‍l‍ ‍F‍u‍a‍d‍y</v>
      </c>
      <c r="N46" s="20"/>
      <c r="O46" s="20"/>
      <c r="P46" s="20"/>
      <c r="Q46" s="20"/>
      <c r="R46" s="20"/>
      <c r="S46" s="20"/>
      <c r="T46" s="20"/>
      <c r="U46" s="20"/>
      <c r="V46" s="20"/>
      <c r="W46" s="20"/>
      <c r="X46" s="20"/>
    </row>
    <row r="47">
      <c r="B47" s="17" t="b">
        <f>IFERROR(__xludf.DUMMYFUNCTION("""COMPUTED_VALUE"""),FALSE)</f>
        <v>0</v>
      </c>
      <c r="C47" s="20" t="str">
        <f>IFERROR(__xludf.DUMMYFUNCTION("""COMPUTED_VALUE"""),"Agoda")</f>
        <v>Agoda</v>
      </c>
      <c r="D47" s="4">
        <f>IFERROR(__xludf.DUMMYFUNCTION("""COMPUTED_VALUE"""),8.0)</f>
        <v>8</v>
      </c>
      <c r="E47" s="19">
        <f>IFERROR(__xludf.DUMMYFUNCTION("""COMPUTED_VALUE"""),46112.0)</f>
        <v>46112</v>
      </c>
      <c r="F47"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47" s="4"/>
      <c r="H47" s="4"/>
      <c r="I47"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47" s="4" t="str">
        <f>IFERROR(__xludf.DUMMYFUNCTION("""COMPUTED_VALUE"""),"")</f>
        <v/>
      </c>
      <c r="K47" s="4" t="str">
        <f>IFERROR(__xludf.DUMMYFUNCTION("""COMPUTED_VALUE"""),"")</f>
        <v/>
      </c>
      <c r="L47" s="4" t="str">
        <f>IFERROR(__xludf.DUMMYFUNCTION("""COMPUTED_VALUE"""),"一吉")</f>
        <v>一吉</v>
      </c>
      <c r="N47" s="20"/>
      <c r="O47" s="20"/>
      <c r="P47" s="20"/>
      <c r="Q47" s="20"/>
      <c r="R47" s="20"/>
      <c r="S47" s="20"/>
      <c r="T47" s="20"/>
      <c r="U47" s="20"/>
      <c r="V47" s="20"/>
      <c r="W47" s="20"/>
      <c r="X47" s="20"/>
    </row>
    <row r="48">
      <c r="B48" s="17" t="b">
        <f>IFERROR(__xludf.DUMMYFUNCTION("""COMPUTED_VALUE"""),FALSE)</f>
        <v>0</v>
      </c>
      <c r="C48" s="18" t="str">
        <f>IFERROR(__xludf.DUMMYFUNCTION("""COMPUTED_VALUE"""),"Booking.com")</f>
        <v>Booking.com</v>
      </c>
      <c r="D48" s="4">
        <f>IFERROR(__xludf.DUMMYFUNCTION("""COMPUTED_VALUE"""),3.0)</f>
        <v>3</v>
      </c>
      <c r="E48" s="19">
        <f>IFERROR(__xludf.DUMMYFUNCTION("""COMPUTED_VALUE"""),46111.0)</f>
        <v>46111</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IFERROR(__xludf.DUMMYFUNCTION("""COMPUTED_VALUE"""),"Yoshio")</f>
        <v>Yoshio</v>
      </c>
      <c r="N48" s="20"/>
      <c r="O48" s="20"/>
      <c r="P48" s="20"/>
      <c r="Q48" s="20"/>
      <c r="R48" s="20"/>
      <c r="S48" s="20"/>
      <c r="T48" s="20"/>
      <c r="U48" s="20"/>
      <c r="V48" s="20"/>
      <c r="W48" s="20"/>
      <c r="X48" s="20"/>
    </row>
    <row r="49">
      <c r="B49" s="17" t="b">
        <f>IFERROR(__xludf.DUMMYFUNCTION("""COMPUTED_VALUE"""),FALSE)</f>
        <v>0</v>
      </c>
      <c r="C49" s="18" t="str">
        <f>IFERROR(__xludf.DUMMYFUNCTION("""COMPUTED_VALUE"""),"Trip.com")</f>
        <v>Trip.com</v>
      </c>
      <c r="D49" s="4">
        <f>IFERROR(__xludf.DUMMYFUNCTION("""COMPUTED_VALUE"""),10.0)</f>
        <v>10</v>
      </c>
      <c r="E49" s="19">
        <f>IFERROR(__xludf.DUMMYFUNCTION("""COMPUTED_VALUE"""),46111.0)</f>
        <v>46111</v>
      </c>
      <c r="F49" s="4" t="str">
        <f>IFERROR(__xludf.DUMMYFUNCTION("""COMPUTED_VALUE"""),"👍👍👍👍👍")</f>
        <v>👍👍👍👍👍</v>
      </c>
      <c r="G49" s="4"/>
      <c r="H49" s="4"/>
      <c r="I49" s="4" t="str">
        <f>IFERROR(__xludf.DUMMYFUNCTION("""COMPUTED_VALUE"""),"👍👍👍👍👍")</f>
        <v>👍👍👍👍👍</v>
      </c>
      <c r="J49" s="4" t="str">
        <f>IFERROR(__xludf.DUMMYFUNCTION("""COMPUTED_VALUE"""),"")</f>
        <v/>
      </c>
      <c r="K49" s="4" t="str">
        <f>IFERROR(__xludf.DUMMYFUNCTION("""COMPUTED_VALUE"""),"")</f>
        <v/>
      </c>
      <c r="L49" s="4" t="str">
        <f>IFERROR(__xludf.DUMMYFUNCTION("""COMPUTED_VALUE"""),"ゲ‍ス‍ト")</f>
        <v>ゲ‍ス‍ト</v>
      </c>
      <c r="N49" s="20"/>
      <c r="O49" s="20"/>
      <c r="P49" s="20"/>
      <c r="Q49" s="20"/>
      <c r="R49" s="20"/>
      <c r="S49" s="20"/>
      <c r="T49" s="20"/>
      <c r="U49" s="20"/>
      <c r="V49" s="20"/>
      <c r="W49" s="20"/>
      <c r="X49" s="20"/>
    </row>
    <row r="50">
      <c r="B50" s="17" t="b">
        <f>IFERROR(__xludf.DUMMYFUNCTION("""COMPUTED_VALUE"""),FALSE)</f>
        <v>0</v>
      </c>
      <c r="C50" s="18" t="str">
        <f>IFERROR(__xludf.DUMMYFUNCTION("""COMPUTED_VALUE"""),"Booking.com")</f>
        <v>Booking.com</v>
      </c>
      <c r="D50" s="4">
        <f>IFERROR(__xludf.DUMMYFUNCTION("""COMPUTED_VALUE"""),8.0)</f>
        <v>8</v>
      </c>
      <c r="E50" s="19">
        <f>IFERROR(__xludf.DUMMYFUNCTION("""COMPUTED_VALUE"""),46111.0)</f>
        <v>46111</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IFERROR(__xludf.DUMMYFUNCTION("""COMPUTED_VALUE"""),"Diana")</f>
        <v>Diana</v>
      </c>
      <c r="N50" s="20"/>
      <c r="O50" s="20"/>
      <c r="P50" s="20"/>
      <c r="Q50" s="20"/>
      <c r="R50" s="20"/>
      <c r="S50" s="20"/>
      <c r="T50" s="20"/>
      <c r="U50" s="20"/>
      <c r="V50" s="20"/>
      <c r="W50" s="20"/>
      <c r="X50" s="20"/>
    </row>
    <row r="51">
      <c r="B51" s="17" t="b">
        <f>IFERROR(__xludf.DUMMYFUNCTION("""COMPUTED_VALUE"""),FALSE)</f>
        <v>0</v>
      </c>
      <c r="C51" s="20" t="str">
        <f>IFERROR(__xludf.DUMMYFUNCTION("""COMPUTED_VALUE"""),"じゃらん")</f>
        <v>じゃらん</v>
      </c>
      <c r="D51" s="4">
        <f>IFERROR(__xludf.DUMMYFUNCTION("""COMPUTED_VALUE"""),5.0)</f>
        <v>5</v>
      </c>
      <c r="E51" s="19">
        <f>IFERROR(__xludf.DUMMYFUNCTION("""COMPUTED_VALUE"""),46111.0)</f>
        <v>46111</v>
      </c>
      <c r="F51"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51" s="4"/>
      <c r="H51" s="4"/>
      <c r="I51"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51" s="4" t="str">
        <f>IFERROR(__xludf.DUMMYFUNCTION("""COMPUTED_VALUE"""),"")</f>
        <v/>
      </c>
      <c r="K51" s="4" t="str">
        <f>IFERROR(__xludf.DUMMYFUNCTION("""COMPUTED_VALUE"""),"")</f>
        <v/>
      </c>
      <c r="L51" s="4" t="str">
        <f>IFERROR(__xludf.DUMMYFUNCTION("""COMPUTED_VALUE"""),"ぼらさん")</f>
        <v>ぼらさん</v>
      </c>
      <c r="N51" s="20"/>
      <c r="O51" s="20"/>
      <c r="P51" s="20"/>
      <c r="Q51" s="20"/>
      <c r="R51" s="20"/>
      <c r="S51" s="20"/>
      <c r="T51" s="20"/>
      <c r="U51" s="20"/>
      <c r="V51" s="20"/>
      <c r="W51" s="20"/>
      <c r="X51" s="20"/>
    </row>
    <row r="52">
      <c r="B52" s="17" t="b">
        <f>IFERROR(__xludf.DUMMYFUNCTION("""COMPUTED_VALUE"""),FALSE)</f>
        <v>0</v>
      </c>
      <c r="C52" s="20" t="str">
        <f>IFERROR(__xludf.DUMMYFUNCTION("""COMPUTED_VALUE"""),"じゃらん")</f>
        <v>じゃらん</v>
      </c>
      <c r="D52" s="4">
        <f>IFERROR(__xludf.DUMMYFUNCTION("""COMPUTED_VALUE"""),4.0)</f>
        <v>4</v>
      </c>
      <c r="E52" s="19">
        <f>IFERROR(__xludf.DUMMYFUNCTION("""COMPUTED_VALUE"""),46111.0)</f>
        <v>46111</v>
      </c>
      <c r="F52"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52" s="4"/>
      <c r="H52" s="4"/>
      <c r="I52"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52" s="4" t="str">
        <f>IFERROR(__xludf.DUMMYFUNCTION("""COMPUTED_VALUE"""),"")</f>
        <v/>
      </c>
      <c r="K52" s="4" t="str">
        <f>IFERROR(__xludf.DUMMYFUNCTION("""COMPUTED_VALUE"""),"")</f>
        <v/>
      </c>
      <c r="L52" s="4" t="str">
        <f>IFERROR(__xludf.DUMMYFUNCTION("""COMPUTED_VALUE"""),"Yangさん")</f>
        <v>Yangさん</v>
      </c>
      <c r="N52" s="20"/>
      <c r="O52" s="20"/>
      <c r="P52" s="20"/>
      <c r="Q52" s="20"/>
      <c r="R52" s="20"/>
      <c r="S52" s="20"/>
      <c r="T52" s="20"/>
      <c r="U52" s="20"/>
      <c r="V52" s="20"/>
      <c r="W52" s="20"/>
      <c r="X52" s="20"/>
    </row>
    <row r="53">
      <c r="B53" s="17" t="b">
        <f>IFERROR(__xludf.DUMMYFUNCTION("""COMPUTED_VALUE"""),FALSE)</f>
        <v>0</v>
      </c>
      <c r="C53" s="20" t="str">
        <f>IFERROR(__xludf.DUMMYFUNCTION("""COMPUTED_VALUE"""),"じゃらん")</f>
        <v>じゃらん</v>
      </c>
      <c r="D53" s="4">
        <f>IFERROR(__xludf.DUMMYFUNCTION("""COMPUTED_VALUE"""),4.0)</f>
        <v>4</v>
      </c>
      <c r="E53" s="19">
        <f>IFERROR(__xludf.DUMMYFUNCTION("""COMPUTED_VALUE"""),46111.0)</f>
        <v>46111</v>
      </c>
      <c r="F53"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53" s="4"/>
      <c r="H53" s="4"/>
      <c r="I53"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53" s="4" t="str">
        <f>IFERROR(__xludf.DUMMYFUNCTION("""COMPUTED_VALUE"""),"")</f>
        <v/>
      </c>
      <c r="K53" s="4" t="str">
        <f>IFERROR(__xludf.DUMMYFUNCTION("""COMPUTED_VALUE"""),"")</f>
        <v/>
      </c>
      <c r="L53" s="4" t="str">
        <f>IFERROR(__xludf.DUMMYFUNCTION("""COMPUTED_VALUE"""),"Yangさん")</f>
        <v>Yangさん</v>
      </c>
      <c r="N53" s="20"/>
      <c r="O53" s="20"/>
      <c r="P53" s="20"/>
      <c r="Q53" s="20"/>
      <c r="R53" s="20"/>
      <c r="S53" s="20"/>
      <c r="T53" s="20"/>
      <c r="U53" s="20"/>
      <c r="V53" s="20"/>
      <c r="W53" s="20"/>
      <c r="X53" s="20"/>
    </row>
    <row r="54">
      <c r="B54" s="17" t="b">
        <f>IFERROR(__xludf.DUMMYFUNCTION("""COMPUTED_VALUE"""),FALSE)</f>
        <v>0</v>
      </c>
      <c r="C54" s="20" t="str">
        <f>IFERROR(__xludf.DUMMYFUNCTION("""COMPUTED_VALUE"""),"じゃらん")</f>
        <v>じゃらん</v>
      </c>
      <c r="D54" s="4">
        <f>IFERROR(__xludf.DUMMYFUNCTION("""COMPUTED_VALUE"""),4.0)</f>
        <v>4</v>
      </c>
      <c r="E54" s="19">
        <f>IFERROR(__xludf.DUMMYFUNCTION("""COMPUTED_VALUE"""),46111.0)</f>
        <v>46111</v>
      </c>
      <c r="F54"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54" s="4"/>
      <c r="H54" s="4"/>
      <c r="I54"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54" s="4" t="str">
        <f>IFERROR(__xludf.DUMMYFUNCTION("""COMPUTED_VALUE"""),"")</f>
        <v/>
      </c>
      <c r="K54" s="4" t="str">
        <f>IFERROR(__xludf.DUMMYFUNCTION("""COMPUTED_VALUE"""),"")</f>
        <v/>
      </c>
      <c r="L54" s="4" t="str">
        <f>IFERROR(__xludf.DUMMYFUNCTION("""COMPUTED_VALUE"""),"Yangさん")</f>
        <v>Yangさん</v>
      </c>
      <c r="N54" s="20"/>
      <c r="O54" s="20"/>
      <c r="P54" s="20"/>
      <c r="Q54" s="20"/>
      <c r="R54" s="20"/>
      <c r="S54" s="20"/>
      <c r="T54" s="20"/>
      <c r="U54" s="20"/>
      <c r="V54" s="20"/>
      <c r="W54" s="20"/>
      <c r="X54" s="20"/>
    </row>
    <row r="55">
      <c r="B55" s="17" t="b">
        <f>IFERROR(__xludf.DUMMYFUNCTION("""COMPUTED_VALUE"""),FALSE)</f>
        <v>0</v>
      </c>
      <c r="C55" s="18" t="str">
        <f>IFERROR(__xludf.DUMMYFUNCTION("""COMPUTED_VALUE"""),"Booking.com")</f>
        <v>Booking.com</v>
      </c>
      <c r="D55" s="4">
        <f>IFERROR(__xludf.DUMMYFUNCTION("""COMPUTED_VALUE"""),9.0)</f>
        <v>9</v>
      </c>
      <c r="E55" s="19">
        <f>IFERROR(__xludf.DUMMYFUNCTION("""COMPUTED_VALUE"""),46110.0)</f>
        <v>46110</v>
      </c>
      <c r="F55" s="4"/>
      <c r="G55" s="4" t="str">
        <f>IFERROR(__xludf.DUMMYFUNCTION("""COMPUTED_VALUE"""),"Welcome coffee/tea availible in lobby, delicious breakfast with different smoothie everyday.")</f>
        <v>Welcome coffee/tea availible in lobby, delicious breakfast with different smoothie everyday.</v>
      </c>
      <c r="H55"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55" s="4" t="str">
        <f>IFERROR(__xludf.DUMMYFUNCTION("""COMPUTED_VALUE"""),"")</f>
        <v/>
      </c>
      <c r="J55" s="4"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K55"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55" s="4" t="str">
        <f>IFERROR(__xludf.DUMMYFUNCTION("""COMPUTED_VALUE"""),"Elysia")</f>
        <v>Elysia</v>
      </c>
      <c r="N55" s="20"/>
      <c r="O55" s="20"/>
      <c r="P55" s="20"/>
      <c r="Q55" s="20"/>
      <c r="R55" s="20"/>
      <c r="S55" s="20"/>
      <c r="T55" s="20"/>
      <c r="U55" s="20"/>
      <c r="V55" s="20"/>
      <c r="W55" s="20"/>
      <c r="X55" s="20"/>
    </row>
    <row r="56">
      <c r="B56" s="17" t="b">
        <f>IFERROR(__xludf.DUMMYFUNCTION("""COMPUTED_VALUE"""),FALSE)</f>
        <v>0</v>
      </c>
      <c r="C56" s="20" t="str">
        <f>IFERROR(__xludf.DUMMYFUNCTION("""COMPUTED_VALUE"""),"じゃらん")</f>
        <v>じゃらん</v>
      </c>
      <c r="D56" s="4">
        <f>IFERROR(__xludf.DUMMYFUNCTION("""COMPUTED_VALUE"""),4.0)</f>
        <v>4</v>
      </c>
      <c r="E56" s="19">
        <f>IFERROR(__xludf.DUMMYFUNCTION("""COMPUTED_VALUE"""),46110.0)</f>
        <v>46110</v>
      </c>
      <c r="F56"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56" s="4"/>
      <c r="H56" s="4"/>
      <c r="I56"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56" s="4" t="str">
        <f>IFERROR(__xludf.DUMMYFUNCTION("""COMPUTED_VALUE"""),"")</f>
        <v/>
      </c>
      <c r="K56" s="4" t="str">
        <f>IFERROR(__xludf.DUMMYFUNCTION("""COMPUTED_VALUE"""),"")</f>
        <v/>
      </c>
      <c r="L56" s="4" t="str">
        <f>IFERROR(__xludf.DUMMYFUNCTION("""COMPUTED_VALUE"""),"しんちゃんさん")</f>
        <v>しんちゃんさん</v>
      </c>
      <c r="N56" s="20"/>
      <c r="O56" s="20"/>
      <c r="P56" s="20"/>
      <c r="Q56" s="20"/>
      <c r="R56" s="20"/>
      <c r="S56" s="20"/>
      <c r="T56" s="20"/>
      <c r="U56" s="20"/>
      <c r="V56" s="20"/>
      <c r="W56" s="20"/>
      <c r="X56" s="20"/>
    </row>
    <row r="57">
      <c r="B57" s="17" t="b">
        <f>IFERROR(__xludf.DUMMYFUNCTION("""COMPUTED_VALUE"""),FALSE)</f>
        <v>0</v>
      </c>
      <c r="C57" s="18" t="str">
        <f>IFERROR(__xludf.DUMMYFUNCTION("""COMPUTED_VALUE"""),"Booking.com")</f>
        <v>Booking.com</v>
      </c>
      <c r="D57" s="4">
        <f>IFERROR(__xludf.DUMMYFUNCTION("""COMPUTED_VALUE"""),8.0)</f>
        <v>8</v>
      </c>
      <c r="E57" s="19">
        <f>IFERROR(__xludf.DUMMYFUNCTION("""COMPUTED_VALUE"""),46109.0)</f>
        <v>46109</v>
      </c>
      <c r="F57" s="4"/>
      <c r="G57" s="4" t="str">
        <f>IFERROR(__xludf.DUMMYFUNCTION("""COMPUTED_VALUE"""),"Staff were helpful and polite")</f>
        <v>Staff were helpful and polite</v>
      </c>
      <c r="H57" s="4" t="str">
        <f>IFERROR(__xludf.DUMMYFUNCTION("""COMPUTED_VALUE"""),"The elevator situation during checkout")</f>
        <v>The elevator situation during checkout</v>
      </c>
      <c r="I57" s="4" t="str">
        <f>IFERROR(__xludf.DUMMYFUNCTION("""COMPUTED_VALUE"""),"")</f>
        <v/>
      </c>
      <c r="J57" s="4" t="str">
        <f>IFERROR(__xludf.DUMMYFUNCTION("""COMPUTED_VALUE"""),"スタッフは親切で丁寧でした")</f>
        <v>スタッフは親切で丁寧でした</v>
      </c>
      <c r="K57" s="4" t="str">
        <f>IFERROR(__xludf.DUMMYFUNCTION("""COMPUTED_VALUE"""),"チェックアウト時のエレベーターの状況")</f>
        <v>チェックアウト時のエレベーターの状況</v>
      </c>
      <c r="L57" s="4" t="str">
        <f>IFERROR(__xludf.DUMMYFUNCTION("""COMPUTED_VALUE"""),"Cung")</f>
        <v>Cung</v>
      </c>
      <c r="N57" s="20"/>
      <c r="O57" s="20"/>
      <c r="P57" s="20"/>
      <c r="Q57" s="20"/>
      <c r="R57" s="20"/>
      <c r="S57" s="20"/>
      <c r="T57" s="20"/>
      <c r="U57" s="20"/>
      <c r="V57" s="20"/>
      <c r="W57" s="20"/>
      <c r="X57" s="20"/>
    </row>
    <row r="58">
      <c r="B58" s="17" t="b">
        <f>IFERROR(__xludf.DUMMYFUNCTION("""COMPUTED_VALUE"""),FALSE)</f>
        <v>0</v>
      </c>
      <c r="C58" s="20" t="str">
        <f>IFERROR(__xludf.DUMMYFUNCTION("""COMPUTED_VALUE"""),"Agoda")</f>
        <v>Agoda</v>
      </c>
      <c r="D58" s="4">
        <f>IFERROR(__xludf.DUMMYFUNCTION("""COMPUTED_VALUE"""),10.0)</f>
        <v>10</v>
      </c>
      <c r="E58" s="19">
        <f>IFERROR(__xludf.DUMMYFUNCTION("""COMPUTED_VALUE"""),46109.0)</f>
        <v>46109</v>
      </c>
      <c r="F58" s="4" t="str">
        <f>IFERROR(__xludf.DUMMYFUNCTION("""COMPUTED_VALUE"""),"駅から近くホテル全体的に清潔感があり、スタッフの対応や説明も良かったです")</f>
        <v>駅から近くホテル全体的に清潔感があり、スタッフの対応や説明も良かったです</v>
      </c>
      <c r="G58" s="4"/>
      <c r="H58" s="4"/>
      <c r="I58" s="4" t="str">
        <f>IFERROR(__xludf.DUMMYFUNCTION("""COMPUTED_VALUE"""),"駅から近くホテル全体的に清潔感があり、スタッフの対応や説明も良かったです")</f>
        <v>駅から近くホテル全体的に清潔感があり、スタッフの対応や説明も良かったです</v>
      </c>
      <c r="J58" s="4" t="str">
        <f>IFERROR(__xludf.DUMMYFUNCTION("""COMPUTED_VALUE"""),"")</f>
        <v/>
      </c>
      <c r="K58" s="4" t="str">
        <f>IFERROR(__xludf.DUMMYFUNCTION("""COMPUTED_VALUE"""),"")</f>
        <v/>
      </c>
      <c r="L58" s="4" t="str">
        <f>IFERROR(__xludf.DUMMYFUNCTION("""COMPUTED_VALUE"""),"Yoshio")</f>
        <v>Yoshio</v>
      </c>
      <c r="N58" s="20"/>
      <c r="O58" s="20"/>
      <c r="P58" s="20"/>
      <c r="Q58" s="20"/>
      <c r="R58" s="20"/>
      <c r="S58" s="20"/>
      <c r="T58" s="20"/>
      <c r="U58" s="20"/>
      <c r="V58" s="20"/>
      <c r="W58" s="20"/>
      <c r="X58" s="20"/>
    </row>
    <row r="59">
      <c r="B59" s="20" t="b">
        <f>IFERROR(__xludf.DUMMYFUNCTION("""COMPUTED_VALUE"""),FALSE)</f>
        <v>0</v>
      </c>
      <c r="C59" s="20" t="str">
        <f>IFERROR(__xludf.DUMMYFUNCTION("""COMPUTED_VALUE"""),"Agoda")</f>
        <v>Agoda</v>
      </c>
      <c r="D59" s="4">
        <f>IFERROR(__xludf.DUMMYFUNCTION("""COMPUTED_VALUE"""),7.0)</f>
        <v>7</v>
      </c>
      <c r="E59" s="19">
        <f>IFERROR(__xludf.DUMMYFUNCTION("""COMPUTED_VALUE"""),46109.0)</f>
        <v>46109</v>
      </c>
      <c r="F59" s="4" t="str">
        <f>IFERROR(__xludf.DUMMYFUNCTION("""COMPUTED_VALUE"""),"利便性の良いエリアでした")</f>
        <v>利便性の良いエリアでした</v>
      </c>
      <c r="G59" s="4"/>
      <c r="H59" s="4"/>
      <c r="I59" s="4" t="str">
        <f>IFERROR(__xludf.DUMMYFUNCTION("""COMPUTED_VALUE"""),"利便性の良いエリアでした")</f>
        <v>利便性の良いエリアでした</v>
      </c>
      <c r="J59" s="4" t="str">
        <f>IFERROR(__xludf.DUMMYFUNCTION("""COMPUTED_VALUE"""),"")</f>
        <v/>
      </c>
      <c r="K59" s="4" t="str">
        <f>IFERROR(__xludf.DUMMYFUNCTION("""COMPUTED_VALUE"""),"")</f>
        <v/>
      </c>
      <c r="L59" s="4" t="str">
        <f>IFERROR(__xludf.DUMMYFUNCTION("""COMPUTED_VALUE"""),"kazuki")</f>
        <v>kazuki</v>
      </c>
      <c r="N59" s="20"/>
      <c r="O59" s="20"/>
      <c r="P59" s="20"/>
      <c r="Q59" s="20"/>
      <c r="R59" s="20"/>
      <c r="S59" s="20"/>
      <c r="T59" s="20"/>
      <c r="U59" s="20"/>
      <c r="V59" s="20"/>
      <c r="W59" s="20"/>
      <c r="X59" s="20"/>
    </row>
    <row r="60">
      <c r="B60" s="20" t="b">
        <f>IFERROR(__xludf.DUMMYFUNCTION("""COMPUTED_VALUE"""),FALSE)</f>
        <v>0</v>
      </c>
      <c r="C60" s="18" t="str">
        <f>IFERROR(__xludf.DUMMYFUNCTION("""COMPUTED_VALUE"""),"Booking.com")</f>
        <v>Booking.com</v>
      </c>
      <c r="D60" s="4">
        <f>IFERROR(__xludf.DUMMYFUNCTION("""COMPUTED_VALUE"""),9.0)</f>
        <v>9</v>
      </c>
      <c r="E60" s="19">
        <f>IFERROR(__xludf.DUMMYFUNCTION("""COMPUTED_VALUE"""),46108.0)</f>
        <v>46108</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IFERROR(__xludf.DUMMYFUNCTION("""COMPUTED_VALUE"""),"Lene")</f>
        <v>Lene</v>
      </c>
      <c r="N60" s="20"/>
      <c r="O60" s="20"/>
      <c r="P60" s="20"/>
      <c r="Q60" s="20"/>
      <c r="R60" s="20"/>
      <c r="S60" s="20"/>
      <c r="T60" s="20"/>
      <c r="U60" s="20"/>
      <c r="V60" s="20"/>
      <c r="W60" s="20"/>
      <c r="X60" s="20"/>
    </row>
    <row r="61">
      <c r="B61" s="20" t="b">
        <f>IFERROR(__xludf.DUMMYFUNCTION("""COMPUTED_VALUE"""),FALSE)</f>
        <v>0</v>
      </c>
      <c r="C61" s="18" t="str">
        <f>IFERROR(__xludf.DUMMYFUNCTION("""COMPUTED_VALUE"""),"Trip.com")</f>
        <v>Trip.com</v>
      </c>
      <c r="D61" s="4">
        <f>IFERROR(__xludf.DUMMYFUNCTION("""COMPUTED_VALUE"""),9.0)</f>
        <v>9</v>
      </c>
      <c r="E61" s="19">
        <f>IFERROR(__xludf.DUMMYFUNCTION("""COMPUTED_VALUE"""),46108.0)</f>
        <v>46108</v>
      </c>
      <c r="F61" s="4" t="str">
        <f>IFERROR(__xludf.DUMMYFUNCTION("""COMPUTED_VALUE"""),"Good location. Breakfast just nice.")</f>
        <v>Good location. Breakfast just nice.</v>
      </c>
      <c r="G61" s="4"/>
      <c r="H61" s="4"/>
      <c r="I61" s="4" t="str">
        <f>IFERROR(__xludf.DUMMYFUNCTION("""COMPUTED_VALUE"""),"立地が良い。朝食もまあまあ。")</f>
        <v>立地が良い。朝食もまあまあ。</v>
      </c>
      <c r="J61" s="4" t="str">
        <f>IFERROR(__xludf.DUMMYFUNCTION("""COMPUTED_VALUE"""),"")</f>
        <v/>
      </c>
      <c r="K61" s="4" t="str">
        <f>IFERROR(__xludf.DUMMYFUNCTION("""COMPUTED_VALUE"""),"")</f>
        <v/>
      </c>
      <c r="L61" s="4" t="str">
        <f>IFERROR(__xludf.DUMMYFUNCTION("""COMPUTED_VALUE"""),"ゲ‍ス‍ト")</f>
        <v>ゲ‍ス‍ト</v>
      </c>
      <c r="N61" s="20"/>
      <c r="O61" s="20"/>
      <c r="P61" s="20"/>
      <c r="Q61" s="20"/>
      <c r="R61" s="20"/>
      <c r="S61" s="20"/>
      <c r="T61" s="20"/>
      <c r="U61" s="20"/>
      <c r="V61" s="20"/>
      <c r="W61" s="20"/>
      <c r="X61" s="20"/>
    </row>
    <row r="62">
      <c r="B62" s="20" t="b">
        <f>IFERROR(__xludf.DUMMYFUNCTION("""COMPUTED_VALUE"""),FALSE)</f>
        <v>0</v>
      </c>
      <c r="C62" s="18" t="str">
        <f>IFERROR(__xludf.DUMMYFUNCTION("""COMPUTED_VALUE"""),"Booking.com")</f>
        <v>Booking.com</v>
      </c>
      <c r="D62" s="4">
        <f>IFERROR(__xludf.DUMMYFUNCTION("""COMPUTED_VALUE"""),6.0)</f>
        <v>6</v>
      </c>
      <c r="E62" s="19">
        <f>IFERROR(__xludf.DUMMYFUNCTION("""COMPUTED_VALUE"""),46107.0)</f>
        <v>46107</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IFERROR(__xludf.DUMMYFUNCTION("""COMPUTED_VALUE"""),"Alessandra")</f>
        <v>Alessandra</v>
      </c>
      <c r="N62" s="20"/>
      <c r="O62" s="20"/>
      <c r="P62" s="20"/>
      <c r="Q62" s="20"/>
      <c r="R62" s="20"/>
      <c r="S62" s="20"/>
      <c r="T62" s="20"/>
      <c r="U62" s="20"/>
      <c r="V62" s="20"/>
      <c r="W62" s="20"/>
      <c r="X62" s="20"/>
    </row>
    <row r="63">
      <c r="B63" s="20" t="b">
        <f>IFERROR(__xludf.DUMMYFUNCTION("""COMPUTED_VALUE"""),FALSE)</f>
        <v>0</v>
      </c>
      <c r="C63" s="18" t="str">
        <f>IFERROR(__xludf.DUMMYFUNCTION("""COMPUTED_VALUE"""),"Trip.com")</f>
        <v>Trip.com</v>
      </c>
      <c r="D63" s="4">
        <f>IFERROR(__xludf.DUMMYFUNCTION("""COMPUTED_VALUE"""),10.0)</f>
        <v>10</v>
      </c>
      <c r="E63" s="19">
        <f>IFERROR(__xludf.DUMMYFUNCTION("""COMPUTED_VALUE"""),46107.0)</f>
        <v>46107</v>
      </c>
      <c r="F63" s="4" t="str">
        <f>IFERROR(__xludf.DUMMYFUNCTION("""COMPUTED_VALUE"""),"服務親切，協助辦理入住，設施完備，唯房間稍小，大行李沒空間！整體算不錯！")</f>
        <v>服務親切，協助辦理入住，設施完備，唯房間稍小，大行李沒空間！整體算不錯！</v>
      </c>
      <c r="G63" s="4"/>
      <c r="H63" s="4"/>
      <c r="I63"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63" s="4" t="str">
        <f>IFERROR(__xludf.DUMMYFUNCTION("""COMPUTED_VALUE"""),"")</f>
        <v/>
      </c>
      <c r="K63" s="4" t="str">
        <f>IFERROR(__xludf.DUMMYFUNCTION("""COMPUTED_VALUE"""),"")</f>
        <v/>
      </c>
      <c r="L63" s="4" t="str">
        <f>IFERROR(__xludf.DUMMYFUNCTION("""COMPUTED_VALUE"""),"ゲ‍ス‍ト")</f>
        <v>ゲ‍ス‍ト</v>
      </c>
      <c r="N63" s="20"/>
      <c r="O63" s="20"/>
      <c r="P63" s="20"/>
      <c r="Q63" s="20"/>
      <c r="R63" s="20"/>
      <c r="S63" s="20"/>
      <c r="T63" s="20"/>
      <c r="U63" s="20"/>
      <c r="V63" s="20"/>
      <c r="W63" s="20"/>
      <c r="X63" s="20"/>
    </row>
    <row r="64">
      <c r="B64" s="20" t="b">
        <f>IFERROR(__xludf.DUMMYFUNCTION("""COMPUTED_VALUE"""),FALSE)</f>
        <v>0</v>
      </c>
      <c r="C64" s="18" t="str">
        <f>IFERROR(__xludf.DUMMYFUNCTION("""COMPUTED_VALUE"""),"Booking.com")</f>
        <v>Booking.com</v>
      </c>
      <c r="D64" s="4">
        <f>IFERROR(__xludf.DUMMYFUNCTION("""COMPUTED_VALUE"""),8.0)</f>
        <v>8</v>
      </c>
      <c r="E64" s="19">
        <f>IFERROR(__xludf.DUMMYFUNCTION("""COMPUTED_VALUE"""),46107.0)</f>
        <v>46107</v>
      </c>
      <c r="F64" s="4"/>
      <c r="G64"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64" s="4" t="str">
        <f>IFERROR(__xludf.DUMMYFUNCTION("""COMPUTED_VALUE"""),"設施比較老舊但很整潔舒適！ 唯一不習慣的是廁所太小了，使用上比較不方便.")</f>
        <v>設施比較老舊但很整潔舒適！ 唯一不習慣的是廁所太小了，使用上比較不方便.</v>
      </c>
      <c r="I64" s="4" t="str">
        <f>IFERROR(__xludf.DUMMYFUNCTION("""COMPUTED_VALUE"""),"")</f>
        <v/>
      </c>
      <c r="J64" s="4"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64"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64" s="4" t="str">
        <f>IFERROR(__xludf.DUMMYFUNCTION("""COMPUTED_VALUE"""),"Szujen")</f>
        <v>Szujen</v>
      </c>
      <c r="N64" s="20"/>
      <c r="O64" s="20"/>
      <c r="P64" s="20"/>
      <c r="Q64" s="20"/>
      <c r="R64" s="20"/>
      <c r="S64" s="20"/>
      <c r="T64" s="20"/>
      <c r="U64" s="20"/>
      <c r="V64" s="20"/>
      <c r="W64" s="20"/>
      <c r="X64" s="20"/>
    </row>
    <row r="65">
      <c r="B65" s="20" t="b">
        <f>IFERROR(__xludf.DUMMYFUNCTION("""COMPUTED_VALUE"""),FALSE)</f>
        <v>0</v>
      </c>
      <c r="C65" s="20" t="str">
        <f>IFERROR(__xludf.DUMMYFUNCTION("""COMPUTED_VALUE"""),"楽天トラベル")</f>
        <v>楽天トラベル</v>
      </c>
      <c r="D65" s="4">
        <f>IFERROR(__xludf.DUMMYFUNCTION("""COMPUTED_VALUE"""),5.0)</f>
        <v>5</v>
      </c>
      <c r="E65" s="19">
        <f>IFERROR(__xludf.DUMMYFUNCTION("""COMPUTED_VALUE"""),46107.0)</f>
        <v>46107</v>
      </c>
      <c r="F65"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65" s="4"/>
      <c r="H65" s="4"/>
      <c r="I65"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65" s="4" t="str">
        <f>IFERROR(__xludf.DUMMYFUNCTION("""COMPUTED_VALUE"""),"")</f>
        <v/>
      </c>
      <c r="K65" s="4" t="str">
        <f>IFERROR(__xludf.DUMMYFUNCTION("""COMPUTED_VALUE"""),"")</f>
        <v/>
      </c>
      <c r="L65" s="4" t="str">
        <f>IFERROR(__xludf.DUMMYFUNCTION("""COMPUTED_VALUE"""),"さっぽろ南区")</f>
        <v>さっぽろ南区</v>
      </c>
      <c r="N65" s="20"/>
      <c r="O65" s="20"/>
      <c r="P65" s="20"/>
      <c r="Q65" s="20"/>
      <c r="R65" s="20"/>
      <c r="S65" s="20"/>
      <c r="T65" s="20"/>
      <c r="U65" s="20"/>
      <c r="V65" s="20"/>
      <c r="W65" s="20"/>
      <c r="X65" s="20"/>
    </row>
    <row r="66">
      <c r="B66" s="20" t="b">
        <f>IFERROR(__xludf.DUMMYFUNCTION("""COMPUTED_VALUE"""),FALSE)</f>
        <v>0</v>
      </c>
      <c r="C66" s="20" t="str">
        <f>IFERROR(__xludf.DUMMYFUNCTION("""COMPUTED_VALUE"""),"Google")</f>
        <v>Google</v>
      </c>
      <c r="D66" s="4">
        <f>IFERROR(__xludf.DUMMYFUNCTION("""COMPUTED_VALUE"""),4.0)</f>
        <v>4</v>
      </c>
      <c r="E66" s="19">
        <f>IFERROR(__xludf.DUMMYFUNCTION("""COMPUTED_VALUE"""),46107.0)</f>
        <v>46107</v>
      </c>
      <c r="F66"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66" s="4"/>
      <c r="H66" s="4"/>
      <c r="I66"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66" s="4" t="str">
        <f>IFERROR(__xludf.DUMMYFUNCTION("""COMPUTED_VALUE"""),"")</f>
        <v/>
      </c>
      <c r="K66" s="4" t="str">
        <f>IFERROR(__xludf.DUMMYFUNCTION("""COMPUTED_VALUE"""),"")</f>
        <v/>
      </c>
      <c r="L66" s="4" t="str">
        <f>IFERROR(__xludf.DUMMYFUNCTION("""COMPUTED_VALUE"""),"i d")</f>
        <v>i d</v>
      </c>
      <c r="N66" s="20"/>
      <c r="O66" s="20"/>
      <c r="P66" s="20"/>
      <c r="Q66" s="20"/>
      <c r="R66" s="20"/>
      <c r="S66" s="20"/>
      <c r="T66" s="20"/>
      <c r="U66" s="20"/>
      <c r="V66" s="20"/>
      <c r="W66" s="20"/>
      <c r="X66" s="20"/>
    </row>
    <row r="67">
      <c r="B67" s="20" t="b">
        <f>IFERROR(__xludf.DUMMYFUNCTION("""COMPUTED_VALUE"""),FALSE)</f>
        <v>0</v>
      </c>
      <c r="C67" s="18" t="str">
        <f>IFERROR(__xludf.DUMMYFUNCTION("""COMPUTED_VALUE"""),"Booking.com")</f>
        <v>Booking.com</v>
      </c>
      <c r="D67" s="4">
        <f>IFERROR(__xludf.DUMMYFUNCTION("""COMPUTED_VALUE"""),8.0)</f>
        <v>8</v>
      </c>
      <c r="E67" s="19">
        <f>IFERROR(__xludf.DUMMYFUNCTION("""COMPUTED_VALUE"""),46105.0)</f>
        <v>46105</v>
      </c>
      <c r="F67" s="4"/>
      <c r="G67" s="4" t="str">
        <f>IFERROR(__xludf.DUMMYFUNCTION("""COMPUTED_VALUE"""),"早餐好吃 房間夠寬 24小時的免費飲料吧很棒")</f>
        <v>早餐好吃 房間夠寬 24小時的免費飲料吧很棒</v>
      </c>
      <c r="H67" s="4" t="str">
        <f>IFERROR(__xludf.DUMMYFUNCTION("""COMPUTED_VALUE"""),"沒有洗烘衣設備")</f>
        <v>沒有洗烘衣設備</v>
      </c>
      <c r="I67" s="4" t="str">
        <f>IFERROR(__xludf.DUMMYFUNCTION("""COMPUTED_VALUE"""),"")</f>
        <v/>
      </c>
      <c r="J67"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67" s="4" t="str">
        <f>IFERROR(__xludf.DUMMYFUNCTION("""COMPUTED_VALUE"""),"洗濯乾燥機はありません")</f>
        <v>洗濯乾燥機はありません</v>
      </c>
      <c r="L67" s="4" t="str">
        <f>IFERROR(__xludf.DUMMYFUNCTION("""COMPUTED_VALUE"""),"Yilan")</f>
        <v>Yilan</v>
      </c>
      <c r="N67" s="20"/>
      <c r="O67" s="20"/>
      <c r="P67" s="20"/>
      <c r="Q67" s="20"/>
      <c r="R67" s="20"/>
      <c r="S67" s="20"/>
      <c r="T67" s="20"/>
      <c r="U67" s="20"/>
      <c r="V67" s="20"/>
      <c r="W67" s="20"/>
      <c r="X67" s="20"/>
    </row>
    <row r="68">
      <c r="B68" s="20" t="b">
        <f>IFERROR(__xludf.DUMMYFUNCTION("""COMPUTED_VALUE"""),FALSE)</f>
        <v>0</v>
      </c>
      <c r="C68" s="18" t="str">
        <f>IFERROR(__xludf.DUMMYFUNCTION("""COMPUTED_VALUE"""),"Trip.com")</f>
        <v>Trip.com</v>
      </c>
      <c r="D68" s="4">
        <f>IFERROR(__xludf.DUMMYFUNCTION("""COMPUTED_VALUE"""),10.0)</f>
        <v>10</v>
      </c>
      <c r="E68" s="19">
        <f>IFERROR(__xludf.DUMMYFUNCTION("""COMPUTED_VALUE"""),46105.0)</f>
        <v>46105</v>
      </c>
      <c r="F68"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68" s="4"/>
      <c r="H68" s="4"/>
      <c r="I68" s="4" t="str">
        <f>IFERROR(__xludf.DUMMYFUNCTION("""COMPUTED_VALUE"""),"立地が最高で、とても便利です。部屋は清潔で、周辺を観光するのも簡単です。")</f>
        <v>立地が最高で、とても便利です。部屋は清潔で、周辺を観光するのも簡単です。</v>
      </c>
      <c r="J68" s="4" t="str">
        <f>IFERROR(__xludf.DUMMYFUNCTION("""COMPUTED_VALUE"""),"")</f>
        <v/>
      </c>
      <c r="K68" s="4" t="str">
        <f>IFERROR(__xludf.DUMMYFUNCTION("""COMPUTED_VALUE"""),"")</f>
        <v/>
      </c>
      <c r="L68" s="4" t="str">
        <f>IFERROR(__xludf.DUMMYFUNCTION("""COMPUTED_VALUE"""),"T‍a‍t‍u‍m‍V‍8")</f>
        <v>T‍a‍t‍u‍m‍V‍8</v>
      </c>
      <c r="N68" s="20"/>
      <c r="O68" s="20"/>
      <c r="P68" s="20"/>
      <c r="Q68" s="20"/>
      <c r="R68" s="20"/>
      <c r="S68" s="20"/>
      <c r="T68" s="20"/>
      <c r="U68" s="20"/>
      <c r="V68" s="20"/>
      <c r="W68" s="20"/>
      <c r="X68" s="20"/>
    </row>
    <row r="69">
      <c r="B69" s="20" t="b">
        <f>IFERROR(__xludf.DUMMYFUNCTION("""COMPUTED_VALUE"""),FALSE)</f>
        <v>0</v>
      </c>
      <c r="C69" s="20" t="str">
        <f>IFERROR(__xludf.DUMMYFUNCTION("""COMPUTED_VALUE"""),"楽天トラベル")</f>
        <v>楽天トラベル</v>
      </c>
      <c r="D69" s="4">
        <f>IFERROR(__xludf.DUMMYFUNCTION("""COMPUTED_VALUE"""),5.0)</f>
        <v>5</v>
      </c>
      <c r="E69" s="19">
        <f>IFERROR(__xludf.DUMMYFUNCTION("""COMPUTED_VALUE"""),46105.0)</f>
        <v>46105</v>
      </c>
      <c r="F69"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69" s="4"/>
      <c r="H69" s="4"/>
      <c r="I69"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69" s="4" t="str">
        <f>IFERROR(__xludf.DUMMYFUNCTION("""COMPUTED_VALUE"""),"")</f>
        <v/>
      </c>
      <c r="K69" s="4" t="str">
        <f>IFERROR(__xludf.DUMMYFUNCTION("""COMPUTED_VALUE"""),"")</f>
        <v/>
      </c>
      <c r="L69" s="4" t="str">
        <f>IFERROR(__xludf.DUMMYFUNCTION("""COMPUTED_VALUE"""),"turbotnnkchoutokkyu02")</f>
        <v>turbotnnkchoutokkyu02</v>
      </c>
      <c r="N69" s="20"/>
      <c r="O69" s="20"/>
      <c r="P69" s="20"/>
      <c r="Q69" s="20"/>
      <c r="R69" s="20"/>
      <c r="S69" s="20"/>
      <c r="T69" s="20"/>
      <c r="U69" s="20"/>
      <c r="V69" s="20"/>
      <c r="W69" s="20"/>
      <c r="X69" s="20"/>
    </row>
    <row r="70">
      <c r="B70" s="20" t="b">
        <f>IFERROR(__xludf.DUMMYFUNCTION("""COMPUTED_VALUE"""),FALSE)</f>
        <v>0</v>
      </c>
      <c r="C70" s="18" t="str">
        <f>IFERROR(__xludf.DUMMYFUNCTION("""COMPUTED_VALUE"""),"Booking.com")</f>
        <v>Booking.com</v>
      </c>
      <c r="D70" s="4">
        <f>IFERROR(__xludf.DUMMYFUNCTION("""COMPUTED_VALUE"""),8.0)</f>
        <v>8</v>
      </c>
      <c r="E70" s="19">
        <f>IFERROR(__xludf.DUMMYFUNCTION("""COMPUTED_VALUE"""),46104.0)</f>
        <v>46104</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IFERROR(__xludf.DUMMYFUNCTION("""COMPUTED_VALUE"""),"Dodang")</f>
        <v>Dodang</v>
      </c>
      <c r="N70" s="20"/>
      <c r="O70" s="20"/>
      <c r="P70" s="20"/>
      <c r="Q70" s="20"/>
      <c r="R70" s="20"/>
      <c r="S70" s="20"/>
      <c r="T70" s="20"/>
      <c r="U70" s="20"/>
      <c r="V70" s="20"/>
      <c r="W70" s="20"/>
      <c r="X70" s="20"/>
    </row>
    <row r="71">
      <c r="B71" s="20" t="b">
        <f>IFERROR(__xludf.DUMMYFUNCTION("""COMPUTED_VALUE"""),FALSE)</f>
        <v>0</v>
      </c>
      <c r="C71" s="20" t="str">
        <f>IFERROR(__xludf.DUMMYFUNCTION("""COMPUTED_VALUE"""),"Google")</f>
        <v>Google</v>
      </c>
      <c r="D71" s="4">
        <f>IFERROR(__xludf.DUMMYFUNCTION("""COMPUTED_VALUE"""),3.0)</f>
        <v>3</v>
      </c>
      <c r="E71" s="19">
        <f>IFERROR(__xludf.DUMMYFUNCTION("""COMPUTED_VALUE"""),46104.0)</f>
        <v>46104</v>
      </c>
      <c r="F71"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71" s="4"/>
      <c r="H71" s="4"/>
      <c r="I71"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71" s="4" t="str">
        <f>IFERROR(__xludf.DUMMYFUNCTION("""COMPUTED_VALUE"""),"")</f>
        <v/>
      </c>
      <c r="K71" s="4" t="str">
        <f>IFERROR(__xludf.DUMMYFUNCTION("""COMPUTED_VALUE"""),"")</f>
        <v/>
      </c>
      <c r="L71" s="4" t="str">
        <f>IFERROR(__xludf.DUMMYFUNCTION("""COMPUTED_VALUE"""),"A M")</f>
        <v>A M</v>
      </c>
      <c r="N71" s="20"/>
      <c r="O71" s="20"/>
      <c r="P71" s="20"/>
      <c r="Q71" s="20"/>
      <c r="R71" s="20"/>
      <c r="S71" s="20"/>
      <c r="T71" s="20"/>
      <c r="U71" s="20"/>
      <c r="V71" s="20"/>
      <c r="W71" s="20"/>
      <c r="X71" s="20"/>
    </row>
    <row r="72">
      <c r="B72" s="20" t="b">
        <f>IFERROR(__xludf.DUMMYFUNCTION("""COMPUTED_VALUE"""),FALSE)</f>
        <v>0</v>
      </c>
      <c r="C72" s="18" t="str">
        <f>IFERROR(__xludf.DUMMYFUNCTION("""COMPUTED_VALUE"""),"Booking.com")</f>
        <v>Booking.com</v>
      </c>
      <c r="D72" s="4">
        <f>IFERROR(__xludf.DUMMYFUNCTION("""COMPUTED_VALUE"""),9.0)</f>
        <v>9</v>
      </c>
      <c r="E72" s="19">
        <f>IFERROR(__xludf.DUMMYFUNCTION("""COMPUTED_VALUE"""),46103.0)</f>
        <v>46103</v>
      </c>
      <c r="F72" s="4"/>
      <c r="G72" s="4" t="str">
        <f>IFERROR(__xludf.DUMMYFUNCTION("""COMPUTED_VALUE"""),"Location")</f>
        <v>Location</v>
      </c>
      <c r="H72" s="4" t="str">
        <f>IFERROR(__xludf.DUMMYFUNCTION("""COMPUTED_VALUE"""),"None")</f>
        <v>None</v>
      </c>
      <c r="I72" s="4" t="str">
        <f>IFERROR(__xludf.DUMMYFUNCTION("""COMPUTED_VALUE"""),"")</f>
        <v/>
      </c>
      <c r="J72" s="4" t="str">
        <f>IFERROR(__xludf.DUMMYFUNCTION("""COMPUTED_VALUE"""),"位置")</f>
        <v>位置</v>
      </c>
      <c r="K72" s="4" t="str">
        <f>IFERROR(__xludf.DUMMYFUNCTION("""COMPUTED_VALUE"""),"なし")</f>
        <v>なし</v>
      </c>
      <c r="L72" s="4" t="str">
        <f>IFERROR(__xludf.DUMMYFUNCTION("""COMPUTED_VALUE"""),"Yifang")</f>
        <v>Yifang</v>
      </c>
      <c r="N72" s="20"/>
      <c r="O72" s="20"/>
      <c r="P72" s="20"/>
      <c r="Q72" s="20"/>
      <c r="R72" s="20"/>
      <c r="S72" s="20"/>
      <c r="T72" s="20"/>
      <c r="U72" s="20"/>
      <c r="V72" s="20"/>
      <c r="W72" s="20"/>
      <c r="X72" s="20"/>
    </row>
    <row r="73">
      <c r="B73" s="20" t="b">
        <f>IFERROR(__xludf.DUMMYFUNCTION("""COMPUTED_VALUE"""),FALSE)</f>
        <v>0</v>
      </c>
      <c r="C73" s="20" t="str">
        <f>IFERROR(__xludf.DUMMYFUNCTION("""COMPUTED_VALUE"""),"Google")</f>
        <v>Google</v>
      </c>
      <c r="D73" s="4">
        <f>IFERROR(__xludf.DUMMYFUNCTION("""COMPUTED_VALUE"""),3.0)</f>
        <v>3</v>
      </c>
      <c r="E73" s="19">
        <f>IFERROR(__xludf.DUMMYFUNCTION("""COMPUTED_VALUE"""),46103.0)</f>
        <v>46103</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IFERROR(__xludf.DUMMYFUNCTION("""COMPUTED_VALUE"""),"ひろもと")</f>
        <v>ひろもと</v>
      </c>
      <c r="N73" s="20"/>
      <c r="O73" s="20"/>
      <c r="P73" s="20"/>
      <c r="Q73" s="20"/>
      <c r="R73" s="20"/>
      <c r="S73" s="20"/>
      <c r="T73" s="20"/>
      <c r="U73" s="20"/>
      <c r="V73" s="20"/>
      <c r="W73" s="20"/>
      <c r="X73" s="20"/>
    </row>
    <row r="74">
      <c r="B74" s="20" t="b">
        <f>IFERROR(__xludf.DUMMYFUNCTION("""COMPUTED_VALUE"""),FALSE)</f>
        <v>0</v>
      </c>
      <c r="C74" s="18" t="str">
        <f>IFERROR(__xludf.DUMMYFUNCTION("""COMPUTED_VALUE"""),"Booking.com")</f>
        <v>Booking.com</v>
      </c>
      <c r="D74" s="4">
        <f>IFERROR(__xludf.DUMMYFUNCTION("""COMPUTED_VALUE"""),8.0)</f>
        <v>8</v>
      </c>
      <c r="E74" s="19">
        <f>IFERROR(__xludf.DUMMYFUNCTION("""COMPUTED_VALUE"""),46103.0)</f>
        <v>46103</v>
      </c>
      <c r="F74" s="4"/>
      <c r="G74"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74"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74" s="4" t="str">
        <f>IFERROR(__xludf.DUMMYFUNCTION("""COMPUTED_VALUE"""),"")</f>
        <v/>
      </c>
      <c r="J74"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74" s="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74" s="4" t="str">
        <f>IFERROR(__xludf.DUMMYFUNCTION("""COMPUTED_VALUE"""),"Suzanne")</f>
        <v>Suzanne</v>
      </c>
      <c r="N74" s="20"/>
      <c r="O74" s="20"/>
      <c r="P74" s="20"/>
      <c r="Q74" s="20"/>
      <c r="R74" s="20"/>
      <c r="S74" s="20"/>
      <c r="T74" s="20"/>
      <c r="U74" s="20"/>
      <c r="V74" s="20"/>
      <c r="W74" s="20"/>
      <c r="X74" s="20"/>
    </row>
    <row r="75">
      <c r="B75" s="20" t="b">
        <f>IFERROR(__xludf.DUMMYFUNCTION("""COMPUTED_VALUE"""),FALSE)</f>
        <v>0</v>
      </c>
      <c r="C75" s="20" t="str">
        <f>IFERROR(__xludf.DUMMYFUNCTION("""COMPUTED_VALUE"""),"じゃらん")</f>
        <v>じゃらん</v>
      </c>
      <c r="D75" s="4">
        <f>IFERROR(__xludf.DUMMYFUNCTION("""COMPUTED_VALUE"""),5.0)</f>
        <v>5</v>
      </c>
      <c r="E75" s="19">
        <f>IFERROR(__xludf.DUMMYFUNCTION("""COMPUTED_VALUE"""),46103.0)</f>
        <v>46103</v>
      </c>
      <c r="F75"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75" s="4"/>
      <c r="H75" s="4"/>
      <c r="I75"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75" s="4" t="str">
        <f>IFERROR(__xludf.DUMMYFUNCTION("""COMPUTED_VALUE"""),"")</f>
        <v/>
      </c>
      <c r="K75" s="4" t="str">
        <f>IFERROR(__xludf.DUMMYFUNCTION("""COMPUTED_VALUE"""),"")</f>
        <v/>
      </c>
      <c r="L75" s="4" t="str">
        <f>IFERROR(__xludf.DUMMYFUNCTION("""COMPUTED_VALUE"""),"まっつんさん")</f>
        <v>まっつんさん</v>
      </c>
      <c r="N75" s="20"/>
      <c r="O75" s="20"/>
      <c r="P75" s="20"/>
      <c r="Q75" s="20"/>
      <c r="R75" s="20"/>
      <c r="S75" s="20"/>
      <c r="T75" s="20"/>
      <c r="U75" s="20"/>
      <c r="V75" s="20"/>
      <c r="W75" s="20"/>
      <c r="X75" s="20"/>
    </row>
    <row r="76">
      <c r="B76" s="20" t="b">
        <f>IFERROR(__xludf.DUMMYFUNCTION("""COMPUTED_VALUE"""),FALSE)</f>
        <v>0</v>
      </c>
      <c r="C76" s="20" t="str">
        <f>IFERROR(__xludf.DUMMYFUNCTION("""COMPUTED_VALUE"""),"Agoda")</f>
        <v>Agoda</v>
      </c>
      <c r="D76" s="4">
        <f>IFERROR(__xludf.DUMMYFUNCTION("""COMPUTED_VALUE"""),6.0)</f>
        <v>6</v>
      </c>
      <c r="E76" s="19">
        <f>IFERROR(__xludf.DUMMYFUNCTION("""COMPUTED_VALUE"""),46102.0)</f>
        <v>46102</v>
      </c>
      <c r="F76" s="4" t="str">
        <f>IFERROR(__xludf.DUMMYFUNCTION("""COMPUTED_VALUE"""),"エアコンが暖房しかなくて　つらかった 両方あれば　幸いでした(^_^;)")</f>
        <v>エアコンが暖房しかなくて　つらかった 両方あれば　幸いでした(^_^;)</v>
      </c>
      <c r="G76" s="4"/>
      <c r="H76" s="4"/>
      <c r="I76" s="4" t="str">
        <f>IFERROR(__xludf.DUMMYFUNCTION("""COMPUTED_VALUE"""),"エアコンが暖房しかなくて　つらかった 両方あれば　幸いでした(^_^;)")</f>
        <v>エアコンが暖房しかなくて　つらかった 両方あれば　幸いでした(^_^;)</v>
      </c>
      <c r="J76" s="4" t="str">
        <f>IFERROR(__xludf.DUMMYFUNCTION("""COMPUTED_VALUE"""),"")</f>
        <v/>
      </c>
      <c r="K76" s="4" t="str">
        <f>IFERROR(__xludf.DUMMYFUNCTION("""COMPUTED_VALUE"""),"")</f>
        <v/>
      </c>
      <c r="L76" s="4" t="str">
        <f>IFERROR(__xludf.DUMMYFUNCTION("""COMPUTED_VALUE"""),"寿美子")</f>
        <v>寿美子</v>
      </c>
      <c r="N76" s="20"/>
      <c r="O76" s="20"/>
      <c r="P76" s="20"/>
      <c r="Q76" s="20"/>
      <c r="R76" s="20"/>
      <c r="S76" s="20"/>
      <c r="T76" s="20"/>
      <c r="U76" s="20"/>
      <c r="V76" s="20"/>
      <c r="W76" s="20"/>
      <c r="X76" s="20"/>
    </row>
    <row r="77">
      <c r="B77" s="20" t="b">
        <f>IFERROR(__xludf.DUMMYFUNCTION("""COMPUTED_VALUE"""),FALSE)</f>
        <v>0</v>
      </c>
      <c r="C77" s="20" t="str">
        <f>IFERROR(__xludf.DUMMYFUNCTION("""COMPUTED_VALUE"""),"楽天トラベル")</f>
        <v>楽天トラベル</v>
      </c>
      <c r="D77" s="4">
        <f>IFERROR(__xludf.DUMMYFUNCTION("""COMPUTED_VALUE"""),5.0)</f>
        <v>5</v>
      </c>
      <c r="E77" s="19">
        <f>IFERROR(__xludf.DUMMYFUNCTION("""COMPUTED_VALUE"""),46102.0)</f>
        <v>46102</v>
      </c>
      <c r="F77" s="4" t="str">
        <f>IFERROR(__xludf.DUMMYFUNCTION("""COMPUTED_VALUE"""),"受付時、とても親切なご案内でした。ありがとうございます。")</f>
        <v>受付時、とても親切なご案内でした。ありがとうございます。</v>
      </c>
      <c r="G77" s="4"/>
      <c r="H77" s="4"/>
      <c r="I77" s="4" t="str">
        <f>IFERROR(__xludf.DUMMYFUNCTION("""COMPUTED_VALUE"""),"受付時、とても親切なご案内でした。ありがとうございます。")</f>
        <v>受付時、とても親切なご案内でした。ありがとうございます。</v>
      </c>
      <c r="J77" s="4" t="str">
        <f>IFERROR(__xludf.DUMMYFUNCTION("""COMPUTED_VALUE"""),"")</f>
        <v/>
      </c>
      <c r="K77" s="4" t="str">
        <f>IFERROR(__xludf.DUMMYFUNCTION("""COMPUTED_VALUE"""),"")</f>
        <v/>
      </c>
      <c r="L77" s="4" t="str">
        <f>IFERROR(__xludf.DUMMYFUNCTION("""COMPUTED_VALUE"""),"fisher1091")</f>
        <v>fisher1091</v>
      </c>
      <c r="N77" s="20"/>
      <c r="O77" s="20"/>
      <c r="P77" s="20"/>
      <c r="Q77" s="20"/>
      <c r="R77" s="20"/>
      <c r="S77" s="20"/>
      <c r="T77" s="20"/>
      <c r="U77" s="20"/>
      <c r="V77" s="20"/>
      <c r="W77" s="20"/>
      <c r="X77" s="20"/>
    </row>
    <row r="78">
      <c r="B78" s="20" t="b">
        <f>IFERROR(__xludf.DUMMYFUNCTION("""COMPUTED_VALUE"""),FALSE)</f>
        <v>0</v>
      </c>
      <c r="C78" s="20" t="str">
        <f>IFERROR(__xludf.DUMMYFUNCTION("""COMPUTED_VALUE"""),"楽天トラベル")</f>
        <v>楽天トラベル</v>
      </c>
      <c r="D78" s="4">
        <f>IFERROR(__xludf.DUMMYFUNCTION("""COMPUTED_VALUE"""),5.0)</f>
        <v>5</v>
      </c>
      <c r="E78" s="19">
        <f>IFERROR(__xludf.DUMMYFUNCTION("""COMPUTED_VALUE"""),46102.0)</f>
        <v>46102</v>
      </c>
      <c r="F78"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78" s="4"/>
      <c r="H78" s="4"/>
      <c r="I78"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78" s="4" t="str">
        <f>IFERROR(__xludf.DUMMYFUNCTION("""COMPUTED_VALUE"""),"")</f>
        <v/>
      </c>
      <c r="K78" s="4" t="str">
        <f>IFERROR(__xludf.DUMMYFUNCTION("""COMPUTED_VALUE"""),"")</f>
        <v/>
      </c>
      <c r="L78" s="4" t="str">
        <f>IFERROR(__xludf.DUMMYFUNCTION("""COMPUTED_VALUE"""),"はるるにゃん")</f>
        <v>はるるにゃん</v>
      </c>
      <c r="N78" s="20"/>
      <c r="O78" s="20"/>
      <c r="P78" s="20"/>
      <c r="Q78" s="20"/>
      <c r="R78" s="20"/>
      <c r="S78" s="20"/>
      <c r="T78" s="20"/>
      <c r="U78" s="20"/>
      <c r="V78" s="20"/>
      <c r="W78" s="20"/>
      <c r="X78" s="20"/>
    </row>
    <row r="79">
      <c r="B79" s="20" t="b">
        <f>IFERROR(__xludf.DUMMYFUNCTION("""COMPUTED_VALUE"""),FALSE)</f>
        <v>0</v>
      </c>
      <c r="C79" s="20" t="str">
        <f>IFERROR(__xludf.DUMMYFUNCTION("""COMPUTED_VALUE"""),"楽天トラベル")</f>
        <v>楽天トラベル</v>
      </c>
      <c r="D79" s="4">
        <f>IFERROR(__xludf.DUMMYFUNCTION("""COMPUTED_VALUE"""),5.0)</f>
        <v>5</v>
      </c>
      <c r="E79" s="19">
        <f>IFERROR(__xludf.DUMMYFUNCTION("""COMPUTED_VALUE"""),46102.0)</f>
        <v>46102</v>
      </c>
      <c r="F79"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79" s="4"/>
      <c r="H79" s="4"/>
      <c r="I79"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79" s="4" t="str">
        <f>IFERROR(__xludf.DUMMYFUNCTION("""COMPUTED_VALUE"""),"")</f>
        <v/>
      </c>
      <c r="K79" s="4" t="str">
        <f>IFERROR(__xludf.DUMMYFUNCTION("""COMPUTED_VALUE"""),"")</f>
        <v/>
      </c>
      <c r="L79" s="4" t="str">
        <f>IFERROR(__xludf.DUMMYFUNCTION("""COMPUTED_VALUE"""),"不明")</f>
        <v>不明</v>
      </c>
      <c r="N79" s="20"/>
      <c r="O79" s="20"/>
      <c r="P79" s="20"/>
      <c r="Q79" s="20"/>
      <c r="R79" s="20"/>
      <c r="S79" s="20"/>
      <c r="T79" s="20"/>
      <c r="U79" s="20"/>
      <c r="V79" s="20"/>
      <c r="W79" s="20"/>
      <c r="X79" s="20"/>
    </row>
    <row r="80">
      <c r="B80" s="20" t="b">
        <f>IFERROR(__xludf.DUMMYFUNCTION("""COMPUTED_VALUE"""),FALSE)</f>
        <v>0</v>
      </c>
      <c r="C80" s="20" t="str">
        <f>IFERROR(__xludf.DUMMYFUNCTION("""COMPUTED_VALUE"""),"楽天トラベル")</f>
        <v>楽天トラベル</v>
      </c>
      <c r="D80" s="4">
        <f>IFERROR(__xludf.DUMMYFUNCTION("""COMPUTED_VALUE"""),4.0)</f>
        <v>4</v>
      </c>
      <c r="E80" s="19">
        <f>IFERROR(__xludf.DUMMYFUNCTION("""COMPUTED_VALUE"""),46102.0)</f>
        <v>46102</v>
      </c>
      <c r="F80"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80" s="4"/>
      <c r="H80" s="4"/>
      <c r="I80"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80" s="4" t="str">
        <f>IFERROR(__xludf.DUMMYFUNCTION("""COMPUTED_VALUE"""),"")</f>
        <v/>
      </c>
      <c r="K80" s="4" t="str">
        <f>IFERROR(__xludf.DUMMYFUNCTION("""COMPUTED_VALUE"""),"")</f>
        <v/>
      </c>
      <c r="L80" s="4" t="str">
        <f>IFERROR(__xludf.DUMMYFUNCTION("""COMPUTED_VALUE"""),"かず26661041")</f>
        <v>かず26661041</v>
      </c>
    </row>
    <row r="81">
      <c r="B81" s="20" t="b">
        <f>IFERROR(__xludf.DUMMYFUNCTION("""COMPUTED_VALUE"""),FALSE)</f>
        <v>0</v>
      </c>
      <c r="C81" s="20" t="str">
        <f>IFERROR(__xludf.DUMMYFUNCTION("""COMPUTED_VALUE"""),"楽天トラベル")</f>
        <v>楽天トラベル</v>
      </c>
      <c r="D81" s="4">
        <f>IFERROR(__xludf.DUMMYFUNCTION("""COMPUTED_VALUE"""),5.0)</f>
        <v>5</v>
      </c>
      <c r="E81" s="19">
        <f>IFERROR(__xludf.DUMMYFUNCTION("""COMPUTED_VALUE"""),46101.0)</f>
        <v>46101</v>
      </c>
      <c r="F81"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81" s="4"/>
      <c r="H81" s="4"/>
      <c r="I81"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81" s="4" t="str">
        <f>IFERROR(__xludf.DUMMYFUNCTION("""COMPUTED_VALUE"""),"")</f>
        <v/>
      </c>
      <c r="K81" s="4" t="str">
        <f>IFERROR(__xludf.DUMMYFUNCTION("""COMPUTED_VALUE"""),"")</f>
        <v/>
      </c>
      <c r="L81" s="4" t="str">
        <f>IFERROR(__xludf.DUMMYFUNCTION("""COMPUTED_VALUE"""),"hurry５１")</f>
        <v>hurry５１</v>
      </c>
    </row>
    <row r="82">
      <c r="B82" s="20" t="b">
        <f>IFERROR(__xludf.DUMMYFUNCTION("""COMPUTED_VALUE"""),FALSE)</f>
        <v>0</v>
      </c>
      <c r="C82" s="18" t="str">
        <f>IFERROR(__xludf.DUMMYFUNCTION("""COMPUTED_VALUE"""),"Booking.com")</f>
        <v>Booking.com</v>
      </c>
      <c r="D82" s="4">
        <f>IFERROR(__xludf.DUMMYFUNCTION("""COMPUTED_VALUE"""),10.0)</f>
        <v>10</v>
      </c>
      <c r="E82" s="19">
        <f>IFERROR(__xludf.DUMMYFUNCTION("""COMPUTED_VALUE"""),46101.0)</f>
        <v>46101</v>
      </c>
      <c r="F82" s="4"/>
      <c r="G82" s="4"/>
      <c r="H82" s="4"/>
      <c r="I82" s="4" t="str">
        <f>IFERROR(__xludf.DUMMYFUNCTION("""COMPUTED_VALUE"""),"")</f>
        <v/>
      </c>
      <c r="J82" s="4" t="str">
        <f>IFERROR(__xludf.DUMMYFUNCTION("""COMPUTED_VALUE"""),"")</f>
        <v/>
      </c>
      <c r="K82" s="4" t="str">
        <f>IFERROR(__xludf.DUMMYFUNCTION("""COMPUTED_VALUE"""),"")</f>
        <v/>
      </c>
      <c r="L82" s="4" t="str">
        <f>IFERROR(__xludf.DUMMYFUNCTION("""COMPUTED_VALUE"""),"Chantel")</f>
        <v>Chantel</v>
      </c>
    </row>
    <row r="83">
      <c r="B83" s="20" t="b">
        <f>IFERROR(__xludf.DUMMYFUNCTION("""COMPUTED_VALUE"""),FALSE)</f>
        <v>0</v>
      </c>
      <c r="C83" s="20" t="str">
        <f>IFERROR(__xludf.DUMMYFUNCTION("""COMPUTED_VALUE"""),"Google")</f>
        <v>Google</v>
      </c>
      <c r="D83" s="4">
        <f>IFERROR(__xludf.DUMMYFUNCTION("""COMPUTED_VALUE"""),4.0)</f>
        <v>4</v>
      </c>
      <c r="E83" s="19">
        <f>IFERROR(__xludf.DUMMYFUNCTION("""COMPUTED_VALUE"""),46100.0)</f>
        <v>46100</v>
      </c>
      <c r="F83"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83" s="4"/>
      <c r="H83" s="4"/>
      <c r="I83"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83" s="4" t="str">
        <f>IFERROR(__xludf.DUMMYFUNCTION("""COMPUTED_VALUE"""),"")</f>
        <v/>
      </c>
      <c r="K83" s="4" t="str">
        <f>IFERROR(__xludf.DUMMYFUNCTION("""COMPUTED_VALUE"""),"")</f>
        <v/>
      </c>
      <c r="L83" s="4" t="str">
        <f>IFERROR(__xludf.DUMMYFUNCTION("""COMPUTED_VALUE"""),"K M")</f>
        <v>K M</v>
      </c>
    </row>
    <row r="84">
      <c r="B84" s="20" t="b">
        <f>IFERROR(__xludf.DUMMYFUNCTION("""COMPUTED_VALUE"""),FALSE)</f>
        <v>0</v>
      </c>
      <c r="C84" s="20" t="str">
        <f>IFERROR(__xludf.DUMMYFUNCTION("""COMPUTED_VALUE"""),"Google")</f>
        <v>Google</v>
      </c>
      <c r="D84" s="4">
        <f>IFERROR(__xludf.DUMMYFUNCTION("""COMPUTED_VALUE"""),4.0)</f>
        <v>4</v>
      </c>
      <c r="E84" s="19">
        <f>IFERROR(__xludf.DUMMYFUNCTION("""COMPUTED_VALUE"""),46100.0)</f>
        <v>46100</v>
      </c>
      <c r="F84" s="4" t="str">
        <f>IFERROR(__xludf.DUMMYFUNCTION("""COMPUTED_VALUE"""),"無難")</f>
        <v>無難</v>
      </c>
      <c r="G84" s="4"/>
      <c r="H84" s="4"/>
      <c r="I84" s="4" t="str">
        <f>IFERROR(__xludf.DUMMYFUNCTION("""COMPUTED_VALUE"""),"無難")</f>
        <v>無難</v>
      </c>
      <c r="J84" s="4" t="str">
        <f>IFERROR(__xludf.DUMMYFUNCTION("""COMPUTED_VALUE"""),"")</f>
        <v/>
      </c>
      <c r="K84" s="4" t="str">
        <f>IFERROR(__xludf.DUMMYFUNCTION("""COMPUTED_VALUE"""),"")</f>
        <v/>
      </c>
      <c r="L84" s="4" t="str">
        <f>IFERROR(__xludf.DUMMYFUNCTION("""COMPUTED_VALUE"""),"前英")</f>
        <v>前英</v>
      </c>
    </row>
    <row r="85">
      <c r="B85" s="20" t="b">
        <f>IFERROR(__xludf.DUMMYFUNCTION("""COMPUTED_VALUE"""),FALSE)</f>
        <v>0</v>
      </c>
      <c r="C85" s="20" t="str">
        <f>IFERROR(__xludf.DUMMYFUNCTION("""COMPUTED_VALUE"""),"楽天トラベル")</f>
        <v>楽天トラベル</v>
      </c>
      <c r="D85" s="4">
        <f>IFERROR(__xludf.DUMMYFUNCTION("""COMPUTED_VALUE"""),2.0)</f>
        <v>2</v>
      </c>
      <c r="E85" s="19">
        <f>IFERROR(__xludf.DUMMYFUNCTION("""COMPUTED_VALUE"""),46099.0)</f>
        <v>46099</v>
      </c>
      <c r="F85"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85" s="4"/>
      <c r="H85" s="4"/>
      <c r="I85"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85" s="4" t="str">
        <f>IFERROR(__xludf.DUMMYFUNCTION("""COMPUTED_VALUE"""),"")</f>
        <v/>
      </c>
      <c r="K85" s="4" t="str">
        <f>IFERROR(__xludf.DUMMYFUNCTION("""COMPUTED_VALUE"""),"")</f>
        <v/>
      </c>
      <c r="L85" s="4" t="str">
        <f>IFERROR(__xludf.DUMMYFUNCTION("""COMPUTED_VALUE"""),"りょこうすき123")</f>
        <v>りょこうすき123</v>
      </c>
    </row>
    <row r="86">
      <c r="B86" s="20" t="b">
        <f>IFERROR(__xludf.DUMMYFUNCTION("""COMPUTED_VALUE"""),FALSE)</f>
        <v>0</v>
      </c>
      <c r="C86" s="18" t="str">
        <f>IFERROR(__xludf.DUMMYFUNCTION("""COMPUTED_VALUE"""),"Trip.com")</f>
        <v>Trip.com</v>
      </c>
      <c r="D86" s="4">
        <f>IFERROR(__xludf.DUMMYFUNCTION("""COMPUTED_VALUE"""),7.0)</f>
        <v>7</v>
      </c>
      <c r="E86" s="19">
        <f>IFERROR(__xludf.DUMMYFUNCTION("""COMPUTED_VALUE"""),46099.0)</f>
        <v>46099</v>
      </c>
      <c r="F86" s="4" t="str">
        <f>IFERROR(__xludf.DUMMYFUNCTION("""COMPUTED_VALUE"""),"駅から近く、室内もきれいでした。")</f>
        <v>駅から近く、室内もきれいでした。</v>
      </c>
      <c r="G86" s="4"/>
      <c r="H86" s="4"/>
      <c r="I86" s="4" t="str">
        <f>IFERROR(__xludf.DUMMYFUNCTION("""COMPUTED_VALUE"""),"駅から近く、室内もきれいでした。")</f>
        <v>駅から近く、室内もきれいでした。</v>
      </c>
      <c r="J86" s="4" t="str">
        <f>IFERROR(__xludf.DUMMYFUNCTION("""COMPUTED_VALUE"""),"")</f>
        <v/>
      </c>
      <c r="K86" s="4" t="str">
        <f>IFERROR(__xludf.DUMMYFUNCTION("""COMPUTED_VALUE"""),"")</f>
        <v/>
      </c>
      <c r="L86" s="4" t="str">
        <f>IFERROR(__xludf.DUMMYFUNCTION("""COMPUTED_VALUE"""),"ゲ‍ス‍ト")</f>
        <v>ゲ‍ス‍ト</v>
      </c>
    </row>
    <row r="87">
      <c r="B87" s="20" t="b">
        <f>IFERROR(__xludf.DUMMYFUNCTION("""COMPUTED_VALUE"""),FALSE)</f>
        <v>0</v>
      </c>
      <c r="C87" s="20" t="str">
        <f>IFERROR(__xludf.DUMMYFUNCTION("""COMPUTED_VALUE"""),"楽天トラベル")</f>
        <v>楽天トラベル</v>
      </c>
      <c r="D87" s="4">
        <f>IFERROR(__xludf.DUMMYFUNCTION("""COMPUTED_VALUE"""),4.0)</f>
        <v>4</v>
      </c>
      <c r="E87" s="19">
        <f>IFERROR(__xludf.DUMMYFUNCTION("""COMPUTED_VALUE"""),46098.0)</f>
        <v>46098</v>
      </c>
      <c r="F87" s="4" t="str">
        <f>IFERROR(__xludf.DUMMYFUNCTION("""COMPUTED_VALUE"""),"普通のホテルですが朝食が美味しくて満足です")</f>
        <v>普通のホテルですが朝食が美味しくて満足です</v>
      </c>
      <c r="G87" s="4"/>
      <c r="H87" s="4"/>
      <c r="I87" s="4" t="str">
        <f>IFERROR(__xludf.DUMMYFUNCTION("""COMPUTED_VALUE"""),"普通のホテルですが朝食が美味しくて満足です")</f>
        <v>普通のホテルですが朝食が美味しくて満足です</v>
      </c>
      <c r="J87" s="4" t="str">
        <f>IFERROR(__xludf.DUMMYFUNCTION("""COMPUTED_VALUE"""),"")</f>
        <v/>
      </c>
      <c r="K87" s="4" t="str">
        <f>IFERROR(__xludf.DUMMYFUNCTION("""COMPUTED_VALUE"""),"")</f>
        <v/>
      </c>
      <c r="L87" s="4" t="str">
        <f>IFERROR(__xludf.DUMMYFUNCTION("""COMPUTED_VALUE"""),"date5991")</f>
        <v>date5991</v>
      </c>
    </row>
    <row r="88">
      <c r="B88" s="20" t="b">
        <f>IFERROR(__xludf.DUMMYFUNCTION("""COMPUTED_VALUE"""),FALSE)</f>
        <v>0</v>
      </c>
      <c r="C88" s="18" t="str">
        <f>IFERROR(__xludf.DUMMYFUNCTION("""COMPUTED_VALUE"""),"Booking.com")</f>
        <v>Booking.com</v>
      </c>
      <c r="D88" s="4">
        <f>IFERROR(__xludf.DUMMYFUNCTION("""COMPUTED_VALUE"""),8.0)</f>
        <v>8</v>
      </c>
      <c r="E88" s="19">
        <f>IFERROR(__xludf.DUMMYFUNCTION("""COMPUTED_VALUE"""),46098.0)</f>
        <v>46098</v>
      </c>
      <c r="F88" s="4"/>
      <c r="G88" s="4" t="str">
        <f>IFERROR(__xludf.DUMMYFUNCTION("""COMPUTED_VALUE"""),"Good")</f>
        <v>Good</v>
      </c>
      <c r="H88" s="4"/>
      <c r="I88" s="4" t="str">
        <f>IFERROR(__xludf.DUMMYFUNCTION("""COMPUTED_VALUE"""),"")</f>
        <v/>
      </c>
      <c r="J88" s="4" t="str">
        <f>IFERROR(__xludf.DUMMYFUNCTION("""COMPUTED_VALUE"""),"良い")</f>
        <v>良い</v>
      </c>
      <c r="K88" s="4" t="str">
        <f>IFERROR(__xludf.DUMMYFUNCTION("""COMPUTED_VALUE"""),"")</f>
        <v/>
      </c>
      <c r="L88" s="4" t="str">
        <f>IFERROR(__xludf.DUMMYFUNCTION("""COMPUTED_VALUE"""),"Yi")</f>
        <v>Yi</v>
      </c>
    </row>
    <row r="89">
      <c r="B89" s="20" t="b">
        <f>IFERROR(__xludf.DUMMYFUNCTION("""COMPUTED_VALUE"""),FALSE)</f>
        <v>0</v>
      </c>
      <c r="C89" s="18" t="str">
        <f>IFERROR(__xludf.DUMMYFUNCTION("""COMPUTED_VALUE"""),"Booking.com")</f>
        <v>Booking.com</v>
      </c>
      <c r="D89" s="4">
        <f>IFERROR(__xludf.DUMMYFUNCTION("""COMPUTED_VALUE"""),9.0)</f>
        <v>9</v>
      </c>
      <c r="E89" s="19">
        <f>IFERROR(__xludf.DUMMYFUNCTION("""COMPUTED_VALUE"""),46097.0)</f>
        <v>46097</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IFERROR(__xludf.DUMMYFUNCTION("""COMPUTED_VALUE"""),"Tracy")</f>
        <v>Tracy</v>
      </c>
    </row>
    <row r="90">
      <c r="B90" s="20" t="b">
        <f>IFERROR(__xludf.DUMMYFUNCTION("""COMPUTED_VALUE"""),FALSE)</f>
        <v>0</v>
      </c>
      <c r="C90" s="18" t="str">
        <f>IFERROR(__xludf.DUMMYFUNCTION("""COMPUTED_VALUE"""),"Booking.com")</f>
        <v>Booking.com</v>
      </c>
      <c r="D90" s="4">
        <f>IFERROR(__xludf.DUMMYFUNCTION("""COMPUTED_VALUE"""),10.0)</f>
        <v>10</v>
      </c>
      <c r="E90" s="19">
        <f>IFERROR(__xludf.DUMMYFUNCTION("""COMPUTED_VALUE"""),46096.0)</f>
        <v>46096</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IFERROR(__xludf.DUMMYFUNCTION("""COMPUTED_VALUE"""),"Stevan")</f>
        <v>Stevan</v>
      </c>
    </row>
    <row r="91">
      <c r="B91" s="20" t="b">
        <f>IFERROR(__xludf.DUMMYFUNCTION("""COMPUTED_VALUE"""),FALSE)</f>
        <v>0</v>
      </c>
      <c r="C91" s="18" t="str">
        <f>IFERROR(__xludf.DUMMYFUNCTION("""COMPUTED_VALUE"""),"Booking.com")</f>
        <v>Booking.com</v>
      </c>
      <c r="D91" s="4">
        <f>IFERROR(__xludf.DUMMYFUNCTION("""COMPUTED_VALUE"""),7.0)</f>
        <v>7</v>
      </c>
      <c r="E91" s="19">
        <f>IFERROR(__xludf.DUMMYFUNCTION("""COMPUTED_VALUE"""),46096.0)</f>
        <v>46096</v>
      </c>
      <c r="F91" s="4"/>
      <c r="G91" s="4" t="str">
        <f>IFERROR(__xludf.DUMMYFUNCTION("""COMPUTED_VALUE"""),"Complimentary parking ticket for parking at nearby carpark as the hotel does not provide parking on property.")</f>
        <v>Complimentary parking ticket for parking at nearby carpark as the hotel does not provide parking on property.</v>
      </c>
      <c r="H91" s="4" t="str">
        <f>IFERROR(__xludf.DUMMYFUNCTION("""COMPUTED_VALUE"""),"The bed and pillow were uncomfortable to sleep in.")</f>
        <v>The bed and pillow were uncomfortable to sleep in.</v>
      </c>
      <c r="I91" s="4" t="str">
        <f>IFERROR(__xludf.DUMMYFUNCTION("""COMPUTED_VALUE"""),"")</f>
        <v/>
      </c>
      <c r="J91"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91" s="4" t="str">
        <f>IFERROR(__xludf.DUMMYFUNCTION("""COMPUTED_VALUE"""),"ベッドと枕は寝心地が悪かった。")</f>
        <v>ベッドと枕は寝心地が悪かった。</v>
      </c>
      <c r="L91" s="4" t="str">
        <f>IFERROR(__xludf.DUMMYFUNCTION("""COMPUTED_VALUE"""),"Choon")</f>
        <v>Choon</v>
      </c>
    </row>
    <row r="92">
      <c r="B92" s="20" t="b">
        <f>IFERROR(__xludf.DUMMYFUNCTION("""COMPUTED_VALUE"""),FALSE)</f>
        <v>0</v>
      </c>
      <c r="C92" s="18" t="str">
        <f>IFERROR(__xludf.DUMMYFUNCTION("""COMPUTED_VALUE"""),"Booking.com")</f>
        <v>Booking.com</v>
      </c>
      <c r="D92" s="4">
        <f>IFERROR(__xludf.DUMMYFUNCTION("""COMPUTED_VALUE"""),9.0)</f>
        <v>9</v>
      </c>
      <c r="E92" s="19">
        <f>IFERROR(__xludf.DUMMYFUNCTION("""COMPUTED_VALUE"""),46096.0)</f>
        <v>46096</v>
      </c>
      <c r="F92" s="4"/>
      <c r="G92" s="4"/>
      <c r="H92" s="4"/>
      <c r="I92" s="4" t="str">
        <f>IFERROR(__xludf.DUMMYFUNCTION("""COMPUTED_VALUE"""),"")</f>
        <v/>
      </c>
      <c r="J92" s="4" t="str">
        <f>IFERROR(__xludf.DUMMYFUNCTION("""COMPUTED_VALUE"""),"")</f>
        <v/>
      </c>
      <c r="K92" s="4" t="str">
        <f>IFERROR(__xludf.DUMMYFUNCTION("""COMPUTED_VALUE"""),"")</f>
        <v/>
      </c>
      <c r="L92" s="4" t="str">
        <f>IFERROR(__xludf.DUMMYFUNCTION("""COMPUTED_VALUE"""),"Brad")</f>
        <v>Brad</v>
      </c>
    </row>
    <row r="93">
      <c r="B93" s="20" t="b">
        <f>IFERROR(__xludf.DUMMYFUNCTION("""COMPUTED_VALUE"""),FALSE)</f>
        <v>0</v>
      </c>
      <c r="C93" s="20" t="str">
        <f>IFERROR(__xludf.DUMMYFUNCTION("""COMPUTED_VALUE"""),"楽天トラベル")</f>
        <v>楽天トラベル</v>
      </c>
      <c r="D93" s="4">
        <f>IFERROR(__xludf.DUMMYFUNCTION("""COMPUTED_VALUE"""),5.0)</f>
        <v>5</v>
      </c>
      <c r="E93" s="19">
        <f>IFERROR(__xludf.DUMMYFUNCTION("""COMPUTED_VALUE"""),46095.0)</f>
        <v>46095</v>
      </c>
      <c r="F93"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93" s="4"/>
      <c r="H93" s="4"/>
      <c r="I93"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93" s="4" t="str">
        <f>IFERROR(__xludf.DUMMYFUNCTION("""COMPUTED_VALUE"""),"")</f>
        <v/>
      </c>
      <c r="K93" s="4" t="str">
        <f>IFERROR(__xludf.DUMMYFUNCTION("""COMPUTED_VALUE"""),"")</f>
        <v/>
      </c>
      <c r="L93" s="4" t="str">
        <f>IFERROR(__xludf.DUMMYFUNCTION("""COMPUTED_VALUE"""),"シュタゲ@")</f>
        <v>シュタゲ@</v>
      </c>
    </row>
    <row r="94">
      <c r="B94" s="20" t="b">
        <f>IFERROR(__xludf.DUMMYFUNCTION("""COMPUTED_VALUE"""),FALSE)</f>
        <v>0</v>
      </c>
      <c r="C94" s="20" t="str">
        <f>IFERROR(__xludf.DUMMYFUNCTION("""COMPUTED_VALUE"""),"Google")</f>
        <v>Google</v>
      </c>
      <c r="D94" s="4">
        <f>IFERROR(__xludf.DUMMYFUNCTION("""COMPUTED_VALUE"""),5.0)</f>
        <v>5</v>
      </c>
      <c r="E94" s="19">
        <f>IFERROR(__xludf.DUMMYFUNCTION("""COMPUTED_VALUE"""),46095.0)</f>
        <v>46095</v>
      </c>
      <c r="F94"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94" s="4"/>
      <c r="H94" s="4"/>
      <c r="I94"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94" s="4" t="str">
        <f>IFERROR(__xludf.DUMMYFUNCTION("""COMPUTED_VALUE"""),"")</f>
        <v/>
      </c>
      <c r="K94" s="4" t="str">
        <f>IFERROR(__xludf.DUMMYFUNCTION("""COMPUTED_VALUE"""),"")</f>
        <v/>
      </c>
      <c r="L94" s="4" t="str">
        <f>IFERROR(__xludf.DUMMYFUNCTION("""COMPUTED_VALUE"""),"David Herz")</f>
        <v>David Herz</v>
      </c>
    </row>
    <row r="95">
      <c r="B95" s="20" t="b">
        <f>IFERROR(__xludf.DUMMYFUNCTION("""COMPUTED_VALUE"""),FALSE)</f>
        <v>0</v>
      </c>
      <c r="C95" s="20" t="str">
        <f>IFERROR(__xludf.DUMMYFUNCTION("""COMPUTED_VALUE"""),"Google")</f>
        <v>Google</v>
      </c>
      <c r="D95" s="4">
        <f>IFERROR(__xludf.DUMMYFUNCTION("""COMPUTED_VALUE"""),5.0)</f>
        <v>5</v>
      </c>
      <c r="E95" s="19">
        <f>IFERROR(__xludf.DUMMYFUNCTION("""COMPUTED_VALUE"""),46095.0)</f>
        <v>46095</v>
      </c>
      <c r="F95"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95" s="4"/>
      <c r="H95" s="4"/>
      <c r="I95"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95" s="4" t="str">
        <f>IFERROR(__xludf.DUMMYFUNCTION("""COMPUTED_VALUE"""),"")</f>
        <v/>
      </c>
      <c r="K95" s="4" t="str">
        <f>IFERROR(__xludf.DUMMYFUNCTION("""COMPUTED_VALUE"""),"")</f>
        <v/>
      </c>
      <c r="L95" s="4" t="str">
        <f>IFERROR(__xludf.DUMMYFUNCTION("""COMPUTED_VALUE"""),"David Herz")</f>
        <v>David Herz</v>
      </c>
    </row>
    <row r="96">
      <c r="B96" s="20" t="b">
        <f>IFERROR(__xludf.DUMMYFUNCTION("""COMPUTED_VALUE"""),FALSE)</f>
        <v>0</v>
      </c>
      <c r="C96" s="18" t="str">
        <f>IFERROR(__xludf.DUMMYFUNCTION("""COMPUTED_VALUE"""),"Booking.com")</f>
        <v>Booking.com</v>
      </c>
      <c r="D96" s="4">
        <f>IFERROR(__xludf.DUMMYFUNCTION("""COMPUTED_VALUE"""),10.0)</f>
        <v>10</v>
      </c>
      <c r="E96" s="19">
        <f>IFERROR(__xludf.DUMMYFUNCTION("""COMPUTED_VALUE"""),46094.0)</f>
        <v>46094</v>
      </c>
      <c r="F96" s="4"/>
      <c r="G96" s="4" t="str">
        <f>IFERROR(__xludf.DUMMYFUNCTION("""COMPUTED_VALUE"""),"The staff is super nice and willing to help even at late night")</f>
        <v>The staff is super nice and willing to help even at late night</v>
      </c>
      <c r="H96" s="4"/>
      <c r="I96" s="4" t="str">
        <f>IFERROR(__xludf.DUMMYFUNCTION("""COMPUTED_VALUE"""),"")</f>
        <v/>
      </c>
      <c r="J96" s="4" t="str">
        <f>IFERROR(__xludf.DUMMYFUNCTION("""COMPUTED_VALUE"""),"スタッフはとても親切で、深夜でも快く手伝ってくれます。")</f>
        <v>スタッフはとても親切で、深夜でも快く手伝ってくれます。</v>
      </c>
      <c r="K96" s="4" t="str">
        <f>IFERROR(__xludf.DUMMYFUNCTION("""COMPUTED_VALUE"""),"")</f>
        <v/>
      </c>
      <c r="L96" s="4" t="str">
        <f>IFERROR(__xludf.DUMMYFUNCTION("""COMPUTED_VALUE"""),"Teen")</f>
        <v>Teen</v>
      </c>
    </row>
    <row r="97">
      <c r="B97" s="20" t="b">
        <f>IFERROR(__xludf.DUMMYFUNCTION("""COMPUTED_VALUE"""),FALSE)</f>
        <v>0</v>
      </c>
      <c r="C97" s="20" t="str">
        <f>IFERROR(__xludf.DUMMYFUNCTION("""COMPUTED_VALUE"""),"楽天トラベル")</f>
        <v>楽天トラベル</v>
      </c>
      <c r="D97" s="4">
        <f>IFERROR(__xludf.DUMMYFUNCTION("""COMPUTED_VALUE"""),5.0)</f>
        <v>5</v>
      </c>
      <c r="E97" s="19">
        <f>IFERROR(__xludf.DUMMYFUNCTION("""COMPUTED_VALUE"""),46094.0)</f>
        <v>46094</v>
      </c>
      <c r="F97" s="4" t="str">
        <f>IFERROR(__xludf.DUMMYFUNCTION("""COMPUTED_VALUE"""),"バイキングとても美味しかったです！     ")</f>
        <v>バイキングとても美味しかったです！     </v>
      </c>
      <c r="G97" s="4"/>
      <c r="H97" s="4"/>
      <c r="I97" s="4" t="str">
        <f>IFERROR(__xludf.DUMMYFUNCTION("""COMPUTED_VALUE"""),"バイキングとても美味しかったです！     ")</f>
        <v>バイキングとても美味しかったです！     </v>
      </c>
      <c r="J97" s="4" t="str">
        <f>IFERROR(__xludf.DUMMYFUNCTION("""COMPUTED_VALUE"""),"")</f>
        <v/>
      </c>
      <c r="K97" s="4" t="str">
        <f>IFERROR(__xludf.DUMMYFUNCTION("""COMPUTED_VALUE"""),"")</f>
        <v/>
      </c>
      <c r="L97" s="4" t="str">
        <f>IFERROR(__xludf.DUMMYFUNCTION("""COMPUTED_VALUE"""),"yuichi0503")</f>
        <v>yuichi0503</v>
      </c>
    </row>
    <row r="98">
      <c r="B98" s="20" t="b">
        <f>IFERROR(__xludf.DUMMYFUNCTION("""COMPUTED_VALUE"""),FALSE)</f>
        <v>0</v>
      </c>
      <c r="C98" s="18" t="str">
        <f>IFERROR(__xludf.DUMMYFUNCTION("""COMPUTED_VALUE"""),"Booking.com")</f>
        <v>Booking.com</v>
      </c>
      <c r="D98" s="4">
        <f>IFERROR(__xludf.DUMMYFUNCTION("""COMPUTED_VALUE"""),7.0)</f>
        <v>7</v>
      </c>
      <c r="E98" s="19">
        <f>IFERROR(__xludf.DUMMYFUNCTION("""COMPUTED_VALUE"""),46094.0)</f>
        <v>46094</v>
      </c>
      <c r="F98" s="4"/>
      <c r="G98" s="4" t="str">
        <f>IFERROR(__xludf.DUMMYFUNCTION("""COMPUTED_VALUE"""),"Very good location,  nice staff,")</f>
        <v>Very good location,  nice staff,</v>
      </c>
      <c r="H98" s="4" t="str">
        <f>IFERROR(__xludf.DUMMYFUNCTION("""COMPUTED_VALUE"""),"Too small, bathroom entrance too high")</f>
        <v>Too small, bathroom entrance too high</v>
      </c>
      <c r="I98" s="4" t="str">
        <f>IFERROR(__xludf.DUMMYFUNCTION("""COMPUTED_VALUE"""),"")</f>
        <v/>
      </c>
      <c r="J98" s="4" t="str">
        <f>IFERROR(__xludf.DUMMYFUNCTION("""COMPUTED_VALUE"""),"立地が非常に良く、スタッフも親切です。")</f>
        <v>立地が非常に良く、スタッフも親切です。</v>
      </c>
      <c r="K98" s="4" t="str">
        <f>IFERROR(__xludf.DUMMYFUNCTION("""COMPUTED_VALUE"""),"狭すぎる、浴室の入り口が高すぎる")</f>
        <v>狭すぎる、浴室の入り口が高すぎる</v>
      </c>
      <c r="L98" s="4" t="str">
        <f>IFERROR(__xludf.DUMMYFUNCTION("""COMPUTED_VALUE"""),"Yumiko")</f>
        <v>Yumiko</v>
      </c>
    </row>
    <row r="99">
      <c r="B99" s="20" t="b">
        <f>IFERROR(__xludf.DUMMYFUNCTION("""COMPUTED_VALUE"""),FALSE)</f>
        <v>0</v>
      </c>
      <c r="C99" s="18" t="str">
        <f>IFERROR(__xludf.DUMMYFUNCTION("""COMPUTED_VALUE"""),"Booking.com")</f>
        <v>Booking.com</v>
      </c>
      <c r="D99" s="4">
        <f>IFERROR(__xludf.DUMMYFUNCTION("""COMPUTED_VALUE"""),9.0)</f>
        <v>9</v>
      </c>
      <c r="E99" s="19">
        <f>IFERROR(__xludf.DUMMYFUNCTION("""COMPUTED_VALUE"""),46094.0)</f>
        <v>46094</v>
      </c>
      <c r="F99" s="4"/>
      <c r="G99" s="4" t="str">
        <f>IFERROR(__xludf.DUMMYFUNCTION("""COMPUTED_VALUE"""),"Breakfast was good, service staff was courteous and helpful.")</f>
        <v>Breakfast was good, service staff was courteous and helpful.</v>
      </c>
      <c r="H99"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99" s="4" t="str">
        <f>IFERROR(__xludf.DUMMYFUNCTION("""COMPUTED_VALUE"""),"")</f>
        <v/>
      </c>
      <c r="J99" s="4" t="str">
        <f>IFERROR(__xludf.DUMMYFUNCTION("""COMPUTED_VALUE"""),"朝食は美味しく、サービススタッフは礼儀正しく親切だった。")</f>
        <v>朝食は美味しく、サービススタッフは礼儀正しく親切だった。</v>
      </c>
      <c r="K99" s="4" t="str">
        <f>IFERROR(__xludf.DUMMYFUNCTION("""COMPUTED_VALUE"""),"浴室のドアの縁石が少し高すぎるため、浴室への出入り時に危険な場合があります。")</f>
        <v>浴室のドアの縁石が少し高すぎるため、浴室への出入り時に危険な場合があります。</v>
      </c>
      <c r="L99" s="4" t="str">
        <f>IFERROR(__xludf.DUMMYFUNCTION("""COMPUTED_VALUE"""),"Thomas")</f>
        <v>Thomas</v>
      </c>
    </row>
    <row r="100">
      <c r="B100" s="20" t="b">
        <f>IFERROR(__xludf.DUMMYFUNCTION("""COMPUTED_VALUE"""),FALSE)</f>
        <v>0</v>
      </c>
      <c r="C100" s="20" t="str">
        <f>IFERROR(__xludf.DUMMYFUNCTION("""COMPUTED_VALUE"""),"じゃらん")</f>
        <v>じゃらん</v>
      </c>
      <c r="D100" s="4">
        <f>IFERROR(__xludf.DUMMYFUNCTION("""COMPUTED_VALUE"""),4.0)</f>
        <v>4</v>
      </c>
      <c r="E100" s="19">
        <f>IFERROR(__xludf.DUMMYFUNCTION("""COMPUTED_VALUE"""),46093.0)</f>
        <v>46093</v>
      </c>
      <c r="F100"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00" s="4"/>
      <c r="H100" s="4"/>
      <c r="I100"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00" s="4" t="str">
        <f>IFERROR(__xludf.DUMMYFUNCTION("""COMPUTED_VALUE"""),"")</f>
        <v/>
      </c>
      <c r="K100" s="4" t="str">
        <f>IFERROR(__xludf.DUMMYFUNCTION("""COMPUTED_VALUE"""),"")</f>
        <v/>
      </c>
      <c r="L100" s="4" t="str">
        <f>IFERROR(__xludf.DUMMYFUNCTION("""COMPUTED_VALUE"""),"トラベラーさん")</f>
        <v>トラベラーさん</v>
      </c>
      <c r="N100" s="20" t="b">
        <f>IFERROR(__xludf.DUMMYFUNCTION("IMPORTRANGE(C3,Q2&amp;R2&amp;T3)"),FALSE)</f>
        <v>0</v>
      </c>
      <c r="O100" s="20" t="str">
        <f>IFERROR(__xludf.DUMMYFUNCTION("""COMPUTED_VALUE"""),"Google")</f>
        <v>Google</v>
      </c>
      <c r="P100" s="20">
        <f>IFERROR(__xludf.DUMMYFUNCTION("""COMPUTED_VALUE"""),4.0)</f>
        <v>4</v>
      </c>
      <c r="Q100" s="21">
        <f>IFERROR(__xludf.DUMMYFUNCTION("""COMPUTED_VALUE"""),46112.0)</f>
        <v>46112</v>
      </c>
      <c r="R100" s="20"/>
      <c r="S100" s="20"/>
      <c r="T100" s="20"/>
      <c r="U100" s="20" t="str">
        <f>IFERROR(__xludf.DUMMYFUNCTION("""COMPUTED_VALUE"""),"")</f>
        <v/>
      </c>
      <c r="V100" s="20" t="str">
        <f>IFERROR(__xludf.DUMMYFUNCTION("""COMPUTED_VALUE"""),"")</f>
        <v/>
      </c>
      <c r="W100" s="20" t="str">
        <f>IFERROR(__xludf.DUMMYFUNCTION("""COMPUTED_VALUE"""),"")</f>
        <v/>
      </c>
      <c r="X100" s="20" t="str">
        <f>IFERROR(__xludf.DUMMYFUNCTION("""COMPUTED_VALUE"""),"かわいかつひろ")</f>
        <v>かわいかつひろ</v>
      </c>
    </row>
    <row r="101">
      <c r="B101" s="20" t="b">
        <f>IFERROR(__xludf.DUMMYFUNCTION("""COMPUTED_VALUE"""),FALSE)</f>
        <v>0</v>
      </c>
      <c r="C101" s="18" t="str">
        <f>IFERROR(__xludf.DUMMYFUNCTION("""COMPUTED_VALUE"""),"Booking.com")</f>
        <v>Booking.com</v>
      </c>
      <c r="D101" s="4">
        <f>IFERROR(__xludf.DUMMYFUNCTION("""COMPUTED_VALUE"""),10.0)</f>
        <v>10</v>
      </c>
      <c r="E101" s="19">
        <f>IFERROR(__xludf.DUMMYFUNCTION("""COMPUTED_VALUE"""),46093.0)</f>
        <v>46093</v>
      </c>
      <c r="F101" s="4"/>
      <c r="G101"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01" s="4"/>
      <c r="I101" s="4" t="str">
        <f>IFERROR(__xludf.DUMMYFUNCTION("""COMPUTED_VALUE"""),"")</f>
        <v/>
      </c>
      <c r="J101" s="4"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K101" s="4" t="str">
        <f>IFERROR(__xludf.DUMMYFUNCTION("""COMPUTED_VALUE"""),"")</f>
        <v/>
      </c>
      <c r="L101" s="4" t="str">
        <f>IFERROR(__xludf.DUMMYFUNCTION("""COMPUTED_VALUE"""),"Alexander")</f>
        <v>Alexander</v>
      </c>
      <c r="N101" s="20" t="b">
        <f>IFERROR(__xludf.DUMMYFUNCTION("""COMPUTED_VALUE"""),FALSE)</f>
        <v>0</v>
      </c>
      <c r="O101" s="18" t="str">
        <f>IFERROR(__xludf.DUMMYFUNCTION("""COMPUTED_VALUE"""),"Trip.com")</f>
        <v>Trip.com</v>
      </c>
      <c r="P101" s="20">
        <f>IFERROR(__xludf.DUMMYFUNCTION("""COMPUTED_VALUE"""),10.0)</f>
        <v>10</v>
      </c>
      <c r="Q101" s="21">
        <f>IFERROR(__xludf.DUMMYFUNCTION("""COMPUTED_VALUE"""),46112.0)</f>
        <v>46112</v>
      </c>
      <c r="R101" s="20"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20"/>
      <c r="T101" s="20"/>
      <c r="U101" s="20"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20" t="str">
        <f>IFERROR(__xludf.DUMMYFUNCTION("""COMPUTED_VALUE"""),"")</f>
        <v/>
      </c>
      <c r="W101" s="20" t="str">
        <f>IFERROR(__xludf.DUMMYFUNCTION("""COMPUTED_VALUE"""),"")</f>
        <v/>
      </c>
      <c r="X101" s="20" t="str">
        <f>IFERROR(__xludf.DUMMYFUNCTION("""COMPUTED_VALUE"""),"S‍y‍a‍m‍r‍a‍t‍u‍l‍ ‍F‍u‍a‍d‍y")</f>
        <v>S‍y‍a‍m‍r‍a‍t‍u‍l‍ ‍F‍u‍a‍d‍y</v>
      </c>
    </row>
    <row r="102">
      <c r="B102" s="20" t="b">
        <f>IFERROR(__xludf.DUMMYFUNCTION("""COMPUTED_VALUE"""),FALSE)</f>
        <v>0</v>
      </c>
      <c r="C102" s="20" t="str">
        <f>IFERROR(__xludf.DUMMYFUNCTION("""COMPUTED_VALUE"""),"Agoda")</f>
        <v>Agoda</v>
      </c>
      <c r="D102" s="4">
        <f>IFERROR(__xludf.DUMMYFUNCTION("""COMPUTED_VALUE"""),6.0)</f>
        <v>6</v>
      </c>
      <c r="E102" s="19">
        <f>IFERROR(__xludf.DUMMYFUNCTION("""COMPUTED_VALUE"""),46092.0)</f>
        <v>46092</v>
      </c>
      <c r="F102" s="4" t="str">
        <f>IFERROR(__xludf.DUMMYFUNCTION("""COMPUTED_VALUE"""),"チェックインの応対が丁寧でよかったです。")</f>
        <v>チェックインの応対が丁寧でよかったです。</v>
      </c>
      <c r="G102" s="4"/>
      <c r="H102" s="4"/>
      <c r="I102" s="4" t="str">
        <f>IFERROR(__xludf.DUMMYFUNCTION("""COMPUTED_VALUE"""),"チェックインの応対が丁寧でよかったです。")</f>
        <v>チェックインの応対が丁寧でよかったです。</v>
      </c>
      <c r="J102" s="4" t="str">
        <f>IFERROR(__xludf.DUMMYFUNCTION("""COMPUTED_VALUE"""),"")</f>
        <v/>
      </c>
      <c r="K102" s="4" t="str">
        <f>IFERROR(__xludf.DUMMYFUNCTION("""COMPUTED_VALUE"""),"")</f>
        <v/>
      </c>
      <c r="L102" s="4" t="str">
        <f>IFERROR(__xludf.DUMMYFUNCTION("""COMPUTED_VALUE"""),"Kiyoshi")</f>
        <v>Kiyoshi</v>
      </c>
      <c r="N102" s="20" t="b">
        <f>IFERROR(__xludf.DUMMYFUNCTION("""COMPUTED_VALUE"""),FALSE)</f>
        <v>0</v>
      </c>
      <c r="O102" s="20" t="str">
        <f>IFERROR(__xludf.DUMMYFUNCTION("""COMPUTED_VALUE"""),"Agoda")</f>
        <v>Agoda</v>
      </c>
      <c r="P102" s="20">
        <f>IFERROR(__xludf.DUMMYFUNCTION("""COMPUTED_VALUE"""),8.0)</f>
        <v>8</v>
      </c>
      <c r="Q102" s="21">
        <f>IFERROR(__xludf.DUMMYFUNCTION("""COMPUTED_VALUE"""),46112.0)</f>
        <v>46112</v>
      </c>
      <c r="R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20"/>
      <c r="T102" s="20"/>
      <c r="U102" s="20"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20" t="str">
        <f>IFERROR(__xludf.DUMMYFUNCTION("""COMPUTED_VALUE"""),"")</f>
        <v/>
      </c>
      <c r="W102" s="20" t="str">
        <f>IFERROR(__xludf.DUMMYFUNCTION("""COMPUTED_VALUE"""),"")</f>
        <v/>
      </c>
      <c r="X102" s="20" t="str">
        <f>IFERROR(__xludf.DUMMYFUNCTION("""COMPUTED_VALUE"""),"一吉")</f>
        <v>一吉</v>
      </c>
    </row>
    <row r="103">
      <c r="B103" s="20" t="b">
        <f>IFERROR(__xludf.DUMMYFUNCTION("""COMPUTED_VALUE"""),FALSE)</f>
        <v>0</v>
      </c>
      <c r="C103" s="18" t="str">
        <f>IFERROR(__xludf.DUMMYFUNCTION("""COMPUTED_VALUE"""),"Trip.com")</f>
        <v>Trip.com</v>
      </c>
      <c r="D103" s="4">
        <f>IFERROR(__xludf.DUMMYFUNCTION("""COMPUTED_VALUE"""),10.0)</f>
        <v>10</v>
      </c>
      <c r="E103" s="19">
        <f>IFERROR(__xludf.DUMMYFUNCTION("""COMPUTED_VALUE"""),46092.0)</f>
        <v>46092</v>
      </c>
      <c r="F103" s="4" t="str">
        <f>IFERROR(__xludf.DUMMYFUNCTION("""COMPUTED_VALUE"""),"Very good kind people")</f>
        <v>Very good kind people</v>
      </c>
      <c r="G103" s="4"/>
      <c r="H103" s="4"/>
      <c r="I103" s="4" t="str">
        <f>IFERROR(__xludf.DUMMYFUNCTION("""COMPUTED_VALUE"""),"とても親切な人たち")</f>
        <v>とても親切な人たち</v>
      </c>
      <c r="J103" s="4" t="str">
        <f>IFERROR(__xludf.DUMMYFUNCTION("""COMPUTED_VALUE"""),"")</f>
        <v/>
      </c>
      <c r="K103" s="4" t="str">
        <f>IFERROR(__xludf.DUMMYFUNCTION("""COMPUTED_VALUE"""),"")</f>
        <v/>
      </c>
      <c r="L103" s="4" t="str">
        <f>IFERROR(__xludf.DUMMYFUNCTION("""COMPUTED_VALUE"""),"ゲ‍ス‍ト")</f>
        <v>ゲ‍ス‍ト</v>
      </c>
      <c r="N103" s="20" t="b">
        <f>IFERROR(__xludf.DUMMYFUNCTION("""COMPUTED_VALUE"""),FALSE)</f>
        <v>0</v>
      </c>
      <c r="O103" s="18" t="str">
        <f>IFERROR(__xludf.DUMMYFUNCTION("""COMPUTED_VALUE"""),"Booking.com")</f>
        <v>Booking.com</v>
      </c>
      <c r="P103" s="20">
        <f>IFERROR(__xludf.DUMMYFUNCTION("""COMPUTED_VALUE"""),3.0)</f>
        <v>3</v>
      </c>
      <c r="Q103" s="21">
        <f>IFERROR(__xludf.DUMMYFUNCTION("""COMPUTED_VALUE"""),46111.0)</f>
        <v>46111</v>
      </c>
      <c r="R103" s="20"/>
      <c r="S103" s="20"/>
      <c r="T103" s="20"/>
      <c r="U103" s="20" t="str">
        <f>IFERROR(__xludf.DUMMYFUNCTION("""COMPUTED_VALUE"""),"")</f>
        <v/>
      </c>
      <c r="V103" s="20" t="str">
        <f>IFERROR(__xludf.DUMMYFUNCTION("""COMPUTED_VALUE"""),"")</f>
        <v/>
      </c>
      <c r="W103" s="20" t="str">
        <f>IFERROR(__xludf.DUMMYFUNCTION("""COMPUTED_VALUE"""),"")</f>
        <v/>
      </c>
      <c r="X103" s="20" t="str">
        <f>IFERROR(__xludf.DUMMYFUNCTION("""COMPUTED_VALUE"""),"Yoshio")</f>
        <v>Yoshio</v>
      </c>
    </row>
    <row r="104">
      <c r="B104" s="20" t="b">
        <f>IFERROR(__xludf.DUMMYFUNCTION("""COMPUTED_VALUE"""),FALSE)</f>
        <v>0</v>
      </c>
      <c r="C104" s="18" t="str">
        <f>IFERROR(__xludf.DUMMYFUNCTION("""COMPUTED_VALUE"""),"Booking.com")</f>
        <v>Booking.com</v>
      </c>
      <c r="D104" s="4">
        <f>IFERROR(__xludf.DUMMYFUNCTION("""COMPUTED_VALUE"""),8.0)</f>
        <v>8</v>
      </c>
      <c r="E104" s="19">
        <f>IFERROR(__xludf.DUMMYFUNCTION("""COMPUTED_VALUE"""),46092.0)</f>
        <v>46092</v>
      </c>
      <c r="F104" s="4"/>
      <c r="G104" s="4" t="str">
        <f>IFERROR(__xludf.DUMMYFUNCTION("""COMPUTED_VALUE"""),"部屋が明るくきれいだった。")</f>
        <v>部屋が明るくきれいだった。</v>
      </c>
      <c r="H104" s="4" t="str">
        <f>IFERROR(__xludf.DUMMYFUNCTION("""COMPUTED_VALUE"""),"風呂が少し古い感じだった。")</f>
        <v>風呂が少し古い感じだった。</v>
      </c>
      <c r="I104" s="4" t="str">
        <f>IFERROR(__xludf.DUMMYFUNCTION("""COMPUTED_VALUE"""),"")</f>
        <v/>
      </c>
      <c r="J104" s="4" t="str">
        <f>IFERROR(__xludf.DUMMYFUNCTION("""COMPUTED_VALUE"""),"部屋が明るくきれいだった。")</f>
        <v>部屋が明るくきれいだった。</v>
      </c>
      <c r="K104" s="4" t="str">
        <f>IFERROR(__xludf.DUMMYFUNCTION("""COMPUTED_VALUE"""),"風呂が少し古い感じだった。")</f>
        <v>風呂が少し古い感じだった。</v>
      </c>
      <c r="L104" s="4" t="str">
        <f>IFERROR(__xludf.DUMMYFUNCTION("""COMPUTED_VALUE"""),"Takeo")</f>
        <v>Takeo</v>
      </c>
      <c r="N104" s="20" t="b">
        <f>IFERROR(__xludf.DUMMYFUNCTION("""COMPUTED_VALUE"""),FALSE)</f>
        <v>0</v>
      </c>
      <c r="O104" s="18" t="str">
        <f>IFERROR(__xludf.DUMMYFUNCTION("""COMPUTED_VALUE"""),"Trip.com")</f>
        <v>Trip.com</v>
      </c>
      <c r="P104" s="20">
        <f>IFERROR(__xludf.DUMMYFUNCTION("""COMPUTED_VALUE"""),10.0)</f>
        <v>10</v>
      </c>
      <c r="Q104" s="21">
        <f>IFERROR(__xludf.DUMMYFUNCTION("""COMPUTED_VALUE"""),46111.0)</f>
        <v>46111</v>
      </c>
      <c r="R104" s="20" t="str">
        <f>IFERROR(__xludf.DUMMYFUNCTION("""COMPUTED_VALUE"""),"👍👍👍👍👍")</f>
        <v>👍👍👍👍👍</v>
      </c>
      <c r="S104" s="20"/>
      <c r="T104" s="20"/>
      <c r="U104" s="20" t="str">
        <f>IFERROR(__xludf.DUMMYFUNCTION("""COMPUTED_VALUE"""),"👍👍👍👍👍")</f>
        <v>👍👍👍👍👍</v>
      </c>
      <c r="V104" s="20" t="str">
        <f>IFERROR(__xludf.DUMMYFUNCTION("""COMPUTED_VALUE"""),"")</f>
        <v/>
      </c>
      <c r="W104" s="20" t="str">
        <f>IFERROR(__xludf.DUMMYFUNCTION("""COMPUTED_VALUE"""),"")</f>
        <v/>
      </c>
      <c r="X104" s="20" t="str">
        <f>IFERROR(__xludf.DUMMYFUNCTION("""COMPUTED_VALUE"""),"ゲ‍ス‍ト")</f>
        <v>ゲ‍ス‍ト</v>
      </c>
    </row>
    <row r="105">
      <c r="B105" s="20" t="b">
        <f>IFERROR(__xludf.DUMMYFUNCTION("""COMPUTED_VALUE"""),FALSE)</f>
        <v>0</v>
      </c>
      <c r="C105" s="20" t="str">
        <f>IFERROR(__xludf.DUMMYFUNCTION("""COMPUTED_VALUE"""),"楽天トラベル")</f>
        <v>楽天トラベル</v>
      </c>
      <c r="D105" s="4">
        <f>IFERROR(__xludf.DUMMYFUNCTION("""COMPUTED_VALUE"""),3.0)</f>
        <v>3</v>
      </c>
      <c r="E105" s="19">
        <f>IFERROR(__xludf.DUMMYFUNCTION("""COMPUTED_VALUE"""),46092.0)</f>
        <v>46092</v>
      </c>
      <c r="F105" s="4" t="str">
        <f>IFERROR(__xludf.DUMMYFUNCTION("""COMPUTED_VALUE"""),"喫煙所がない。屋外設置もないため、喫煙者には辛いかも。")</f>
        <v>喫煙所がない。屋外設置もないため、喫煙者には辛いかも。</v>
      </c>
      <c r="G105" s="4"/>
      <c r="H105" s="4"/>
      <c r="I105" s="4" t="str">
        <f>IFERROR(__xludf.DUMMYFUNCTION("""COMPUTED_VALUE"""),"喫煙所がない。屋外設置もないため、喫煙者には辛いかも。")</f>
        <v>喫煙所がない。屋外設置もないため、喫煙者には辛いかも。</v>
      </c>
      <c r="J105" s="4" t="str">
        <f>IFERROR(__xludf.DUMMYFUNCTION("""COMPUTED_VALUE"""),"")</f>
        <v/>
      </c>
      <c r="K105" s="4" t="str">
        <f>IFERROR(__xludf.DUMMYFUNCTION("""COMPUTED_VALUE"""),"")</f>
        <v/>
      </c>
      <c r="L105" s="4" t="str">
        <f>IFERROR(__xludf.DUMMYFUNCTION("""COMPUTED_VALUE"""),"のり47076716")</f>
        <v>のり47076716</v>
      </c>
      <c r="N105" s="20" t="b">
        <f>IFERROR(__xludf.DUMMYFUNCTION("""COMPUTED_VALUE"""),FALSE)</f>
        <v>0</v>
      </c>
      <c r="O105" s="18" t="str">
        <f>IFERROR(__xludf.DUMMYFUNCTION("""COMPUTED_VALUE"""),"Booking.com")</f>
        <v>Booking.com</v>
      </c>
      <c r="P105" s="20">
        <f>IFERROR(__xludf.DUMMYFUNCTION("""COMPUTED_VALUE"""),8.0)</f>
        <v>8</v>
      </c>
      <c r="Q105" s="21">
        <f>IFERROR(__xludf.DUMMYFUNCTION("""COMPUTED_VALUE"""),46111.0)</f>
        <v>46111</v>
      </c>
      <c r="R105" s="20"/>
      <c r="S105" s="20"/>
      <c r="T105" s="20"/>
      <c r="U105" s="20" t="str">
        <f>IFERROR(__xludf.DUMMYFUNCTION("""COMPUTED_VALUE"""),"")</f>
        <v/>
      </c>
      <c r="V105" s="20" t="str">
        <f>IFERROR(__xludf.DUMMYFUNCTION("""COMPUTED_VALUE"""),"")</f>
        <v/>
      </c>
      <c r="W105" s="20" t="str">
        <f>IFERROR(__xludf.DUMMYFUNCTION("""COMPUTED_VALUE"""),"")</f>
        <v/>
      </c>
      <c r="X105" s="20" t="str">
        <f>IFERROR(__xludf.DUMMYFUNCTION("""COMPUTED_VALUE"""),"Diana")</f>
        <v>Diana</v>
      </c>
    </row>
    <row r="106">
      <c r="B106" s="20" t="b">
        <f>IFERROR(__xludf.DUMMYFUNCTION("""COMPUTED_VALUE"""),FALSE)</f>
        <v>0</v>
      </c>
      <c r="C106" s="20" t="str">
        <f>IFERROR(__xludf.DUMMYFUNCTION("""COMPUTED_VALUE"""),"Google")</f>
        <v>Google</v>
      </c>
      <c r="D106" s="4">
        <f>IFERROR(__xludf.DUMMYFUNCTION("""COMPUTED_VALUE"""),5.0)</f>
        <v>5</v>
      </c>
      <c r="E106" s="19">
        <f>IFERROR(__xludf.DUMMYFUNCTION("""COMPUTED_VALUE"""),46092.0)</f>
        <v>46092</v>
      </c>
      <c r="F106"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06" s="4"/>
      <c r="H106" s="4"/>
      <c r="I106"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06" s="4" t="str">
        <f>IFERROR(__xludf.DUMMYFUNCTION("""COMPUTED_VALUE"""),"")</f>
        <v/>
      </c>
      <c r="K106" s="4" t="str">
        <f>IFERROR(__xludf.DUMMYFUNCTION("""COMPUTED_VALUE"""),"")</f>
        <v/>
      </c>
      <c r="L106" s="4" t="str">
        <f>IFERROR(__xludf.DUMMYFUNCTION("""COMPUTED_VALUE"""),"Bernhard Ulbrich")</f>
        <v>Bernhard Ulbrich</v>
      </c>
      <c r="N106" s="20" t="b">
        <f>IFERROR(__xludf.DUMMYFUNCTION("""COMPUTED_VALUE"""),FALSE)</f>
        <v>0</v>
      </c>
      <c r="O106" s="20" t="str">
        <f>IFERROR(__xludf.DUMMYFUNCTION("""COMPUTED_VALUE"""),"じゃらん")</f>
        <v>じゃらん</v>
      </c>
      <c r="P106" s="20">
        <f>IFERROR(__xludf.DUMMYFUNCTION("""COMPUTED_VALUE"""),5.0)</f>
        <v>5</v>
      </c>
      <c r="Q106" s="21">
        <f>IFERROR(__xludf.DUMMYFUNCTION("""COMPUTED_VALUE"""),46111.0)</f>
        <v>46111</v>
      </c>
      <c r="R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20"/>
      <c r="T106" s="20"/>
      <c r="U106" s="20"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20" t="str">
        <f>IFERROR(__xludf.DUMMYFUNCTION("""COMPUTED_VALUE"""),"")</f>
        <v/>
      </c>
      <c r="W106" s="20" t="str">
        <f>IFERROR(__xludf.DUMMYFUNCTION("""COMPUTED_VALUE"""),"")</f>
        <v/>
      </c>
      <c r="X106" s="20" t="str">
        <f>IFERROR(__xludf.DUMMYFUNCTION("""COMPUTED_VALUE"""),"ぼらさん")</f>
        <v>ぼらさん</v>
      </c>
    </row>
    <row r="107">
      <c r="B107" s="20" t="b">
        <f>IFERROR(__xludf.DUMMYFUNCTION("""COMPUTED_VALUE"""),FALSE)</f>
        <v>0</v>
      </c>
      <c r="C107" s="20" t="str">
        <f>IFERROR(__xludf.DUMMYFUNCTION("""COMPUTED_VALUE"""),"じゃらん")</f>
        <v>じゃらん</v>
      </c>
      <c r="D107" s="4">
        <f>IFERROR(__xludf.DUMMYFUNCTION("""COMPUTED_VALUE"""),4.0)</f>
        <v>4</v>
      </c>
      <c r="E107" s="19">
        <f>IFERROR(__xludf.DUMMYFUNCTION("""COMPUTED_VALUE"""),46092.0)</f>
        <v>46092</v>
      </c>
      <c r="F107"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07" s="4"/>
      <c r="H107" s="4"/>
      <c r="I107"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07" s="4" t="str">
        <f>IFERROR(__xludf.DUMMYFUNCTION("""COMPUTED_VALUE"""),"")</f>
        <v/>
      </c>
      <c r="K107" s="4" t="str">
        <f>IFERROR(__xludf.DUMMYFUNCTION("""COMPUTED_VALUE"""),"")</f>
        <v/>
      </c>
      <c r="L107" s="4" t="str">
        <f>IFERROR(__xludf.DUMMYFUNCTION("""COMPUTED_VALUE"""),"まささん")</f>
        <v>まささん</v>
      </c>
      <c r="N107" s="20" t="b">
        <f>IFERROR(__xludf.DUMMYFUNCTION("""COMPUTED_VALUE"""),FALSE)</f>
        <v>0</v>
      </c>
      <c r="O107" s="20" t="str">
        <f>IFERROR(__xludf.DUMMYFUNCTION("""COMPUTED_VALUE"""),"じゃらん")</f>
        <v>じゃらん</v>
      </c>
      <c r="P107" s="20">
        <f>IFERROR(__xludf.DUMMYFUNCTION("""COMPUTED_VALUE"""),4.0)</f>
        <v>4</v>
      </c>
      <c r="Q107" s="21">
        <f>IFERROR(__xludf.DUMMYFUNCTION("""COMPUTED_VALUE"""),46111.0)</f>
        <v>46111</v>
      </c>
      <c r="R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20"/>
      <c r="T107" s="20"/>
      <c r="U107" s="20"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20" t="str">
        <f>IFERROR(__xludf.DUMMYFUNCTION("""COMPUTED_VALUE"""),"")</f>
        <v/>
      </c>
      <c r="W107" s="20" t="str">
        <f>IFERROR(__xludf.DUMMYFUNCTION("""COMPUTED_VALUE"""),"")</f>
        <v/>
      </c>
      <c r="X107" s="20" t="str">
        <f>IFERROR(__xludf.DUMMYFUNCTION("""COMPUTED_VALUE"""),"Yangさん")</f>
        <v>Yangさん</v>
      </c>
    </row>
    <row r="108">
      <c r="B108" s="20" t="b">
        <f>IFERROR(__xludf.DUMMYFUNCTION("""COMPUTED_VALUE"""),FALSE)</f>
        <v>0</v>
      </c>
      <c r="C108" s="20" t="str">
        <f>IFERROR(__xludf.DUMMYFUNCTION("""COMPUTED_VALUE"""),"Google")</f>
        <v>Google</v>
      </c>
      <c r="D108" s="4">
        <f>IFERROR(__xludf.DUMMYFUNCTION("""COMPUTED_VALUE"""),5.0)</f>
        <v>5</v>
      </c>
      <c r="E108" s="19">
        <f>IFERROR(__xludf.DUMMYFUNCTION("""COMPUTED_VALUE"""),46092.0)</f>
        <v>46092</v>
      </c>
      <c r="F108"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08" s="4"/>
      <c r="H108" s="4"/>
      <c r="I108"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08" s="4" t="str">
        <f>IFERROR(__xludf.DUMMYFUNCTION("""COMPUTED_VALUE"""),"")</f>
        <v/>
      </c>
      <c r="K108" s="4" t="str">
        <f>IFERROR(__xludf.DUMMYFUNCTION("""COMPUTED_VALUE"""),"")</f>
        <v/>
      </c>
      <c r="L108" s="4" t="str">
        <f>IFERROR(__xludf.DUMMYFUNCTION("""COMPUTED_VALUE"""),"Bernhard Ulbrich")</f>
        <v>Bernhard Ulbrich</v>
      </c>
      <c r="N108" s="20" t="b">
        <f>IFERROR(__xludf.DUMMYFUNCTION("""COMPUTED_VALUE"""),FALSE)</f>
        <v>0</v>
      </c>
      <c r="O108" s="20" t="str">
        <f>IFERROR(__xludf.DUMMYFUNCTION("""COMPUTED_VALUE"""),"じゃらん")</f>
        <v>じゃらん</v>
      </c>
      <c r="P108" s="20">
        <f>IFERROR(__xludf.DUMMYFUNCTION("""COMPUTED_VALUE"""),4.0)</f>
        <v>4</v>
      </c>
      <c r="Q108" s="21">
        <f>IFERROR(__xludf.DUMMYFUNCTION("""COMPUTED_VALUE"""),46111.0)</f>
        <v>46111</v>
      </c>
      <c r="R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20"/>
      <c r="T108" s="20"/>
      <c r="U108" s="20"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20" t="str">
        <f>IFERROR(__xludf.DUMMYFUNCTION("""COMPUTED_VALUE"""),"")</f>
        <v/>
      </c>
      <c r="W108" s="20" t="str">
        <f>IFERROR(__xludf.DUMMYFUNCTION("""COMPUTED_VALUE"""),"")</f>
        <v/>
      </c>
      <c r="X108" s="20" t="str">
        <f>IFERROR(__xludf.DUMMYFUNCTION("""COMPUTED_VALUE"""),"Yangさん")</f>
        <v>Yangさん</v>
      </c>
    </row>
    <row r="109">
      <c r="B109" s="20" t="b">
        <f>IFERROR(__xludf.DUMMYFUNCTION("""COMPUTED_VALUE"""),FALSE)</f>
        <v>0</v>
      </c>
      <c r="C109" s="20" t="str">
        <f>IFERROR(__xludf.DUMMYFUNCTION("""COMPUTED_VALUE"""),"Google")</f>
        <v>Google</v>
      </c>
      <c r="D109" s="4">
        <f>IFERROR(__xludf.DUMMYFUNCTION("""COMPUTED_VALUE"""),5.0)</f>
        <v>5</v>
      </c>
      <c r="E109" s="19">
        <f>IFERROR(__xludf.DUMMYFUNCTION("""COMPUTED_VALUE"""),46091.0)</f>
        <v>46091</v>
      </c>
      <c r="F109"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09" s="4"/>
      <c r="H109" s="4"/>
      <c r="I109"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09" s="4" t="str">
        <f>IFERROR(__xludf.DUMMYFUNCTION("""COMPUTED_VALUE"""),"")</f>
        <v/>
      </c>
      <c r="K109" s="4" t="str">
        <f>IFERROR(__xludf.DUMMYFUNCTION("""COMPUTED_VALUE"""),"")</f>
        <v/>
      </c>
      <c r="L109" s="4" t="str">
        <f>IFERROR(__xludf.DUMMYFUNCTION("""COMPUTED_VALUE"""),"アブドーラ林")</f>
        <v>アブドーラ林</v>
      </c>
      <c r="N109" s="20" t="b">
        <f>IFERROR(__xludf.DUMMYFUNCTION("""COMPUTED_VALUE"""),FALSE)</f>
        <v>0</v>
      </c>
      <c r="O109" s="20" t="str">
        <f>IFERROR(__xludf.DUMMYFUNCTION("""COMPUTED_VALUE"""),"じゃらん")</f>
        <v>じゃらん</v>
      </c>
      <c r="P109" s="20">
        <f>IFERROR(__xludf.DUMMYFUNCTION("""COMPUTED_VALUE"""),4.0)</f>
        <v>4</v>
      </c>
      <c r="Q109" s="21">
        <f>IFERROR(__xludf.DUMMYFUNCTION("""COMPUTED_VALUE"""),46111.0)</f>
        <v>46111</v>
      </c>
      <c r="R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20"/>
      <c r="T109" s="20"/>
      <c r="U109" s="20"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20" t="str">
        <f>IFERROR(__xludf.DUMMYFUNCTION("""COMPUTED_VALUE"""),"")</f>
        <v/>
      </c>
      <c r="W109" s="20" t="str">
        <f>IFERROR(__xludf.DUMMYFUNCTION("""COMPUTED_VALUE"""),"")</f>
        <v/>
      </c>
      <c r="X109" s="20" t="str">
        <f>IFERROR(__xludf.DUMMYFUNCTION("""COMPUTED_VALUE"""),"Yangさん")</f>
        <v>Yangさん</v>
      </c>
    </row>
    <row r="110">
      <c r="B110" s="20" t="b">
        <f>IFERROR(__xludf.DUMMYFUNCTION("""COMPUTED_VALUE"""),FALSE)</f>
        <v>0</v>
      </c>
      <c r="C110" s="18" t="str">
        <f>IFERROR(__xludf.DUMMYFUNCTION("""COMPUTED_VALUE"""),"Trip.com")</f>
        <v>Trip.com</v>
      </c>
      <c r="D110" s="4">
        <f>IFERROR(__xludf.DUMMYFUNCTION("""COMPUTED_VALUE"""),9.0)</f>
        <v>9</v>
      </c>
      <c r="E110" s="19">
        <f>IFERROR(__xludf.DUMMYFUNCTION("""COMPUTED_VALUE"""),46091.0)</f>
        <v>46091</v>
      </c>
      <c r="F110"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10" s="4"/>
      <c r="H110" s="4"/>
      <c r="I110"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10" s="4" t="str">
        <f>IFERROR(__xludf.DUMMYFUNCTION("""COMPUTED_VALUE"""),"")</f>
        <v/>
      </c>
      <c r="K110" s="4" t="str">
        <f>IFERROR(__xludf.DUMMYFUNCTION("""COMPUTED_VALUE"""),"")</f>
        <v/>
      </c>
      <c r="L110" s="4" t="str">
        <f>IFERROR(__xludf.DUMMYFUNCTION("""COMPUTED_VALUE"""),"た‍く‍ろ‍の‍楽‍し‍み‍か‍た‍☺‍️")</f>
        <v>た‍く‍ろ‍の‍楽‍し‍み‍か‍た‍☺‍️</v>
      </c>
      <c r="N110" s="20" t="b">
        <f>IFERROR(__xludf.DUMMYFUNCTION("""COMPUTED_VALUE"""),FALSE)</f>
        <v>0</v>
      </c>
      <c r="O110" s="18" t="str">
        <f>IFERROR(__xludf.DUMMYFUNCTION("""COMPUTED_VALUE"""),"Booking.com")</f>
        <v>Booking.com</v>
      </c>
      <c r="P110" s="20">
        <f>IFERROR(__xludf.DUMMYFUNCTION("""COMPUTED_VALUE"""),9.0)</f>
        <v>9</v>
      </c>
      <c r="Q110" s="21">
        <f>IFERROR(__xludf.DUMMYFUNCTION("""COMPUTED_VALUE"""),46110.0)</f>
        <v>46110</v>
      </c>
      <c r="R110" s="20"/>
      <c r="S110" s="20" t="str">
        <f>IFERROR(__xludf.DUMMYFUNCTION("""COMPUTED_VALUE"""),"Welcome coffee/tea availible in lobby, delicious breakfast with different smoothie everyday.")</f>
        <v>Welcome coffee/tea availible in lobby, delicious breakfast with different smoothie everyday.</v>
      </c>
      <c r="T110" s="20"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20" t="str">
        <f>IFERROR(__xludf.DUMMYFUNCTION("""COMPUTED_VALUE"""),"")</f>
        <v/>
      </c>
      <c r="V110" s="20"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W110" s="20"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20" t="str">
        <f>IFERROR(__xludf.DUMMYFUNCTION("""COMPUTED_VALUE"""),"Elysia")</f>
        <v>Elysia</v>
      </c>
    </row>
    <row r="111">
      <c r="B111" s="20" t="b">
        <f>IFERROR(__xludf.DUMMYFUNCTION("""COMPUTED_VALUE"""),FALSE)</f>
        <v>0</v>
      </c>
      <c r="C111" s="18" t="str">
        <f>IFERROR(__xludf.DUMMYFUNCTION("""COMPUTED_VALUE"""),"Booking.com")</f>
        <v>Booking.com</v>
      </c>
      <c r="D111" s="4">
        <f>IFERROR(__xludf.DUMMYFUNCTION("""COMPUTED_VALUE"""),8.0)</f>
        <v>8</v>
      </c>
      <c r="E111" s="19">
        <f>IFERROR(__xludf.DUMMYFUNCTION("""COMPUTED_VALUE"""),46091.0)</f>
        <v>46091</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IFERROR(__xludf.DUMMYFUNCTION("""COMPUTED_VALUE"""),"Minchun")</f>
        <v>Minchun</v>
      </c>
      <c r="N111" s="20" t="b">
        <f>IFERROR(__xludf.DUMMYFUNCTION("""COMPUTED_VALUE"""),FALSE)</f>
        <v>0</v>
      </c>
      <c r="O111" s="20" t="str">
        <f>IFERROR(__xludf.DUMMYFUNCTION("""COMPUTED_VALUE"""),"じゃらん")</f>
        <v>じゃらん</v>
      </c>
      <c r="P111" s="20">
        <f>IFERROR(__xludf.DUMMYFUNCTION("""COMPUTED_VALUE"""),4.0)</f>
        <v>4</v>
      </c>
      <c r="Q111" s="21">
        <f>IFERROR(__xludf.DUMMYFUNCTION("""COMPUTED_VALUE"""),46110.0)</f>
        <v>46110</v>
      </c>
      <c r="R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20"/>
      <c r="T111" s="20"/>
      <c r="U111" s="20"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20" t="str">
        <f>IFERROR(__xludf.DUMMYFUNCTION("""COMPUTED_VALUE"""),"")</f>
        <v/>
      </c>
      <c r="W111" s="20" t="str">
        <f>IFERROR(__xludf.DUMMYFUNCTION("""COMPUTED_VALUE"""),"")</f>
        <v/>
      </c>
      <c r="X111" s="20" t="str">
        <f>IFERROR(__xludf.DUMMYFUNCTION("""COMPUTED_VALUE"""),"しんちゃんさん")</f>
        <v>しんちゃんさん</v>
      </c>
    </row>
    <row r="112">
      <c r="B112" s="20" t="b">
        <f>IFERROR(__xludf.DUMMYFUNCTION("""COMPUTED_VALUE"""),FALSE)</f>
        <v>0</v>
      </c>
      <c r="C112" s="18" t="str">
        <f>IFERROR(__xludf.DUMMYFUNCTION("""COMPUTED_VALUE"""),"Trip.com")</f>
        <v>Trip.com</v>
      </c>
      <c r="D112" s="4">
        <f>IFERROR(__xludf.DUMMYFUNCTION("""COMPUTED_VALUE"""),9.0)</f>
        <v>9</v>
      </c>
      <c r="E112" s="19">
        <f>IFERROR(__xludf.DUMMYFUNCTION("""COMPUTED_VALUE"""),46090.0)</f>
        <v>46090</v>
      </c>
      <c r="F112" s="4" t="str">
        <f>IFERROR(__xludf.DUMMYFUNCTION("""COMPUTED_VALUE"""),"There is no problem.")</f>
        <v>There is no problem.</v>
      </c>
      <c r="G112" s="4"/>
      <c r="H112" s="4"/>
      <c r="I112" s="4" t="str">
        <f>IFERROR(__xludf.DUMMYFUNCTION("""COMPUTED_VALUE"""),"問題ありません。")</f>
        <v>問題ありません。</v>
      </c>
      <c r="J112" s="4" t="str">
        <f>IFERROR(__xludf.DUMMYFUNCTION("""COMPUTED_VALUE"""),"")</f>
        <v/>
      </c>
      <c r="K112" s="4" t="str">
        <f>IFERROR(__xludf.DUMMYFUNCTION("""COMPUTED_VALUE"""),"")</f>
        <v/>
      </c>
      <c r="L112" s="4" t="str">
        <f>IFERROR(__xludf.DUMMYFUNCTION("""COMPUTED_VALUE"""),"匿‍名‍ユ‍ー‍ザ‍ー")</f>
        <v>匿‍名‍ユ‍ー‍ザ‍ー</v>
      </c>
      <c r="N112" s="20" t="b">
        <f>IFERROR(__xludf.DUMMYFUNCTION("""COMPUTED_VALUE"""),FALSE)</f>
        <v>0</v>
      </c>
      <c r="O112" s="18" t="str">
        <f>IFERROR(__xludf.DUMMYFUNCTION("""COMPUTED_VALUE"""),"Booking.com")</f>
        <v>Booking.com</v>
      </c>
      <c r="P112" s="20">
        <f>IFERROR(__xludf.DUMMYFUNCTION("""COMPUTED_VALUE"""),8.0)</f>
        <v>8</v>
      </c>
      <c r="Q112" s="21">
        <f>IFERROR(__xludf.DUMMYFUNCTION("""COMPUTED_VALUE"""),46109.0)</f>
        <v>46109</v>
      </c>
      <c r="R112" s="20"/>
      <c r="S112" s="20" t="str">
        <f>IFERROR(__xludf.DUMMYFUNCTION("""COMPUTED_VALUE"""),"Staff were helpful and polite")</f>
        <v>Staff were helpful and polite</v>
      </c>
      <c r="T112" s="20" t="str">
        <f>IFERROR(__xludf.DUMMYFUNCTION("""COMPUTED_VALUE"""),"The elevator situation during checkout")</f>
        <v>The elevator situation during checkout</v>
      </c>
      <c r="U112" s="20" t="str">
        <f>IFERROR(__xludf.DUMMYFUNCTION("""COMPUTED_VALUE"""),"")</f>
        <v/>
      </c>
      <c r="V112" s="20" t="str">
        <f>IFERROR(__xludf.DUMMYFUNCTION("""COMPUTED_VALUE"""),"スタッフは親切で丁寧でした")</f>
        <v>スタッフは親切で丁寧でした</v>
      </c>
      <c r="W112" s="20" t="str">
        <f>IFERROR(__xludf.DUMMYFUNCTION("""COMPUTED_VALUE"""),"チェックアウト時のエレベーターの状況")</f>
        <v>チェックアウト時のエレベーターの状況</v>
      </c>
      <c r="X112" s="20" t="str">
        <f>IFERROR(__xludf.DUMMYFUNCTION("""COMPUTED_VALUE"""),"Cung")</f>
        <v>Cung</v>
      </c>
    </row>
    <row r="113">
      <c r="B113" s="20" t="b">
        <f>IFERROR(__xludf.DUMMYFUNCTION("""COMPUTED_VALUE"""),FALSE)</f>
        <v>0</v>
      </c>
      <c r="C113" s="18" t="str">
        <f>IFERROR(__xludf.DUMMYFUNCTION("""COMPUTED_VALUE"""),"Trip.com")</f>
        <v>Trip.com</v>
      </c>
      <c r="D113" s="4">
        <f>IFERROR(__xludf.DUMMYFUNCTION("""COMPUTED_VALUE"""),10.0)</f>
        <v>10</v>
      </c>
      <c r="E113" s="19">
        <f>IFERROR(__xludf.DUMMYFUNCTION("""COMPUTED_VALUE"""),46090.0)</f>
        <v>46090</v>
      </c>
      <c r="F113" s="4" t="str">
        <f>IFERROR(__xludf.DUMMYFUNCTION("""COMPUTED_VALUE"""),"Best location , excellent service, have tea and coffee corner, includes breakfast, the staffs are all helpful")</f>
        <v>Best location , excellent service, have tea and coffee corner, includes breakfast, the staffs are all helpful</v>
      </c>
      <c r="G113" s="4"/>
      <c r="H113" s="4"/>
      <c r="I113"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13" s="4" t="str">
        <f>IFERROR(__xludf.DUMMYFUNCTION("""COMPUTED_VALUE"""),"")</f>
        <v/>
      </c>
      <c r="K113" s="4" t="str">
        <f>IFERROR(__xludf.DUMMYFUNCTION("""COMPUTED_VALUE"""),"")</f>
        <v/>
      </c>
      <c r="L113" s="4" t="str">
        <f>IFERROR(__xludf.DUMMYFUNCTION("""COMPUTED_VALUE"""),"ゲ‍ス‍ト")</f>
        <v>ゲ‍ス‍ト</v>
      </c>
      <c r="N113" s="20" t="b">
        <f>IFERROR(__xludf.DUMMYFUNCTION("""COMPUTED_VALUE"""),FALSE)</f>
        <v>0</v>
      </c>
      <c r="O113" s="20" t="str">
        <f>IFERROR(__xludf.DUMMYFUNCTION("""COMPUTED_VALUE"""),"Agoda")</f>
        <v>Agoda</v>
      </c>
      <c r="P113" s="20">
        <f>IFERROR(__xludf.DUMMYFUNCTION("""COMPUTED_VALUE"""),10.0)</f>
        <v>10</v>
      </c>
      <c r="Q113" s="21">
        <f>IFERROR(__xludf.DUMMYFUNCTION("""COMPUTED_VALUE"""),46109.0)</f>
        <v>46109</v>
      </c>
      <c r="R113" s="20" t="str">
        <f>IFERROR(__xludf.DUMMYFUNCTION("""COMPUTED_VALUE"""),"駅から近くホテル全体的に清潔感があり、スタッフの対応や説明も良かったです")</f>
        <v>駅から近くホテル全体的に清潔感があり、スタッフの対応や説明も良かったです</v>
      </c>
      <c r="S113" s="20"/>
      <c r="T113" s="20"/>
      <c r="U113" s="20" t="str">
        <f>IFERROR(__xludf.DUMMYFUNCTION("""COMPUTED_VALUE"""),"駅から近くホテル全体的に清潔感があり、スタッフの対応や説明も良かったです")</f>
        <v>駅から近くホテル全体的に清潔感があり、スタッフの対応や説明も良かったです</v>
      </c>
      <c r="V113" s="20" t="str">
        <f>IFERROR(__xludf.DUMMYFUNCTION("""COMPUTED_VALUE"""),"")</f>
        <v/>
      </c>
      <c r="W113" s="20" t="str">
        <f>IFERROR(__xludf.DUMMYFUNCTION("""COMPUTED_VALUE"""),"")</f>
        <v/>
      </c>
      <c r="X113" s="20" t="str">
        <f>IFERROR(__xludf.DUMMYFUNCTION("""COMPUTED_VALUE"""),"Yoshio")</f>
        <v>Yoshio</v>
      </c>
    </row>
    <row r="114">
      <c r="B114" s="20" t="b">
        <f>IFERROR(__xludf.DUMMYFUNCTION("""COMPUTED_VALUE"""),FALSE)</f>
        <v>0</v>
      </c>
      <c r="C114" s="18" t="str">
        <f>IFERROR(__xludf.DUMMYFUNCTION("""COMPUTED_VALUE"""),"Booking.com")</f>
        <v>Booking.com</v>
      </c>
      <c r="D114" s="4">
        <f>IFERROR(__xludf.DUMMYFUNCTION("""COMPUTED_VALUE"""),10.0)</f>
        <v>10</v>
      </c>
      <c r="E114" s="19">
        <f>IFERROR(__xludf.DUMMYFUNCTION("""COMPUTED_VALUE"""),46090.0)</f>
        <v>46090</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IFERROR(__xludf.DUMMYFUNCTION("""COMPUTED_VALUE"""),"Marcela")</f>
        <v>Marcela</v>
      </c>
      <c r="N114" s="20" t="b">
        <f>IFERROR(__xludf.DUMMYFUNCTION("""COMPUTED_VALUE"""),FALSE)</f>
        <v>0</v>
      </c>
      <c r="O114" s="20" t="str">
        <f>IFERROR(__xludf.DUMMYFUNCTION("""COMPUTED_VALUE"""),"Agoda")</f>
        <v>Agoda</v>
      </c>
      <c r="P114" s="20">
        <f>IFERROR(__xludf.DUMMYFUNCTION("""COMPUTED_VALUE"""),7.0)</f>
        <v>7</v>
      </c>
      <c r="Q114" s="21">
        <f>IFERROR(__xludf.DUMMYFUNCTION("""COMPUTED_VALUE"""),46109.0)</f>
        <v>46109</v>
      </c>
      <c r="R114" s="20" t="str">
        <f>IFERROR(__xludf.DUMMYFUNCTION("""COMPUTED_VALUE"""),"利便性の良いエリアでした")</f>
        <v>利便性の良いエリアでした</v>
      </c>
      <c r="S114" s="20"/>
      <c r="T114" s="20"/>
      <c r="U114" s="20" t="str">
        <f>IFERROR(__xludf.DUMMYFUNCTION("""COMPUTED_VALUE"""),"利便性の良いエリアでした")</f>
        <v>利便性の良いエリアでした</v>
      </c>
      <c r="V114" s="20" t="str">
        <f>IFERROR(__xludf.DUMMYFUNCTION("""COMPUTED_VALUE"""),"")</f>
        <v/>
      </c>
      <c r="W114" s="20" t="str">
        <f>IFERROR(__xludf.DUMMYFUNCTION("""COMPUTED_VALUE"""),"")</f>
        <v/>
      </c>
      <c r="X114" s="20" t="str">
        <f>IFERROR(__xludf.DUMMYFUNCTION("""COMPUTED_VALUE"""),"kazuki")</f>
        <v>kazuki</v>
      </c>
    </row>
    <row r="115">
      <c r="B115" s="20" t="b">
        <f>IFERROR(__xludf.DUMMYFUNCTION("""COMPUTED_VALUE"""),FALSE)</f>
        <v>0</v>
      </c>
      <c r="C115" s="18" t="str">
        <f>IFERROR(__xludf.DUMMYFUNCTION("""COMPUTED_VALUE"""),"Booking.com")</f>
        <v>Booking.com</v>
      </c>
      <c r="D115" s="4">
        <f>IFERROR(__xludf.DUMMYFUNCTION("""COMPUTED_VALUE"""),8.0)</f>
        <v>8</v>
      </c>
      <c r="E115" s="19">
        <f>IFERROR(__xludf.DUMMYFUNCTION("""COMPUTED_VALUE"""),46090.0)</f>
        <v>46090</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IFERROR(__xludf.DUMMYFUNCTION("""COMPUTED_VALUE"""),"Tzuyao")</f>
        <v>Tzuyao</v>
      </c>
      <c r="N115" s="20" t="b">
        <f>IFERROR(__xludf.DUMMYFUNCTION("""COMPUTED_VALUE"""),FALSE)</f>
        <v>0</v>
      </c>
      <c r="O115" s="18" t="str">
        <f>IFERROR(__xludf.DUMMYFUNCTION("""COMPUTED_VALUE"""),"Booking.com")</f>
        <v>Booking.com</v>
      </c>
      <c r="P115" s="20">
        <f>IFERROR(__xludf.DUMMYFUNCTION("""COMPUTED_VALUE"""),9.0)</f>
        <v>9</v>
      </c>
      <c r="Q115" s="21">
        <f>IFERROR(__xludf.DUMMYFUNCTION("""COMPUTED_VALUE"""),46108.0)</f>
        <v>46108</v>
      </c>
      <c r="R115" s="20"/>
      <c r="S115" s="20"/>
      <c r="T115" s="20"/>
      <c r="U115" s="20" t="str">
        <f>IFERROR(__xludf.DUMMYFUNCTION("""COMPUTED_VALUE"""),"")</f>
        <v/>
      </c>
      <c r="V115" s="20" t="str">
        <f>IFERROR(__xludf.DUMMYFUNCTION("""COMPUTED_VALUE"""),"")</f>
        <v/>
      </c>
      <c r="W115" s="20" t="str">
        <f>IFERROR(__xludf.DUMMYFUNCTION("""COMPUTED_VALUE"""),"")</f>
        <v/>
      </c>
      <c r="X115" s="20" t="str">
        <f>IFERROR(__xludf.DUMMYFUNCTION("""COMPUTED_VALUE"""),"Lene")</f>
        <v>Lene</v>
      </c>
    </row>
    <row r="116">
      <c r="B116" s="20" t="b">
        <f>IFERROR(__xludf.DUMMYFUNCTION("""COMPUTED_VALUE"""),FALSE)</f>
        <v>0</v>
      </c>
      <c r="C116" s="18" t="str">
        <f>IFERROR(__xludf.DUMMYFUNCTION("""COMPUTED_VALUE"""),"Booking.com")</f>
        <v>Booking.com</v>
      </c>
      <c r="D116" s="4">
        <f>IFERROR(__xludf.DUMMYFUNCTION("""COMPUTED_VALUE"""),9.0)</f>
        <v>9</v>
      </c>
      <c r="E116" s="19">
        <f>IFERROR(__xludf.DUMMYFUNCTION("""COMPUTED_VALUE"""),46090.0)</f>
        <v>46090</v>
      </c>
      <c r="F116" s="4"/>
      <c r="G116"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16" s="4" t="str">
        <f>IFERROR(__xludf.DUMMYFUNCTION("""COMPUTED_VALUE"""),"Nothing")</f>
        <v>Nothing</v>
      </c>
      <c r="I116" s="4" t="str">
        <f>IFERROR(__xludf.DUMMYFUNCTION("""COMPUTED_VALUE"""),"")</f>
        <v/>
      </c>
      <c r="J116"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116" s="4" t="str">
        <f>IFERROR(__xludf.DUMMYFUNCTION("""COMPUTED_VALUE"""),"何もない")</f>
        <v>何もない</v>
      </c>
      <c r="L116" s="4" t="str">
        <f>IFERROR(__xludf.DUMMYFUNCTION("""COMPUTED_VALUE"""),"Robert")</f>
        <v>Robert</v>
      </c>
      <c r="N116" s="20" t="b">
        <f>IFERROR(__xludf.DUMMYFUNCTION("""COMPUTED_VALUE"""),FALSE)</f>
        <v>0</v>
      </c>
      <c r="O116" s="18" t="str">
        <f>IFERROR(__xludf.DUMMYFUNCTION("""COMPUTED_VALUE"""),"Trip.com")</f>
        <v>Trip.com</v>
      </c>
      <c r="P116" s="20">
        <f>IFERROR(__xludf.DUMMYFUNCTION("""COMPUTED_VALUE"""),9.0)</f>
        <v>9</v>
      </c>
      <c r="Q116" s="21">
        <f>IFERROR(__xludf.DUMMYFUNCTION("""COMPUTED_VALUE"""),46108.0)</f>
        <v>46108</v>
      </c>
      <c r="R116" s="20" t="str">
        <f>IFERROR(__xludf.DUMMYFUNCTION("""COMPUTED_VALUE"""),"Good location. Breakfast just nice.")</f>
        <v>Good location. Breakfast just nice.</v>
      </c>
      <c r="S116" s="20"/>
      <c r="T116" s="20"/>
      <c r="U116" s="20" t="str">
        <f>IFERROR(__xludf.DUMMYFUNCTION("""COMPUTED_VALUE"""),"立地が良い。朝食もまあまあ。")</f>
        <v>立地が良い。朝食もまあまあ。</v>
      </c>
      <c r="V116" s="20" t="str">
        <f>IFERROR(__xludf.DUMMYFUNCTION("""COMPUTED_VALUE"""),"")</f>
        <v/>
      </c>
      <c r="W116" s="20" t="str">
        <f>IFERROR(__xludf.DUMMYFUNCTION("""COMPUTED_VALUE"""),"")</f>
        <v/>
      </c>
      <c r="X116" s="20" t="str">
        <f>IFERROR(__xludf.DUMMYFUNCTION("""COMPUTED_VALUE"""),"ゲ‍ス‍ト")</f>
        <v>ゲ‍ス‍ト</v>
      </c>
    </row>
    <row r="117">
      <c r="B117" s="20" t="b">
        <f>IFERROR(__xludf.DUMMYFUNCTION("""COMPUTED_VALUE"""),FALSE)</f>
        <v>0</v>
      </c>
      <c r="C117" s="18" t="str">
        <f>IFERROR(__xludf.DUMMYFUNCTION("""COMPUTED_VALUE"""),"Booking.com")</f>
        <v>Booking.com</v>
      </c>
      <c r="D117" s="4">
        <f>IFERROR(__xludf.DUMMYFUNCTION("""COMPUTED_VALUE"""),8.0)</f>
        <v>8</v>
      </c>
      <c r="E117" s="19">
        <f>IFERROR(__xludf.DUMMYFUNCTION("""COMPUTED_VALUE"""),46090.0)</f>
        <v>46090</v>
      </c>
      <c r="F117" s="4"/>
      <c r="G117"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17" s="4"/>
      <c r="I117" s="4" t="str">
        <f>IFERROR(__xludf.DUMMYFUNCTION("""COMPUTED_VALUE"""),"")</f>
        <v/>
      </c>
      <c r="J117" s="4" t="str">
        <f>IFERROR(__xludf.DUMMYFUNCTION("""COMPUTED_VALUE"""),"駅と観光客向けのウォーキングストリートに近い。朝食付き。クイーンサイズベッド1台ではなく、ツインベッドなのでより広いスペースが確保できます。")</f>
        <v>駅と観光客向けのウォーキングストリートに近い。朝食付き。クイーンサイズベッド1台ではなく、ツインベッドなのでより広いスペースが確保できます。</v>
      </c>
      <c r="K117" s="4" t="str">
        <f>IFERROR(__xludf.DUMMYFUNCTION("""COMPUTED_VALUE"""),"")</f>
        <v/>
      </c>
      <c r="L117" s="4" t="str">
        <f>IFERROR(__xludf.DUMMYFUNCTION("""COMPUTED_VALUE"""),"Robert")</f>
        <v>Robert</v>
      </c>
      <c r="N117" s="20" t="b">
        <f>IFERROR(__xludf.DUMMYFUNCTION("""COMPUTED_VALUE"""),FALSE)</f>
        <v>0</v>
      </c>
      <c r="O117" s="18" t="str">
        <f>IFERROR(__xludf.DUMMYFUNCTION("""COMPUTED_VALUE"""),"Booking.com")</f>
        <v>Booking.com</v>
      </c>
      <c r="P117" s="20">
        <f>IFERROR(__xludf.DUMMYFUNCTION("""COMPUTED_VALUE"""),6.0)</f>
        <v>6</v>
      </c>
      <c r="Q117" s="21">
        <f>IFERROR(__xludf.DUMMYFUNCTION("""COMPUTED_VALUE"""),46107.0)</f>
        <v>46107</v>
      </c>
      <c r="R117" s="20"/>
      <c r="S117" s="20"/>
      <c r="T117" s="20"/>
      <c r="U117" s="20" t="str">
        <f>IFERROR(__xludf.DUMMYFUNCTION("""COMPUTED_VALUE"""),"")</f>
        <v/>
      </c>
      <c r="V117" s="20" t="str">
        <f>IFERROR(__xludf.DUMMYFUNCTION("""COMPUTED_VALUE"""),"")</f>
        <v/>
      </c>
      <c r="W117" s="20" t="str">
        <f>IFERROR(__xludf.DUMMYFUNCTION("""COMPUTED_VALUE"""),"")</f>
        <v/>
      </c>
      <c r="X117" s="20" t="str">
        <f>IFERROR(__xludf.DUMMYFUNCTION("""COMPUTED_VALUE"""),"Alessandra")</f>
        <v>Alessandra</v>
      </c>
    </row>
    <row r="118">
      <c r="B118" s="20" t="b">
        <f>IFERROR(__xludf.DUMMYFUNCTION("""COMPUTED_VALUE"""),FALSE)</f>
        <v>0</v>
      </c>
      <c r="C118" s="18" t="str">
        <f>IFERROR(__xludf.DUMMYFUNCTION("""COMPUTED_VALUE"""),"Booking.com")</f>
        <v>Booking.com</v>
      </c>
      <c r="D118" s="4">
        <f>IFERROR(__xludf.DUMMYFUNCTION("""COMPUTED_VALUE"""),10.0)</f>
        <v>10</v>
      </c>
      <c r="E118" s="19">
        <f>IFERROR(__xludf.DUMMYFUNCTION("""COMPUTED_VALUE"""),46089.0)</f>
        <v>46089</v>
      </c>
      <c r="F118" s="4"/>
      <c r="G118" s="4" t="str">
        <f>IFERROR(__xludf.DUMMYFUNCTION("""COMPUTED_VALUE"""),"とにかくお安く泊まれました。その上、無料で朝食が付いていて文句なし。")</f>
        <v>とにかくお安く泊まれました。その上、無料で朝食が付いていて文句なし。</v>
      </c>
      <c r="H118" s="4" t="str">
        <f>IFERROR(__xludf.DUMMYFUNCTION("""COMPUTED_VALUE"""),"ありません。")</f>
        <v>ありません。</v>
      </c>
      <c r="I118" s="4" t="str">
        <f>IFERROR(__xludf.DUMMYFUNCTION("""COMPUTED_VALUE"""),"")</f>
        <v/>
      </c>
      <c r="J118" s="4" t="str">
        <f>IFERROR(__xludf.DUMMYFUNCTION("""COMPUTED_VALUE"""),"とにかくお安く泊まれました。その上、無料で朝食が付いていて文句なし。")</f>
        <v>とにかくお安く泊まれました。その上、無料で朝食が付いていて文句なし。</v>
      </c>
      <c r="K118" s="4" t="str">
        <f>IFERROR(__xludf.DUMMYFUNCTION("""COMPUTED_VALUE"""),"ありません。")</f>
        <v>ありません。</v>
      </c>
      <c r="L118" s="4" t="str">
        <f>IFERROR(__xludf.DUMMYFUNCTION("""COMPUTED_VALUE"""),"Yasuhiro")</f>
        <v>Yasuhiro</v>
      </c>
      <c r="N118" s="20" t="b">
        <f>IFERROR(__xludf.DUMMYFUNCTION("""COMPUTED_VALUE"""),FALSE)</f>
        <v>0</v>
      </c>
      <c r="O118" s="18" t="str">
        <f>IFERROR(__xludf.DUMMYFUNCTION("""COMPUTED_VALUE"""),"Trip.com")</f>
        <v>Trip.com</v>
      </c>
      <c r="P118" s="20">
        <f>IFERROR(__xludf.DUMMYFUNCTION("""COMPUTED_VALUE"""),10.0)</f>
        <v>10</v>
      </c>
      <c r="Q118" s="21">
        <f>IFERROR(__xludf.DUMMYFUNCTION("""COMPUTED_VALUE"""),46107.0)</f>
        <v>46107</v>
      </c>
      <c r="R118" s="20" t="str">
        <f>IFERROR(__xludf.DUMMYFUNCTION("""COMPUTED_VALUE"""),"服務親切，協助辦理入住，設施完備，唯房間稍小，大行李沒空間！整體算不錯！")</f>
        <v>服務親切，協助辦理入住，設施完備，唯房間稍小，大行李沒空間！整體算不錯！</v>
      </c>
      <c r="S118" s="20"/>
      <c r="T118" s="20"/>
      <c r="U118" s="20"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20" t="str">
        <f>IFERROR(__xludf.DUMMYFUNCTION("""COMPUTED_VALUE"""),"")</f>
        <v/>
      </c>
      <c r="W118" s="20" t="str">
        <f>IFERROR(__xludf.DUMMYFUNCTION("""COMPUTED_VALUE"""),"")</f>
        <v/>
      </c>
      <c r="X118" s="20" t="str">
        <f>IFERROR(__xludf.DUMMYFUNCTION("""COMPUTED_VALUE"""),"ゲ‍ス‍ト")</f>
        <v>ゲ‍ス‍ト</v>
      </c>
    </row>
    <row r="119">
      <c r="D119" s="4"/>
      <c r="E119" s="4"/>
      <c r="F119" s="4"/>
      <c r="G119" s="4"/>
      <c r="H119" s="4"/>
      <c r="I119" s="4"/>
      <c r="J119" s="4"/>
      <c r="K119" s="4"/>
      <c r="L119" s="4"/>
      <c r="N119" s="20" t="b">
        <f>IFERROR(__xludf.DUMMYFUNCTION("""COMPUTED_VALUE"""),FALSE)</f>
        <v>0</v>
      </c>
      <c r="O119" s="18" t="str">
        <f>IFERROR(__xludf.DUMMYFUNCTION("""COMPUTED_VALUE"""),"Booking.com")</f>
        <v>Booking.com</v>
      </c>
      <c r="P119" s="20">
        <f>IFERROR(__xludf.DUMMYFUNCTION("""COMPUTED_VALUE"""),8.0)</f>
        <v>8</v>
      </c>
      <c r="Q119" s="21">
        <f>IFERROR(__xludf.DUMMYFUNCTION("""COMPUTED_VALUE"""),46107.0)</f>
        <v>46107</v>
      </c>
      <c r="R119" s="20"/>
      <c r="S119" s="20"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20" t="str">
        <f>IFERROR(__xludf.DUMMYFUNCTION("""COMPUTED_VALUE"""),"設施比較老舊但很整潔舒適！ 唯一不習慣的是廁所太小了，使用上比較不方便.")</f>
        <v>設施比較老舊但很整潔舒適！ 唯一不習慣的是廁所太小了，使用上比較不方便.</v>
      </c>
      <c r="U119" s="20" t="str">
        <f>IFERROR(__xludf.DUMMYFUNCTION("""COMPUTED_VALUE"""),"")</f>
        <v/>
      </c>
      <c r="V119" s="20"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20"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20" t="str">
        <f>IFERROR(__xludf.DUMMYFUNCTION("""COMPUTED_VALUE"""),"Szujen")</f>
        <v>Szujen</v>
      </c>
    </row>
    <row r="120">
      <c r="D120" s="4"/>
      <c r="E120" s="4"/>
      <c r="F120" s="4"/>
      <c r="G120" s="4"/>
      <c r="H120" s="4"/>
      <c r="I120" s="4"/>
      <c r="J120" s="4"/>
      <c r="K120" s="4"/>
      <c r="L120" s="4"/>
      <c r="N120" s="20" t="b">
        <f>IFERROR(__xludf.DUMMYFUNCTION("""COMPUTED_VALUE"""),FALSE)</f>
        <v>0</v>
      </c>
      <c r="O120" s="20" t="str">
        <f>IFERROR(__xludf.DUMMYFUNCTION("""COMPUTED_VALUE"""),"楽天トラベル")</f>
        <v>楽天トラベル</v>
      </c>
      <c r="P120" s="20">
        <f>IFERROR(__xludf.DUMMYFUNCTION("""COMPUTED_VALUE"""),5.0)</f>
        <v>5</v>
      </c>
      <c r="Q120" s="21">
        <f>IFERROR(__xludf.DUMMYFUNCTION("""COMPUTED_VALUE"""),46107.0)</f>
        <v>46107</v>
      </c>
      <c r="R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20"/>
      <c r="T120" s="20"/>
      <c r="U120" s="20"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20" t="str">
        <f>IFERROR(__xludf.DUMMYFUNCTION("""COMPUTED_VALUE"""),"")</f>
        <v/>
      </c>
      <c r="W120" s="20" t="str">
        <f>IFERROR(__xludf.DUMMYFUNCTION("""COMPUTED_VALUE"""),"")</f>
        <v/>
      </c>
      <c r="X120" s="20" t="str">
        <f>IFERROR(__xludf.DUMMYFUNCTION("""COMPUTED_VALUE"""),"さっぽろ南区")</f>
        <v>さっぽろ南区</v>
      </c>
    </row>
    <row r="121">
      <c r="D121" s="4"/>
      <c r="E121" s="4"/>
      <c r="F121" s="4"/>
      <c r="G121" s="4"/>
      <c r="H121" s="4"/>
      <c r="I121" s="4"/>
      <c r="J121" s="4"/>
      <c r="K121" s="4"/>
      <c r="L121" s="4"/>
      <c r="N121" s="20" t="b">
        <f>IFERROR(__xludf.DUMMYFUNCTION("""COMPUTED_VALUE"""),FALSE)</f>
        <v>0</v>
      </c>
      <c r="O121" s="20" t="str">
        <f>IFERROR(__xludf.DUMMYFUNCTION("""COMPUTED_VALUE"""),"Google")</f>
        <v>Google</v>
      </c>
      <c r="P121" s="20">
        <f>IFERROR(__xludf.DUMMYFUNCTION("""COMPUTED_VALUE"""),4.0)</f>
        <v>4</v>
      </c>
      <c r="Q121" s="21">
        <f>IFERROR(__xludf.DUMMYFUNCTION("""COMPUTED_VALUE"""),46107.0)</f>
        <v>46107</v>
      </c>
      <c r="R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20"/>
      <c r="T121" s="20"/>
      <c r="U121" s="20"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20" t="str">
        <f>IFERROR(__xludf.DUMMYFUNCTION("""COMPUTED_VALUE"""),"")</f>
        <v/>
      </c>
      <c r="W121" s="20" t="str">
        <f>IFERROR(__xludf.DUMMYFUNCTION("""COMPUTED_VALUE"""),"")</f>
        <v/>
      </c>
      <c r="X121" s="20" t="str">
        <f>IFERROR(__xludf.DUMMYFUNCTION("""COMPUTED_VALUE"""),"i d")</f>
        <v>i d</v>
      </c>
    </row>
    <row r="122">
      <c r="D122" s="4"/>
      <c r="E122" s="4"/>
      <c r="F122" s="4"/>
      <c r="G122" s="4"/>
      <c r="H122" s="4"/>
      <c r="I122" s="4"/>
      <c r="J122" s="4"/>
      <c r="K122" s="4"/>
      <c r="L122" s="4"/>
      <c r="N122" s="20" t="b">
        <f>IFERROR(__xludf.DUMMYFUNCTION("""COMPUTED_VALUE"""),FALSE)</f>
        <v>0</v>
      </c>
      <c r="O122" s="18" t="str">
        <f>IFERROR(__xludf.DUMMYFUNCTION("""COMPUTED_VALUE"""),"Booking.com")</f>
        <v>Booking.com</v>
      </c>
      <c r="P122" s="20">
        <f>IFERROR(__xludf.DUMMYFUNCTION("""COMPUTED_VALUE"""),8.0)</f>
        <v>8</v>
      </c>
      <c r="Q122" s="21">
        <f>IFERROR(__xludf.DUMMYFUNCTION("""COMPUTED_VALUE"""),46105.0)</f>
        <v>46105</v>
      </c>
      <c r="R122" s="20"/>
      <c r="S122" s="20" t="str">
        <f>IFERROR(__xludf.DUMMYFUNCTION("""COMPUTED_VALUE"""),"早餐好吃 房間夠寬 24小時的免費飲料吧很棒")</f>
        <v>早餐好吃 房間夠寬 24小時的免費飲料吧很棒</v>
      </c>
      <c r="T122" s="20" t="str">
        <f>IFERROR(__xludf.DUMMYFUNCTION("""COMPUTED_VALUE"""),"沒有洗烘衣設備")</f>
        <v>沒有洗烘衣設備</v>
      </c>
      <c r="U122" s="20" t="str">
        <f>IFERROR(__xludf.DUMMYFUNCTION("""COMPUTED_VALUE"""),"")</f>
        <v/>
      </c>
      <c r="V122" s="20"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20" t="str">
        <f>IFERROR(__xludf.DUMMYFUNCTION("""COMPUTED_VALUE"""),"洗濯乾燥機はありません")</f>
        <v>洗濯乾燥機はありません</v>
      </c>
      <c r="X122" s="20" t="str">
        <f>IFERROR(__xludf.DUMMYFUNCTION("""COMPUTED_VALUE"""),"Yilan")</f>
        <v>Yilan</v>
      </c>
    </row>
    <row r="123">
      <c r="D123" s="4"/>
      <c r="E123" s="4"/>
      <c r="F123" s="4"/>
      <c r="G123" s="4"/>
      <c r="H123" s="4"/>
      <c r="I123" s="4"/>
      <c r="J123" s="4"/>
      <c r="K123" s="4"/>
      <c r="L123" s="4"/>
      <c r="N123" s="20" t="b">
        <f>IFERROR(__xludf.DUMMYFUNCTION("""COMPUTED_VALUE"""),FALSE)</f>
        <v>0</v>
      </c>
      <c r="O123" s="18" t="str">
        <f>IFERROR(__xludf.DUMMYFUNCTION("""COMPUTED_VALUE"""),"Trip.com")</f>
        <v>Trip.com</v>
      </c>
      <c r="P123" s="20">
        <f>IFERROR(__xludf.DUMMYFUNCTION("""COMPUTED_VALUE"""),10.0)</f>
        <v>10</v>
      </c>
      <c r="Q123" s="21">
        <f>IFERROR(__xludf.DUMMYFUNCTION("""COMPUTED_VALUE"""),46105.0)</f>
        <v>46105</v>
      </c>
      <c r="R123" s="20"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20"/>
      <c r="T123" s="20"/>
      <c r="U123" s="20" t="str">
        <f>IFERROR(__xludf.DUMMYFUNCTION("""COMPUTED_VALUE"""),"立地が最高で、とても便利です。部屋は清潔で、周辺を観光するのも簡単です。")</f>
        <v>立地が最高で、とても便利です。部屋は清潔で、周辺を観光するのも簡単です。</v>
      </c>
      <c r="V123" s="20" t="str">
        <f>IFERROR(__xludf.DUMMYFUNCTION("""COMPUTED_VALUE"""),"")</f>
        <v/>
      </c>
      <c r="W123" s="20" t="str">
        <f>IFERROR(__xludf.DUMMYFUNCTION("""COMPUTED_VALUE"""),"")</f>
        <v/>
      </c>
      <c r="X123" s="20" t="str">
        <f>IFERROR(__xludf.DUMMYFUNCTION("""COMPUTED_VALUE"""),"T‍a‍t‍u‍m‍V‍8")</f>
        <v>T‍a‍t‍u‍m‍V‍8</v>
      </c>
    </row>
    <row r="124">
      <c r="D124" s="4"/>
      <c r="E124" s="4"/>
      <c r="F124" s="4"/>
      <c r="G124" s="4"/>
      <c r="H124" s="4"/>
      <c r="I124" s="4"/>
      <c r="J124" s="4"/>
      <c r="K124" s="4"/>
      <c r="L124" s="4"/>
      <c r="N124" s="20" t="b">
        <f>IFERROR(__xludf.DUMMYFUNCTION("""COMPUTED_VALUE"""),FALSE)</f>
        <v>0</v>
      </c>
      <c r="O124" s="20" t="str">
        <f>IFERROR(__xludf.DUMMYFUNCTION("""COMPUTED_VALUE"""),"楽天トラベル")</f>
        <v>楽天トラベル</v>
      </c>
      <c r="P124" s="20">
        <f>IFERROR(__xludf.DUMMYFUNCTION("""COMPUTED_VALUE"""),5.0)</f>
        <v>5</v>
      </c>
      <c r="Q124" s="21">
        <f>IFERROR(__xludf.DUMMYFUNCTION("""COMPUTED_VALUE"""),46105.0)</f>
        <v>46105</v>
      </c>
      <c r="R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20"/>
      <c r="T124" s="20"/>
      <c r="U124" s="20"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20" t="str">
        <f>IFERROR(__xludf.DUMMYFUNCTION("""COMPUTED_VALUE"""),"")</f>
        <v/>
      </c>
      <c r="W124" s="20" t="str">
        <f>IFERROR(__xludf.DUMMYFUNCTION("""COMPUTED_VALUE"""),"")</f>
        <v/>
      </c>
      <c r="X124" s="20" t="str">
        <f>IFERROR(__xludf.DUMMYFUNCTION("""COMPUTED_VALUE"""),"turbotnnkchoutokkyu02")</f>
        <v>turbotnnkchoutokkyu02</v>
      </c>
    </row>
    <row r="125">
      <c r="D125" s="4"/>
      <c r="E125" s="4"/>
      <c r="F125" s="4"/>
      <c r="G125" s="4"/>
      <c r="H125" s="4"/>
      <c r="I125" s="4"/>
      <c r="J125" s="4"/>
      <c r="K125" s="4"/>
      <c r="L125" s="4"/>
      <c r="N125" s="20" t="b">
        <f>IFERROR(__xludf.DUMMYFUNCTION("""COMPUTED_VALUE"""),FALSE)</f>
        <v>0</v>
      </c>
      <c r="O125" s="18" t="str">
        <f>IFERROR(__xludf.DUMMYFUNCTION("""COMPUTED_VALUE"""),"Booking.com")</f>
        <v>Booking.com</v>
      </c>
      <c r="P125" s="20">
        <f>IFERROR(__xludf.DUMMYFUNCTION("""COMPUTED_VALUE"""),8.0)</f>
        <v>8</v>
      </c>
      <c r="Q125" s="21">
        <f>IFERROR(__xludf.DUMMYFUNCTION("""COMPUTED_VALUE"""),46104.0)</f>
        <v>46104</v>
      </c>
      <c r="R125" s="20"/>
      <c r="S125" s="20"/>
      <c r="T125" s="20"/>
      <c r="U125" s="20" t="str">
        <f>IFERROR(__xludf.DUMMYFUNCTION("""COMPUTED_VALUE"""),"")</f>
        <v/>
      </c>
      <c r="V125" s="20" t="str">
        <f>IFERROR(__xludf.DUMMYFUNCTION("""COMPUTED_VALUE"""),"")</f>
        <v/>
      </c>
      <c r="W125" s="20" t="str">
        <f>IFERROR(__xludf.DUMMYFUNCTION("""COMPUTED_VALUE"""),"")</f>
        <v/>
      </c>
      <c r="X125" s="20" t="str">
        <f>IFERROR(__xludf.DUMMYFUNCTION("""COMPUTED_VALUE"""),"Dodang")</f>
        <v>Dodang</v>
      </c>
    </row>
    <row r="126">
      <c r="D126" s="4"/>
      <c r="E126" s="4"/>
      <c r="F126" s="4"/>
      <c r="G126" s="4"/>
      <c r="H126" s="4"/>
      <c r="I126" s="4"/>
      <c r="J126" s="4"/>
      <c r="K126" s="4"/>
      <c r="L126" s="4"/>
      <c r="N126" s="20" t="b">
        <f>IFERROR(__xludf.DUMMYFUNCTION("""COMPUTED_VALUE"""),FALSE)</f>
        <v>0</v>
      </c>
      <c r="O126" s="20" t="str">
        <f>IFERROR(__xludf.DUMMYFUNCTION("""COMPUTED_VALUE"""),"Google")</f>
        <v>Google</v>
      </c>
      <c r="P126" s="20">
        <f>IFERROR(__xludf.DUMMYFUNCTION("""COMPUTED_VALUE"""),3.0)</f>
        <v>3</v>
      </c>
      <c r="Q126" s="21">
        <f>IFERROR(__xludf.DUMMYFUNCTION("""COMPUTED_VALUE"""),46104.0)</f>
        <v>46104</v>
      </c>
      <c r="R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20"/>
      <c r="T126" s="20"/>
      <c r="U126" s="20"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20" t="str">
        <f>IFERROR(__xludf.DUMMYFUNCTION("""COMPUTED_VALUE"""),"")</f>
        <v/>
      </c>
      <c r="W126" s="20" t="str">
        <f>IFERROR(__xludf.DUMMYFUNCTION("""COMPUTED_VALUE"""),"")</f>
        <v/>
      </c>
      <c r="X126" s="20" t="str">
        <f>IFERROR(__xludf.DUMMYFUNCTION("""COMPUTED_VALUE"""),"A M")</f>
        <v>A M</v>
      </c>
    </row>
    <row r="127">
      <c r="D127" s="4"/>
      <c r="E127" s="4"/>
      <c r="F127" s="4"/>
      <c r="G127" s="4"/>
      <c r="H127" s="4"/>
      <c r="I127" s="4"/>
      <c r="J127" s="4"/>
      <c r="K127" s="4"/>
      <c r="L127" s="4"/>
      <c r="N127" s="20" t="b">
        <f>IFERROR(__xludf.DUMMYFUNCTION("""COMPUTED_VALUE"""),FALSE)</f>
        <v>0</v>
      </c>
      <c r="O127" s="18" t="str">
        <f>IFERROR(__xludf.DUMMYFUNCTION("""COMPUTED_VALUE"""),"Booking.com")</f>
        <v>Booking.com</v>
      </c>
      <c r="P127" s="20">
        <f>IFERROR(__xludf.DUMMYFUNCTION("""COMPUTED_VALUE"""),9.0)</f>
        <v>9</v>
      </c>
      <c r="Q127" s="21">
        <f>IFERROR(__xludf.DUMMYFUNCTION("""COMPUTED_VALUE"""),46103.0)</f>
        <v>46103</v>
      </c>
      <c r="R127" s="20"/>
      <c r="S127" s="20" t="str">
        <f>IFERROR(__xludf.DUMMYFUNCTION("""COMPUTED_VALUE"""),"Location")</f>
        <v>Location</v>
      </c>
      <c r="T127" s="20" t="str">
        <f>IFERROR(__xludf.DUMMYFUNCTION("""COMPUTED_VALUE"""),"None")</f>
        <v>None</v>
      </c>
      <c r="U127" s="20" t="str">
        <f>IFERROR(__xludf.DUMMYFUNCTION("""COMPUTED_VALUE"""),"")</f>
        <v/>
      </c>
      <c r="V127" s="20" t="str">
        <f>IFERROR(__xludf.DUMMYFUNCTION("""COMPUTED_VALUE"""),"位置")</f>
        <v>位置</v>
      </c>
      <c r="W127" s="20" t="str">
        <f>IFERROR(__xludf.DUMMYFUNCTION("""COMPUTED_VALUE"""),"なし")</f>
        <v>なし</v>
      </c>
      <c r="X127" s="20" t="str">
        <f>IFERROR(__xludf.DUMMYFUNCTION("""COMPUTED_VALUE"""),"Yifang")</f>
        <v>Yifang</v>
      </c>
    </row>
    <row r="128">
      <c r="D128" s="4"/>
      <c r="E128" s="4"/>
      <c r="F128" s="4"/>
      <c r="G128" s="4"/>
      <c r="H128" s="4"/>
      <c r="I128" s="4"/>
      <c r="J128" s="4"/>
      <c r="K128" s="4"/>
      <c r="L128" s="4"/>
      <c r="N128" s="20" t="b">
        <f>IFERROR(__xludf.DUMMYFUNCTION("""COMPUTED_VALUE"""),FALSE)</f>
        <v>0</v>
      </c>
      <c r="O128" s="20" t="str">
        <f>IFERROR(__xludf.DUMMYFUNCTION("""COMPUTED_VALUE"""),"Google")</f>
        <v>Google</v>
      </c>
      <c r="P128" s="20">
        <f>IFERROR(__xludf.DUMMYFUNCTION("""COMPUTED_VALUE"""),3.0)</f>
        <v>3</v>
      </c>
      <c r="Q128" s="21">
        <f>IFERROR(__xludf.DUMMYFUNCTION("""COMPUTED_VALUE"""),46103.0)</f>
        <v>46103</v>
      </c>
      <c r="R128" s="20"/>
      <c r="S128" s="20"/>
      <c r="T128" s="20"/>
      <c r="U128" s="20" t="str">
        <f>IFERROR(__xludf.DUMMYFUNCTION("""COMPUTED_VALUE"""),"")</f>
        <v/>
      </c>
      <c r="V128" s="20" t="str">
        <f>IFERROR(__xludf.DUMMYFUNCTION("""COMPUTED_VALUE"""),"")</f>
        <v/>
      </c>
      <c r="W128" s="20" t="str">
        <f>IFERROR(__xludf.DUMMYFUNCTION("""COMPUTED_VALUE"""),"")</f>
        <v/>
      </c>
      <c r="X128" s="20" t="str">
        <f>IFERROR(__xludf.DUMMYFUNCTION("""COMPUTED_VALUE"""),"ひろもと")</f>
        <v>ひろもと</v>
      </c>
    </row>
    <row r="129">
      <c r="D129" s="4"/>
      <c r="E129" s="4"/>
      <c r="F129" s="4"/>
      <c r="G129" s="4"/>
      <c r="H129" s="4"/>
      <c r="I129" s="4"/>
      <c r="J129" s="4"/>
      <c r="K129" s="4"/>
      <c r="L129" s="4"/>
      <c r="N129" s="20" t="b">
        <f>IFERROR(__xludf.DUMMYFUNCTION("""COMPUTED_VALUE"""),FALSE)</f>
        <v>0</v>
      </c>
      <c r="O129" s="18" t="str">
        <f>IFERROR(__xludf.DUMMYFUNCTION("""COMPUTED_VALUE"""),"Booking.com")</f>
        <v>Booking.com</v>
      </c>
      <c r="P129" s="20">
        <f>IFERROR(__xludf.DUMMYFUNCTION("""COMPUTED_VALUE"""),8.0)</f>
        <v>8</v>
      </c>
      <c r="Q129" s="21">
        <f>IFERROR(__xludf.DUMMYFUNCTION("""COMPUTED_VALUE"""),46103.0)</f>
        <v>46103</v>
      </c>
      <c r="R129" s="20"/>
      <c r="S129" s="20"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20"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20" t="str">
        <f>IFERROR(__xludf.DUMMYFUNCTION("""COMPUTED_VALUE"""),"")</f>
        <v/>
      </c>
      <c r="V129" s="20"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20"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20" t="str">
        <f>IFERROR(__xludf.DUMMYFUNCTION("""COMPUTED_VALUE"""),"Suzanne")</f>
        <v>Suzanne</v>
      </c>
    </row>
    <row r="130">
      <c r="D130" s="4"/>
      <c r="E130" s="4"/>
      <c r="F130" s="4"/>
      <c r="G130" s="4"/>
      <c r="H130" s="4"/>
      <c r="I130" s="4"/>
      <c r="J130" s="4"/>
      <c r="K130" s="4"/>
      <c r="L130" s="4"/>
      <c r="N130" s="20" t="b">
        <f>IFERROR(__xludf.DUMMYFUNCTION("""COMPUTED_VALUE"""),FALSE)</f>
        <v>0</v>
      </c>
      <c r="O130" s="20" t="str">
        <f>IFERROR(__xludf.DUMMYFUNCTION("""COMPUTED_VALUE"""),"じゃらん")</f>
        <v>じゃらん</v>
      </c>
      <c r="P130" s="20">
        <f>IFERROR(__xludf.DUMMYFUNCTION("""COMPUTED_VALUE"""),5.0)</f>
        <v>5</v>
      </c>
      <c r="Q130" s="21">
        <f>IFERROR(__xludf.DUMMYFUNCTION("""COMPUTED_VALUE"""),46103.0)</f>
        <v>46103</v>
      </c>
      <c r="R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20"/>
      <c r="T130" s="20"/>
      <c r="U130" s="20"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20" t="str">
        <f>IFERROR(__xludf.DUMMYFUNCTION("""COMPUTED_VALUE"""),"")</f>
        <v/>
      </c>
      <c r="W130" s="20" t="str">
        <f>IFERROR(__xludf.DUMMYFUNCTION("""COMPUTED_VALUE"""),"")</f>
        <v/>
      </c>
      <c r="X130" s="20" t="str">
        <f>IFERROR(__xludf.DUMMYFUNCTION("""COMPUTED_VALUE"""),"まっつんさん")</f>
        <v>まっつんさん</v>
      </c>
    </row>
    <row r="131">
      <c r="D131" s="4"/>
      <c r="E131" s="4"/>
      <c r="F131" s="4"/>
      <c r="G131" s="4"/>
      <c r="H131" s="4"/>
      <c r="I131" s="4"/>
      <c r="J131" s="4"/>
      <c r="K131" s="4"/>
      <c r="L131" s="4"/>
      <c r="N131" s="20" t="b">
        <f>IFERROR(__xludf.DUMMYFUNCTION("""COMPUTED_VALUE"""),FALSE)</f>
        <v>0</v>
      </c>
      <c r="O131" s="20" t="str">
        <f>IFERROR(__xludf.DUMMYFUNCTION("""COMPUTED_VALUE"""),"Agoda")</f>
        <v>Agoda</v>
      </c>
      <c r="P131" s="20">
        <f>IFERROR(__xludf.DUMMYFUNCTION("""COMPUTED_VALUE"""),6.0)</f>
        <v>6</v>
      </c>
      <c r="Q131" s="21">
        <f>IFERROR(__xludf.DUMMYFUNCTION("""COMPUTED_VALUE"""),46102.0)</f>
        <v>46102</v>
      </c>
      <c r="R131" s="20" t="str">
        <f>IFERROR(__xludf.DUMMYFUNCTION("""COMPUTED_VALUE"""),"エアコンが暖房しかなくて　つらかった 両方あれば　幸いでした(^_^;)")</f>
        <v>エアコンが暖房しかなくて　つらかった 両方あれば　幸いでした(^_^;)</v>
      </c>
      <c r="S131" s="20"/>
      <c r="T131" s="20"/>
      <c r="U131" s="20" t="str">
        <f>IFERROR(__xludf.DUMMYFUNCTION("""COMPUTED_VALUE"""),"エアコンが暖房しかなくて　つらかった 両方あれば　幸いでした(^_^;)")</f>
        <v>エアコンが暖房しかなくて　つらかった 両方あれば　幸いでした(^_^;)</v>
      </c>
      <c r="V131" s="20" t="str">
        <f>IFERROR(__xludf.DUMMYFUNCTION("""COMPUTED_VALUE"""),"")</f>
        <v/>
      </c>
      <c r="W131" s="20" t="str">
        <f>IFERROR(__xludf.DUMMYFUNCTION("""COMPUTED_VALUE"""),"")</f>
        <v/>
      </c>
      <c r="X131" s="20" t="str">
        <f>IFERROR(__xludf.DUMMYFUNCTION("""COMPUTED_VALUE"""),"寿美子")</f>
        <v>寿美子</v>
      </c>
    </row>
    <row r="132">
      <c r="D132" s="4"/>
      <c r="E132" s="4"/>
      <c r="F132" s="4"/>
      <c r="G132" s="4"/>
      <c r="H132" s="4"/>
      <c r="I132" s="4"/>
      <c r="J132" s="4"/>
      <c r="K132" s="4"/>
      <c r="L132" s="4"/>
      <c r="N132" s="20" t="b">
        <f>IFERROR(__xludf.DUMMYFUNCTION("""COMPUTED_VALUE"""),FALSE)</f>
        <v>0</v>
      </c>
      <c r="O132" s="20" t="str">
        <f>IFERROR(__xludf.DUMMYFUNCTION("""COMPUTED_VALUE"""),"楽天トラベル")</f>
        <v>楽天トラベル</v>
      </c>
      <c r="P132" s="20">
        <f>IFERROR(__xludf.DUMMYFUNCTION("""COMPUTED_VALUE"""),5.0)</f>
        <v>5</v>
      </c>
      <c r="Q132" s="21">
        <f>IFERROR(__xludf.DUMMYFUNCTION("""COMPUTED_VALUE"""),46102.0)</f>
        <v>46102</v>
      </c>
      <c r="R132" s="20" t="str">
        <f>IFERROR(__xludf.DUMMYFUNCTION("""COMPUTED_VALUE"""),"受付時、とても親切なご案内でした。ありがとうございます。")</f>
        <v>受付時、とても親切なご案内でした。ありがとうございます。</v>
      </c>
      <c r="S132" s="20"/>
      <c r="T132" s="20"/>
      <c r="U132" s="20" t="str">
        <f>IFERROR(__xludf.DUMMYFUNCTION("""COMPUTED_VALUE"""),"受付時、とても親切なご案内でした。ありがとうございます。")</f>
        <v>受付時、とても親切なご案内でした。ありがとうございます。</v>
      </c>
      <c r="V132" s="20" t="str">
        <f>IFERROR(__xludf.DUMMYFUNCTION("""COMPUTED_VALUE"""),"")</f>
        <v/>
      </c>
      <c r="W132" s="20" t="str">
        <f>IFERROR(__xludf.DUMMYFUNCTION("""COMPUTED_VALUE"""),"")</f>
        <v/>
      </c>
      <c r="X132" s="20" t="str">
        <f>IFERROR(__xludf.DUMMYFUNCTION("""COMPUTED_VALUE"""),"fisher1091")</f>
        <v>fisher1091</v>
      </c>
    </row>
    <row r="133">
      <c r="D133" s="4"/>
      <c r="E133" s="4"/>
      <c r="F133" s="4"/>
      <c r="G133" s="4"/>
      <c r="H133" s="4"/>
      <c r="I133" s="4"/>
      <c r="J133" s="4"/>
      <c r="K133" s="4"/>
      <c r="L133" s="4"/>
      <c r="N133" s="20" t="b">
        <f>IFERROR(__xludf.DUMMYFUNCTION("""COMPUTED_VALUE"""),FALSE)</f>
        <v>0</v>
      </c>
      <c r="O133" s="20" t="str">
        <f>IFERROR(__xludf.DUMMYFUNCTION("""COMPUTED_VALUE"""),"楽天トラベル")</f>
        <v>楽天トラベル</v>
      </c>
      <c r="P133" s="20">
        <f>IFERROR(__xludf.DUMMYFUNCTION("""COMPUTED_VALUE"""),5.0)</f>
        <v>5</v>
      </c>
      <c r="Q133" s="21">
        <f>IFERROR(__xludf.DUMMYFUNCTION("""COMPUTED_VALUE"""),46102.0)</f>
        <v>46102</v>
      </c>
      <c r="R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20"/>
      <c r="T133" s="20"/>
      <c r="U133" s="20"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20" t="str">
        <f>IFERROR(__xludf.DUMMYFUNCTION("""COMPUTED_VALUE"""),"")</f>
        <v/>
      </c>
      <c r="W133" s="20" t="str">
        <f>IFERROR(__xludf.DUMMYFUNCTION("""COMPUTED_VALUE"""),"")</f>
        <v/>
      </c>
      <c r="X133" s="20" t="str">
        <f>IFERROR(__xludf.DUMMYFUNCTION("""COMPUTED_VALUE"""),"はるるにゃん")</f>
        <v>はるるにゃん</v>
      </c>
    </row>
    <row r="134">
      <c r="D134" s="4"/>
      <c r="E134" s="4"/>
      <c r="F134" s="4"/>
      <c r="G134" s="4"/>
      <c r="H134" s="4"/>
      <c r="I134" s="4"/>
      <c r="J134" s="4"/>
      <c r="K134" s="4"/>
      <c r="L134" s="4"/>
      <c r="N134" s="20" t="b">
        <f>IFERROR(__xludf.DUMMYFUNCTION("""COMPUTED_VALUE"""),FALSE)</f>
        <v>0</v>
      </c>
      <c r="O134" s="20" t="str">
        <f>IFERROR(__xludf.DUMMYFUNCTION("""COMPUTED_VALUE"""),"楽天トラベル")</f>
        <v>楽天トラベル</v>
      </c>
      <c r="P134" s="20">
        <f>IFERROR(__xludf.DUMMYFUNCTION("""COMPUTED_VALUE"""),5.0)</f>
        <v>5</v>
      </c>
      <c r="Q134" s="21">
        <f>IFERROR(__xludf.DUMMYFUNCTION("""COMPUTED_VALUE"""),46102.0)</f>
        <v>46102</v>
      </c>
      <c r="R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20"/>
      <c r="T134" s="20"/>
      <c r="U134" s="20"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20" t="str">
        <f>IFERROR(__xludf.DUMMYFUNCTION("""COMPUTED_VALUE"""),"")</f>
        <v/>
      </c>
      <c r="W134" s="20" t="str">
        <f>IFERROR(__xludf.DUMMYFUNCTION("""COMPUTED_VALUE"""),"")</f>
        <v/>
      </c>
      <c r="X134" s="20" t="str">
        <f>IFERROR(__xludf.DUMMYFUNCTION("""COMPUTED_VALUE"""),"不明")</f>
        <v>不明</v>
      </c>
    </row>
    <row r="135">
      <c r="D135" s="4"/>
      <c r="E135" s="4"/>
      <c r="F135" s="4"/>
      <c r="G135" s="4"/>
      <c r="H135" s="4"/>
      <c r="I135" s="4"/>
      <c r="J135" s="4"/>
      <c r="K135" s="4"/>
      <c r="L135" s="4"/>
      <c r="N135" s="20" t="b">
        <f>IFERROR(__xludf.DUMMYFUNCTION("""COMPUTED_VALUE"""),FALSE)</f>
        <v>0</v>
      </c>
      <c r="O135" s="20" t="str">
        <f>IFERROR(__xludf.DUMMYFUNCTION("""COMPUTED_VALUE"""),"楽天トラベル")</f>
        <v>楽天トラベル</v>
      </c>
      <c r="P135" s="20">
        <f>IFERROR(__xludf.DUMMYFUNCTION("""COMPUTED_VALUE"""),4.0)</f>
        <v>4</v>
      </c>
      <c r="Q135" s="21">
        <f>IFERROR(__xludf.DUMMYFUNCTION("""COMPUTED_VALUE"""),46102.0)</f>
        <v>46102</v>
      </c>
      <c r="R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20"/>
      <c r="T135" s="20"/>
      <c r="U135" s="20"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20" t="str">
        <f>IFERROR(__xludf.DUMMYFUNCTION("""COMPUTED_VALUE"""),"")</f>
        <v/>
      </c>
      <c r="W135" s="20" t="str">
        <f>IFERROR(__xludf.DUMMYFUNCTION("""COMPUTED_VALUE"""),"")</f>
        <v/>
      </c>
      <c r="X135" s="20" t="str">
        <f>IFERROR(__xludf.DUMMYFUNCTION("""COMPUTED_VALUE"""),"かず26661041")</f>
        <v>かず26661041</v>
      </c>
    </row>
    <row r="136">
      <c r="D136" s="4"/>
      <c r="E136" s="4"/>
      <c r="F136" s="4"/>
      <c r="G136" s="4"/>
      <c r="H136" s="4"/>
      <c r="I136" s="4"/>
      <c r="J136" s="4"/>
      <c r="K136" s="4"/>
      <c r="L136" s="4"/>
      <c r="N136" s="20" t="b">
        <f>IFERROR(__xludf.DUMMYFUNCTION("""COMPUTED_VALUE"""),FALSE)</f>
        <v>0</v>
      </c>
      <c r="O136" s="20" t="str">
        <f>IFERROR(__xludf.DUMMYFUNCTION("""COMPUTED_VALUE"""),"楽天トラベル")</f>
        <v>楽天トラベル</v>
      </c>
      <c r="P136" s="20">
        <f>IFERROR(__xludf.DUMMYFUNCTION("""COMPUTED_VALUE"""),5.0)</f>
        <v>5</v>
      </c>
      <c r="Q136" s="21">
        <f>IFERROR(__xludf.DUMMYFUNCTION("""COMPUTED_VALUE"""),46101.0)</f>
        <v>46101</v>
      </c>
      <c r="R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20"/>
      <c r="T136" s="20"/>
      <c r="U136" s="20"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20" t="str">
        <f>IFERROR(__xludf.DUMMYFUNCTION("""COMPUTED_VALUE"""),"")</f>
        <v/>
      </c>
      <c r="W136" s="20" t="str">
        <f>IFERROR(__xludf.DUMMYFUNCTION("""COMPUTED_VALUE"""),"")</f>
        <v/>
      </c>
      <c r="X136" s="20" t="str">
        <f>IFERROR(__xludf.DUMMYFUNCTION("""COMPUTED_VALUE"""),"hurry５１")</f>
        <v>hurry５１</v>
      </c>
    </row>
    <row r="137">
      <c r="D137" s="4"/>
      <c r="E137" s="4"/>
      <c r="F137" s="4"/>
      <c r="G137" s="4"/>
      <c r="H137" s="4"/>
      <c r="I137" s="4"/>
      <c r="J137" s="4"/>
      <c r="K137" s="4"/>
      <c r="L137" s="4"/>
      <c r="N137" s="20" t="b">
        <f>IFERROR(__xludf.DUMMYFUNCTION("""COMPUTED_VALUE"""),FALSE)</f>
        <v>0</v>
      </c>
      <c r="O137" s="18" t="str">
        <f>IFERROR(__xludf.DUMMYFUNCTION("""COMPUTED_VALUE"""),"Booking.com")</f>
        <v>Booking.com</v>
      </c>
      <c r="P137" s="20">
        <f>IFERROR(__xludf.DUMMYFUNCTION("""COMPUTED_VALUE"""),10.0)</f>
        <v>10</v>
      </c>
      <c r="Q137" s="21">
        <f>IFERROR(__xludf.DUMMYFUNCTION("""COMPUTED_VALUE"""),46101.0)</f>
        <v>46101</v>
      </c>
      <c r="R137" s="20"/>
      <c r="S137" s="20"/>
      <c r="T137" s="20"/>
      <c r="U137" s="20" t="str">
        <f>IFERROR(__xludf.DUMMYFUNCTION("""COMPUTED_VALUE"""),"")</f>
        <v/>
      </c>
      <c r="V137" s="20" t="str">
        <f>IFERROR(__xludf.DUMMYFUNCTION("""COMPUTED_VALUE"""),"")</f>
        <v/>
      </c>
      <c r="W137" s="20" t="str">
        <f>IFERROR(__xludf.DUMMYFUNCTION("""COMPUTED_VALUE"""),"")</f>
        <v/>
      </c>
      <c r="X137" s="20" t="str">
        <f>IFERROR(__xludf.DUMMYFUNCTION("""COMPUTED_VALUE"""),"Chantel")</f>
        <v>Chantel</v>
      </c>
    </row>
    <row r="138">
      <c r="D138" s="4"/>
      <c r="E138" s="4"/>
      <c r="F138" s="4"/>
      <c r="G138" s="4"/>
      <c r="H138" s="4"/>
      <c r="I138" s="4"/>
      <c r="J138" s="4"/>
      <c r="K138" s="4"/>
      <c r="L138" s="4"/>
      <c r="N138" s="20" t="b">
        <f>IFERROR(__xludf.DUMMYFUNCTION("""COMPUTED_VALUE"""),FALSE)</f>
        <v>0</v>
      </c>
      <c r="O138" s="20" t="str">
        <f>IFERROR(__xludf.DUMMYFUNCTION("""COMPUTED_VALUE"""),"Google")</f>
        <v>Google</v>
      </c>
      <c r="P138" s="20">
        <f>IFERROR(__xludf.DUMMYFUNCTION("""COMPUTED_VALUE"""),4.0)</f>
        <v>4</v>
      </c>
      <c r="Q138" s="21">
        <f>IFERROR(__xludf.DUMMYFUNCTION("""COMPUTED_VALUE"""),46100.0)</f>
        <v>46100</v>
      </c>
      <c r="R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20"/>
      <c r="T138" s="20"/>
      <c r="U138" s="20"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20" t="str">
        <f>IFERROR(__xludf.DUMMYFUNCTION("""COMPUTED_VALUE"""),"")</f>
        <v/>
      </c>
      <c r="W138" s="20" t="str">
        <f>IFERROR(__xludf.DUMMYFUNCTION("""COMPUTED_VALUE"""),"")</f>
        <v/>
      </c>
      <c r="X138" s="20" t="str">
        <f>IFERROR(__xludf.DUMMYFUNCTION("""COMPUTED_VALUE"""),"K M")</f>
        <v>K M</v>
      </c>
    </row>
    <row r="139">
      <c r="D139" s="4"/>
      <c r="E139" s="4"/>
      <c r="F139" s="4"/>
      <c r="G139" s="4"/>
      <c r="H139" s="4"/>
      <c r="I139" s="4"/>
      <c r="J139" s="4"/>
      <c r="K139" s="4"/>
      <c r="L139" s="4"/>
      <c r="N139" s="20" t="b">
        <f>IFERROR(__xludf.DUMMYFUNCTION("""COMPUTED_VALUE"""),FALSE)</f>
        <v>0</v>
      </c>
      <c r="O139" s="20" t="str">
        <f>IFERROR(__xludf.DUMMYFUNCTION("""COMPUTED_VALUE"""),"Google")</f>
        <v>Google</v>
      </c>
      <c r="P139" s="20">
        <f>IFERROR(__xludf.DUMMYFUNCTION("""COMPUTED_VALUE"""),4.0)</f>
        <v>4</v>
      </c>
      <c r="Q139" s="21">
        <f>IFERROR(__xludf.DUMMYFUNCTION("""COMPUTED_VALUE"""),46100.0)</f>
        <v>46100</v>
      </c>
      <c r="R139" s="20" t="str">
        <f>IFERROR(__xludf.DUMMYFUNCTION("""COMPUTED_VALUE"""),"無難")</f>
        <v>無難</v>
      </c>
      <c r="S139" s="20"/>
      <c r="T139" s="20"/>
      <c r="U139" s="20" t="str">
        <f>IFERROR(__xludf.DUMMYFUNCTION("""COMPUTED_VALUE"""),"無難")</f>
        <v>無難</v>
      </c>
      <c r="V139" s="20" t="str">
        <f>IFERROR(__xludf.DUMMYFUNCTION("""COMPUTED_VALUE"""),"")</f>
        <v/>
      </c>
      <c r="W139" s="20" t="str">
        <f>IFERROR(__xludf.DUMMYFUNCTION("""COMPUTED_VALUE"""),"")</f>
        <v/>
      </c>
      <c r="X139" s="20" t="str">
        <f>IFERROR(__xludf.DUMMYFUNCTION("""COMPUTED_VALUE"""),"前英")</f>
        <v>前英</v>
      </c>
    </row>
    <row r="140">
      <c r="D140" s="4"/>
      <c r="E140" s="4"/>
      <c r="F140" s="4"/>
      <c r="G140" s="4"/>
      <c r="H140" s="4"/>
      <c r="I140" s="4"/>
      <c r="J140" s="4"/>
      <c r="K140" s="4"/>
      <c r="L140" s="4"/>
      <c r="N140" s="20" t="b">
        <f>IFERROR(__xludf.DUMMYFUNCTION("""COMPUTED_VALUE"""),FALSE)</f>
        <v>0</v>
      </c>
      <c r="O140" s="20" t="str">
        <f>IFERROR(__xludf.DUMMYFUNCTION("""COMPUTED_VALUE"""),"楽天トラベル")</f>
        <v>楽天トラベル</v>
      </c>
      <c r="P140" s="20">
        <f>IFERROR(__xludf.DUMMYFUNCTION("""COMPUTED_VALUE"""),2.0)</f>
        <v>2</v>
      </c>
      <c r="Q140" s="21">
        <f>IFERROR(__xludf.DUMMYFUNCTION("""COMPUTED_VALUE"""),46099.0)</f>
        <v>46099</v>
      </c>
      <c r="R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20"/>
      <c r="T140" s="20"/>
      <c r="U140" s="20"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20" t="str">
        <f>IFERROR(__xludf.DUMMYFUNCTION("""COMPUTED_VALUE"""),"")</f>
        <v/>
      </c>
      <c r="W140" s="20" t="str">
        <f>IFERROR(__xludf.DUMMYFUNCTION("""COMPUTED_VALUE"""),"")</f>
        <v/>
      </c>
      <c r="X140" s="20" t="str">
        <f>IFERROR(__xludf.DUMMYFUNCTION("""COMPUTED_VALUE"""),"りょこうすき123")</f>
        <v>りょこうすき123</v>
      </c>
    </row>
    <row r="141">
      <c r="D141" s="4"/>
      <c r="E141" s="4"/>
      <c r="F141" s="4"/>
      <c r="G141" s="4"/>
      <c r="H141" s="4"/>
      <c r="I141" s="4"/>
      <c r="J141" s="4"/>
      <c r="K141" s="4"/>
      <c r="L141" s="4"/>
      <c r="N141" s="20" t="b">
        <f>IFERROR(__xludf.DUMMYFUNCTION("""COMPUTED_VALUE"""),FALSE)</f>
        <v>0</v>
      </c>
      <c r="O141" s="18" t="str">
        <f>IFERROR(__xludf.DUMMYFUNCTION("""COMPUTED_VALUE"""),"Trip.com")</f>
        <v>Trip.com</v>
      </c>
      <c r="P141" s="20">
        <f>IFERROR(__xludf.DUMMYFUNCTION("""COMPUTED_VALUE"""),7.0)</f>
        <v>7</v>
      </c>
      <c r="Q141" s="21">
        <f>IFERROR(__xludf.DUMMYFUNCTION("""COMPUTED_VALUE"""),46099.0)</f>
        <v>46099</v>
      </c>
      <c r="R141" s="20" t="str">
        <f>IFERROR(__xludf.DUMMYFUNCTION("""COMPUTED_VALUE"""),"駅から近く、室内もきれいでした。")</f>
        <v>駅から近く、室内もきれいでした。</v>
      </c>
      <c r="S141" s="20"/>
      <c r="T141" s="20"/>
      <c r="U141" s="20" t="str">
        <f>IFERROR(__xludf.DUMMYFUNCTION("""COMPUTED_VALUE"""),"駅から近く、室内もきれいでした。")</f>
        <v>駅から近く、室内もきれいでした。</v>
      </c>
      <c r="V141" s="20" t="str">
        <f>IFERROR(__xludf.DUMMYFUNCTION("""COMPUTED_VALUE"""),"")</f>
        <v/>
      </c>
      <c r="W141" s="20" t="str">
        <f>IFERROR(__xludf.DUMMYFUNCTION("""COMPUTED_VALUE"""),"")</f>
        <v/>
      </c>
      <c r="X141" s="20" t="str">
        <f>IFERROR(__xludf.DUMMYFUNCTION("""COMPUTED_VALUE"""),"ゲ‍ス‍ト")</f>
        <v>ゲ‍ス‍ト</v>
      </c>
    </row>
    <row r="142">
      <c r="D142" s="4"/>
      <c r="E142" s="4"/>
      <c r="F142" s="4"/>
      <c r="G142" s="4"/>
      <c r="H142" s="4"/>
      <c r="I142" s="4"/>
      <c r="J142" s="4"/>
      <c r="K142" s="4"/>
      <c r="L142" s="4"/>
      <c r="N142" s="20" t="b">
        <f>IFERROR(__xludf.DUMMYFUNCTION("""COMPUTED_VALUE"""),FALSE)</f>
        <v>0</v>
      </c>
      <c r="O142" s="20" t="str">
        <f>IFERROR(__xludf.DUMMYFUNCTION("""COMPUTED_VALUE"""),"楽天トラベル")</f>
        <v>楽天トラベル</v>
      </c>
      <c r="P142" s="20">
        <f>IFERROR(__xludf.DUMMYFUNCTION("""COMPUTED_VALUE"""),4.0)</f>
        <v>4</v>
      </c>
      <c r="Q142" s="21">
        <f>IFERROR(__xludf.DUMMYFUNCTION("""COMPUTED_VALUE"""),46098.0)</f>
        <v>46098</v>
      </c>
      <c r="R142" s="20" t="str">
        <f>IFERROR(__xludf.DUMMYFUNCTION("""COMPUTED_VALUE"""),"普通のホテルですが朝食が美味しくて満足です")</f>
        <v>普通のホテルですが朝食が美味しくて満足です</v>
      </c>
      <c r="S142" s="20"/>
      <c r="T142" s="20"/>
      <c r="U142" s="20" t="str">
        <f>IFERROR(__xludf.DUMMYFUNCTION("""COMPUTED_VALUE"""),"普通のホテルですが朝食が美味しくて満足です")</f>
        <v>普通のホテルですが朝食が美味しくて満足です</v>
      </c>
      <c r="V142" s="20" t="str">
        <f>IFERROR(__xludf.DUMMYFUNCTION("""COMPUTED_VALUE"""),"")</f>
        <v/>
      </c>
      <c r="W142" s="20" t="str">
        <f>IFERROR(__xludf.DUMMYFUNCTION("""COMPUTED_VALUE"""),"")</f>
        <v/>
      </c>
      <c r="X142" s="20" t="str">
        <f>IFERROR(__xludf.DUMMYFUNCTION("""COMPUTED_VALUE"""),"date5991")</f>
        <v>date5991</v>
      </c>
    </row>
    <row r="143">
      <c r="D143" s="4"/>
      <c r="E143" s="4"/>
      <c r="F143" s="4"/>
      <c r="G143" s="4"/>
      <c r="H143" s="4"/>
      <c r="I143" s="4"/>
      <c r="J143" s="4"/>
      <c r="K143" s="4"/>
      <c r="L143" s="4"/>
      <c r="N143" s="20" t="b">
        <f>IFERROR(__xludf.DUMMYFUNCTION("""COMPUTED_VALUE"""),FALSE)</f>
        <v>0</v>
      </c>
      <c r="O143" s="18" t="str">
        <f>IFERROR(__xludf.DUMMYFUNCTION("""COMPUTED_VALUE"""),"Booking.com")</f>
        <v>Booking.com</v>
      </c>
      <c r="P143" s="20">
        <f>IFERROR(__xludf.DUMMYFUNCTION("""COMPUTED_VALUE"""),8.0)</f>
        <v>8</v>
      </c>
      <c r="Q143" s="21">
        <f>IFERROR(__xludf.DUMMYFUNCTION("""COMPUTED_VALUE"""),46098.0)</f>
        <v>46098</v>
      </c>
      <c r="R143" s="20"/>
      <c r="S143" s="20" t="str">
        <f>IFERROR(__xludf.DUMMYFUNCTION("""COMPUTED_VALUE"""),"Good")</f>
        <v>Good</v>
      </c>
      <c r="T143" s="20"/>
      <c r="U143" s="20" t="str">
        <f>IFERROR(__xludf.DUMMYFUNCTION("""COMPUTED_VALUE"""),"")</f>
        <v/>
      </c>
      <c r="V143" s="20" t="str">
        <f>IFERROR(__xludf.DUMMYFUNCTION("""COMPUTED_VALUE"""),"良い")</f>
        <v>良い</v>
      </c>
      <c r="W143" s="20" t="str">
        <f>IFERROR(__xludf.DUMMYFUNCTION("""COMPUTED_VALUE"""),"")</f>
        <v/>
      </c>
      <c r="X143" s="20" t="str">
        <f>IFERROR(__xludf.DUMMYFUNCTION("""COMPUTED_VALUE"""),"Yi")</f>
        <v>Yi</v>
      </c>
    </row>
    <row r="144">
      <c r="D144" s="4"/>
      <c r="E144" s="4"/>
      <c r="F144" s="4"/>
      <c r="G144" s="4"/>
      <c r="H144" s="4"/>
      <c r="I144" s="4"/>
      <c r="J144" s="4"/>
      <c r="K144" s="4"/>
      <c r="L144" s="4"/>
      <c r="N144" s="20" t="b">
        <f>IFERROR(__xludf.DUMMYFUNCTION("""COMPUTED_VALUE"""),FALSE)</f>
        <v>0</v>
      </c>
      <c r="O144" s="18" t="str">
        <f>IFERROR(__xludf.DUMMYFUNCTION("""COMPUTED_VALUE"""),"Booking.com")</f>
        <v>Booking.com</v>
      </c>
      <c r="P144" s="20">
        <f>IFERROR(__xludf.DUMMYFUNCTION("""COMPUTED_VALUE"""),9.0)</f>
        <v>9</v>
      </c>
      <c r="Q144" s="21">
        <f>IFERROR(__xludf.DUMMYFUNCTION("""COMPUTED_VALUE"""),46097.0)</f>
        <v>46097</v>
      </c>
      <c r="R144" s="20"/>
      <c r="S144" s="20"/>
      <c r="T144" s="20"/>
      <c r="U144" s="20" t="str">
        <f>IFERROR(__xludf.DUMMYFUNCTION("""COMPUTED_VALUE"""),"")</f>
        <v/>
      </c>
      <c r="V144" s="20" t="str">
        <f>IFERROR(__xludf.DUMMYFUNCTION("""COMPUTED_VALUE"""),"")</f>
        <v/>
      </c>
      <c r="W144" s="20" t="str">
        <f>IFERROR(__xludf.DUMMYFUNCTION("""COMPUTED_VALUE"""),"")</f>
        <v/>
      </c>
      <c r="X144" s="20" t="str">
        <f>IFERROR(__xludf.DUMMYFUNCTION("""COMPUTED_VALUE"""),"Tracy")</f>
        <v>Tracy</v>
      </c>
    </row>
    <row r="145">
      <c r="D145" s="4"/>
      <c r="E145" s="4"/>
      <c r="F145" s="4"/>
      <c r="G145" s="4"/>
      <c r="H145" s="4"/>
      <c r="I145" s="4"/>
      <c r="J145" s="4"/>
      <c r="K145" s="4"/>
      <c r="L145" s="4"/>
      <c r="N145" s="20" t="b">
        <f>IFERROR(__xludf.DUMMYFUNCTION("""COMPUTED_VALUE"""),FALSE)</f>
        <v>0</v>
      </c>
      <c r="O145" s="18" t="str">
        <f>IFERROR(__xludf.DUMMYFUNCTION("""COMPUTED_VALUE"""),"Booking.com")</f>
        <v>Booking.com</v>
      </c>
      <c r="P145" s="20">
        <f>IFERROR(__xludf.DUMMYFUNCTION("""COMPUTED_VALUE"""),10.0)</f>
        <v>10</v>
      </c>
      <c r="Q145" s="21">
        <f>IFERROR(__xludf.DUMMYFUNCTION("""COMPUTED_VALUE"""),46096.0)</f>
        <v>46096</v>
      </c>
      <c r="R145" s="20"/>
      <c r="S145" s="20"/>
      <c r="T145" s="20"/>
      <c r="U145" s="20" t="str">
        <f>IFERROR(__xludf.DUMMYFUNCTION("""COMPUTED_VALUE"""),"")</f>
        <v/>
      </c>
      <c r="V145" s="20" t="str">
        <f>IFERROR(__xludf.DUMMYFUNCTION("""COMPUTED_VALUE"""),"")</f>
        <v/>
      </c>
      <c r="W145" s="20" t="str">
        <f>IFERROR(__xludf.DUMMYFUNCTION("""COMPUTED_VALUE"""),"")</f>
        <v/>
      </c>
      <c r="X145" s="20" t="str">
        <f>IFERROR(__xludf.DUMMYFUNCTION("""COMPUTED_VALUE"""),"Stevan")</f>
        <v>Stevan</v>
      </c>
    </row>
    <row r="146">
      <c r="D146" s="4"/>
      <c r="E146" s="4"/>
      <c r="F146" s="4"/>
      <c r="G146" s="4"/>
      <c r="H146" s="4"/>
      <c r="I146" s="4"/>
      <c r="J146" s="4"/>
      <c r="K146" s="4"/>
      <c r="L146" s="4"/>
      <c r="N146" s="20" t="b">
        <f>IFERROR(__xludf.DUMMYFUNCTION("""COMPUTED_VALUE"""),FALSE)</f>
        <v>0</v>
      </c>
      <c r="O146" s="18" t="str">
        <f>IFERROR(__xludf.DUMMYFUNCTION("""COMPUTED_VALUE"""),"Booking.com")</f>
        <v>Booking.com</v>
      </c>
      <c r="P146" s="20">
        <f>IFERROR(__xludf.DUMMYFUNCTION("""COMPUTED_VALUE"""),7.0)</f>
        <v>7</v>
      </c>
      <c r="Q146" s="21">
        <f>IFERROR(__xludf.DUMMYFUNCTION("""COMPUTED_VALUE"""),46096.0)</f>
        <v>46096</v>
      </c>
      <c r="R146" s="20"/>
      <c r="S146" s="20"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20" t="str">
        <f>IFERROR(__xludf.DUMMYFUNCTION("""COMPUTED_VALUE"""),"The bed and pillow were uncomfortable to sleep in.")</f>
        <v>The bed and pillow were uncomfortable to sleep in.</v>
      </c>
      <c r="U146" s="20" t="str">
        <f>IFERROR(__xludf.DUMMYFUNCTION("""COMPUTED_VALUE"""),"")</f>
        <v/>
      </c>
      <c r="V146" s="20"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20" t="str">
        <f>IFERROR(__xludf.DUMMYFUNCTION("""COMPUTED_VALUE"""),"ベッドと枕は寝心地が悪かった。")</f>
        <v>ベッドと枕は寝心地が悪かった。</v>
      </c>
      <c r="X146" s="20" t="str">
        <f>IFERROR(__xludf.DUMMYFUNCTION("""COMPUTED_VALUE"""),"Choon")</f>
        <v>Choon</v>
      </c>
    </row>
    <row r="147">
      <c r="D147" s="4"/>
      <c r="E147" s="4"/>
      <c r="F147" s="4"/>
      <c r="G147" s="4"/>
      <c r="H147" s="4"/>
      <c r="I147" s="4"/>
      <c r="J147" s="4"/>
      <c r="K147" s="4"/>
      <c r="L147" s="4"/>
      <c r="N147" s="20" t="b">
        <f>IFERROR(__xludf.DUMMYFUNCTION("""COMPUTED_VALUE"""),FALSE)</f>
        <v>0</v>
      </c>
      <c r="O147" s="18" t="str">
        <f>IFERROR(__xludf.DUMMYFUNCTION("""COMPUTED_VALUE"""),"Booking.com")</f>
        <v>Booking.com</v>
      </c>
      <c r="P147" s="20">
        <f>IFERROR(__xludf.DUMMYFUNCTION("""COMPUTED_VALUE"""),9.0)</f>
        <v>9</v>
      </c>
      <c r="Q147" s="21">
        <f>IFERROR(__xludf.DUMMYFUNCTION("""COMPUTED_VALUE"""),46096.0)</f>
        <v>46096</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IFERROR(__xludf.DUMMYFUNCTION("""COMPUTED_VALUE"""),"Brad")</f>
        <v>Brad</v>
      </c>
    </row>
    <row r="148">
      <c r="D148" s="4"/>
      <c r="E148" s="4"/>
      <c r="F148" s="4"/>
      <c r="G148" s="4"/>
      <c r="H148" s="4"/>
      <c r="I148" s="4"/>
      <c r="J148" s="4"/>
      <c r="K148" s="4"/>
      <c r="L148" s="4"/>
      <c r="N148" s="20" t="b">
        <f>IFERROR(__xludf.DUMMYFUNCTION("""COMPUTED_VALUE"""),FALSE)</f>
        <v>0</v>
      </c>
      <c r="O148" s="20" t="str">
        <f>IFERROR(__xludf.DUMMYFUNCTION("""COMPUTED_VALUE"""),"楽天トラベル")</f>
        <v>楽天トラベル</v>
      </c>
      <c r="P148" s="20">
        <f>IFERROR(__xludf.DUMMYFUNCTION("""COMPUTED_VALUE"""),5.0)</f>
        <v>5</v>
      </c>
      <c r="Q148" s="21">
        <f>IFERROR(__xludf.DUMMYFUNCTION("""COMPUTED_VALUE"""),46095.0)</f>
        <v>46095</v>
      </c>
      <c r="R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20"/>
      <c r="T148" s="20"/>
      <c r="U148" s="20"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20" t="str">
        <f>IFERROR(__xludf.DUMMYFUNCTION("""COMPUTED_VALUE"""),"")</f>
        <v/>
      </c>
      <c r="W148" s="20" t="str">
        <f>IFERROR(__xludf.DUMMYFUNCTION("""COMPUTED_VALUE"""),"")</f>
        <v/>
      </c>
      <c r="X148" s="20" t="str">
        <f>IFERROR(__xludf.DUMMYFUNCTION("""COMPUTED_VALUE"""),"シュタゲ@")</f>
        <v>シュタゲ@</v>
      </c>
    </row>
    <row r="149">
      <c r="D149" s="4"/>
      <c r="E149" s="4"/>
      <c r="F149" s="4"/>
      <c r="G149" s="4"/>
      <c r="H149" s="4"/>
      <c r="I149" s="4"/>
      <c r="J149" s="4"/>
      <c r="K149" s="4"/>
      <c r="L149" s="4"/>
      <c r="N149" s="20" t="b">
        <f>IFERROR(__xludf.DUMMYFUNCTION("""COMPUTED_VALUE"""),FALSE)</f>
        <v>0</v>
      </c>
      <c r="O149" s="20" t="str">
        <f>IFERROR(__xludf.DUMMYFUNCTION("""COMPUTED_VALUE"""),"Google")</f>
        <v>Google</v>
      </c>
      <c r="P149" s="20">
        <f>IFERROR(__xludf.DUMMYFUNCTION("""COMPUTED_VALUE"""),5.0)</f>
        <v>5</v>
      </c>
      <c r="Q149" s="21">
        <f>IFERROR(__xludf.DUMMYFUNCTION("""COMPUTED_VALUE"""),46095.0)</f>
        <v>46095</v>
      </c>
      <c r="R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20"/>
      <c r="T149" s="20"/>
      <c r="U149" s="20"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20" t="str">
        <f>IFERROR(__xludf.DUMMYFUNCTION("""COMPUTED_VALUE"""),"")</f>
        <v/>
      </c>
      <c r="W149" s="20" t="str">
        <f>IFERROR(__xludf.DUMMYFUNCTION("""COMPUTED_VALUE"""),"")</f>
        <v/>
      </c>
      <c r="X149" s="20" t="str">
        <f>IFERROR(__xludf.DUMMYFUNCTION("""COMPUTED_VALUE"""),"David Herz")</f>
        <v>David Herz</v>
      </c>
    </row>
    <row r="150">
      <c r="D150" s="4"/>
      <c r="E150" s="4"/>
      <c r="F150" s="4"/>
      <c r="G150" s="4"/>
      <c r="H150" s="4"/>
      <c r="I150" s="4"/>
      <c r="J150" s="4"/>
      <c r="K150" s="4"/>
      <c r="L150" s="4"/>
      <c r="N150" s="20" t="b">
        <f>IFERROR(__xludf.DUMMYFUNCTION("""COMPUTED_VALUE"""),FALSE)</f>
        <v>0</v>
      </c>
      <c r="O150" s="20" t="str">
        <f>IFERROR(__xludf.DUMMYFUNCTION("""COMPUTED_VALUE"""),"Google")</f>
        <v>Google</v>
      </c>
      <c r="P150" s="20">
        <f>IFERROR(__xludf.DUMMYFUNCTION("""COMPUTED_VALUE"""),5.0)</f>
        <v>5</v>
      </c>
      <c r="Q150" s="21">
        <f>IFERROR(__xludf.DUMMYFUNCTION("""COMPUTED_VALUE"""),46095.0)</f>
        <v>46095</v>
      </c>
      <c r="R150" s="20"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20"/>
      <c r="T150" s="20"/>
      <c r="U150" s="20"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150" s="20" t="str">
        <f>IFERROR(__xludf.DUMMYFUNCTION("""COMPUTED_VALUE"""),"")</f>
        <v/>
      </c>
      <c r="W150" s="20" t="str">
        <f>IFERROR(__xludf.DUMMYFUNCTION("""COMPUTED_VALUE"""),"")</f>
        <v/>
      </c>
      <c r="X150" s="20" t="str">
        <f>IFERROR(__xludf.DUMMYFUNCTION("""COMPUTED_VALUE"""),"David Herz")</f>
        <v>David Herz</v>
      </c>
    </row>
    <row r="151">
      <c r="D151" s="4"/>
      <c r="E151" s="4"/>
      <c r="F151" s="4"/>
      <c r="G151" s="4"/>
      <c r="H151" s="4"/>
      <c r="I151" s="4"/>
      <c r="J151" s="4"/>
      <c r="K151" s="4"/>
      <c r="L151" s="4"/>
      <c r="N151" s="20" t="b">
        <f>IFERROR(__xludf.DUMMYFUNCTION("""COMPUTED_VALUE"""),FALSE)</f>
        <v>0</v>
      </c>
      <c r="O151" s="18" t="str">
        <f>IFERROR(__xludf.DUMMYFUNCTION("""COMPUTED_VALUE"""),"Booking.com")</f>
        <v>Booking.com</v>
      </c>
      <c r="P151" s="20">
        <f>IFERROR(__xludf.DUMMYFUNCTION("""COMPUTED_VALUE"""),10.0)</f>
        <v>10</v>
      </c>
      <c r="Q151" s="21">
        <f>IFERROR(__xludf.DUMMYFUNCTION("""COMPUTED_VALUE"""),46094.0)</f>
        <v>46094</v>
      </c>
      <c r="R151" s="20"/>
      <c r="S151" s="20" t="str">
        <f>IFERROR(__xludf.DUMMYFUNCTION("""COMPUTED_VALUE"""),"The staff is super nice and willing to help even at late night")</f>
        <v>The staff is super nice and willing to help even at late night</v>
      </c>
      <c r="T151" s="20"/>
      <c r="U151" s="20" t="str">
        <f>IFERROR(__xludf.DUMMYFUNCTION("""COMPUTED_VALUE"""),"")</f>
        <v/>
      </c>
      <c r="V151" s="20" t="str">
        <f>IFERROR(__xludf.DUMMYFUNCTION("""COMPUTED_VALUE"""),"スタッフはとても親切で、深夜でも快く手伝ってくれます。")</f>
        <v>スタッフはとても親切で、深夜でも快く手伝ってくれます。</v>
      </c>
      <c r="W151" s="20" t="str">
        <f>IFERROR(__xludf.DUMMYFUNCTION("""COMPUTED_VALUE"""),"")</f>
        <v/>
      </c>
      <c r="X151" s="20" t="str">
        <f>IFERROR(__xludf.DUMMYFUNCTION("""COMPUTED_VALUE"""),"Teen")</f>
        <v>Teen</v>
      </c>
    </row>
    <row r="152">
      <c r="D152" s="4"/>
      <c r="E152" s="4"/>
      <c r="F152" s="4"/>
      <c r="G152" s="4"/>
      <c r="H152" s="4"/>
      <c r="I152" s="4"/>
      <c r="J152" s="4"/>
      <c r="K152" s="4"/>
      <c r="L152" s="4"/>
      <c r="N152" s="20" t="b">
        <f>IFERROR(__xludf.DUMMYFUNCTION("""COMPUTED_VALUE"""),FALSE)</f>
        <v>0</v>
      </c>
      <c r="O152" s="20" t="str">
        <f>IFERROR(__xludf.DUMMYFUNCTION("""COMPUTED_VALUE"""),"楽天トラベル")</f>
        <v>楽天トラベル</v>
      </c>
      <c r="P152" s="20">
        <f>IFERROR(__xludf.DUMMYFUNCTION("""COMPUTED_VALUE"""),5.0)</f>
        <v>5</v>
      </c>
      <c r="Q152" s="21">
        <f>IFERROR(__xludf.DUMMYFUNCTION("""COMPUTED_VALUE"""),46094.0)</f>
        <v>46094</v>
      </c>
      <c r="R152" s="20" t="str">
        <f>IFERROR(__xludf.DUMMYFUNCTION("""COMPUTED_VALUE"""),"バイキングとても美味しかったです！     ")</f>
        <v>バイキングとても美味しかったです！     </v>
      </c>
      <c r="S152" s="20"/>
      <c r="T152" s="20"/>
      <c r="U152" s="20" t="str">
        <f>IFERROR(__xludf.DUMMYFUNCTION("""COMPUTED_VALUE"""),"バイキングとても美味しかったです！     ")</f>
        <v>バイキングとても美味しかったです！     </v>
      </c>
      <c r="V152" s="20" t="str">
        <f>IFERROR(__xludf.DUMMYFUNCTION("""COMPUTED_VALUE"""),"")</f>
        <v/>
      </c>
      <c r="W152" s="20" t="str">
        <f>IFERROR(__xludf.DUMMYFUNCTION("""COMPUTED_VALUE"""),"")</f>
        <v/>
      </c>
      <c r="X152" s="20" t="str">
        <f>IFERROR(__xludf.DUMMYFUNCTION("""COMPUTED_VALUE"""),"yuichi0503")</f>
        <v>yuichi0503</v>
      </c>
    </row>
    <row r="153">
      <c r="D153" s="4"/>
      <c r="E153" s="4"/>
      <c r="F153" s="4"/>
      <c r="G153" s="4"/>
      <c r="H153" s="4"/>
      <c r="I153" s="4"/>
      <c r="J153" s="4"/>
      <c r="K153" s="4"/>
      <c r="L153" s="4"/>
      <c r="N153" s="20" t="b">
        <f>IFERROR(__xludf.DUMMYFUNCTION("""COMPUTED_VALUE"""),FALSE)</f>
        <v>0</v>
      </c>
      <c r="O153" s="18" t="str">
        <f>IFERROR(__xludf.DUMMYFUNCTION("""COMPUTED_VALUE"""),"Booking.com")</f>
        <v>Booking.com</v>
      </c>
      <c r="P153" s="20">
        <f>IFERROR(__xludf.DUMMYFUNCTION("""COMPUTED_VALUE"""),7.0)</f>
        <v>7</v>
      </c>
      <c r="Q153" s="21">
        <f>IFERROR(__xludf.DUMMYFUNCTION("""COMPUTED_VALUE"""),46094.0)</f>
        <v>46094</v>
      </c>
      <c r="R153" s="20"/>
      <c r="S153" s="20" t="str">
        <f>IFERROR(__xludf.DUMMYFUNCTION("""COMPUTED_VALUE"""),"Very good location,  nice staff,")</f>
        <v>Very good location,  nice staff,</v>
      </c>
      <c r="T153" s="20" t="str">
        <f>IFERROR(__xludf.DUMMYFUNCTION("""COMPUTED_VALUE"""),"Too small, bathroom entrance too high")</f>
        <v>Too small, bathroom entrance too high</v>
      </c>
      <c r="U153" s="20" t="str">
        <f>IFERROR(__xludf.DUMMYFUNCTION("""COMPUTED_VALUE"""),"")</f>
        <v/>
      </c>
      <c r="V153" s="20" t="str">
        <f>IFERROR(__xludf.DUMMYFUNCTION("""COMPUTED_VALUE"""),"立地が非常に良く、スタッフも親切です。")</f>
        <v>立地が非常に良く、スタッフも親切です。</v>
      </c>
      <c r="W153" s="20" t="str">
        <f>IFERROR(__xludf.DUMMYFUNCTION("""COMPUTED_VALUE"""),"狭すぎる、浴室の入り口が高すぎる")</f>
        <v>狭すぎる、浴室の入り口が高すぎる</v>
      </c>
      <c r="X153" s="20" t="str">
        <f>IFERROR(__xludf.DUMMYFUNCTION("""COMPUTED_VALUE"""),"Yumiko")</f>
        <v>Yumiko</v>
      </c>
    </row>
    <row r="154">
      <c r="D154" s="4"/>
      <c r="E154" s="4"/>
      <c r="F154" s="4"/>
      <c r="G154" s="4"/>
      <c r="H154" s="4"/>
      <c r="I154" s="4"/>
      <c r="J154" s="4"/>
      <c r="K154" s="4"/>
      <c r="L154" s="4"/>
      <c r="N154" s="20" t="b">
        <f>IFERROR(__xludf.DUMMYFUNCTION("""COMPUTED_VALUE"""),FALSE)</f>
        <v>0</v>
      </c>
      <c r="O154" s="18" t="str">
        <f>IFERROR(__xludf.DUMMYFUNCTION("""COMPUTED_VALUE"""),"Booking.com")</f>
        <v>Booking.com</v>
      </c>
      <c r="P154" s="20">
        <f>IFERROR(__xludf.DUMMYFUNCTION("""COMPUTED_VALUE"""),9.0)</f>
        <v>9</v>
      </c>
      <c r="Q154" s="21">
        <f>IFERROR(__xludf.DUMMYFUNCTION("""COMPUTED_VALUE"""),46094.0)</f>
        <v>46094</v>
      </c>
      <c r="R154" s="20"/>
      <c r="S154" s="20" t="str">
        <f>IFERROR(__xludf.DUMMYFUNCTION("""COMPUTED_VALUE"""),"Breakfast was good, service staff was courteous and helpful.")</f>
        <v>Breakfast was good, service staff was courteous and helpful.</v>
      </c>
      <c r="T154" s="20"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20" t="str">
        <f>IFERROR(__xludf.DUMMYFUNCTION("""COMPUTED_VALUE"""),"")</f>
        <v/>
      </c>
      <c r="V154" s="20" t="str">
        <f>IFERROR(__xludf.DUMMYFUNCTION("""COMPUTED_VALUE"""),"朝食は美味しく、サービススタッフは礼儀正しく親切だった。")</f>
        <v>朝食は美味しく、サービススタッフは礼儀正しく親切だった。</v>
      </c>
      <c r="W154" s="20"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20" t="str">
        <f>IFERROR(__xludf.DUMMYFUNCTION("""COMPUTED_VALUE"""),"Thomas")</f>
        <v>Thomas</v>
      </c>
    </row>
    <row r="155">
      <c r="D155" s="4"/>
      <c r="E155" s="4"/>
      <c r="F155" s="4"/>
      <c r="G155" s="4"/>
      <c r="H155" s="4"/>
      <c r="I155" s="4"/>
      <c r="J155" s="4"/>
      <c r="K155" s="4"/>
      <c r="L155" s="4"/>
      <c r="N155" s="20" t="b">
        <f>IFERROR(__xludf.DUMMYFUNCTION("""COMPUTED_VALUE"""),FALSE)</f>
        <v>0</v>
      </c>
      <c r="O155" s="20" t="str">
        <f>IFERROR(__xludf.DUMMYFUNCTION("""COMPUTED_VALUE"""),"じゃらん")</f>
        <v>じゃらん</v>
      </c>
      <c r="P155" s="20">
        <f>IFERROR(__xludf.DUMMYFUNCTION("""COMPUTED_VALUE"""),4.0)</f>
        <v>4</v>
      </c>
      <c r="Q155" s="21">
        <f>IFERROR(__xludf.DUMMYFUNCTION("""COMPUTED_VALUE"""),46093.0)</f>
        <v>46093</v>
      </c>
      <c r="R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20"/>
      <c r="T155" s="20"/>
      <c r="U155" s="20"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20" t="str">
        <f>IFERROR(__xludf.DUMMYFUNCTION("""COMPUTED_VALUE"""),"")</f>
        <v/>
      </c>
      <c r="W155" s="20" t="str">
        <f>IFERROR(__xludf.DUMMYFUNCTION("""COMPUTED_VALUE"""),"")</f>
        <v/>
      </c>
      <c r="X155" s="20" t="str">
        <f>IFERROR(__xludf.DUMMYFUNCTION("""COMPUTED_VALUE"""),"トラベラーさん")</f>
        <v>トラベラーさん</v>
      </c>
    </row>
    <row r="156">
      <c r="D156" s="4"/>
      <c r="E156" s="4"/>
      <c r="F156" s="4"/>
      <c r="G156" s="4"/>
      <c r="H156" s="4"/>
      <c r="I156" s="4"/>
      <c r="J156" s="4"/>
      <c r="K156" s="4"/>
      <c r="L156" s="4"/>
      <c r="N156" s="20" t="b">
        <f>IFERROR(__xludf.DUMMYFUNCTION("""COMPUTED_VALUE"""),FALSE)</f>
        <v>0</v>
      </c>
      <c r="O156" s="18" t="str">
        <f>IFERROR(__xludf.DUMMYFUNCTION("""COMPUTED_VALUE"""),"Booking.com")</f>
        <v>Booking.com</v>
      </c>
      <c r="P156" s="20">
        <f>IFERROR(__xludf.DUMMYFUNCTION("""COMPUTED_VALUE"""),10.0)</f>
        <v>10</v>
      </c>
      <c r="Q156" s="21">
        <f>IFERROR(__xludf.DUMMYFUNCTION("""COMPUTED_VALUE"""),46093.0)</f>
        <v>46093</v>
      </c>
      <c r="R156" s="20"/>
      <c r="S156" s="20"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20"/>
      <c r="U156" s="20" t="str">
        <f>IFERROR(__xludf.DUMMYFUNCTION("""COMPUTED_VALUE"""),"")</f>
        <v/>
      </c>
      <c r="V156" s="20"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W156" s="20" t="str">
        <f>IFERROR(__xludf.DUMMYFUNCTION("""COMPUTED_VALUE"""),"")</f>
        <v/>
      </c>
      <c r="X156" s="20" t="str">
        <f>IFERROR(__xludf.DUMMYFUNCTION("""COMPUTED_VALUE"""),"Alexander")</f>
        <v>Alexander</v>
      </c>
    </row>
    <row r="157">
      <c r="D157" s="4"/>
      <c r="E157" s="4"/>
      <c r="F157" s="4"/>
      <c r="G157" s="4"/>
      <c r="H157" s="4"/>
      <c r="I157" s="4"/>
      <c r="J157" s="4"/>
      <c r="K157" s="4"/>
      <c r="L157" s="4"/>
      <c r="N157" s="20" t="b">
        <f>IFERROR(__xludf.DUMMYFUNCTION("""COMPUTED_VALUE"""),FALSE)</f>
        <v>0</v>
      </c>
      <c r="O157" s="20" t="str">
        <f>IFERROR(__xludf.DUMMYFUNCTION("""COMPUTED_VALUE"""),"Agoda")</f>
        <v>Agoda</v>
      </c>
      <c r="P157" s="20">
        <f>IFERROR(__xludf.DUMMYFUNCTION("""COMPUTED_VALUE"""),6.0)</f>
        <v>6</v>
      </c>
      <c r="Q157" s="21">
        <f>IFERROR(__xludf.DUMMYFUNCTION("""COMPUTED_VALUE"""),46092.0)</f>
        <v>46092</v>
      </c>
      <c r="R157" s="20" t="str">
        <f>IFERROR(__xludf.DUMMYFUNCTION("""COMPUTED_VALUE"""),"チェックインの応対が丁寧でよかったです。")</f>
        <v>チェックインの応対が丁寧でよかったです。</v>
      </c>
      <c r="S157" s="20"/>
      <c r="T157" s="20"/>
      <c r="U157" s="20" t="str">
        <f>IFERROR(__xludf.DUMMYFUNCTION("""COMPUTED_VALUE"""),"チェックインの応対が丁寧でよかったです。")</f>
        <v>チェックインの応対が丁寧でよかったです。</v>
      </c>
      <c r="V157" s="20" t="str">
        <f>IFERROR(__xludf.DUMMYFUNCTION("""COMPUTED_VALUE"""),"")</f>
        <v/>
      </c>
      <c r="W157" s="20" t="str">
        <f>IFERROR(__xludf.DUMMYFUNCTION("""COMPUTED_VALUE"""),"")</f>
        <v/>
      </c>
      <c r="X157" s="20" t="str">
        <f>IFERROR(__xludf.DUMMYFUNCTION("""COMPUTED_VALUE"""),"Kiyoshi")</f>
        <v>Kiyoshi</v>
      </c>
    </row>
    <row r="158">
      <c r="D158" s="4"/>
      <c r="E158" s="4"/>
      <c r="F158" s="4"/>
      <c r="G158" s="4"/>
      <c r="H158" s="4"/>
      <c r="I158" s="4"/>
      <c r="J158" s="4"/>
      <c r="K158" s="4"/>
      <c r="L158" s="4"/>
      <c r="N158" s="20" t="b">
        <f>IFERROR(__xludf.DUMMYFUNCTION("""COMPUTED_VALUE"""),FALSE)</f>
        <v>0</v>
      </c>
      <c r="O158" s="18" t="str">
        <f>IFERROR(__xludf.DUMMYFUNCTION("""COMPUTED_VALUE"""),"Trip.com")</f>
        <v>Trip.com</v>
      </c>
      <c r="P158" s="20">
        <f>IFERROR(__xludf.DUMMYFUNCTION("""COMPUTED_VALUE"""),10.0)</f>
        <v>10</v>
      </c>
      <c r="Q158" s="21">
        <f>IFERROR(__xludf.DUMMYFUNCTION("""COMPUTED_VALUE"""),46092.0)</f>
        <v>46092</v>
      </c>
      <c r="R158" s="20" t="str">
        <f>IFERROR(__xludf.DUMMYFUNCTION("""COMPUTED_VALUE"""),"Very good kind people")</f>
        <v>Very good kind people</v>
      </c>
      <c r="S158" s="20"/>
      <c r="T158" s="20"/>
      <c r="U158" s="20" t="str">
        <f>IFERROR(__xludf.DUMMYFUNCTION("""COMPUTED_VALUE"""),"とても親切な人たち")</f>
        <v>とても親切な人たち</v>
      </c>
      <c r="V158" s="20" t="str">
        <f>IFERROR(__xludf.DUMMYFUNCTION("""COMPUTED_VALUE"""),"")</f>
        <v/>
      </c>
      <c r="W158" s="20" t="str">
        <f>IFERROR(__xludf.DUMMYFUNCTION("""COMPUTED_VALUE"""),"")</f>
        <v/>
      </c>
      <c r="X158" s="20" t="str">
        <f>IFERROR(__xludf.DUMMYFUNCTION("""COMPUTED_VALUE"""),"ゲ‍ス‍ト")</f>
        <v>ゲ‍ス‍ト</v>
      </c>
    </row>
    <row r="159">
      <c r="D159" s="4"/>
      <c r="E159" s="4"/>
      <c r="F159" s="4"/>
      <c r="G159" s="4"/>
      <c r="H159" s="4"/>
      <c r="I159" s="4"/>
      <c r="J159" s="4"/>
      <c r="K159" s="4"/>
      <c r="L159" s="4"/>
      <c r="N159" s="20" t="b">
        <f>IFERROR(__xludf.DUMMYFUNCTION("""COMPUTED_VALUE"""),FALSE)</f>
        <v>0</v>
      </c>
      <c r="O159" s="18" t="str">
        <f>IFERROR(__xludf.DUMMYFUNCTION("""COMPUTED_VALUE"""),"Booking.com")</f>
        <v>Booking.com</v>
      </c>
      <c r="P159" s="20">
        <f>IFERROR(__xludf.DUMMYFUNCTION("""COMPUTED_VALUE"""),8.0)</f>
        <v>8</v>
      </c>
      <c r="Q159" s="21">
        <f>IFERROR(__xludf.DUMMYFUNCTION("""COMPUTED_VALUE"""),46092.0)</f>
        <v>46092</v>
      </c>
      <c r="R159" s="20"/>
      <c r="S159" s="20" t="str">
        <f>IFERROR(__xludf.DUMMYFUNCTION("""COMPUTED_VALUE"""),"部屋が明るくきれいだった。")</f>
        <v>部屋が明るくきれいだった。</v>
      </c>
      <c r="T159" s="20" t="str">
        <f>IFERROR(__xludf.DUMMYFUNCTION("""COMPUTED_VALUE"""),"風呂が少し古い感じだった。")</f>
        <v>風呂が少し古い感じだった。</v>
      </c>
      <c r="U159" s="20" t="str">
        <f>IFERROR(__xludf.DUMMYFUNCTION("""COMPUTED_VALUE"""),"")</f>
        <v/>
      </c>
      <c r="V159" s="20" t="str">
        <f>IFERROR(__xludf.DUMMYFUNCTION("""COMPUTED_VALUE"""),"部屋が明るくきれいだった。")</f>
        <v>部屋が明るくきれいだった。</v>
      </c>
      <c r="W159" s="20" t="str">
        <f>IFERROR(__xludf.DUMMYFUNCTION("""COMPUTED_VALUE"""),"風呂が少し古い感じだった。")</f>
        <v>風呂が少し古い感じだった。</v>
      </c>
      <c r="X159" s="20" t="str">
        <f>IFERROR(__xludf.DUMMYFUNCTION("""COMPUTED_VALUE"""),"Takeo")</f>
        <v>Takeo</v>
      </c>
    </row>
    <row r="160">
      <c r="D160" s="4"/>
      <c r="E160" s="4"/>
      <c r="F160" s="4"/>
      <c r="G160" s="4"/>
      <c r="H160" s="4"/>
      <c r="I160" s="4"/>
      <c r="J160" s="4"/>
      <c r="K160" s="4"/>
      <c r="L160" s="4"/>
      <c r="N160" s="20" t="b">
        <f>IFERROR(__xludf.DUMMYFUNCTION("""COMPUTED_VALUE"""),FALSE)</f>
        <v>0</v>
      </c>
      <c r="O160" s="20" t="str">
        <f>IFERROR(__xludf.DUMMYFUNCTION("""COMPUTED_VALUE"""),"楽天トラベル")</f>
        <v>楽天トラベル</v>
      </c>
      <c r="P160" s="20">
        <f>IFERROR(__xludf.DUMMYFUNCTION("""COMPUTED_VALUE"""),3.0)</f>
        <v>3</v>
      </c>
      <c r="Q160" s="21">
        <f>IFERROR(__xludf.DUMMYFUNCTION("""COMPUTED_VALUE"""),46092.0)</f>
        <v>46092</v>
      </c>
      <c r="R160" s="20" t="str">
        <f>IFERROR(__xludf.DUMMYFUNCTION("""COMPUTED_VALUE"""),"喫煙所がない。屋外設置もないため、喫煙者には辛いかも。")</f>
        <v>喫煙所がない。屋外設置もないため、喫煙者には辛いかも。</v>
      </c>
      <c r="S160" s="20"/>
      <c r="T160" s="20"/>
      <c r="U160" s="20" t="str">
        <f>IFERROR(__xludf.DUMMYFUNCTION("""COMPUTED_VALUE"""),"喫煙所がない。屋外設置もないため、喫煙者には辛いかも。")</f>
        <v>喫煙所がない。屋外設置もないため、喫煙者には辛いかも。</v>
      </c>
      <c r="V160" s="20" t="str">
        <f>IFERROR(__xludf.DUMMYFUNCTION("""COMPUTED_VALUE"""),"")</f>
        <v/>
      </c>
      <c r="W160" s="20" t="str">
        <f>IFERROR(__xludf.DUMMYFUNCTION("""COMPUTED_VALUE"""),"")</f>
        <v/>
      </c>
      <c r="X160" s="20" t="str">
        <f>IFERROR(__xludf.DUMMYFUNCTION("""COMPUTED_VALUE"""),"のり47076716")</f>
        <v>のり47076716</v>
      </c>
    </row>
    <row r="161">
      <c r="D161" s="4"/>
      <c r="E161" s="4"/>
      <c r="F161" s="4"/>
      <c r="G161" s="4"/>
      <c r="H161" s="4"/>
      <c r="I161" s="4"/>
      <c r="J161" s="4"/>
      <c r="K161" s="4"/>
      <c r="L161" s="4"/>
      <c r="N161" s="20" t="b">
        <f>IFERROR(__xludf.DUMMYFUNCTION("""COMPUTED_VALUE"""),FALSE)</f>
        <v>0</v>
      </c>
      <c r="O161" s="20" t="str">
        <f>IFERROR(__xludf.DUMMYFUNCTION("""COMPUTED_VALUE"""),"Google")</f>
        <v>Google</v>
      </c>
      <c r="P161" s="20">
        <f>IFERROR(__xludf.DUMMYFUNCTION("""COMPUTED_VALUE"""),5.0)</f>
        <v>5</v>
      </c>
      <c r="Q161" s="21">
        <f>IFERROR(__xludf.DUMMYFUNCTION("""COMPUTED_VALUE"""),46092.0)</f>
        <v>46092</v>
      </c>
      <c r="R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20"/>
      <c r="T161" s="20"/>
      <c r="U161" s="20"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20" t="str">
        <f>IFERROR(__xludf.DUMMYFUNCTION("""COMPUTED_VALUE"""),"")</f>
        <v/>
      </c>
      <c r="W161" s="20" t="str">
        <f>IFERROR(__xludf.DUMMYFUNCTION("""COMPUTED_VALUE"""),"")</f>
        <v/>
      </c>
      <c r="X161" s="20" t="str">
        <f>IFERROR(__xludf.DUMMYFUNCTION("""COMPUTED_VALUE"""),"Bernhard Ulbrich")</f>
        <v>Bernhard Ulbrich</v>
      </c>
    </row>
    <row r="162">
      <c r="D162" s="4"/>
      <c r="E162" s="4"/>
      <c r="F162" s="4"/>
      <c r="G162" s="4"/>
      <c r="H162" s="4"/>
      <c r="I162" s="4"/>
      <c r="J162" s="4"/>
      <c r="K162" s="4"/>
      <c r="L162" s="4"/>
      <c r="N162" s="20" t="b">
        <f>IFERROR(__xludf.DUMMYFUNCTION("""COMPUTED_VALUE"""),FALSE)</f>
        <v>0</v>
      </c>
      <c r="O162" s="20" t="str">
        <f>IFERROR(__xludf.DUMMYFUNCTION("""COMPUTED_VALUE"""),"じゃらん")</f>
        <v>じゃらん</v>
      </c>
      <c r="P162" s="20">
        <f>IFERROR(__xludf.DUMMYFUNCTION("""COMPUTED_VALUE"""),4.0)</f>
        <v>4</v>
      </c>
      <c r="Q162" s="21">
        <f>IFERROR(__xludf.DUMMYFUNCTION("""COMPUTED_VALUE"""),46092.0)</f>
        <v>46092</v>
      </c>
      <c r="R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20"/>
      <c r="T162" s="20"/>
      <c r="U162" s="20"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20" t="str">
        <f>IFERROR(__xludf.DUMMYFUNCTION("""COMPUTED_VALUE"""),"")</f>
        <v/>
      </c>
      <c r="W162" s="20" t="str">
        <f>IFERROR(__xludf.DUMMYFUNCTION("""COMPUTED_VALUE"""),"")</f>
        <v/>
      </c>
      <c r="X162" s="20" t="str">
        <f>IFERROR(__xludf.DUMMYFUNCTION("""COMPUTED_VALUE"""),"まささん")</f>
        <v>まささん</v>
      </c>
    </row>
    <row r="163">
      <c r="D163" s="4"/>
      <c r="E163" s="4"/>
      <c r="F163" s="4"/>
      <c r="G163" s="4"/>
      <c r="H163" s="4"/>
      <c r="I163" s="4"/>
      <c r="J163" s="4"/>
      <c r="K163" s="4"/>
      <c r="L163" s="4"/>
      <c r="N163" s="20" t="b">
        <f>IFERROR(__xludf.DUMMYFUNCTION("""COMPUTED_VALUE"""),FALSE)</f>
        <v>0</v>
      </c>
      <c r="O163" s="20" t="str">
        <f>IFERROR(__xludf.DUMMYFUNCTION("""COMPUTED_VALUE"""),"Google")</f>
        <v>Google</v>
      </c>
      <c r="P163" s="20">
        <f>IFERROR(__xludf.DUMMYFUNCTION("""COMPUTED_VALUE"""),5.0)</f>
        <v>5</v>
      </c>
      <c r="Q163" s="21">
        <f>IFERROR(__xludf.DUMMYFUNCTION("""COMPUTED_VALUE"""),46092.0)</f>
        <v>46092</v>
      </c>
      <c r="R163" s="20"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20"/>
      <c r="T163" s="20"/>
      <c r="U163" s="20"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20" t="str">
        <f>IFERROR(__xludf.DUMMYFUNCTION("""COMPUTED_VALUE"""),"")</f>
        <v/>
      </c>
      <c r="W163" s="20" t="str">
        <f>IFERROR(__xludf.DUMMYFUNCTION("""COMPUTED_VALUE"""),"")</f>
        <v/>
      </c>
      <c r="X163" s="20" t="str">
        <f>IFERROR(__xludf.DUMMYFUNCTION("""COMPUTED_VALUE"""),"Bernhard Ulbrich")</f>
        <v>Bernhard Ulbrich</v>
      </c>
    </row>
    <row r="164">
      <c r="D164" s="4"/>
      <c r="E164" s="4"/>
      <c r="F164" s="4"/>
      <c r="G164" s="4"/>
      <c r="H164" s="4"/>
      <c r="I164" s="4"/>
      <c r="J164" s="4"/>
      <c r="K164" s="4"/>
      <c r="L164" s="4"/>
      <c r="N164" s="20" t="b">
        <f>IFERROR(__xludf.DUMMYFUNCTION("""COMPUTED_VALUE"""),FALSE)</f>
        <v>0</v>
      </c>
      <c r="O164" s="20" t="str">
        <f>IFERROR(__xludf.DUMMYFUNCTION("""COMPUTED_VALUE"""),"Google")</f>
        <v>Google</v>
      </c>
      <c r="P164" s="20">
        <f>IFERROR(__xludf.DUMMYFUNCTION("""COMPUTED_VALUE"""),5.0)</f>
        <v>5</v>
      </c>
      <c r="Q164" s="21">
        <f>IFERROR(__xludf.DUMMYFUNCTION("""COMPUTED_VALUE"""),46091.0)</f>
        <v>46091</v>
      </c>
      <c r="R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20"/>
      <c r="T164" s="20"/>
      <c r="U164" s="20"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20" t="str">
        <f>IFERROR(__xludf.DUMMYFUNCTION("""COMPUTED_VALUE"""),"")</f>
        <v/>
      </c>
      <c r="W164" s="20" t="str">
        <f>IFERROR(__xludf.DUMMYFUNCTION("""COMPUTED_VALUE"""),"")</f>
        <v/>
      </c>
      <c r="X164" s="20" t="str">
        <f>IFERROR(__xludf.DUMMYFUNCTION("""COMPUTED_VALUE"""),"アブドーラ林")</f>
        <v>アブドーラ林</v>
      </c>
    </row>
    <row r="165">
      <c r="D165" s="4"/>
      <c r="E165" s="4"/>
      <c r="F165" s="4"/>
      <c r="G165" s="4"/>
      <c r="H165" s="4"/>
      <c r="I165" s="4"/>
      <c r="J165" s="4"/>
      <c r="K165" s="4"/>
      <c r="L165" s="4"/>
      <c r="N165" s="20" t="b">
        <f>IFERROR(__xludf.DUMMYFUNCTION("""COMPUTED_VALUE"""),FALSE)</f>
        <v>0</v>
      </c>
      <c r="O165" s="18" t="str">
        <f>IFERROR(__xludf.DUMMYFUNCTION("""COMPUTED_VALUE"""),"Trip.com")</f>
        <v>Trip.com</v>
      </c>
      <c r="P165" s="20">
        <f>IFERROR(__xludf.DUMMYFUNCTION("""COMPUTED_VALUE"""),9.0)</f>
        <v>9</v>
      </c>
      <c r="Q165" s="21">
        <f>IFERROR(__xludf.DUMMYFUNCTION("""COMPUTED_VALUE"""),46091.0)</f>
        <v>46091</v>
      </c>
      <c r="R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20"/>
      <c r="T165" s="20"/>
      <c r="U165" s="20"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20" t="str">
        <f>IFERROR(__xludf.DUMMYFUNCTION("""COMPUTED_VALUE"""),"")</f>
        <v/>
      </c>
      <c r="W165" s="20" t="str">
        <f>IFERROR(__xludf.DUMMYFUNCTION("""COMPUTED_VALUE"""),"")</f>
        <v/>
      </c>
      <c r="X165" s="20" t="str">
        <f>IFERROR(__xludf.DUMMYFUNCTION("""COMPUTED_VALUE"""),"た‍く‍ろ‍の‍楽‍し‍み‍か‍た‍☺‍️")</f>
        <v>た‍く‍ろ‍の‍楽‍し‍み‍か‍た‍☺‍️</v>
      </c>
    </row>
    <row r="166">
      <c r="D166" s="4"/>
      <c r="E166" s="4"/>
      <c r="F166" s="4"/>
      <c r="G166" s="4"/>
      <c r="H166" s="4"/>
      <c r="I166" s="4"/>
      <c r="J166" s="4"/>
      <c r="K166" s="4"/>
      <c r="L166" s="4"/>
      <c r="N166" s="20" t="b">
        <f>IFERROR(__xludf.DUMMYFUNCTION("""COMPUTED_VALUE"""),FALSE)</f>
        <v>0</v>
      </c>
      <c r="O166" s="18" t="str">
        <f>IFERROR(__xludf.DUMMYFUNCTION("""COMPUTED_VALUE"""),"Booking.com")</f>
        <v>Booking.com</v>
      </c>
      <c r="P166" s="20">
        <f>IFERROR(__xludf.DUMMYFUNCTION("""COMPUTED_VALUE"""),8.0)</f>
        <v>8</v>
      </c>
      <c r="Q166" s="21">
        <f>IFERROR(__xludf.DUMMYFUNCTION("""COMPUTED_VALUE"""),46091.0)</f>
        <v>46091</v>
      </c>
      <c r="R166" s="20"/>
      <c r="S166" s="20"/>
      <c r="T166" s="20"/>
      <c r="U166" s="20" t="str">
        <f>IFERROR(__xludf.DUMMYFUNCTION("""COMPUTED_VALUE"""),"")</f>
        <v/>
      </c>
      <c r="V166" s="20" t="str">
        <f>IFERROR(__xludf.DUMMYFUNCTION("""COMPUTED_VALUE"""),"")</f>
        <v/>
      </c>
      <c r="W166" s="20" t="str">
        <f>IFERROR(__xludf.DUMMYFUNCTION("""COMPUTED_VALUE"""),"")</f>
        <v/>
      </c>
      <c r="X166" s="20" t="str">
        <f>IFERROR(__xludf.DUMMYFUNCTION("""COMPUTED_VALUE"""),"Minchun")</f>
        <v>Minchun</v>
      </c>
    </row>
    <row r="167">
      <c r="D167" s="4"/>
      <c r="E167" s="4"/>
      <c r="F167" s="4"/>
      <c r="G167" s="4"/>
      <c r="H167" s="4"/>
      <c r="I167" s="4"/>
      <c r="J167" s="4"/>
      <c r="K167" s="4"/>
      <c r="L167" s="4"/>
      <c r="N167" s="20" t="b">
        <f>IFERROR(__xludf.DUMMYFUNCTION("""COMPUTED_VALUE"""),FALSE)</f>
        <v>0</v>
      </c>
      <c r="O167" s="18" t="str">
        <f>IFERROR(__xludf.DUMMYFUNCTION("""COMPUTED_VALUE"""),"Trip.com")</f>
        <v>Trip.com</v>
      </c>
      <c r="P167" s="20">
        <f>IFERROR(__xludf.DUMMYFUNCTION("""COMPUTED_VALUE"""),9.0)</f>
        <v>9</v>
      </c>
      <c r="Q167" s="21">
        <f>IFERROR(__xludf.DUMMYFUNCTION("""COMPUTED_VALUE"""),46090.0)</f>
        <v>46090</v>
      </c>
      <c r="R167" s="20" t="str">
        <f>IFERROR(__xludf.DUMMYFUNCTION("""COMPUTED_VALUE"""),"There is no problem.")</f>
        <v>There is no problem.</v>
      </c>
      <c r="S167" s="20"/>
      <c r="T167" s="20"/>
      <c r="U167" s="20" t="str">
        <f>IFERROR(__xludf.DUMMYFUNCTION("""COMPUTED_VALUE"""),"問題ありません。")</f>
        <v>問題ありません。</v>
      </c>
      <c r="V167" s="20" t="str">
        <f>IFERROR(__xludf.DUMMYFUNCTION("""COMPUTED_VALUE"""),"")</f>
        <v/>
      </c>
      <c r="W167" s="20" t="str">
        <f>IFERROR(__xludf.DUMMYFUNCTION("""COMPUTED_VALUE"""),"")</f>
        <v/>
      </c>
      <c r="X167" s="20" t="str">
        <f>IFERROR(__xludf.DUMMYFUNCTION("""COMPUTED_VALUE"""),"匿‍名‍ユ‍ー‍ザ‍ー")</f>
        <v>匿‍名‍ユ‍ー‍ザ‍ー</v>
      </c>
    </row>
    <row r="168">
      <c r="D168" s="4"/>
      <c r="E168" s="4"/>
      <c r="F168" s="4"/>
      <c r="G168" s="4"/>
      <c r="H168" s="4"/>
      <c r="I168" s="4"/>
      <c r="J168" s="4"/>
      <c r="K168" s="4"/>
      <c r="L168" s="4"/>
      <c r="N168" s="20" t="b">
        <f>IFERROR(__xludf.DUMMYFUNCTION("""COMPUTED_VALUE"""),FALSE)</f>
        <v>0</v>
      </c>
      <c r="O168" s="18" t="str">
        <f>IFERROR(__xludf.DUMMYFUNCTION("""COMPUTED_VALUE"""),"Trip.com")</f>
        <v>Trip.com</v>
      </c>
      <c r="P168" s="20">
        <f>IFERROR(__xludf.DUMMYFUNCTION("""COMPUTED_VALUE"""),10.0)</f>
        <v>10</v>
      </c>
      <c r="Q168" s="21">
        <f>IFERROR(__xludf.DUMMYFUNCTION("""COMPUTED_VALUE"""),46090.0)</f>
        <v>46090</v>
      </c>
      <c r="R168" s="20" t="str">
        <f>IFERROR(__xludf.DUMMYFUNCTION("""COMPUTED_VALUE"""),"Best location , excellent service, have tea and coffee corner, includes breakfast, the staffs are all helpful")</f>
        <v>Best location , excellent service, have tea and coffee corner, includes breakfast, the staffs are all helpful</v>
      </c>
      <c r="S168" s="20"/>
      <c r="T168" s="20"/>
      <c r="U168" s="20"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20" t="str">
        <f>IFERROR(__xludf.DUMMYFUNCTION("""COMPUTED_VALUE"""),"")</f>
        <v/>
      </c>
      <c r="W168" s="20" t="str">
        <f>IFERROR(__xludf.DUMMYFUNCTION("""COMPUTED_VALUE"""),"")</f>
        <v/>
      </c>
      <c r="X168" s="20" t="str">
        <f>IFERROR(__xludf.DUMMYFUNCTION("""COMPUTED_VALUE"""),"ゲ‍ス‍ト")</f>
        <v>ゲ‍ス‍ト</v>
      </c>
    </row>
    <row r="169">
      <c r="D169" s="4"/>
      <c r="E169" s="4"/>
      <c r="F169" s="4"/>
      <c r="G169" s="4"/>
      <c r="H169" s="4"/>
      <c r="I169" s="4"/>
      <c r="J169" s="4"/>
      <c r="K169" s="4"/>
      <c r="L169" s="4"/>
      <c r="N169" s="20" t="b">
        <f>IFERROR(__xludf.DUMMYFUNCTION("""COMPUTED_VALUE"""),FALSE)</f>
        <v>0</v>
      </c>
      <c r="O169" s="18" t="str">
        <f>IFERROR(__xludf.DUMMYFUNCTION("""COMPUTED_VALUE"""),"Booking.com")</f>
        <v>Booking.com</v>
      </c>
      <c r="P169" s="20">
        <f>IFERROR(__xludf.DUMMYFUNCTION("""COMPUTED_VALUE"""),10.0)</f>
        <v>10</v>
      </c>
      <c r="Q169" s="21">
        <f>IFERROR(__xludf.DUMMYFUNCTION("""COMPUTED_VALUE"""),46090.0)</f>
        <v>46090</v>
      </c>
      <c r="R169" s="20"/>
      <c r="S169" s="20"/>
      <c r="T169" s="20"/>
      <c r="U169" s="20" t="str">
        <f>IFERROR(__xludf.DUMMYFUNCTION("""COMPUTED_VALUE"""),"")</f>
        <v/>
      </c>
      <c r="V169" s="20" t="str">
        <f>IFERROR(__xludf.DUMMYFUNCTION("""COMPUTED_VALUE"""),"")</f>
        <v/>
      </c>
      <c r="W169" s="20" t="str">
        <f>IFERROR(__xludf.DUMMYFUNCTION("""COMPUTED_VALUE"""),"")</f>
        <v/>
      </c>
      <c r="X169" s="20" t="str">
        <f>IFERROR(__xludf.DUMMYFUNCTION("""COMPUTED_VALUE"""),"Marcela")</f>
        <v>Marcela</v>
      </c>
    </row>
    <row r="170">
      <c r="D170" s="4"/>
      <c r="E170" s="4"/>
      <c r="F170" s="4"/>
      <c r="G170" s="4"/>
      <c r="H170" s="4"/>
      <c r="I170" s="4"/>
      <c r="J170" s="4"/>
      <c r="K170" s="4"/>
      <c r="L170" s="4"/>
      <c r="N170" s="20" t="b">
        <f>IFERROR(__xludf.DUMMYFUNCTION("""COMPUTED_VALUE"""),FALSE)</f>
        <v>0</v>
      </c>
      <c r="O170" s="18" t="str">
        <f>IFERROR(__xludf.DUMMYFUNCTION("""COMPUTED_VALUE"""),"Booking.com")</f>
        <v>Booking.com</v>
      </c>
      <c r="P170" s="20">
        <f>IFERROR(__xludf.DUMMYFUNCTION("""COMPUTED_VALUE"""),8.0)</f>
        <v>8</v>
      </c>
      <c r="Q170" s="21">
        <f>IFERROR(__xludf.DUMMYFUNCTION("""COMPUTED_VALUE"""),46090.0)</f>
        <v>46090</v>
      </c>
      <c r="R170" s="20"/>
      <c r="S170" s="20"/>
      <c r="T170" s="20"/>
      <c r="U170" s="20" t="str">
        <f>IFERROR(__xludf.DUMMYFUNCTION("""COMPUTED_VALUE"""),"")</f>
        <v/>
      </c>
      <c r="V170" s="20" t="str">
        <f>IFERROR(__xludf.DUMMYFUNCTION("""COMPUTED_VALUE"""),"")</f>
        <v/>
      </c>
      <c r="W170" s="20" t="str">
        <f>IFERROR(__xludf.DUMMYFUNCTION("""COMPUTED_VALUE"""),"")</f>
        <v/>
      </c>
      <c r="X170" s="20" t="str">
        <f>IFERROR(__xludf.DUMMYFUNCTION("""COMPUTED_VALUE"""),"Tzuyao")</f>
        <v>Tzuyao</v>
      </c>
    </row>
    <row r="171">
      <c r="D171" s="4"/>
      <c r="E171" s="4"/>
      <c r="F171" s="4"/>
      <c r="G171" s="4"/>
      <c r="H171" s="4"/>
      <c r="I171" s="4"/>
      <c r="J171" s="4"/>
      <c r="K171" s="4"/>
      <c r="L171" s="4"/>
      <c r="N171" s="20" t="b">
        <f>IFERROR(__xludf.DUMMYFUNCTION("""COMPUTED_VALUE"""),FALSE)</f>
        <v>0</v>
      </c>
      <c r="O171" s="18" t="str">
        <f>IFERROR(__xludf.DUMMYFUNCTION("""COMPUTED_VALUE"""),"Booking.com")</f>
        <v>Booking.com</v>
      </c>
      <c r="P171" s="20">
        <f>IFERROR(__xludf.DUMMYFUNCTION("""COMPUTED_VALUE"""),9.0)</f>
        <v>9</v>
      </c>
      <c r="Q171" s="21">
        <f>IFERROR(__xludf.DUMMYFUNCTION("""COMPUTED_VALUE"""),46090.0)</f>
        <v>46090</v>
      </c>
      <c r="R171" s="20"/>
      <c r="S171" s="20"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20" t="str">
        <f>IFERROR(__xludf.DUMMYFUNCTION("""COMPUTED_VALUE"""),"Nothing")</f>
        <v>Nothing</v>
      </c>
      <c r="U171" s="20" t="str">
        <f>IFERROR(__xludf.DUMMYFUNCTION("""COMPUTED_VALUE"""),"")</f>
        <v/>
      </c>
      <c r="V171" s="20"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20" t="str">
        <f>IFERROR(__xludf.DUMMYFUNCTION("""COMPUTED_VALUE"""),"何もない")</f>
        <v>何もない</v>
      </c>
      <c r="X171" s="20" t="str">
        <f>IFERROR(__xludf.DUMMYFUNCTION("""COMPUTED_VALUE"""),"Robert")</f>
        <v>Robert</v>
      </c>
    </row>
    <row r="172">
      <c r="D172" s="4"/>
      <c r="E172" s="4"/>
      <c r="F172" s="4"/>
      <c r="G172" s="4"/>
      <c r="H172" s="4"/>
      <c r="I172" s="4"/>
      <c r="J172" s="4"/>
      <c r="K172" s="4"/>
      <c r="L172" s="4"/>
      <c r="N172" s="20" t="b">
        <f>IFERROR(__xludf.DUMMYFUNCTION("""COMPUTED_VALUE"""),FALSE)</f>
        <v>0</v>
      </c>
      <c r="O172" s="18" t="str">
        <f>IFERROR(__xludf.DUMMYFUNCTION("""COMPUTED_VALUE"""),"Booking.com")</f>
        <v>Booking.com</v>
      </c>
      <c r="P172" s="20">
        <f>IFERROR(__xludf.DUMMYFUNCTION("""COMPUTED_VALUE"""),8.0)</f>
        <v>8</v>
      </c>
      <c r="Q172" s="21">
        <f>IFERROR(__xludf.DUMMYFUNCTION("""COMPUTED_VALUE"""),46090.0)</f>
        <v>46090</v>
      </c>
      <c r="R172" s="20"/>
      <c r="S172" s="20"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20"/>
      <c r="U172" s="20" t="str">
        <f>IFERROR(__xludf.DUMMYFUNCTION("""COMPUTED_VALUE"""),"")</f>
        <v/>
      </c>
      <c r="V172" s="20" t="str">
        <f>IFERROR(__xludf.DUMMYFUNCTION("""COMPUTED_VALUE"""),"駅と観光客向けのウォーキングストリートに近い。朝食付き。クイーンサイズベッド1台ではなく、ツインベッドなのでより広いスペースが確保できます。")</f>
        <v>駅と観光客向けのウォーキングストリートに近い。朝食付き。クイーンサイズベッド1台ではなく、ツインベッドなのでより広いスペースが確保できます。</v>
      </c>
      <c r="W172" s="20" t="str">
        <f>IFERROR(__xludf.DUMMYFUNCTION("""COMPUTED_VALUE"""),"")</f>
        <v/>
      </c>
      <c r="X172" s="20" t="str">
        <f>IFERROR(__xludf.DUMMYFUNCTION("""COMPUTED_VALUE"""),"Robert")</f>
        <v>Robert</v>
      </c>
    </row>
    <row r="173">
      <c r="D173" s="4"/>
      <c r="E173" s="4"/>
      <c r="F173" s="4"/>
      <c r="G173" s="4"/>
      <c r="H173" s="4"/>
      <c r="I173" s="4"/>
      <c r="J173" s="4"/>
      <c r="K173" s="4"/>
      <c r="L173" s="4"/>
      <c r="N173" s="20" t="b">
        <f>IFERROR(__xludf.DUMMYFUNCTION("""COMPUTED_VALUE"""),FALSE)</f>
        <v>0</v>
      </c>
      <c r="O173" s="18" t="str">
        <f>IFERROR(__xludf.DUMMYFUNCTION("""COMPUTED_VALUE"""),"Booking.com")</f>
        <v>Booking.com</v>
      </c>
      <c r="P173" s="20">
        <f>IFERROR(__xludf.DUMMYFUNCTION("""COMPUTED_VALUE"""),10.0)</f>
        <v>10</v>
      </c>
      <c r="Q173" s="21">
        <f>IFERROR(__xludf.DUMMYFUNCTION("""COMPUTED_VALUE"""),46089.0)</f>
        <v>46089</v>
      </c>
      <c r="R173" s="20"/>
      <c r="S173" s="20" t="str">
        <f>IFERROR(__xludf.DUMMYFUNCTION("""COMPUTED_VALUE"""),"とにかくお安く泊まれました。その上、無料で朝食が付いていて文句なし。")</f>
        <v>とにかくお安く泊まれました。その上、無料で朝食が付いていて文句なし。</v>
      </c>
      <c r="T173" s="20" t="str">
        <f>IFERROR(__xludf.DUMMYFUNCTION("""COMPUTED_VALUE"""),"ありません。")</f>
        <v>ありません。</v>
      </c>
      <c r="U173" s="20" t="str">
        <f>IFERROR(__xludf.DUMMYFUNCTION("""COMPUTED_VALUE"""),"")</f>
        <v/>
      </c>
      <c r="V173" s="20" t="str">
        <f>IFERROR(__xludf.DUMMYFUNCTION("""COMPUTED_VALUE"""),"とにかくお安く泊まれました。その上、無料で朝食が付いていて文句なし。")</f>
        <v>とにかくお安く泊まれました。その上、無料で朝食が付いていて文句なし。</v>
      </c>
      <c r="W173" s="20" t="str">
        <f>IFERROR(__xludf.DUMMYFUNCTION("""COMPUTED_VALUE"""),"ありません。")</f>
        <v>ありません。</v>
      </c>
      <c r="X173" s="20"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12"/>
    <hyperlink r:id="rId9" ref="O12"/>
    <hyperlink r:id="rId10" ref="C13"/>
    <hyperlink r:id="rId11" ref="O13"/>
    <hyperlink r:id="rId12" ref="C14"/>
    <hyperlink r:id="rId13" ref="O14"/>
    <hyperlink r:id="rId14" ref="C24"/>
    <hyperlink r:id="rId15" ref="O24"/>
    <hyperlink r:id="rId16" ref="C25"/>
    <hyperlink r:id="rId17" ref="O25"/>
    <hyperlink r:id="rId18" ref="C26"/>
    <hyperlink r:id="rId19" ref="O26"/>
    <hyperlink r:id="rId20" ref="C29"/>
    <hyperlink r:id="rId21" ref="O29"/>
    <hyperlink r:id="rId22" ref="C33"/>
    <hyperlink r:id="rId23" ref="O33"/>
    <hyperlink r:id="rId24" ref="C34"/>
    <hyperlink r:id="rId25" ref="O34"/>
    <hyperlink r:id="rId26" ref="C35"/>
    <hyperlink r:id="rId27" ref="O35"/>
    <hyperlink r:id="rId28" ref="C36"/>
    <hyperlink r:id="rId29" ref="O36"/>
    <hyperlink r:id="rId30" ref="C40"/>
    <hyperlink r:id="rId31" ref="O40"/>
    <hyperlink r:id="rId32" ref="C41"/>
    <hyperlink r:id="rId33" ref="O41"/>
    <hyperlink r:id="rId34" ref="C42"/>
    <hyperlink r:id="rId35" ref="O42"/>
    <hyperlink r:id="rId36" ref="C46"/>
    <hyperlink r:id="rId37" ref="C48"/>
    <hyperlink r:id="rId38" ref="C49"/>
    <hyperlink r:id="rId39" ref="C50"/>
    <hyperlink r:id="rId40" ref="C55"/>
    <hyperlink r:id="rId41" ref="C57"/>
    <hyperlink r:id="rId42" ref="C60"/>
    <hyperlink r:id="rId43" ref="C61"/>
    <hyperlink r:id="rId44" ref="C62"/>
    <hyperlink r:id="rId45" ref="C63"/>
    <hyperlink r:id="rId46" ref="C64"/>
    <hyperlink r:id="rId47" ref="C67"/>
    <hyperlink r:id="rId48" ref="C68"/>
    <hyperlink r:id="rId49" ref="C70"/>
    <hyperlink r:id="rId50" ref="C72"/>
    <hyperlink r:id="rId51" ref="C74"/>
    <hyperlink r:id="rId52" ref="C82"/>
    <hyperlink r:id="rId53" ref="C86"/>
    <hyperlink r:id="rId54" ref="C88"/>
    <hyperlink r:id="rId55" ref="C89"/>
    <hyperlink r:id="rId56" ref="C90"/>
    <hyperlink r:id="rId57" ref="C91"/>
    <hyperlink r:id="rId58" ref="C92"/>
    <hyperlink r:id="rId59" ref="C96"/>
    <hyperlink r:id="rId60" ref="C98"/>
    <hyperlink r:id="rId61" ref="C99"/>
    <hyperlink r:id="rId62" ref="C101"/>
    <hyperlink r:id="rId63" ref="O101"/>
    <hyperlink r:id="rId64" ref="C103"/>
    <hyperlink r:id="rId65" ref="O103"/>
    <hyperlink r:id="rId66" ref="C104"/>
    <hyperlink r:id="rId67" ref="O104"/>
    <hyperlink r:id="rId68" ref="O105"/>
    <hyperlink r:id="rId69" ref="C110"/>
    <hyperlink r:id="rId70" ref="O110"/>
    <hyperlink r:id="rId71" ref="C111"/>
    <hyperlink r:id="rId72" ref="C112"/>
    <hyperlink r:id="rId73" ref="O112"/>
    <hyperlink r:id="rId74" ref="C113"/>
    <hyperlink r:id="rId75" ref="C114"/>
    <hyperlink r:id="rId76" ref="C115"/>
    <hyperlink r:id="rId77" ref="O115"/>
    <hyperlink r:id="rId78" ref="C116"/>
    <hyperlink r:id="rId79" ref="O116"/>
    <hyperlink r:id="rId80" ref="C117"/>
    <hyperlink r:id="rId81" ref="O117"/>
    <hyperlink r:id="rId82" ref="C118"/>
    <hyperlink r:id="rId83" ref="O118"/>
    <hyperlink r:id="rId84" ref="O119"/>
    <hyperlink r:id="rId85" ref="O122"/>
    <hyperlink r:id="rId86" ref="O123"/>
    <hyperlink r:id="rId87" ref="O125"/>
    <hyperlink r:id="rId88" ref="O127"/>
    <hyperlink r:id="rId89" ref="O129"/>
    <hyperlink r:id="rId90" ref="O137"/>
    <hyperlink r:id="rId91" ref="O141"/>
    <hyperlink r:id="rId92" ref="O143"/>
    <hyperlink r:id="rId93" ref="O144"/>
    <hyperlink r:id="rId94" ref="O145"/>
    <hyperlink r:id="rId95" ref="O146"/>
    <hyperlink r:id="rId96" ref="O147"/>
    <hyperlink r:id="rId97" ref="O151"/>
    <hyperlink r:id="rId98" ref="O153"/>
    <hyperlink r:id="rId99" ref="O154"/>
    <hyperlink r:id="rId100" ref="O156"/>
    <hyperlink r:id="rId101" ref="O158"/>
    <hyperlink r:id="rId102" ref="O159"/>
    <hyperlink r:id="rId103" ref="O165"/>
    <hyperlink r:id="rId104" ref="O166"/>
    <hyperlink r:id="rId105" ref="O167"/>
    <hyperlink r:id="rId106" ref="O168"/>
    <hyperlink r:id="rId107" ref="O169"/>
    <hyperlink r:id="rId108" ref="O170"/>
    <hyperlink r:id="rId109" ref="O171"/>
    <hyperlink r:id="rId110" ref="O172"/>
    <hyperlink r:id="rId111" ref="O173"/>
  </hyperlinks>
  <drawing r:id="rId1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2607</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46133</v>
      </c>
      <c r="C7" s="358"/>
      <c r="D7" s="274"/>
      <c r="E7" s="359">
        <f>today()+1</f>
        <v>46134</v>
      </c>
      <c r="F7" s="360"/>
      <c r="G7" s="274"/>
      <c r="H7" s="274"/>
      <c r="I7" s="361" t="s">
        <v>213</v>
      </c>
      <c r="J7" s="362" t="s">
        <v>214</v>
      </c>
      <c r="K7" s="363">
        <v>46143.0</v>
      </c>
      <c r="L7" s="364" t="s">
        <v>215</v>
      </c>
      <c r="M7" s="365" t="s">
        <v>216</v>
      </c>
      <c r="N7" s="366">
        <f>K7</f>
        <v>46143</v>
      </c>
      <c r="O7" s="366">
        <f t="shared" ref="O7:AR7" si="2">IF(N7="","",IF(DAY(N7+1)=1,"",N7+1))</f>
        <v>46144</v>
      </c>
      <c r="P7" s="366">
        <f t="shared" si="2"/>
        <v>46145</v>
      </c>
      <c r="Q7" s="366">
        <f t="shared" si="2"/>
        <v>46146</v>
      </c>
      <c r="R7" s="366">
        <f t="shared" si="2"/>
        <v>46147</v>
      </c>
      <c r="S7" s="366">
        <f t="shared" si="2"/>
        <v>46148</v>
      </c>
      <c r="T7" s="366">
        <f t="shared" si="2"/>
        <v>46149</v>
      </c>
      <c r="U7" s="366">
        <f t="shared" si="2"/>
        <v>46150</v>
      </c>
      <c r="V7" s="366">
        <f t="shared" si="2"/>
        <v>46151</v>
      </c>
      <c r="W7" s="366">
        <f t="shared" si="2"/>
        <v>46152</v>
      </c>
      <c r="X7" s="366">
        <f t="shared" si="2"/>
        <v>46153</v>
      </c>
      <c r="Y7" s="366">
        <f t="shared" si="2"/>
        <v>46154</v>
      </c>
      <c r="Z7" s="366">
        <f t="shared" si="2"/>
        <v>46155</v>
      </c>
      <c r="AA7" s="366">
        <f t="shared" si="2"/>
        <v>46156</v>
      </c>
      <c r="AB7" s="366">
        <f t="shared" si="2"/>
        <v>46157</v>
      </c>
      <c r="AC7" s="366">
        <f t="shared" si="2"/>
        <v>46158</v>
      </c>
      <c r="AD7" s="366">
        <f t="shared" si="2"/>
        <v>46159</v>
      </c>
      <c r="AE7" s="366">
        <f t="shared" si="2"/>
        <v>46160</v>
      </c>
      <c r="AF7" s="366">
        <f t="shared" si="2"/>
        <v>46161</v>
      </c>
      <c r="AG7" s="366">
        <f t="shared" si="2"/>
        <v>46162</v>
      </c>
      <c r="AH7" s="366">
        <f t="shared" si="2"/>
        <v>46163</v>
      </c>
      <c r="AI7" s="366">
        <f t="shared" si="2"/>
        <v>46164</v>
      </c>
      <c r="AJ7" s="366">
        <f t="shared" si="2"/>
        <v>46165</v>
      </c>
      <c r="AK7" s="366">
        <f t="shared" si="2"/>
        <v>46166</v>
      </c>
      <c r="AL7" s="366">
        <f t="shared" si="2"/>
        <v>46167</v>
      </c>
      <c r="AM7" s="366">
        <f t="shared" si="2"/>
        <v>46168</v>
      </c>
      <c r="AN7" s="366">
        <f t="shared" si="2"/>
        <v>46169</v>
      </c>
      <c r="AO7" s="366">
        <f t="shared" si="2"/>
        <v>46170</v>
      </c>
      <c r="AP7" s="366">
        <f t="shared" si="2"/>
        <v>46171</v>
      </c>
      <c r="AQ7" s="366">
        <f t="shared" si="2"/>
        <v>46172</v>
      </c>
      <c r="AR7" s="367">
        <f t="shared" si="2"/>
        <v>46173</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火</v>
      </c>
      <c r="D8" s="186"/>
      <c r="E8" s="374" t="s">
        <v>225</v>
      </c>
      <c r="F8" s="375" t="str">
        <f>TEXT(E7,"ddd")</f>
        <v>水</v>
      </c>
      <c r="G8" s="186"/>
      <c r="H8" s="186"/>
      <c r="I8" s="361"/>
      <c r="J8" s="376" t="s">
        <v>226</v>
      </c>
      <c r="K8" s="364" t="s">
        <v>227</v>
      </c>
      <c r="L8" s="377" t="s">
        <v>228</v>
      </c>
      <c r="M8" s="365"/>
      <c r="N8" s="378" t="str">
        <f t="shared" ref="N8:AR8" si="3">TEXT(N7,"ddd")</f>
        <v>金</v>
      </c>
      <c r="O8" s="378" t="str">
        <f t="shared" si="3"/>
        <v>土</v>
      </c>
      <c r="P8" s="378" t="str">
        <f t="shared" si="3"/>
        <v>日</v>
      </c>
      <c r="Q8" s="378" t="str">
        <f t="shared" si="3"/>
        <v>月</v>
      </c>
      <c r="R8" s="378" t="str">
        <f t="shared" si="3"/>
        <v>火</v>
      </c>
      <c r="S8" s="378" t="str">
        <f t="shared" si="3"/>
        <v>水</v>
      </c>
      <c r="T8" s="378" t="str">
        <f t="shared" si="3"/>
        <v>木</v>
      </c>
      <c r="U8" s="378" t="str">
        <f t="shared" si="3"/>
        <v>金</v>
      </c>
      <c r="V8" s="378" t="str">
        <f t="shared" si="3"/>
        <v>土</v>
      </c>
      <c r="W8" s="378" t="str">
        <f t="shared" si="3"/>
        <v>日</v>
      </c>
      <c r="X8" s="378" t="str">
        <f t="shared" si="3"/>
        <v>月</v>
      </c>
      <c r="Y8" s="378" t="str">
        <f t="shared" si="3"/>
        <v>火</v>
      </c>
      <c r="Z8" s="378" t="str">
        <f t="shared" si="3"/>
        <v>水</v>
      </c>
      <c r="AA8" s="378" t="str">
        <f t="shared" si="3"/>
        <v>木</v>
      </c>
      <c r="AB8" s="378" t="str">
        <f t="shared" si="3"/>
        <v>金</v>
      </c>
      <c r="AC8" s="378" t="str">
        <f t="shared" si="3"/>
        <v>土</v>
      </c>
      <c r="AD8" s="378" t="str">
        <f t="shared" si="3"/>
        <v>日</v>
      </c>
      <c r="AE8" s="378" t="str">
        <f t="shared" si="3"/>
        <v>月</v>
      </c>
      <c r="AF8" s="378" t="str">
        <f t="shared" si="3"/>
        <v>火</v>
      </c>
      <c r="AG8" s="378" t="str">
        <f t="shared" si="3"/>
        <v>水</v>
      </c>
      <c r="AH8" s="378" t="str">
        <f t="shared" si="3"/>
        <v>木</v>
      </c>
      <c r="AI8" s="378" t="str">
        <f t="shared" si="3"/>
        <v>金</v>
      </c>
      <c r="AJ8" s="378" t="str">
        <f t="shared" si="3"/>
        <v>土</v>
      </c>
      <c r="AK8" s="378" t="str">
        <f t="shared" si="3"/>
        <v>日</v>
      </c>
      <c r="AL8" s="378" t="str">
        <f t="shared" si="3"/>
        <v>月</v>
      </c>
      <c r="AM8" s="378" t="str">
        <f t="shared" si="3"/>
        <v>火</v>
      </c>
      <c r="AN8" s="378" t="str">
        <f t="shared" si="3"/>
        <v>水</v>
      </c>
      <c r="AO8" s="378" t="str">
        <f t="shared" si="3"/>
        <v>木</v>
      </c>
      <c r="AP8" s="378" t="str">
        <f t="shared" si="3"/>
        <v>金</v>
      </c>
      <c r="AQ8" s="378" t="str">
        <f t="shared" si="3"/>
        <v>土</v>
      </c>
      <c r="AR8" s="378" t="str">
        <f t="shared" si="3"/>
        <v>日</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4</v>
      </c>
      <c r="O9" s="385">
        <f t="array" ref="O9">SUM(COUNTIF(O11:O104, {"◎","〇","☆","共","特","浴"}))</f>
        <v>6</v>
      </c>
      <c r="P9" s="385">
        <f t="array" ref="P9">SUM(COUNTIF(P11:P104, {"◎","〇","☆","共","特","浴"}))</f>
        <v>8</v>
      </c>
      <c r="Q9" s="385">
        <f t="array" ref="Q9">SUM(COUNTIF(Q11:Q104, {"◎","〇","☆","共","特","浴"}))</f>
        <v>7</v>
      </c>
      <c r="R9" s="385">
        <f t="array" ref="R9">SUM(COUNTIF(R11:R104, {"◎","〇","☆","共","特","浴"}))</f>
        <v>7</v>
      </c>
      <c r="S9" s="385">
        <f t="array" ref="S9">SUM(COUNTIF(S11:S104, {"◎","〇","☆","共","特","浴"}))</f>
        <v>6</v>
      </c>
      <c r="T9" s="385">
        <f t="array" ref="T9">SUM(COUNTIF(T11:T104, {"◎","〇","☆","共","特","浴"}))</f>
        <v>6</v>
      </c>
      <c r="U9" s="385">
        <f t="array" ref="U9">SUM(COUNTIF(U11:U104, {"◎","〇","☆","共","特","浴"}))</f>
        <v>7</v>
      </c>
      <c r="V9" s="385">
        <f t="array" ref="V9">SUM(COUNTIF(V11:V104, {"◎","〇","☆","共","特","浴"}))</f>
        <v>7</v>
      </c>
      <c r="W9" s="385">
        <f t="array" ref="W9">SUM(COUNTIF(W11:W104, {"◎","〇","☆","共","特","浴"}))</f>
        <v>8</v>
      </c>
      <c r="X9" s="385">
        <f t="array" ref="X9">SUM(COUNTIF(X11:X104, {"◎","〇","☆","共","特","浴"}))</f>
        <v>8</v>
      </c>
      <c r="Y9" s="385">
        <f t="array" ref="Y9">SUM(COUNTIF(Y11:Y104, {"◎","〇","☆","共","特","浴"}))</f>
        <v>7</v>
      </c>
      <c r="Z9" s="385">
        <f t="array" ref="Z9">SUM(COUNTIF(Z11:Z104, {"◎","〇","☆","共","特","浴"}))</f>
        <v>6</v>
      </c>
      <c r="AA9" s="385">
        <f t="array" ref="AA9">SUM(COUNTIF(AA11:AA104, {"◎","〇","☆","共","特","浴"}))</f>
        <v>6</v>
      </c>
      <c r="AB9" s="385">
        <f t="array" ref="AB9">SUM(COUNTIF(AB11:AB104, {"◎","〇","☆","共","特","浴"}))</f>
        <v>7</v>
      </c>
      <c r="AC9" s="385">
        <f t="array" ref="AC9">SUM(COUNTIF(AC11:AC104, {"◎","〇","☆","共","特","浴"}))</f>
        <v>7</v>
      </c>
      <c r="AD9" s="385">
        <f t="array" ref="AD9">SUM(COUNTIF(AD11:AD104, {"◎","〇","☆","共","特","浴"}))</f>
        <v>8</v>
      </c>
      <c r="AE9" s="385">
        <f t="array" ref="AE9">SUM(COUNTIF(AE11:AE104, {"◎","〇","☆","共","特","浴"}))</f>
        <v>8</v>
      </c>
      <c r="AF9" s="385">
        <f t="array" ref="AF9">SUM(COUNTIF(AF11:AF104, {"◎","〇","☆","共","特","浴"}))</f>
        <v>7</v>
      </c>
      <c r="AG9" s="385">
        <f t="array" ref="AG9">SUM(COUNTIF(AG11:AG104, {"◎","〇","☆","共","特","浴"}))</f>
        <v>6</v>
      </c>
      <c r="AH9" s="385">
        <f t="array" ref="AH9">SUM(COUNTIF(AH11:AH104, {"◎","〇","☆","共","特","浴"}))</f>
        <v>6</v>
      </c>
      <c r="AI9" s="385">
        <f t="array" ref="AI9">SUM(COUNTIF(AI11:AI104, {"◎","〇","☆","共","特","浴"}))</f>
        <v>7</v>
      </c>
      <c r="AJ9" s="385">
        <f t="array" ref="AJ9">SUM(COUNTIF(AJ11:AJ104, {"◎","〇","☆","共","特","浴"}))</f>
        <v>7</v>
      </c>
      <c r="AK9" s="385">
        <f t="array" ref="AK9">SUM(COUNTIF(AK11:AK104, {"◎","〇","☆","共","特","浴"}))</f>
        <v>8</v>
      </c>
      <c r="AL9" s="385">
        <f t="array" ref="AL9">SUM(COUNTIF(AL11:AL104, {"◎","〇","☆","共","特","浴"}))</f>
        <v>8</v>
      </c>
      <c r="AM9" s="385">
        <f t="array" ref="AM9">SUM(COUNTIF(AM11:AM104, {"◎","〇","☆","共","特","浴"}))</f>
        <v>7</v>
      </c>
      <c r="AN9" s="385">
        <f t="array" ref="AN9">SUM(COUNTIF(AN11:AN104, {"◎","〇","☆","共","特","浴"}))</f>
        <v>6</v>
      </c>
      <c r="AO9" s="385">
        <f t="array" ref="AO9">SUM(COUNTIF(AO11:AO104, {"◎","〇","☆","共","特","浴"}))</f>
        <v>6</v>
      </c>
      <c r="AP9" s="385">
        <f t="array" ref="AP9">SUM(COUNTIF(AP11:AP104, {"◎","〇","☆","共","特","浴"}))</f>
        <v>7</v>
      </c>
      <c r="AQ9" s="385">
        <f t="array" ref="AQ9">SUM(COUNTIF(AQ11:AQ104, {"◎","〇","☆","共","特","浴"}))</f>
        <v>5</v>
      </c>
      <c r="AR9" s="385">
        <f t="array" ref="AR9">SUM(COUNTIF(AR11:AR104, {"◎","〇","☆","共","特","浴"}))</f>
        <v>6</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2</v>
      </c>
      <c r="O10" s="385">
        <f t="array" ref="O10">SUM(COUNTIF(O11:O104, {"◎","☆"}))</f>
        <v>1</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2</v>
      </c>
      <c r="V10" s="385">
        <f t="array" ref="V10">SUM(COUNTIF(V11:V104, {"◎","☆"}))</f>
        <v>1</v>
      </c>
      <c r="W10" s="385">
        <f t="array" ref="W10">SUM(COUNTIF(W11:W104, {"◎","☆"}))</f>
        <v>1</v>
      </c>
      <c r="X10" s="385">
        <f t="array" ref="X10">SUM(COUNTIF(X11:X104, {"◎","☆"}))</f>
        <v>2</v>
      </c>
      <c r="Y10" s="385">
        <f t="array" ref="Y10">SUM(COUNTIF(Y11:Y104, {"◎","☆"}))</f>
        <v>2</v>
      </c>
      <c r="Z10" s="385">
        <f t="array" ref="Z10">SUM(COUNTIF(Z11:Z104, {"◎","☆"}))</f>
        <v>1</v>
      </c>
      <c r="AA10" s="385">
        <f t="array" ref="AA10">SUM(COUNTIF(AA11:AA104, {"◎","☆"}))</f>
        <v>1</v>
      </c>
      <c r="AB10" s="385">
        <f t="array" ref="AB10">SUM(COUNTIF(AB11:AB104, {"◎","☆"}))</f>
        <v>2</v>
      </c>
      <c r="AC10" s="385">
        <f t="array" ref="AC10">SUM(COUNTIF(AC11:AC104, {"◎","☆"}))</f>
        <v>1</v>
      </c>
      <c r="AD10" s="385">
        <f t="array" ref="AD10">SUM(COUNTIF(AD11:AD104, {"◎","☆"}))</f>
        <v>1</v>
      </c>
      <c r="AE10" s="385">
        <f t="array" ref="AE10">SUM(COUNTIF(AE11:AE104, {"◎","☆"}))</f>
        <v>2</v>
      </c>
      <c r="AF10" s="385">
        <f t="array" ref="AF10">SUM(COUNTIF(AF11:AF104, {"◎","☆"}))</f>
        <v>2</v>
      </c>
      <c r="AG10" s="385">
        <f t="array" ref="AG10">SUM(COUNTIF(AG11:AG104, {"◎","☆"}))</f>
        <v>1</v>
      </c>
      <c r="AH10" s="385">
        <f t="array" ref="AH10">SUM(COUNTIF(AH11:AH104, {"◎","☆"}))</f>
        <v>1</v>
      </c>
      <c r="AI10" s="385">
        <f t="array" ref="AI10">SUM(COUNTIF(AI11:AI104, {"◎","☆"}))</f>
        <v>2</v>
      </c>
      <c r="AJ10" s="385">
        <f t="array" ref="AJ10">SUM(COUNTIF(AJ11:AJ104, {"◎","☆"}))</f>
        <v>1</v>
      </c>
      <c r="AK10" s="385">
        <f t="array" ref="AK10">SUM(COUNTIF(AK11:AK104, {"◎","☆"}))</f>
        <v>1</v>
      </c>
      <c r="AL10" s="385">
        <f t="array" ref="AL10">SUM(COUNTIF(AL11:AL104, {"◎","☆"}))</f>
        <v>2</v>
      </c>
      <c r="AM10" s="385">
        <f t="array" ref="AM10">SUM(COUNTIF(AM11:AM104, {"◎","☆"}))</f>
        <v>2</v>
      </c>
      <c r="AN10" s="385">
        <f t="array" ref="AN10">SUM(COUNTIF(AN11:AN104, {"◎","☆"}))</f>
        <v>1</v>
      </c>
      <c r="AO10" s="385">
        <f t="array" ref="AO10">SUM(COUNTIF(AO11:AO104, {"◎","☆"}))</f>
        <v>1</v>
      </c>
      <c r="AP10" s="385">
        <f t="array" ref="AP10">SUM(COUNTIF(AP11:AP104, {"◎","☆"}))</f>
        <v>2</v>
      </c>
      <c r="AQ10" s="385">
        <f t="array" ref="AQ10">SUM(COUNTIF(AQ11:AQ104, {"◎","☆"}))</f>
        <v>1</v>
      </c>
      <c r="AR10" s="385">
        <f t="array" ref="AR10">SUM(COUNTIF(AR11:AR104, {"◎","☆"}))</f>
        <v>1</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c r="P11" s="390" t="s">
        <v>187</v>
      </c>
      <c r="Q11" s="390" t="s">
        <v>187</v>
      </c>
      <c r="R11" s="390" t="s">
        <v>187</v>
      </c>
      <c r="S11" s="390"/>
      <c r="T11" s="390" t="s">
        <v>187</v>
      </c>
      <c r="U11" s="390" t="s">
        <v>187</v>
      </c>
      <c r="V11" s="390"/>
      <c r="W11" s="390" t="s">
        <v>187</v>
      </c>
      <c r="X11" s="390" t="s">
        <v>187</v>
      </c>
      <c r="Y11" s="390" t="s">
        <v>187</v>
      </c>
      <c r="Z11" s="390"/>
      <c r="AA11" s="390" t="s">
        <v>187</v>
      </c>
      <c r="AB11" s="390" t="s">
        <v>187</v>
      </c>
      <c r="AC11" s="390"/>
      <c r="AD11" s="390" t="s">
        <v>187</v>
      </c>
      <c r="AE11" s="390" t="s">
        <v>187</v>
      </c>
      <c r="AF11" s="390" t="s">
        <v>187</v>
      </c>
      <c r="AG11" s="390"/>
      <c r="AH11" s="390" t="s">
        <v>187</v>
      </c>
      <c r="AI11" s="390" t="s">
        <v>187</v>
      </c>
      <c r="AJ11" s="390"/>
      <c r="AK11" s="390" t="s">
        <v>187</v>
      </c>
      <c r="AL11" s="390" t="s">
        <v>187</v>
      </c>
      <c r="AM11" s="390" t="s">
        <v>187</v>
      </c>
      <c r="AN11" s="390"/>
      <c r="AO11" s="390" t="s">
        <v>187</v>
      </c>
      <c r="AP11" s="390" t="s">
        <v>187</v>
      </c>
      <c r="AQ11" s="390"/>
      <c r="AR11" s="390" t="s">
        <v>187</v>
      </c>
      <c r="AS11" s="391">
        <f t="array" ref="AS11">SUM(COUNTIF(N11:AR11, {"◎","〇","☆","共","特","浴"}))</f>
        <v>22</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t="s">
        <v>187</v>
      </c>
      <c r="O12" s="390" t="s">
        <v>187</v>
      </c>
      <c r="P12" s="390"/>
      <c r="Q12" s="390" t="s">
        <v>203</v>
      </c>
      <c r="R12" s="390" t="s">
        <v>187</v>
      </c>
      <c r="S12" s="390" t="s">
        <v>187</v>
      </c>
      <c r="T12" s="390"/>
      <c r="U12" s="390" t="s">
        <v>187</v>
      </c>
      <c r="V12" s="390" t="s">
        <v>187</v>
      </c>
      <c r="W12" s="390"/>
      <c r="X12" s="390" t="s">
        <v>187</v>
      </c>
      <c r="Y12" s="390" t="s">
        <v>187</v>
      </c>
      <c r="Z12" s="390" t="s">
        <v>187</v>
      </c>
      <c r="AA12" s="390"/>
      <c r="AB12" s="390" t="s">
        <v>187</v>
      </c>
      <c r="AC12" s="390" t="s">
        <v>187</v>
      </c>
      <c r="AD12" s="390"/>
      <c r="AE12" s="390" t="s">
        <v>187</v>
      </c>
      <c r="AF12" s="390" t="s">
        <v>187</v>
      </c>
      <c r="AG12" s="390" t="s">
        <v>187</v>
      </c>
      <c r="AH12" s="390"/>
      <c r="AI12" s="390" t="s">
        <v>187</v>
      </c>
      <c r="AJ12" s="390" t="s">
        <v>187</v>
      </c>
      <c r="AK12" s="390"/>
      <c r="AL12" s="390" t="s">
        <v>187</v>
      </c>
      <c r="AM12" s="390" t="s">
        <v>187</v>
      </c>
      <c r="AN12" s="390" t="s">
        <v>187</v>
      </c>
      <c r="AO12" s="390"/>
      <c r="AP12" s="390" t="s">
        <v>187</v>
      </c>
      <c r="AQ12" s="390" t="s">
        <v>187</v>
      </c>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サウド</v>
      </c>
      <c r="C13" s="381" t="str">
        <f t="shared" si="5"/>
        <v>#N/A</v>
      </c>
      <c r="D13" s="186"/>
      <c r="E13" s="372" t="str">
        <f t="shared" si="6"/>
        <v>サウド</v>
      </c>
      <c r="F13" s="381" t="str">
        <f t="shared" si="7"/>
        <v>#N/A</v>
      </c>
      <c r="G13" s="186"/>
      <c r="H13" s="186"/>
      <c r="I13" s="168" t="b">
        <v>0</v>
      </c>
      <c r="J13" s="362"/>
      <c r="K13" s="382" t="s">
        <v>238</v>
      </c>
      <c r="L13" s="383" t="s">
        <v>239</v>
      </c>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Q15" s="2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2</v>
      </c>
      <c r="O41" s="385">
        <f t="shared" si="8"/>
        <v>5</v>
      </c>
      <c r="P41" s="385">
        <f t="shared" si="8"/>
        <v>7</v>
      </c>
      <c r="Q41" s="385">
        <f t="shared" ref="Q41:AR41" si="9">COUNTIF(Q45:Q104,"〇")+countif(Q$11:Q$40,"〇")</f>
        <v>6</v>
      </c>
      <c r="R41" s="385">
        <f t="shared" si="9"/>
        <v>5</v>
      </c>
      <c r="S41" s="385">
        <f t="shared" si="9"/>
        <v>5</v>
      </c>
      <c r="T41" s="385">
        <f t="shared" si="9"/>
        <v>5</v>
      </c>
      <c r="U41" s="385">
        <f t="shared" si="9"/>
        <v>5</v>
      </c>
      <c r="V41" s="385">
        <f t="shared" si="9"/>
        <v>6</v>
      </c>
      <c r="W41" s="385">
        <f t="shared" si="9"/>
        <v>7</v>
      </c>
      <c r="X41" s="385">
        <f t="shared" si="9"/>
        <v>6</v>
      </c>
      <c r="Y41" s="385">
        <f t="shared" si="9"/>
        <v>5</v>
      </c>
      <c r="Z41" s="385">
        <f t="shared" si="9"/>
        <v>5</v>
      </c>
      <c r="AA41" s="385">
        <f t="shared" si="9"/>
        <v>5</v>
      </c>
      <c r="AB41" s="385">
        <f t="shared" si="9"/>
        <v>5</v>
      </c>
      <c r="AC41" s="385">
        <f t="shared" si="9"/>
        <v>6</v>
      </c>
      <c r="AD41" s="385">
        <f t="shared" si="9"/>
        <v>7</v>
      </c>
      <c r="AE41" s="385">
        <f t="shared" si="9"/>
        <v>6</v>
      </c>
      <c r="AF41" s="385">
        <f t="shared" si="9"/>
        <v>5</v>
      </c>
      <c r="AG41" s="385">
        <f t="shared" si="9"/>
        <v>5</v>
      </c>
      <c r="AH41" s="385">
        <f t="shared" si="9"/>
        <v>5</v>
      </c>
      <c r="AI41" s="385">
        <f t="shared" si="9"/>
        <v>5</v>
      </c>
      <c r="AJ41" s="385">
        <f t="shared" si="9"/>
        <v>6</v>
      </c>
      <c r="AK41" s="385">
        <f t="shared" si="9"/>
        <v>7</v>
      </c>
      <c r="AL41" s="385">
        <f t="shared" si="9"/>
        <v>6</v>
      </c>
      <c r="AM41" s="385">
        <f t="shared" si="9"/>
        <v>5</v>
      </c>
      <c r="AN41" s="385">
        <f t="shared" si="9"/>
        <v>5</v>
      </c>
      <c r="AO41" s="385">
        <f t="shared" si="9"/>
        <v>5</v>
      </c>
      <c r="AP41" s="385">
        <f t="shared" si="9"/>
        <v>5</v>
      </c>
      <c r="AQ41" s="385">
        <f t="shared" si="9"/>
        <v>4</v>
      </c>
      <c r="AR41" s="385">
        <f t="shared" si="9"/>
        <v>5</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4" t="s">
        <v>249</v>
      </c>
      <c r="N45" s="390" t="s">
        <v>119</v>
      </c>
      <c r="O45" s="390"/>
      <c r="P45" s="390"/>
      <c r="Q45" s="390" t="s">
        <v>119</v>
      </c>
      <c r="R45" s="390" t="s">
        <v>119</v>
      </c>
      <c r="S45" s="390" t="s">
        <v>119</v>
      </c>
      <c r="T45" s="390" t="s">
        <v>119</v>
      </c>
      <c r="U45" s="390" t="s">
        <v>119</v>
      </c>
      <c r="V45" s="390"/>
      <c r="W45" s="390"/>
      <c r="X45" s="390" t="s">
        <v>119</v>
      </c>
      <c r="Y45" s="390" t="s">
        <v>119</v>
      </c>
      <c r="Z45" s="390" t="s">
        <v>119</v>
      </c>
      <c r="AA45" s="390" t="s">
        <v>119</v>
      </c>
      <c r="AB45" s="390" t="s">
        <v>119</v>
      </c>
      <c r="AC45" s="390"/>
      <c r="AD45" s="390"/>
      <c r="AE45" s="390" t="s">
        <v>119</v>
      </c>
      <c r="AF45" s="390" t="s">
        <v>119</v>
      </c>
      <c r="AG45" s="390" t="s">
        <v>119</v>
      </c>
      <c r="AH45" s="390" t="s">
        <v>119</v>
      </c>
      <c r="AI45" s="390" t="s">
        <v>119</v>
      </c>
      <c r="AJ45" s="390"/>
      <c r="AK45" s="390"/>
      <c r="AL45" s="390" t="s">
        <v>119</v>
      </c>
      <c r="AM45" s="390" t="s">
        <v>119</v>
      </c>
      <c r="AN45" s="390" t="s">
        <v>119</v>
      </c>
      <c r="AO45" s="390" t="s">
        <v>119</v>
      </c>
      <c r="AP45" s="390" t="s">
        <v>119</v>
      </c>
      <c r="AQ45" s="390"/>
      <c r="AR45" s="385"/>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257</v>
      </c>
      <c r="N49" s="390" t="s">
        <v>119</v>
      </c>
      <c r="O49" s="390" t="s">
        <v>119</v>
      </c>
      <c r="P49" s="390" t="s">
        <v>119</v>
      </c>
      <c r="Q49" s="390" t="s">
        <v>119</v>
      </c>
      <c r="R49" s="390"/>
      <c r="S49" s="390"/>
      <c r="T49" s="390" t="s">
        <v>119</v>
      </c>
      <c r="U49" s="390" t="s">
        <v>119</v>
      </c>
      <c r="V49" s="390" t="s">
        <v>119</v>
      </c>
      <c r="W49" s="390" t="s">
        <v>119</v>
      </c>
      <c r="X49" s="390" t="s">
        <v>119</v>
      </c>
      <c r="Y49" s="390"/>
      <c r="Z49" s="390"/>
      <c r="AA49" s="390" t="s">
        <v>119</v>
      </c>
      <c r="AB49" s="390" t="s">
        <v>119</v>
      </c>
      <c r="AC49" s="390" t="s">
        <v>119</v>
      </c>
      <c r="AD49" s="390" t="s">
        <v>119</v>
      </c>
      <c r="AE49" s="390" t="s">
        <v>119</v>
      </c>
      <c r="AF49" s="390"/>
      <c r="AG49" s="390"/>
      <c r="AH49" s="390" t="s">
        <v>119</v>
      </c>
      <c r="AI49" s="390" t="s">
        <v>119</v>
      </c>
      <c r="AJ49" s="390" t="s">
        <v>119</v>
      </c>
      <c r="AK49" s="390" t="s">
        <v>119</v>
      </c>
      <c r="AL49" s="390" t="s">
        <v>119</v>
      </c>
      <c r="AM49" s="390"/>
      <c r="AN49" s="390"/>
      <c r="AO49" s="390" t="s">
        <v>119</v>
      </c>
      <c r="AP49" s="390" t="s">
        <v>119</v>
      </c>
      <c r="AQ49" s="390" t="s">
        <v>119</v>
      </c>
      <c r="AR49" s="390" t="s">
        <v>119</v>
      </c>
      <c r="AS49" s="391">
        <f t="array" ref="AS49">SUM(COUNTIF(N49:AR49, {"◎","〇","☆","共","特","浴"}))</f>
        <v>23</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ロジナ</v>
      </c>
      <c r="C50" s="381" t="str">
        <f t="shared" si="5"/>
        <v>#N/A</v>
      </c>
      <c r="D50" s="186"/>
      <c r="E50" s="372" t="str">
        <f t="shared" si="6"/>
        <v>ロジナ</v>
      </c>
      <c r="F50" s="381" t="str">
        <f t="shared" si="7"/>
        <v>#N/A</v>
      </c>
      <c r="G50" s="186"/>
      <c r="H50" s="186"/>
      <c r="I50" s="168" t="b">
        <v>0</v>
      </c>
      <c r="J50" s="362"/>
      <c r="K50" s="382" t="s">
        <v>258</v>
      </c>
      <c r="L50" s="383" t="s">
        <v>248</v>
      </c>
      <c r="M50" s="384" t="s">
        <v>253</v>
      </c>
      <c r="N50" s="390"/>
      <c r="O50" s="385"/>
      <c r="P50" s="385"/>
      <c r="Q50" s="385"/>
      <c r="R50" s="390"/>
      <c r="S50" s="385"/>
      <c r="T50" s="390"/>
      <c r="U50" s="390"/>
      <c r="V50" s="385"/>
      <c r="W50" s="385"/>
      <c r="X50" s="390"/>
      <c r="Y50" s="390"/>
      <c r="Z50" s="390"/>
      <c r="AA50" s="390"/>
      <c r="AB50" s="390"/>
      <c r="AC50" s="385"/>
      <c r="AD50" s="385"/>
      <c r="AE50" s="390"/>
      <c r="AF50" s="390"/>
      <c r="AG50" s="390"/>
      <c r="AH50" s="390"/>
      <c r="AI50" s="390"/>
      <c r="AJ50" s="385"/>
      <c r="AK50" s="385"/>
      <c r="AL50" s="390"/>
      <c r="AM50" s="390"/>
      <c r="AN50" s="390"/>
      <c r="AO50" s="390"/>
      <c r="AP50" s="390"/>
      <c r="AQ50" s="385"/>
      <c r="AR50" s="385"/>
      <c r="AS50" s="391">
        <f t="array" ref="AS50">SUM(COUNTIF(N50:AR50, {"◎","〇","☆","共","特","浴"}))</f>
        <v>0</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c r="O52" s="390" t="s">
        <v>119</v>
      </c>
      <c r="P52" s="390" t="s">
        <v>119</v>
      </c>
      <c r="Q52" s="390"/>
      <c r="R52" s="390"/>
      <c r="S52" s="390"/>
      <c r="T52" s="390"/>
      <c r="U52" s="390"/>
      <c r="V52" s="390" t="s">
        <v>119</v>
      </c>
      <c r="W52" s="390" t="s">
        <v>119</v>
      </c>
      <c r="X52" s="390"/>
      <c r="Y52" s="390"/>
      <c r="Z52" s="390"/>
      <c r="AA52" s="390"/>
      <c r="AB52" s="390"/>
      <c r="AC52" s="390" t="s">
        <v>119</v>
      </c>
      <c r="AD52" s="390" t="s">
        <v>119</v>
      </c>
      <c r="AE52" s="390"/>
      <c r="AF52" s="390"/>
      <c r="AG52" s="390"/>
      <c r="AH52" s="390"/>
      <c r="AI52" s="390"/>
      <c r="AJ52" s="390" t="s">
        <v>119</v>
      </c>
      <c r="AK52" s="390" t="s">
        <v>119</v>
      </c>
      <c r="AL52" s="390"/>
      <c r="AM52" s="390"/>
      <c r="AN52" s="390"/>
      <c r="AO52" s="390"/>
      <c r="AP52" s="390"/>
      <c r="AQ52" s="390" t="s">
        <v>119</v>
      </c>
      <c r="AR52" s="390" t="s">
        <v>119</v>
      </c>
      <c r="AS52" s="391">
        <f t="array" ref="AS52">SUM(COUNTIF(N52:AR52, {"◎","〇","☆","共","特","浴"}))</f>
        <v>10</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4" t="s">
        <v>253</v>
      </c>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c r="Q55" s="390"/>
      <c r="R55" s="390"/>
      <c r="S55" s="390"/>
      <c r="T55" s="390"/>
      <c r="U55" s="390"/>
      <c r="V55" s="390" t="s">
        <v>119</v>
      </c>
      <c r="W55" s="390"/>
      <c r="X55" s="390"/>
      <c r="Y55" s="390"/>
      <c r="Z55" s="390"/>
      <c r="AA55" s="390"/>
      <c r="AB55" s="390"/>
      <c r="AC55" s="390" t="s">
        <v>119</v>
      </c>
      <c r="AD55" s="390"/>
      <c r="AE55" s="390"/>
      <c r="AF55" s="390"/>
      <c r="AG55" s="390"/>
      <c r="AH55" s="390"/>
      <c r="AI55" s="390"/>
      <c r="AJ55" s="390" t="s">
        <v>119</v>
      </c>
      <c r="AK55" s="390"/>
      <c r="AL55" s="390"/>
      <c r="AM55" s="390"/>
      <c r="AN55" s="390"/>
      <c r="AO55" s="390"/>
      <c r="AP55" s="390"/>
      <c r="AQ55" s="390" t="s">
        <v>119</v>
      </c>
      <c r="AR55" s="390"/>
      <c r="AS55" s="391">
        <f t="array" ref="AS55">SUM(COUNTIF(N55:AR55, {"◎","〇","☆","共","特","浴"}))</f>
        <v>4</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c r="O56" s="390"/>
      <c r="P56" s="390" t="s">
        <v>119</v>
      </c>
      <c r="Q56" s="390"/>
      <c r="R56" s="390"/>
      <c r="S56" s="390"/>
      <c r="T56" s="390"/>
      <c r="U56" s="390"/>
      <c r="V56" s="390"/>
      <c r="W56" s="390" t="s">
        <v>119</v>
      </c>
      <c r="X56" s="390"/>
      <c r="Y56" s="390"/>
      <c r="Z56" s="390"/>
      <c r="AA56" s="390"/>
      <c r="AB56" s="390"/>
      <c r="AC56" s="390"/>
      <c r="AD56" s="390" t="s">
        <v>119</v>
      </c>
      <c r="AE56" s="390"/>
      <c r="AF56" s="390"/>
      <c r="AG56" s="390"/>
      <c r="AH56" s="390"/>
      <c r="AI56" s="390"/>
      <c r="AJ56" s="390"/>
      <c r="AK56" s="390" t="s">
        <v>119</v>
      </c>
      <c r="AL56" s="390"/>
      <c r="AM56" s="390"/>
      <c r="AN56" s="390"/>
      <c r="AO56" s="390"/>
      <c r="AP56" s="390"/>
      <c r="AQ56" s="390"/>
      <c r="AR56" s="390" t="s">
        <v>119</v>
      </c>
      <c r="AS56" s="391">
        <f t="array" ref="AS56">SUM(COUNTIF(N56:AR56, {"◎","〇","☆","共","特","浴"}))</f>
        <v>5</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ビジャヤ</v>
      </c>
      <c r="C57" s="381" t="str">
        <f t="shared" si="5"/>
        <v>#N/A</v>
      </c>
      <c r="D57" s="186"/>
      <c r="E57" s="372" t="str">
        <f t="shared" si="6"/>
        <v>ビジャヤ</v>
      </c>
      <c r="F57" s="381" t="str">
        <f t="shared" si="7"/>
        <v>#N/A</v>
      </c>
      <c r="G57" s="186"/>
      <c r="H57" s="186"/>
      <c r="I57" s="168" t="b">
        <v>1</v>
      </c>
      <c r="J57" s="362"/>
      <c r="K57" s="382" t="s">
        <v>268</v>
      </c>
      <c r="L57" s="383" t="s">
        <v>248</v>
      </c>
      <c r="M57" s="384" t="s">
        <v>269</v>
      </c>
      <c r="N57" s="390"/>
      <c r="O57" s="390"/>
      <c r="P57" s="390" t="s">
        <v>119</v>
      </c>
      <c r="Q57" s="390" t="s">
        <v>119</v>
      </c>
      <c r="R57" s="390" t="s">
        <v>119</v>
      </c>
      <c r="S57" s="390" t="s">
        <v>119</v>
      </c>
      <c r="T57" s="385"/>
      <c r="U57" s="390"/>
      <c r="V57" s="390"/>
      <c r="W57" s="390" t="s">
        <v>119</v>
      </c>
      <c r="X57" s="390" t="s">
        <v>119</v>
      </c>
      <c r="Y57" s="390" t="s">
        <v>119</v>
      </c>
      <c r="Z57" s="390" t="s">
        <v>119</v>
      </c>
      <c r="AA57" s="385"/>
      <c r="AB57" s="390"/>
      <c r="AC57" s="390"/>
      <c r="AD57" s="390" t="s">
        <v>119</v>
      </c>
      <c r="AE57" s="390" t="s">
        <v>119</v>
      </c>
      <c r="AF57" s="390" t="s">
        <v>119</v>
      </c>
      <c r="AG57" s="390" t="s">
        <v>119</v>
      </c>
      <c r="AH57" s="390"/>
      <c r="AI57" s="390"/>
      <c r="AJ57" s="390"/>
      <c r="AK57" s="390" t="s">
        <v>119</v>
      </c>
      <c r="AL57" s="390" t="s">
        <v>119</v>
      </c>
      <c r="AM57" s="390" t="s">
        <v>119</v>
      </c>
      <c r="AN57" s="390" t="s">
        <v>119</v>
      </c>
      <c r="AO57" s="385"/>
      <c r="AP57" s="385"/>
      <c r="AQ57" s="385"/>
      <c r="AR57" s="390" t="s">
        <v>119</v>
      </c>
      <c r="AS57" s="391">
        <f t="array" ref="AS57">SUM(COUNTIF(N57:AR57, {"◎","〇","☆","共","特","浴"}))</f>
        <v>17</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テンジ</v>
      </c>
      <c r="C58" s="381" t="str">
        <f t="shared" si="5"/>
        <v>#N/A</v>
      </c>
      <c r="D58" s="186"/>
      <c r="E58" s="372" t="str">
        <f t="shared" si="6"/>
        <v>テンジ</v>
      </c>
      <c r="F58" s="381" t="str">
        <f t="shared" si="7"/>
        <v>#N/A</v>
      </c>
      <c r="G58" s="186"/>
      <c r="H58" s="186"/>
      <c r="I58" s="168" t="b">
        <v>0</v>
      </c>
      <c r="J58" s="362"/>
      <c r="K58" s="382" t="s">
        <v>270</v>
      </c>
      <c r="L58" s="383" t="s">
        <v>248</v>
      </c>
      <c r="M58" s="384" t="s">
        <v>271</v>
      </c>
      <c r="N58" s="390"/>
      <c r="O58" s="390" t="s">
        <v>119</v>
      </c>
      <c r="P58" s="390" t="s">
        <v>119</v>
      </c>
      <c r="Q58" s="390" t="s">
        <v>119</v>
      </c>
      <c r="R58" s="390" t="s">
        <v>119</v>
      </c>
      <c r="S58" s="390" t="s">
        <v>119</v>
      </c>
      <c r="T58" s="390" t="s">
        <v>119</v>
      </c>
      <c r="U58" s="390" t="s">
        <v>119</v>
      </c>
      <c r="V58" s="390" t="s">
        <v>119</v>
      </c>
      <c r="W58" s="390" t="s">
        <v>119</v>
      </c>
      <c r="X58" s="390" t="s">
        <v>119</v>
      </c>
      <c r="Y58" s="390" t="s">
        <v>119</v>
      </c>
      <c r="Z58" s="390" t="s">
        <v>119</v>
      </c>
      <c r="AA58" s="390" t="s">
        <v>119</v>
      </c>
      <c r="AB58" s="390" t="s">
        <v>119</v>
      </c>
      <c r="AC58" s="390" t="s">
        <v>119</v>
      </c>
      <c r="AD58" s="390" t="s">
        <v>119</v>
      </c>
      <c r="AE58" s="390" t="s">
        <v>119</v>
      </c>
      <c r="AF58" s="390" t="s">
        <v>119</v>
      </c>
      <c r="AG58" s="390" t="s">
        <v>119</v>
      </c>
      <c r="AH58" s="390" t="s">
        <v>119</v>
      </c>
      <c r="AI58" s="390" t="s">
        <v>119</v>
      </c>
      <c r="AJ58" s="390" t="s">
        <v>119</v>
      </c>
      <c r="AK58" s="390" t="s">
        <v>119</v>
      </c>
      <c r="AL58" s="390" t="s">
        <v>119</v>
      </c>
      <c r="AM58" s="390" t="s">
        <v>119</v>
      </c>
      <c r="AN58" s="390" t="s">
        <v>119</v>
      </c>
      <c r="AO58" s="390" t="s">
        <v>119</v>
      </c>
      <c r="AP58" s="390" t="s">
        <v>119</v>
      </c>
      <c r="AQ58" s="390"/>
      <c r="AR58" s="385"/>
      <c r="AS58" s="391">
        <f t="array" ref="AS58">SUM(COUNTIF(N58:AR58, {"◎","〇","☆","共","特","浴"}))</f>
        <v>28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ニサン</v>
      </c>
      <c r="C59" s="381" t="str">
        <f t="shared" si="5"/>
        <v>#N/A</v>
      </c>
      <c r="D59" s="186"/>
      <c r="E59" s="372" t="str">
        <f t="shared" si="6"/>
        <v>ニサン</v>
      </c>
      <c r="F59" s="381" t="str">
        <f t="shared" si="7"/>
        <v>#N/A</v>
      </c>
      <c r="G59" s="186"/>
      <c r="H59" s="186"/>
      <c r="I59" s="168" t="b">
        <v>0</v>
      </c>
      <c r="J59" s="362"/>
      <c r="K59" s="382" t="s">
        <v>272</v>
      </c>
      <c r="L59" s="383" t="s">
        <v>248</v>
      </c>
      <c r="M59" s="384" t="s">
        <v>271</v>
      </c>
      <c r="N59" s="390"/>
      <c r="O59" s="390" t="s">
        <v>119</v>
      </c>
      <c r="P59" s="390" t="s">
        <v>119</v>
      </c>
      <c r="Q59" s="390" t="s">
        <v>119</v>
      </c>
      <c r="R59" s="390" t="s">
        <v>119</v>
      </c>
      <c r="S59" s="390" t="s">
        <v>119</v>
      </c>
      <c r="T59" s="390" t="s">
        <v>119</v>
      </c>
      <c r="U59" s="390" t="s">
        <v>119</v>
      </c>
      <c r="V59" s="390" t="s">
        <v>119</v>
      </c>
      <c r="W59" s="390" t="s">
        <v>119</v>
      </c>
      <c r="X59" s="390" t="s">
        <v>119</v>
      </c>
      <c r="Y59" s="390" t="s">
        <v>119</v>
      </c>
      <c r="Z59" s="390" t="s">
        <v>119</v>
      </c>
      <c r="AA59" s="390" t="s">
        <v>119</v>
      </c>
      <c r="AB59" s="390" t="s">
        <v>119</v>
      </c>
      <c r="AC59" s="390" t="s">
        <v>119</v>
      </c>
      <c r="AD59" s="390" t="s">
        <v>119</v>
      </c>
      <c r="AE59" s="390" t="s">
        <v>119</v>
      </c>
      <c r="AF59" s="390" t="s">
        <v>119</v>
      </c>
      <c r="AG59" s="390" t="s">
        <v>119</v>
      </c>
      <c r="AH59" s="390" t="s">
        <v>119</v>
      </c>
      <c r="AI59" s="390" t="s">
        <v>119</v>
      </c>
      <c r="AJ59" s="390" t="s">
        <v>119</v>
      </c>
      <c r="AK59" s="390" t="s">
        <v>119</v>
      </c>
      <c r="AL59" s="390" t="s">
        <v>119</v>
      </c>
      <c r="AM59" s="390" t="s">
        <v>119</v>
      </c>
      <c r="AN59" s="390" t="s">
        <v>119</v>
      </c>
      <c r="AO59" s="390" t="s">
        <v>119</v>
      </c>
      <c r="AP59" s="390" t="s">
        <v>119</v>
      </c>
      <c r="AQ59" s="390"/>
      <c r="AR59" s="385"/>
      <c r="AS59" s="391">
        <f t="array" ref="AS59">SUM(COUNTIF(N59:AR59, {"◎","〇","☆","共","特","浴"}))</f>
        <v>28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シャロン</v>
      </c>
      <c r="C60" s="381" t="str">
        <f t="shared" si="5"/>
        <v>#N/A</v>
      </c>
      <c r="D60" s="186"/>
      <c r="E60" s="372" t="str">
        <f t="shared" si="6"/>
        <v>シャロン</v>
      </c>
      <c r="F60" s="381" t="str">
        <f t="shared" si="7"/>
        <v>#N/A</v>
      </c>
      <c r="G60" s="186"/>
      <c r="H60" s="186"/>
      <c r="I60" s="168" t="b">
        <v>1</v>
      </c>
      <c r="J60" s="362"/>
      <c r="K60" s="382" t="s">
        <v>273</v>
      </c>
      <c r="L60" s="383" t="s">
        <v>248</v>
      </c>
      <c r="M60" s="384" t="s">
        <v>274</v>
      </c>
      <c r="N60" s="390"/>
      <c r="O60" s="390"/>
      <c r="P60" s="390"/>
      <c r="Q60" s="390" t="s">
        <v>119</v>
      </c>
      <c r="R60" s="390" t="s">
        <v>119</v>
      </c>
      <c r="S60" s="390" t="s">
        <v>119</v>
      </c>
      <c r="T60" s="390" t="s">
        <v>119</v>
      </c>
      <c r="U60" s="390" t="s">
        <v>119</v>
      </c>
      <c r="V60" s="390"/>
      <c r="W60" s="390"/>
      <c r="X60" s="390" t="s">
        <v>119</v>
      </c>
      <c r="Y60" s="390" t="s">
        <v>119</v>
      </c>
      <c r="Z60" s="390" t="s">
        <v>119</v>
      </c>
      <c r="AA60" s="390" t="s">
        <v>119</v>
      </c>
      <c r="AB60" s="390" t="s">
        <v>119</v>
      </c>
      <c r="AC60" s="390"/>
      <c r="AD60" s="390"/>
      <c r="AE60" s="390" t="s">
        <v>119</v>
      </c>
      <c r="AF60" s="390" t="s">
        <v>119</v>
      </c>
      <c r="AG60" s="390" t="s">
        <v>119</v>
      </c>
      <c r="AH60" s="390" t="s">
        <v>119</v>
      </c>
      <c r="AI60" s="390" t="s">
        <v>119</v>
      </c>
      <c r="AJ60" s="390"/>
      <c r="AK60" s="390"/>
      <c r="AL60" s="390" t="s">
        <v>119</v>
      </c>
      <c r="AM60" s="390" t="s">
        <v>119</v>
      </c>
      <c r="AN60" s="390" t="s">
        <v>119</v>
      </c>
      <c r="AO60" s="390" t="s">
        <v>119</v>
      </c>
      <c r="AP60" s="390" t="s">
        <v>119</v>
      </c>
      <c r="AQ60" s="385"/>
      <c r="AR60" s="390"/>
      <c r="AS60" s="391">
        <f t="array" ref="AS60">SUM(COUNTIF(N60:AR60, {"◎","〇","☆","共","特","浴"}))</f>
        <v>20</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プラギャ</v>
      </c>
      <c r="C61" s="381" t="str">
        <f t="shared" si="5"/>
        <v>#N/A</v>
      </c>
      <c r="D61" s="186"/>
      <c r="E61" s="372" t="str">
        <f t="shared" si="6"/>
        <v>プラギャ</v>
      </c>
      <c r="F61" s="381" t="str">
        <f t="shared" si="7"/>
        <v>#N/A</v>
      </c>
      <c r="G61" s="186"/>
      <c r="H61" s="186"/>
      <c r="I61" s="168" t="b">
        <v>1</v>
      </c>
      <c r="J61" s="362"/>
      <c r="K61" s="382" t="s">
        <v>275</v>
      </c>
      <c r="L61" s="383" t="s">
        <v>248</v>
      </c>
      <c r="M61" s="384" t="s">
        <v>276</v>
      </c>
      <c r="N61" s="390"/>
      <c r="O61" s="390" t="s">
        <v>119</v>
      </c>
      <c r="P61" s="390" t="s">
        <v>119</v>
      </c>
      <c r="Q61" s="390"/>
      <c r="R61" s="390"/>
      <c r="S61" s="390"/>
      <c r="T61" s="390"/>
      <c r="U61" s="390"/>
      <c r="V61" s="390" t="s">
        <v>119</v>
      </c>
      <c r="W61" s="390" t="s">
        <v>119</v>
      </c>
      <c r="X61" s="390"/>
      <c r="Y61" s="390"/>
      <c r="Z61" s="390"/>
      <c r="AA61" s="390"/>
      <c r="AB61" s="390"/>
      <c r="AC61" s="390" t="s">
        <v>119</v>
      </c>
      <c r="AD61" s="390" t="s">
        <v>119</v>
      </c>
      <c r="AE61" s="390"/>
      <c r="AF61" s="390"/>
      <c r="AG61" s="390"/>
      <c r="AH61" s="390"/>
      <c r="AI61" s="390"/>
      <c r="AJ61" s="390" t="s">
        <v>119</v>
      </c>
      <c r="AK61" s="390" t="s">
        <v>119</v>
      </c>
      <c r="AL61" s="390"/>
      <c r="AM61" s="390"/>
      <c r="AN61" s="390"/>
      <c r="AO61" s="390"/>
      <c r="AP61" s="390"/>
      <c r="AQ61" s="390" t="s">
        <v>119</v>
      </c>
      <c r="AR61" s="390" t="s">
        <v>119</v>
      </c>
      <c r="AS61" s="391">
        <f t="array" ref="AS61">SUM(COUNTIF(N61:AR61, {"◎","〇","☆","共","特","浴"}))</f>
        <v>10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 '!$BL$1:$BL$26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278</v>
      </c>
      <c r="O2" s="279"/>
      <c r="P2" s="280"/>
      <c r="Q2" s="281"/>
      <c r="R2" s="281"/>
      <c r="S2" s="282"/>
      <c r="T2" s="281"/>
      <c r="U2" s="281"/>
      <c r="V2" s="281"/>
      <c r="W2" s="281"/>
      <c r="X2" s="281"/>
      <c r="Y2" s="283"/>
      <c r="Z2" s="262"/>
      <c r="AA2" s="262"/>
      <c r="AB2" s="262"/>
      <c r="AC2" s="262"/>
      <c r="AD2" s="262"/>
      <c r="AE2" s="262"/>
      <c r="AF2" s="284"/>
      <c r="AG2" s="285"/>
      <c r="AH2" s="286"/>
      <c r="AI2" s="287" t="s">
        <v>279</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339"/>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46133</v>
      </c>
      <c r="C7" s="358"/>
      <c r="D7" s="274"/>
      <c r="E7" s="359">
        <f>today()+1</f>
        <v>46134</v>
      </c>
      <c r="F7" s="360"/>
      <c r="G7" s="274"/>
      <c r="H7" s="274"/>
      <c r="I7" s="361" t="s">
        <v>280</v>
      </c>
      <c r="J7" s="362" t="s">
        <v>214</v>
      </c>
      <c r="K7" s="363">
        <v>46113.0</v>
      </c>
      <c r="L7" s="364" t="s">
        <v>215</v>
      </c>
      <c r="M7" s="365" t="s">
        <v>216</v>
      </c>
      <c r="N7" s="366">
        <f>K7</f>
        <v>46113</v>
      </c>
      <c r="O7" s="366">
        <f t="shared" ref="O7:AR7" si="2">IF(N7="","",IF(DAY(N7+1)=1,"",N7+1))</f>
        <v>46114</v>
      </c>
      <c r="P7" s="366">
        <f t="shared" si="2"/>
        <v>46115</v>
      </c>
      <c r="Q7" s="366">
        <f t="shared" si="2"/>
        <v>46116</v>
      </c>
      <c r="R7" s="366">
        <f t="shared" si="2"/>
        <v>46117</v>
      </c>
      <c r="S7" s="366">
        <f t="shared" si="2"/>
        <v>46118</v>
      </c>
      <c r="T7" s="366">
        <f t="shared" si="2"/>
        <v>46119</v>
      </c>
      <c r="U7" s="366">
        <f t="shared" si="2"/>
        <v>46120</v>
      </c>
      <c r="V7" s="366">
        <f t="shared" si="2"/>
        <v>46121</v>
      </c>
      <c r="W7" s="366">
        <f t="shared" si="2"/>
        <v>46122</v>
      </c>
      <c r="X7" s="366">
        <f t="shared" si="2"/>
        <v>46123</v>
      </c>
      <c r="Y7" s="366">
        <f t="shared" si="2"/>
        <v>46124</v>
      </c>
      <c r="Z7" s="366">
        <f t="shared" si="2"/>
        <v>46125</v>
      </c>
      <c r="AA7" s="366">
        <f t="shared" si="2"/>
        <v>46126</v>
      </c>
      <c r="AB7" s="366">
        <f t="shared" si="2"/>
        <v>46127</v>
      </c>
      <c r="AC7" s="366">
        <f t="shared" si="2"/>
        <v>46128</v>
      </c>
      <c r="AD7" s="366">
        <f t="shared" si="2"/>
        <v>46129</v>
      </c>
      <c r="AE7" s="366">
        <f t="shared" si="2"/>
        <v>46130</v>
      </c>
      <c r="AF7" s="366">
        <f t="shared" si="2"/>
        <v>46131</v>
      </c>
      <c r="AG7" s="366">
        <f t="shared" si="2"/>
        <v>46132</v>
      </c>
      <c r="AH7" s="366">
        <f t="shared" si="2"/>
        <v>46133</v>
      </c>
      <c r="AI7" s="366">
        <f t="shared" si="2"/>
        <v>46134</v>
      </c>
      <c r="AJ7" s="366">
        <f t="shared" si="2"/>
        <v>46135</v>
      </c>
      <c r="AK7" s="366">
        <f t="shared" si="2"/>
        <v>46136</v>
      </c>
      <c r="AL7" s="366">
        <f t="shared" si="2"/>
        <v>46137</v>
      </c>
      <c r="AM7" s="366">
        <f t="shared" si="2"/>
        <v>46138</v>
      </c>
      <c r="AN7" s="366">
        <f t="shared" si="2"/>
        <v>46139</v>
      </c>
      <c r="AO7" s="366">
        <f t="shared" si="2"/>
        <v>46140</v>
      </c>
      <c r="AP7" s="366">
        <f t="shared" si="2"/>
        <v>46141</v>
      </c>
      <c r="AQ7" s="366">
        <f t="shared" si="2"/>
        <v>46142</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火</v>
      </c>
      <c r="D8" s="186"/>
      <c r="E8" s="374" t="s">
        <v>225</v>
      </c>
      <c r="F8" s="375" t="str">
        <f>TEXT(E7,"ddd")</f>
        <v>水</v>
      </c>
      <c r="G8" s="186"/>
      <c r="H8" s="186"/>
      <c r="I8" s="361"/>
      <c r="J8" s="376" t="s">
        <v>226</v>
      </c>
      <c r="K8" s="364" t="s">
        <v>227</v>
      </c>
      <c r="L8" s="377" t="s">
        <v>228</v>
      </c>
      <c r="M8" s="365"/>
      <c r="N8" s="378" t="str">
        <f t="shared" ref="N8:AR8" si="3">TEXT(N7,"ddd")</f>
        <v>水</v>
      </c>
      <c r="O8" s="378" t="str">
        <f t="shared" si="3"/>
        <v>木</v>
      </c>
      <c r="P8" s="378" t="str">
        <f t="shared" si="3"/>
        <v>金</v>
      </c>
      <c r="Q8" s="378" t="str">
        <f t="shared" si="3"/>
        <v>土</v>
      </c>
      <c r="R8" s="378" t="str">
        <f t="shared" si="3"/>
        <v>日</v>
      </c>
      <c r="S8" s="378" t="str">
        <f t="shared" si="3"/>
        <v>月</v>
      </c>
      <c r="T8" s="378" t="str">
        <f t="shared" si="3"/>
        <v>火</v>
      </c>
      <c r="U8" s="378" t="str">
        <f t="shared" si="3"/>
        <v>水</v>
      </c>
      <c r="V8" s="378" t="str">
        <f t="shared" si="3"/>
        <v>木</v>
      </c>
      <c r="W8" s="378" t="str">
        <f t="shared" si="3"/>
        <v>金</v>
      </c>
      <c r="X8" s="378" t="str">
        <f t="shared" si="3"/>
        <v>土</v>
      </c>
      <c r="Y8" s="378" t="str">
        <f t="shared" si="3"/>
        <v>日</v>
      </c>
      <c r="Z8" s="378" t="str">
        <f t="shared" si="3"/>
        <v>月</v>
      </c>
      <c r="AA8" s="378" t="str">
        <f t="shared" si="3"/>
        <v>火</v>
      </c>
      <c r="AB8" s="378" t="str">
        <f t="shared" si="3"/>
        <v>水</v>
      </c>
      <c r="AC8" s="378" t="str">
        <f t="shared" si="3"/>
        <v>木</v>
      </c>
      <c r="AD8" s="378" t="str">
        <f t="shared" si="3"/>
        <v>金</v>
      </c>
      <c r="AE8" s="378" t="str">
        <f t="shared" si="3"/>
        <v>土</v>
      </c>
      <c r="AF8" s="378" t="str">
        <f t="shared" si="3"/>
        <v>日</v>
      </c>
      <c r="AG8" s="378" t="str">
        <f t="shared" si="3"/>
        <v>月</v>
      </c>
      <c r="AH8" s="378" t="str">
        <f t="shared" si="3"/>
        <v>火</v>
      </c>
      <c r="AI8" s="378" t="str">
        <f t="shared" si="3"/>
        <v>水</v>
      </c>
      <c r="AJ8" s="378" t="str">
        <f t="shared" si="3"/>
        <v>木</v>
      </c>
      <c r="AK8" s="378" t="str">
        <f t="shared" si="3"/>
        <v>金</v>
      </c>
      <c r="AL8" s="378" t="str">
        <f t="shared" si="3"/>
        <v>土</v>
      </c>
      <c r="AM8" s="378" t="str">
        <f t="shared" si="3"/>
        <v>日</v>
      </c>
      <c r="AN8" s="378" t="str">
        <f t="shared" si="3"/>
        <v>月</v>
      </c>
      <c r="AO8" s="378" t="str">
        <f t="shared" si="3"/>
        <v>火</v>
      </c>
      <c r="AP8" s="378" t="str">
        <f t="shared" si="3"/>
        <v>水</v>
      </c>
      <c r="AQ8" s="378" t="str">
        <f t="shared" si="3"/>
        <v>木</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f t="shared" ref="C9:C65" si="5">if(B9="","", xlookup($B$7,$N$7:$AR$7,$N9:$AR9))</f>
        <v>8</v>
      </c>
      <c r="D9" s="186"/>
      <c r="E9" s="372" t="str">
        <f t="shared" ref="E9:E65" si="6">K9</f>
        <v>出勤者数合計</v>
      </c>
      <c r="F9" s="381">
        <f t="shared" ref="F9:F65" si="7">if(E9="","", xlookup($E$7,$N$7:$AR$7,$N9:$AR9))</f>
        <v>10</v>
      </c>
      <c r="G9" s="186"/>
      <c r="H9" s="186"/>
      <c r="I9" s="168" t="b">
        <v>1</v>
      </c>
      <c r="J9" s="376"/>
      <c r="K9" s="382" t="s">
        <v>229</v>
      </c>
      <c r="L9" s="383" t="s">
        <v>230</v>
      </c>
      <c r="M9" s="384" t="s">
        <v>231</v>
      </c>
      <c r="N9" s="385">
        <f t="array" ref="N9">SUM(COUNTIF(N11:N105, {"◎","〇","☆","共","特","浴"}))</f>
        <v>7</v>
      </c>
      <c r="O9" s="385">
        <f t="array" ref="O9">SUM(COUNTIF(O11:O105, {"◎","〇","☆","共","特","浴"}))</f>
        <v>8</v>
      </c>
      <c r="P9" s="385">
        <f t="array" ref="P9">SUM(COUNTIF(P11:P105, {"◎","〇","☆","共","特","浴"}))</f>
        <v>12</v>
      </c>
      <c r="Q9" s="385">
        <f t="array" ref="Q9">SUM(COUNTIF(Q11:Q105, {"◎","〇","☆","共","特","浴"}))</f>
        <v>10</v>
      </c>
      <c r="R9" s="385">
        <f t="array" ref="R9">SUM(COUNTIF(R11:R105, {"◎","〇","☆","共","特","浴"}))</f>
        <v>8</v>
      </c>
      <c r="S9" s="385">
        <f t="array" ref="S9">SUM(COUNTIF(S11:S105, {"◎","〇","☆","共","特","浴"}))</f>
        <v>8</v>
      </c>
      <c r="T9" s="385">
        <f t="array" ref="T9">SUM(COUNTIF(T11:T105, {"◎","〇","☆","共","特","浴"}))</f>
        <v>7</v>
      </c>
      <c r="U9" s="385">
        <f t="array" ref="U9">SUM(COUNTIF(U11:U105, {"◎","〇","☆","共","特","浴"}))</f>
        <v>8</v>
      </c>
      <c r="V9" s="385">
        <f t="array" ref="V9">SUM(COUNTIF(V11:V105, {"◎","〇","☆","共","特","浴"}))</f>
        <v>9</v>
      </c>
      <c r="W9" s="385">
        <f t="array" ref="W9">SUM(COUNTIF(W11:W105, {"◎","〇","☆","共","特","浴"}))</f>
        <v>8</v>
      </c>
      <c r="X9" s="385">
        <f t="array" ref="X9">SUM(COUNTIF(X11:X105, {"◎","〇","☆","共","特","浴"}))</f>
        <v>10</v>
      </c>
      <c r="Y9" s="385">
        <f t="array" ref="Y9">SUM(COUNTIF(Y11:Y105, {"◎","〇","☆","共","特","浴"}))</f>
        <v>9</v>
      </c>
      <c r="Z9" s="385">
        <f t="array" ref="Z9">SUM(COUNTIF(Z11:Z105, {"◎","〇","☆","共","特","浴"}))</f>
        <v>8</v>
      </c>
      <c r="AA9" s="385">
        <f t="array" ref="AA9">SUM(COUNTIF(AA11:AA105, {"◎","〇","☆","共","特","浴"}))</f>
        <v>8</v>
      </c>
      <c r="AB9" s="385">
        <f t="array" ref="AB9">SUM(COUNTIF(AB11:AB105, {"◎","〇","☆","共","特","浴"}))</f>
        <v>8</v>
      </c>
      <c r="AC9" s="385">
        <f t="array" ref="AC9">SUM(COUNTIF(AC11:AC105, {"◎","〇","☆","共","特","浴"}))</f>
        <v>11</v>
      </c>
      <c r="AD9" s="385">
        <f t="array" ref="AD9">SUM(COUNTIF(AD11:AD105, {"◎","〇","☆","共","特","浴"}))</f>
        <v>9</v>
      </c>
      <c r="AE9" s="385">
        <f t="array" ref="AE9">SUM(COUNTIF(AE11:AE105, {"◎","〇","☆","共","特","浴"}))</f>
        <v>10</v>
      </c>
      <c r="AF9" s="385">
        <f t="array" ref="AF9">SUM(COUNTIF(AF11:AF105, {"◎","〇","☆","共","特","浴"}))</f>
        <v>8</v>
      </c>
      <c r="AG9" s="385">
        <f t="array" ref="AG9">SUM(COUNTIF(AG11:AG105, {"◎","〇","☆","共","特","浴"}))</f>
        <v>8</v>
      </c>
      <c r="AH9" s="385">
        <f t="array" ref="AH9">SUM(COUNTIF(AH11:AH105, {"◎","〇","☆","共","特","浴"}))</f>
        <v>8</v>
      </c>
      <c r="AI9" s="385">
        <f t="array" ref="AI9">SUM(COUNTIF(AI11:AI105, {"◎","〇","☆","共","特","浴"}))</f>
        <v>10</v>
      </c>
      <c r="AJ9" s="385">
        <f t="array" ref="AJ9">SUM(COUNTIF(AJ11:AJ105, {"◎","〇","☆","共","特","浴"}))</f>
        <v>7</v>
      </c>
      <c r="AK9" s="385">
        <f t="array" ref="AK9">SUM(COUNTIF(AK11:AK105, {"◎","〇","☆","共","特","浴"}))</f>
        <v>8</v>
      </c>
      <c r="AL9" s="385">
        <f t="array" ref="AL9">SUM(COUNTIF(AL11:AL105, {"◎","〇","☆","共","特","浴"}))</f>
        <v>9</v>
      </c>
      <c r="AM9" s="385">
        <f t="array" ref="AM9">SUM(COUNTIF(AM11:AM105, {"◎","〇","☆","共","特","浴"}))</f>
        <v>9</v>
      </c>
      <c r="AN9" s="385">
        <f t="array" ref="AN9">SUM(COUNTIF(AN11:AN105, {"◎","〇","☆","共","特","浴"}))</f>
        <v>10</v>
      </c>
      <c r="AO9" s="385">
        <f t="array" ref="AO9">SUM(COUNTIF(AO11:AO105, {"◎","〇","☆","共","特","浴"}))</f>
        <v>9</v>
      </c>
      <c r="AP9" s="385">
        <f t="array" ref="AP9">SUM(COUNTIF(AP11:AP105, {"◎","〇","☆","共","特","浴"}))</f>
        <v>7</v>
      </c>
      <c r="AQ9" s="385">
        <f t="array" ref="AQ9">SUM(COUNTIF(AQ11:AQ105, {"◎","〇","☆","共","特","浴"}))</f>
        <v>8</v>
      </c>
      <c r="AR9" s="385">
        <f t="array" ref="AR9">SUM(COUNTIF(AR11:AR105, {"◎","〇","☆","共","特","浴"}))</f>
        <v>0</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f t="shared" si="5"/>
        <v>1</v>
      </c>
      <c r="D10" s="186"/>
      <c r="E10" s="372" t="str">
        <f t="shared" si="6"/>
        <v>チェッカー数</v>
      </c>
      <c r="F10" s="381">
        <f t="shared" si="7"/>
        <v>2</v>
      </c>
      <c r="G10" s="186"/>
      <c r="H10" s="186"/>
      <c r="I10" s="168" t="b">
        <v>1</v>
      </c>
      <c r="J10" s="376"/>
      <c r="K10" s="382" t="s">
        <v>232</v>
      </c>
      <c r="L10" s="383" t="s">
        <v>230</v>
      </c>
      <c r="M10" s="384" t="s">
        <v>233</v>
      </c>
      <c r="N10" s="385">
        <f t="array" ref="N10">SUM(COUNTIF(N11:N105, {"◎","☆"}))</f>
        <v>1</v>
      </c>
      <c r="O10" s="385">
        <f t="array" ref="O10">SUM(COUNTIF(O11:O105, {"◎","☆"}))</f>
        <v>1</v>
      </c>
      <c r="P10" s="385">
        <f t="array" ref="P10">SUM(COUNTIF(P11:P105, {"◎","☆"}))</f>
        <v>2</v>
      </c>
      <c r="Q10" s="385">
        <f t="array" ref="Q10">SUM(COUNTIF(Q11:Q105, {"◎","☆"}))</f>
        <v>1</v>
      </c>
      <c r="R10" s="385">
        <f t="array" ref="R10">SUM(COUNTIF(R11:R105, {"◎","☆"}))</f>
        <v>1</v>
      </c>
      <c r="S10" s="385">
        <f t="array" ref="S10">SUM(COUNTIF(S11:S105, {"◎","☆"}))</f>
        <v>1</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2</v>
      </c>
      <c r="AA10" s="385">
        <f t="array" ref="AA10">SUM(COUNTIF(AA11:AA105, {"◎","☆"}))</f>
        <v>1</v>
      </c>
      <c r="AB10" s="385">
        <f t="array" ref="AB10">SUM(COUNTIF(AB11:AB105, {"◎","☆"}))</f>
        <v>1</v>
      </c>
      <c r="AC10" s="385">
        <f t="array" ref="AC10">SUM(COUNTIF(AC11:AC105, {"◎","☆"}))</f>
        <v>1</v>
      </c>
      <c r="AD10" s="385">
        <f t="array" ref="AD10">SUM(COUNTIF(AD11:AD105, {"◎","☆"}))</f>
        <v>1</v>
      </c>
      <c r="AE10" s="385">
        <f t="array" ref="AE10">SUM(COUNTIF(AE11:AE105, {"◎","☆"}))</f>
        <v>2</v>
      </c>
      <c r="AF10" s="385">
        <f t="array" ref="AF10">SUM(COUNTIF(AF11:AF105, {"◎","☆"}))</f>
        <v>1</v>
      </c>
      <c r="AG10" s="385">
        <f t="array" ref="AG10">SUM(COUNTIF(AG11:AG105, {"◎","☆"}))</f>
        <v>1</v>
      </c>
      <c r="AH10" s="385">
        <f t="array" ref="AH10">SUM(COUNTIF(AH11:AH105, {"◎","☆"}))</f>
        <v>1</v>
      </c>
      <c r="AI10" s="385">
        <f t="array" ref="AI10">SUM(COUNTIF(AI11:AI105, {"◎","☆"}))</f>
        <v>2</v>
      </c>
      <c r="AJ10" s="385">
        <f t="array" ref="AJ10">SUM(COUNTIF(AJ11:AJ105, {"◎","☆"}))</f>
        <v>1</v>
      </c>
      <c r="AK10" s="385">
        <f t="array" ref="AK10">SUM(COUNTIF(AK11:AK105, {"◎","☆"}))</f>
        <v>1</v>
      </c>
      <c r="AL10" s="385">
        <f t="array" ref="AL10">SUM(COUNTIF(AL11:AL105, {"◎","☆"}))</f>
        <v>1</v>
      </c>
      <c r="AM10" s="385">
        <f t="array" ref="AM10">SUM(COUNTIF(AM11:AM105, {"◎","☆"}))</f>
        <v>1</v>
      </c>
      <c r="AN10" s="385">
        <f t="array" ref="AN10">SUM(COUNTIF(AN11:AN105, {"◎","☆"}))</f>
        <v>2</v>
      </c>
      <c r="AO10" s="385">
        <f t="array" ref="AO10">SUM(COUNTIF(AO11:AO105, {"◎","☆"}))</f>
        <v>1</v>
      </c>
      <c r="AP10" s="385">
        <f t="array" ref="AP10">SUM(COUNTIF(AP11:AP105, {"◎","☆"}))</f>
        <v>1</v>
      </c>
      <c r="AQ10" s="385">
        <f t="array" ref="AQ10">SUM(COUNTIF(AQ11:AQ105, {"◎","☆"}))</f>
        <v>1</v>
      </c>
      <c r="AR10" s="385">
        <f t="array" ref="AR10">SUM(COUNTIF(AR11:AR105, {"◎","☆"}))</f>
        <v>0</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錦</v>
      </c>
      <c r="D11" s="186"/>
      <c r="E11" s="372" t="str">
        <f t="shared" si="6"/>
        <v>ビマル</v>
      </c>
      <c r="F11" s="381" t="str">
        <f t="shared" si="7"/>
        <v>◎</v>
      </c>
      <c r="G11" s="186"/>
      <c r="H11" s="186"/>
      <c r="I11" s="168" t="b">
        <v>1</v>
      </c>
      <c r="J11" s="362"/>
      <c r="K11" s="382" t="s">
        <v>98</v>
      </c>
      <c r="L11" s="383" t="s">
        <v>234</v>
      </c>
      <c r="M11" s="389"/>
      <c r="N11" s="390" t="s">
        <v>281</v>
      </c>
      <c r="O11" s="390" t="s">
        <v>187</v>
      </c>
      <c r="P11" s="390" t="s">
        <v>187</v>
      </c>
      <c r="Q11" s="390" t="s">
        <v>207</v>
      </c>
      <c r="R11" s="390" t="s">
        <v>187</v>
      </c>
      <c r="S11" s="390"/>
      <c r="T11" s="390" t="s">
        <v>281</v>
      </c>
      <c r="U11" s="390"/>
      <c r="V11" s="390" t="s">
        <v>187</v>
      </c>
      <c r="W11" s="390" t="s">
        <v>281</v>
      </c>
      <c r="X11" s="390" t="s">
        <v>207</v>
      </c>
      <c r="Y11" s="390" t="s">
        <v>187</v>
      </c>
      <c r="Z11" s="390" t="s">
        <v>187</v>
      </c>
      <c r="AA11" s="390" t="s">
        <v>281</v>
      </c>
      <c r="AB11" s="390"/>
      <c r="AC11" s="390" t="s">
        <v>187</v>
      </c>
      <c r="AD11" s="390" t="s">
        <v>281</v>
      </c>
      <c r="AE11" s="390" t="s">
        <v>187</v>
      </c>
      <c r="AF11" s="390" t="s">
        <v>187</v>
      </c>
      <c r="AG11" s="390"/>
      <c r="AH11" s="390" t="s">
        <v>281</v>
      </c>
      <c r="AI11" s="390" t="s">
        <v>187</v>
      </c>
      <c r="AJ11" s="390" t="s">
        <v>187</v>
      </c>
      <c r="AK11" s="390" t="s">
        <v>281</v>
      </c>
      <c r="AL11" s="390"/>
      <c r="AM11" s="390" t="s">
        <v>187</v>
      </c>
      <c r="AN11" s="390" t="s">
        <v>187</v>
      </c>
      <c r="AO11" s="390" t="s">
        <v>203</v>
      </c>
      <c r="AP11" s="390"/>
      <c r="AQ11" s="390" t="s">
        <v>187</v>
      </c>
      <c r="AR11" s="390"/>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2" t="str">
        <f t="shared" si="4"/>
        <v>小川</v>
      </c>
      <c r="C12" s="381" t="str">
        <f t="shared" si="5"/>
        <v>◎</v>
      </c>
      <c r="D12" s="186"/>
      <c r="E12" s="372" t="str">
        <f t="shared" si="6"/>
        <v>小川</v>
      </c>
      <c r="F12" s="381" t="str">
        <f t="shared" si="7"/>
        <v>◎</v>
      </c>
      <c r="G12" s="186"/>
      <c r="H12" s="186"/>
      <c r="I12" s="168" t="b">
        <v>1</v>
      </c>
      <c r="J12" s="362"/>
      <c r="K12" s="382" t="s">
        <v>235</v>
      </c>
      <c r="L12" s="383" t="s">
        <v>236</v>
      </c>
      <c r="M12" s="389"/>
      <c r="N12" s="390" t="s">
        <v>187</v>
      </c>
      <c r="O12" s="390"/>
      <c r="P12" s="390" t="s">
        <v>187</v>
      </c>
      <c r="Q12" s="390" t="s">
        <v>187</v>
      </c>
      <c r="R12" s="390"/>
      <c r="S12" s="390" t="s">
        <v>187</v>
      </c>
      <c r="T12" s="390" t="s">
        <v>187</v>
      </c>
      <c r="U12" s="390" t="s">
        <v>187</v>
      </c>
      <c r="V12" s="390"/>
      <c r="W12" s="390" t="s">
        <v>187</v>
      </c>
      <c r="X12" s="390" t="s">
        <v>187</v>
      </c>
      <c r="Y12" s="390"/>
      <c r="Z12" s="390" t="s">
        <v>187</v>
      </c>
      <c r="AA12" s="390" t="s">
        <v>187</v>
      </c>
      <c r="AB12" s="390" t="s">
        <v>187</v>
      </c>
      <c r="AC12" s="390"/>
      <c r="AD12" s="390" t="s">
        <v>187</v>
      </c>
      <c r="AE12" s="390" t="s">
        <v>187</v>
      </c>
      <c r="AF12" s="390"/>
      <c r="AG12" s="390" t="s">
        <v>187</v>
      </c>
      <c r="AH12" s="390" t="s">
        <v>187</v>
      </c>
      <c r="AI12" s="390" t="s">
        <v>187</v>
      </c>
      <c r="AJ12" s="390"/>
      <c r="AK12" s="390" t="s">
        <v>187</v>
      </c>
      <c r="AL12" s="390" t="s">
        <v>187</v>
      </c>
      <c r="AM12" s="390"/>
      <c r="AN12" s="390" t="s">
        <v>187</v>
      </c>
      <c r="AO12" s="390" t="s">
        <v>187</v>
      </c>
      <c r="AP12" s="390" t="s">
        <v>187</v>
      </c>
      <c r="AQ12" s="390"/>
      <c r="AR12" s="390"/>
      <c r="AS12" s="391">
        <f t="array" ref="AS12">SUM(COUNTIF(N12:AR12, {"◎","〇","☆","共","特","浴"}))</f>
        <v>21</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2" t="str">
        <f t="shared" si="4"/>
        <v/>
      </c>
      <c r="C16" s="381" t="str">
        <f t="shared" si="5"/>
        <v/>
      </c>
      <c r="D16" s="186"/>
      <c r="E16" s="372" t="str">
        <f t="shared" si="6"/>
        <v/>
      </c>
      <c r="F16" s="381" t="str">
        <f t="shared" si="7"/>
        <v/>
      </c>
      <c r="G16" s="186"/>
      <c r="H16" s="186"/>
      <c r="I16" s="168" t="b">
        <v>0</v>
      </c>
      <c r="J16" s="362"/>
      <c r="K16" s="382"/>
      <c r="L16" s="383" t="s">
        <v>230</v>
      </c>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33.0" customHeight="1" outlineLevel="1">
      <c r="A29" s="186"/>
      <c r="B29" s="372" t="str">
        <f t="shared" si="4"/>
        <v>サウド</v>
      </c>
      <c r="C29" s="381" t="str">
        <f t="shared" si="5"/>
        <v>錦</v>
      </c>
      <c r="D29" s="186"/>
      <c r="E29" s="372" t="str">
        <f t="shared" si="6"/>
        <v>サウド</v>
      </c>
      <c r="F29" s="381" t="str">
        <f t="shared" si="7"/>
        <v/>
      </c>
      <c r="G29" s="186"/>
      <c r="H29" s="186"/>
      <c r="I29" s="168" t="b">
        <v>0</v>
      </c>
      <c r="J29" s="362"/>
      <c r="K29" s="382" t="s">
        <v>238</v>
      </c>
      <c r="L29" s="383" t="s">
        <v>239</v>
      </c>
      <c r="M29" s="389"/>
      <c r="N29" s="390" t="s">
        <v>282</v>
      </c>
      <c r="O29" s="390" t="s">
        <v>119</v>
      </c>
      <c r="P29" s="390" t="s">
        <v>119</v>
      </c>
      <c r="Q29" s="390"/>
      <c r="R29" s="390" t="s">
        <v>119</v>
      </c>
      <c r="S29" s="390" t="s">
        <v>283</v>
      </c>
      <c r="T29" s="390" t="s">
        <v>281</v>
      </c>
      <c r="U29" s="390"/>
      <c r="V29" s="390" t="s">
        <v>119</v>
      </c>
      <c r="W29" s="390" t="s">
        <v>281</v>
      </c>
      <c r="X29" s="390"/>
      <c r="Y29" s="390" t="s">
        <v>119</v>
      </c>
      <c r="Z29" s="390" t="s">
        <v>283</v>
      </c>
      <c r="AA29" s="390" t="s">
        <v>281</v>
      </c>
      <c r="AB29" s="390"/>
      <c r="AC29" s="390" t="s">
        <v>119</v>
      </c>
      <c r="AD29" s="390" t="s">
        <v>281</v>
      </c>
      <c r="AE29" s="390"/>
      <c r="AF29" s="390"/>
      <c r="AG29" s="390" t="s">
        <v>283</v>
      </c>
      <c r="AH29" s="390" t="s">
        <v>281</v>
      </c>
      <c r="AI29" s="390"/>
      <c r="AJ29" s="390"/>
      <c r="AK29" s="390" t="s">
        <v>281</v>
      </c>
      <c r="AL29" s="390"/>
      <c r="AM29" s="390"/>
      <c r="AN29" s="390"/>
      <c r="AO29" s="390" t="s">
        <v>281</v>
      </c>
      <c r="AP29" s="390"/>
      <c r="AQ29" s="390"/>
      <c r="AR29" s="385"/>
      <c r="AS29" s="391">
        <f t="array" ref="AS29">SUM(COUNTIF(N29:AR29, {"◎","〇","☆","共","特","浴"}))</f>
        <v>6</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f t="shared" si="5"/>
        <v>7</v>
      </c>
      <c r="D41" s="186"/>
      <c r="E41" s="372" t="str">
        <f t="shared" si="6"/>
        <v>メイド数</v>
      </c>
      <c r="F41" s="381">
        <f t="shared" si="7"/>
        <v>8</v>
      </c>
      <c r="G41" s="186"/>
      <c r="H41" s="186"/>
      <c r="I41" s="168" t="b">
        <v>1</v>
      </c>
      <c r="J41" s="362"/>
      <c r="K41" s="382" t="s">
        <v>240</v>
      </c>
      <c r="L41" s="383" t="s">
        <v>241</v>
      </c>
      <c r="M41" s="384" t="s">
        <v>119</v>
      </c>
      <c r="N41" s="385">
        <f t="shared" ref="N41:P41" si="8">COUNTIF(N45:N105,"〇")+countif(N14:N40,"〇")</f>
        <v>6</v>
      </c>
      <c r="O41" s="385">
        <f t="shared" si="8"/>
        <v>7</v>
      </c>
      <c r="P41" s="385">
        <f t="shared" si="8"/>
        <v>10</v>
      </c>
      <c r="Q41" s="385">
        <f t="shared" ref="Q41:AR41" si="9">COUNTIF(Q45:Q105,"〇")+countif(Q$11:Q$40,"〇")</f>
        <v>9</v>
      </c>
      <c r="R41" s="385">
        <f t="shared" si="9"/>
        <v>7</v>
      </c>
      <c r="S41" s="385">
        <f t="shared" si="9"/>
        <v>7</v>
      </c>
      <c r="T41" s="385">
        <f t="shared" si="9"/>
        <v>6</v>
      </c>
      <c r="U41" s="385">
        <f t="shared" si="9"/>
        <v>7</v>
      </c>
      <c r="V41" s="385">
        <f t="shared" si="9"/>
        <v>8</v>
      </c>
      <c r="W41" s="385">
        <f t="shared" si="9"/>
        <v>7</v>
      </c>
      <c r="X41" s="385">
        <f t="shared" si="9"/>
        <v>9</v>
      </c>
      <c r="Y41" s="385">
        <f t="shared" si="9"/>
        <v>8</v>
      </c>
      <c r="Z41" s="385">
        <f t="shared" si="9"/>
        <v>6</v>
      </c>
      <c r="AA41" s="385">
        <f t="shared" si="9"/>
        <v>7</v>
      </c>
      <c r="AB41" s="385">
        <f t="shared" si="9"/>
        <v>7</v>
      </c>
      <c r="AC41" s="385">
        <f t="shared" si="9"/>
        <v>10</v>
      </c>
      <c r="AD41" s="385">
        <f t="shared" si="9"/>
        <v>8</v>
      </c>
      <c r="AE41" s="385">
        <f t="shared" si="9"/>
        <v>8</v>
      </c>
      <c r="AF41" s="385">
        <f t="shared" si="9"/>
        <v>7</v>
      </c>
      <c r="AG41" s="385">
        <f t="shared" si="9"/>
        <v>7</v>
      </c>
      <c r="AH41" s="385">
        <f t="shared" si="9"/>
        <v>7</v>
      </c>
      <c r="AI41" s="385">
        <f t="shared" si="9"/>
        <v>8</v>
      </c>
      <c r="AJ41" s="385">
        <f t="shared" si="9"/>
        <v>6</v>
      </c>
      <c r="AK41" s="385">
        <f t="shared" si="9"/>
        <v>7</v>
      </c>
      <c r="AL41" s="385">
        <f t="shared" si="9"/>
        <v>8</v>
      </c>
      <c r="AM41" s="385">
        <f t="shared" si="9"/>
        <v>8</v>
      </c>
      <c r="AN41" s="385">
        <f t="shared" si="9"/>
        <v>8</v>
      </c>
      <c r="AO41" s="385">
        <f t="shared" si="9"/>
        <v>8</v>
      </c>
      <c r="AP41" s="385">
        <f t="shared" si="9"/>
        <v>6</v>
      </c>
      <c r="AQ41" s="385">
        <f t="shared" si="9"/>
        <v>7</v>
      </c>
      <c r="AR41" s="385">
        <f t="shared" si="9"/>
        <v>0</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f t="shared" si="5"/>
        <v>0</v>
      </c>
      <c r="D42" s="186"/>
      <c r="E42" s="372" t="str">
        <f t="shared" si="6"/>
        <v>パブリック数</v>
      </c>
      <c r="F42" s="381">
        <f t="shared" si="7"/>
        <v>0</v>
      </c>
      <c r="G42" s="186"/>
      <c r="H42" s="186"/>
      <c r="I42" s="168" t="b">
        <v>1</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f t="shared" si="5"/>
        <v>0</v>
      </c>
      <c r="D43" s="186"/>
      <c r="E43" s="372" t="str">
        <f t="shared" si="6"/>
        <v>合計清掃数</v>
      </c>
      <c r="F43" s="381">
        <f t="shared" si="7"/>
        <v>0</v>
      </c>
      <c r="G43" s="186"/>
      <c r="H43" s="186"/>
      <c r="I43" s="398" t="b">
        <v>1</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
      </c>
      <c r="D44" s="186"/>
      <c r="E44" s="372" t="str">
        <f t="shared" si="6"/>
        <v>稼働予定</v>
      </c>
      <c r="F44" s="381" t="str">
        <f t="shared" si="7"/>
        <v/>
      </c>
      <c r="G44" s="186"/>
      <c r="H44" s="186"/>
      <c r="I44" s="168" t="b">
        <v>0</v>
      </c>
      <c r="J44" s="362"/>
      <c r="K44" s="382" t="s">
        <v>245</v>
      </c>
      <c r="L44" s="383" t="s">
        <v>244</v>
      </c>
      <c r="M44" s="384" t="s">
        <v>246</v>
      </c>
      <c r="N44" s="390"/>
      <c r="O44" s="390"/>
      <c r="P44" s="390"/>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〇</v>
      </c>
      <c r="D45" s="186"/>
      <c r="E45" s="372" t="str">
        <f t="shared" si="6"/>
        <v>アシス</v>
      </c>
      <c r="F45" s="381" t="str">
        <f t="shared" si="7"/>
        <v>〇</v>
      </c>
      <c r="G45" s="186"/>
      <c r="H45" s="186"/>
      <c r="I45" s="168" t="b">
        <v>1</v>
      </c>
      <c r="J45" s="362"/>
      <c r="K45" s="382" t="s">
        <v>247</v>
      </c>
      <c r="L45" s="383" t="s">
        <v>248</v>
      </c>
      <c r="M45" s="389"/>
      <c r="N45" s="390" t="s">
        <v>119</v>
      </c>
      <c r="O45" s="390"/>
      <c r="P45" s="390" t="s">
        <v>119</v>
      </c>
      <c r="Q45" s="390"/>
      <c r="R45" s="390"/>
      <c r="S45" s="390" t="s">
        <v>119</v>
      </c>
      <c r="T45" s="390" t="s">
        <v>119</v>
      </c>
      <c r="U45" s="390" t="s">
        <v>119</v>
      </c>
      <c r="V45" s="390" t="s">
        <v>119</v>
      </c>
      <c r="W45" s="390" t="s">
        <v>119</v>
      </c>
      <c r="X45" s="390"/>
      <c r="Y45" s="390"/>
      <c r="Z45" s="390" t="s">
        <v>119</v>
      </c>
      <c r="AA45" s="390" t="s">
        <v>119</v>
      </c>
      <c r="AB45" s="390" t="s">
        <v>119</v>
      </c>
      <c r="AC45" s="390" t="s">
        <v>119</v>
      </c>
      <c r="AD45" s="390" t="s">
        <v>119</v>
      </c>
      <c r="AE45" s="390"/>
      <c r="AF45" s="390"/>
      <c r="AG45" s="390" t="s">
        <v>119</v>
      </c>
      <c r="AH45" s="390" t="s">
        <v>119</v>
      </c>
      <c r="AI45" s="390" t="s">
        <v>119</v>
      </c>
      <c r="AJ45" s="390" t="s">
        <v>119</v>
      </c>
      <c r="AK45" s="390" t="s">
        <v>119</v>
      </c>
      <c r="AL45" s="390"/>
      <c r="AM45" s="390"/>
      <c r="AN45" s="390" t="s">
        <v>119</v>
      </c>
      <c r="AO45" s="390" t="s">
        <v>119</v>
      </c>
      <c r="AP45" s="390" t="s">
        <v>119</v>
      </c>
      <c r="AQ45" s="390" t="s">
        <v>119</v>
      </c>
      <c r="AR45" s="390"/>
      <c r="AS45" s="391">
        <f t="array" ref="AS45">SUM(COUNTIF(N45:AR45, {"◎","〇","☆","共","特","浴"}))</f>
        <v>21</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〇</v>
      </c>
      <c r="D46" s="186"/>
      <c r="E46" s="372" t="str">
        <f t="shared" si="6"/>
        <v>君島</v>
      </c>
      <c r="F46" s="381" t="str">
        <f t="shared" si="7"/>
        <v>〇</v>
      </c>
      <c r="G46" s="186"/>
      <c r="H46" s="186"/>
      <c r="I46" s="168" t="b">
        <v>1</v>
      </c>
      <c r="J46" s="362"/>
      <c r="K46" s="382" t="s">
        <v>251</v>
      </c>
      <c r="L46" s="383" t="s">
        <v>252</v>
      </c>
      <c r="M46" s="384" t="s">
        <v>253</v>
      </c>
      <c r="N46" s="390"/>
      <c r="O46" s="390" t="s">
        <v>119</v>
      </c>
      <c r="P46" s="390" t="s">
        <v>119</v>
      </c>
      <c r="Q46" s="390"/>
      <c r="R46" s="390"/>
      <c r="S46" s="390"/>
      <c r="T46" s="390" t="s">
        <v>119</v>
      </c>
      <c r="U46" s="390" t="s">
        <v>119</v>
      </c>
      <c r="V46" s="390" t="s">
        <v>119</v>
      </c>
      <c r="W46" s="390"/>
      <c r="X46" s="390"/>
      <c r="Y46" s="390"/>
      <c r="Z46" s="390"/>
      <c r="AA46" s="390" t="s">
        <v>119</v>
      </c>
      <c r="AB46" s="390" t="s">
        <v>119</v>
      </c>
      <c r="AC46" s="390" t="s">
        <v>119</v>
      </c>
      <c r="AD46" s="390"/>
      <c r="AE46" s="390"/>
      <c r="AF46" s="390"/>
      <c r="AG46" s="390"/>
      <c r="AH46" s="390" t="s">
        <v>119</v>
      </c>
      <c r="AI46" s="390" t="s">
        <v>119</v>
      </c>
      <c r="AJ46" s="390" t="s">
        <v>119</v>
      </c>
      <c r="AK46" s="390"/>
      <c r="AL46" s="390"/>
      <c r="AM46" s="390"/>
      <c r="AN46" s="390" t="s">
        <v>119</v>
      </c>
      <c r="AO46" s="390" t="s">
        <v>119</v>
      </c>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〇</v>
      </c>
      <c r="D47" s="186"/>
      <c r="E47" s="372" t="str">
        <f t="shared" si="6"/>
        <v>多田</v>
      </c>
      <c r="F47" s="381" t="str">
        <f t="shared" si="7"/>
        <v>〇</v>
      </c>
      <c r="G47" s="186"/>
      <c r="H47" s="186"/>
      <c r="I47" s="168" t="b">
        <v>1</v>
      </c>
      <c r="J47" s="362"/>
      <c r="K47" s="382" t="s">
        <v>254</v>
      </c>
      <c r="L47" s="383" t="s">
        <v>252</v>
      </c>
      <c r="M47" s="384" t="s">
        <v>253</v>
      </c>
      <c r="N47" s="390" t="s">
        <v>119</v>
      </c>
      <c r="O47" s="390" t="s">
        <v>119</v>
      </c>
      <c r="P47" s="390" t="s">
        <v>119</v>
      </c>
      <c r="Q47" s="390"/>
      <c r="R47" s="390"/>
      <c r="S47" s="390"/>
      <c r="T47" s="390" t="s">
        <v>119</v>
      </c>
      <c r="U47" s="390" t="s">
        <v>119</v>
      </c>
      <c r="V47" s="390"/>
      <c r="W47" s="390" t="s">
        <v>119</v>
      </c>
      <c r="X47" s="390"/>
      <c r="Y47" s="390"/>
      <c r="Z47" s="390"/>
      <c r="AA47" s="390" t="s">
        <v>119</v>
      </c>
      <c r="AB47" s="390"/>
      <c r="AC47" s="390" t="s">
        <v>119</v>
      </c>
      <c r="AD47" s="390" t="s">
        <v>119</v>
      </c>
      <c r="AE47" s="390"/>
      <c r="AF47" s="390"/>
      <c r="AG47" s="390"/>
      <c r="AH47" s="390" t="s">
        <v>119</v>
      </c>
      <c r="AI47" s="390" t="s">
        <v>119</v>
      </c>
      <c r="AJ47" s="390"/>
      <c r="AK47" s="390" t="s">
        <v>119</v>
      </c>
      <c r="AL47" s="390"/>
      <c r="AM47" s="390"/>
      <c r="AN47" s="390"/>
      <c r="AO47" s="390" t="s">
        <v>119</v>
      </c>
      <c r="AP47" s="390"/>
      <c r="AQ47" s="390" t="s">
        <v>119</v>
      </c>
      <c r="AR47" s="385"/>
      <c r="AS47" s="391">
        <f t="array" ref="AS47">SUM(COUNTIF(N47:AR47, {"◎","〇","☆","共","特","浴"}))</f>
        <v>14</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〇</v>
      </c>
      <c r="D48" s="186"/>
      <c r="E48" s="372" t="str">
        <f t="shared" si="6"/>
        <v>白鳥</v>
      </c>
      <c r="F48" s="381" t="str">
        <f t="shared" si="7"/>
        <v>〇</v>
      </c>
      <c r="G48" s="186"/>
      <c r="H48" s="186"/>
      <c r="I48" s="168" t="b">
        <v>1</v>
      </c>
      <c r="J48" s="362"/>
      <c r="K48" s="382" t="s">
        <v>255</v>
      </c>
      <c r="L48" s="383" t="s">
        <v>252</v>
      </c>
      <c r="M48" s="384" t="s">
        <v>253</v>
      </c>
      <c r="N48" s="390" t="s">
        <v>119</v>
      </c>
      <c r="O48" s="390"/>
      <c r="P48" s="390"/>
      <c r="Q48" s="390" t="s">
        <v>119</v>
      </c>
      <c r="R48" s="390"/>
      <c r="S48" s="390"/>
      <c r="T48" s="390" t="s">
        <v>119</v>
      </c>
      <c r="U48" s="390"/>
      <c r="V48" s="390"/>
      <c r="W48" s="390" t="s">
        <v>119</v>
      </c>
      <c r="X48" s="390" t="s">
        <v>119</v>
      </c>
      <c r="Y48" s="390"/>
      <c r="Z48" s="390" t="s">
        <v>119</v>
      </c>
      <c r="AA48" s="390" t="s">
        <v>119</v>
      </c>
      <c r="AB48" s="390" t="s">
        <v>119</v>
      </c>
      <c r="AC48" s="390"/>
      <c r="AD48" s="390"/>
      <c r="AE48" s="390"/>
      <c r="AF48" s="390"/>
      <c r="AG48" s="390"/>
      <c r="AH48" s="390" t="s">
        <v>119</v>
      </c>
      <c r="AI48" s="390" t="s">
        <v>119</v>
      </c>
      <c r="AJ48" s="390"/>
      <c r="AK48" s="390" t="s">
        <v>119</v>
      </c>
      <c r="AL48" s="390"/>
      <c r="AM48" s="390"/>
      <c r="AN48" s="390"/>
      <c r="AO48" s="390" t="s">
        <v>119</v>
      </c>
      <c r="AP48" s="390" t="s">
        <v>119</v>
      </c>
      <c r="AQ48" s="390" t="s">
        <v>119</v>
      </c>
      <c r="AR48" s="390"/>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
      </c>
      <c r="D49" s="186"/>
      <c r="E49" s="372" t="str">
        <f t="shared" si="6"/>
        <v>ラメス</v>
      </c>
      <c r="F49" s="381" t="str">
        <f t="shared" si="7"/>
        <v/>
      </c>
      <c r="G49" s="186"/>
      <c r="H49" s="186"/>
      <c r="I49" s="168" t="b">
        <v>1</v>
      </c>
      <c r="J49" s="362"/>
      <c r="K49" s="382" t="s">
        <v>256</v>
      </c>
      <c r="L49" s="383" t="s">
        <v>248</v>
      </c>
      <c r="M49" s="384" t="s">
        <v>284</v>
      </c>
      <c r="N49" s="390"/>
      <c r="O49" s="390" t="s">
        <v>119</v>
      </c>
      <c r="P49" s="390" t="s">
        <v>119</v>
      </c>
      <c r="Q49" s="390" t="s">
        <v>119</v>
      </c>
      <c r="R49" s="390" t="s">
        <v>119</v>
      </c>
      <c r="S49" s="390" t="s">
        <v>119</v>
      </c>
      <c r="T49" s="390"/>
      <c r="U49" s="390"/>
      <c r="V49" s="390" t="s">
        <v>119</v>
      </c>
      <c r="W49" s="390" t="s">
        <v>119</v>
      </c>
      <c r="X49" s="390" t="s">
        <v>119</v>
      </c>
      <c r="Y49" s="390" t="s">
        <v>119</v>
      </c>
      <c r="Z49" s="390" t="s">
        <v>119</v>
      </c>
      <c r="AA49" s="390"/>
      <c r="AB49" s="390"/>
      <c r="AC49" s="390" t="s">
        <v>119</v>
      </c>
      <c r="AD49" s="390" t="s">
        <v>119</v>
      </c>
      <c r="AE49" s="390" t="s">
        <v>119</v>
      </c>
      <c r="AF49" s="390" t="s">
        <v>119</v>
      </c>
      <c r="AG49" s="390" t="s">
        <v>119</v>
      </c>
      <c r="AH49" s="390"/>
      <c r="AI49" s="390"/>
      <c r="AJ49" s="390" t="s">
        <v>119</v>
      </c>
      <c r="AK49" s="390" t="s">
        <v>119</v>
      </c>
      <c r="AL49" s="390" t="s">
        <v>119</v>
      </c>
      <c r="AM49" s="390" t="s">
        <v>119</v>
      </c>
      <c r="AN49" s="390" t="s">
        <v>119</v>
      </c>
      <c r="AO49" s="390"/>
      <c r="AP49" s="390"/>
      <c r="AQ49" s="390" t="s">
        <v>119</v>
      </c>
      <c r="AR49" s="385"/>
      <c r="AS49" s="391">
        <f t="array" ref="AS49">SUM(COUNTIF(N49:AR49, {"◎","〇","☆","共","特","浴"}))</f>
        <v>21</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二サン</v>
      </c>
      <c r="C50" s="381" t="str">
        <f t="shared" si="5"/>
        <v/>
      </c>
      <c r="D50" s="186"/>
      <c r="E50" s="372" t="str">
        <f t="shared" si="6"/>
        <v>二サン</v>
      </c>
      <c r="F50" s="381" t="str">
        <f t="shared" si="7"/>
        <v/>
      </c>
      <c r="G50" s="186"/>
      <c r="H50" s="186"/>
      <c r="I50" s="168" t="b">
        <v>1</v>
      </c>
      <c r="J50" s="362"/>
      <c r="K50" s="382" t="s">
        <v>285</v>
      </c>
      <c r="L50" s="383" t="s">
        <v>248</v>
      </c>
      <c r="M50" s="384" t="s">
        <v>262</v>
      </c>
      <c r="N50" s="390" t="s">
        <v>119</v>
      </c>
      <c r="O50" s="390" t="s">
        <v>119</v>
      </c>
      <c r="P50" s="390" t="s">
        <v>119</v>
      </c>
      <c r="Q50" s="390" t="s">
        <v>119</v>
      </c>
      <c r="R50" s="390" t="s">
        <v>119</v>
      </c>
      <c r="S50" s="390" t="s">
        <v>119</v>
      </c>
      <c r="T50" s="390"/>
      <c r="U50" s="390"/>
      <c r="V50" s="390" t="s">
        <v>119</v>
      </c>
      <c r="W50" s="390" t="s">
        <v>119</v>
      </c>
      <c r="X50" s="390" t="s">
        <v>119</v>
      </c>
      <c r="Y50" s="390" t="s">
        <v>119</v>
      </c>
      <c r="Z50" s="390" t="s">
        <v>119</v>
      </c>
      <c r="AA50" s="390"/>
      <c r="AB50" s="390"/>
      <c r="AC50" s="390" t="s">
        <v>119</v>
      </c>
      <c r="AD50" s="390" t="s">
        <v>119</v>
      </c>
      <c r="AE50" s="390" t="s">
        <v>119</v>
      </c>
      <c r="AF50" s="390" t="s">
        <v>119</v>
      </c>
      <c r="AG50" s="390" t="s">
        <v>119</v>
      </c>
      <c r="AH50" s="390"/>
      <c r="AI50" s="390"/>
      <c r="AJ50" s="390" t="s">
        <v>119</v>
      </c>
      <c r="AK50" s="390" t="s">
        <v>119</v>
      </c>
      <c r="AL50" s="390" t="s">
        <v>119</v>
      </c>
      <c r="AM50" s="390" t="s">
        <v>119</v>
      </c>
      <c r="AN50" s="390" t="s">
        <v>119</v>
      </c>
      <c r="AO50" s="390"/>
      <c r="AP50" s="390" t="s">
        <v>119</v>
      </c>
      <c r="AQ50" s="385"/>
      <c r="AR50" s="385"/>
      <c r="AS50" s="391">
        <f t="array" ref="AS50">SUM(COUNTIF(N50:AR50, {"◎","〇","☆","共","特","浴"}))</f>
        <v>22</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
      </c>
      <c r="D51" s="186"/>
      <c r="E51" s="372" t="str">
        <f t="shared" si="6"/>
        <v>ムナ</v>
      </c>
      <c r="F51" s="381" t="str">
        <f t="shared" si="7"/>
        <v/>
      </c>
      <c r="G51" s="186"/>
      <c r="H51" s="186"/>
      <c r="I51" s="168" t="b">
        <v>1</v>
      </c>
      <c r="J51" s="362"/>
      <c r="K51" s="382" t="s">
        <v>260</v>
      </c>
      <c r="L51" s="383" t="s">
        <v>248</v>
      </c>
      <c r="M51" s="384" t="s">
        <v>286</v>
      </c>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
      </c>
      <c r="D52" s="186"/>
      <c r="E52" s="372" t="str">
        <f t="shared" si="6"/>
        <v>バサンタ</v>
      </c>
      <c r="F52" s="381" t="str">
        <f t="shared" si="7"/>
        <v/>
      </c>
      <c r="G52" s="186"/>
      <c r="H52" s="186"/>
      <c r="I52" s="168" t="b">
        <v>1</v>
      </c>
      <c r="J52" s="362"/>
      <c r="K52" s="382" t="s">
        <v>261</v>
      </c>
      <c r="L52" s="383" t="s">
        <v>248</v>
      </c>
      <c r="M52" s="384" t="s">
        <v>262</v>
      </c>
      <c r="N52" s="390"/>
      <c r="O52" s="390"/>
      <c r="P52" s="390"/>
      <c r="Q52" s="390" t="s">
        <v>119</v>
      </c>
      <c r="R52" s="390" t="s">
        <v>119</v>
      </c>
      <c r="S52" s="390"/>
      <c r="T52" s="390"/>
      <c r="U52" s="390"/>
      <c r="V52" s="390"/>
      <c r="W52" s="390"/>
      <c r="X52" s="390" t="s">
        <v>119</v>
      </c>
      <c r="Y52" s="390" t="s">
        <v>119</v>
      </c>
      <c r="Z52" s="390"/>
      <c r="AA52" s="390"/>
      <c r="AB52" s="390"/>
      <c r="AC52" s="390"/>
      <c r="AD52" s="390"/>
      <c r="AE52" s="390" t="s">
        <v>119</v>
      </c>
      <c r="AF52" s="390" t="s">
        <v>119</v>
      </c>
      <c r="AG52" s="390"/>
      <c r="AH52" s="390"/>
      <c r="AI52" s="390"/>
      <c r="AJ52" s="390"/>
      <c r="AK52" s="390"/>
      <c r="AL52" s="390" t="s">
        <v>119</v>
      </c>
      <c r="AM52" s="390" t="s">
        <v>119</v>
      </c>
      <c r="AN52" s="390"/>
      <c r="AO52" s="390"/>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
      </c>
      <c r="D53" s="186"/>
      <c r="E53" s="372" t="str">
        <f t="shared" si="6"/>
        <v>パワン</v>
      </c>
      <c r="F53" s="381" t="str">
        <f t="shared" si="7"/>
        <v/>
      </c>
      <c r="G53" s="186"/>
      <c r="H53" s="186"/>
      <c r="I53" s="168" t="b">
        <v>1</v>
      </c>
      <c r="J53" s="362"/>
      <c r="K53" s="382" t="s">
        <v>263</v>
      </c>
      <c r="L53" s="383" t="s">
        <v>248</v>
      </c>
      <c r="M53" s="384" t="s">
        <v>264</v>
      </c>
      <c r="N53" s="390"/>
      <c r="O53" s="390" t="s">
        <v>119</v>
      </c>
      <c r="P53" s="390" t="s">
        <v>119</v>
      </c>
      <c r="Q53" s="390" t="s">
        <v>119</v>
      </c>
      <c r="R53" s="390"/>
      <c r="S53" s="390"/>
      <c r="T53" s="390"/>
      <c r="U53" s="390"/>
      <c r="V53" s="390"/>
      <c r="W53" s="390" t="s">
        <v>119</v>
      </c>
      <c r="X53" s="390" t="s">
        <v>119</v>
      </c>
      <c r="Y53" s="390"/>
      <c r="Z53" s="390"/>
      <c r="AA53" s="390"/>
      <c r="AB53" s="390"/>
      <c r="AC53" s="390" t="s">
        <v>119</v>
      </c>
      <c r="AD53" s="390" t="s">
        <v>119</v>
      </c>
      <c r="AE53" s="390" t="s">
        <v>119</v>
      </c>
      <c r="AF53" s="390"/>
      <c r="AG53" s="390"/>
      <c r="AH53" s="390"/>
      <c r="AI53" s="390"/>
      <c r="AJ53" s="390" t="s">
        <v>119</v>
      </c>
      <c r="AK53" s="390" t="s">
        <v>119</v>
      </c>
      <c r="AL53" s="390" t="s">
        <v>119</v>
      </c>
      <c r="AM53" s="390"/>
      <c r="AN53" s="390"/>
      <c r="AO53" s="390"/>
      <c r="AP53" s="390"/>
      <c r="AQ53" s="390" t="s">
        <v>119</v>
      </c>
      <c r="AR53" s="385"/>
      <c r="AS53" s="391">
        <f t="array" ref="AS53">SUM(COUNTIF(N53:AR53, {"◎","〇","☆","共","特","浴"}))</f>
        <v>12</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
      </c>
      <c r="D54" s="186"/>
      <c r="E54" s="372" t="str">
        <f t="shared" si="6"/>
        <v>スニタ</v>
      </c>
      <c r="F54" s="381" t="str">
        <f t="shared" si="7"/>
        <v>〇</v>
      </c>
      <c r="G54" s="186"/>
      <c r="H54" s="186"/>
      <c r="I54" s="168" t="b">
        <v>1</v>
      </c>
      <c r="J54" s="362"/>
      <c r="K54" s="382" t="s">
        <v>265</v>
      </c>
      <c r="L54" s="383" t="s">
        <v>248</v>
      </c>
      <c r="M54" s="389"/>
      <c r="N54" s="390"/>
      <c r="O54" s="390"/>
      <c r="P54" s="390" t="s">
        <v>119</v>
      </c>
      <c r="Q54" s="390"/>
      <c r="R54" s="390"/>
      <c r="S54" s="390" t="s">
        <v>119</v>
      </c>
      <c r="T54" s="390"/>
      <c r="U54" s="390" t="s">
        <v>119</v>
      </c>
      <c r="V54" s="390" t="s">
        <v>119</v>
      </c>
      <c r="W54" s="390"/>
      <c r="X54" s="390"/>
      <c r="Y54" s="390"/>
      <c r="Z54" s="390"/>
      <c r="AA54" s="390" t="s">
        <v>119</v>
      </c>
      <c r="AB54" s="390" t="s">
        <v>119</v>
      </c>
      <c r="AC54" s="390" t="s">
        <v>119</v>
      </c>
      <c r="AD54" s="390" t="s">
        <v>119</v>
      </c>
      <c r="AE54" s="390"/>
      <c r="AF54" s="390"/>
      <c r="AG54" s="390" t="s">
        <v>119</v>
      </c>
      <c r="AH54" s="390"/>
      <c r="AI54" s="390" t="s">
        <v>119</v>
      </c>
      <c r="AJ54" s="390"/>
      <c r="AK54" s="390"/>
      <c r="AL54" s="390"/>
      <c r="AM54" s="390" t="s">
        <v>119</v>
      </c>
      <c r="AN54" s="390" t="s">
        <v>119</v>
      </c>
      <c r="AO54" s="390" t="s">
        <v>119</v>
      </c>
      <c r="AP54" s="390"/>
      <c r="AQ54" s="390"/>
      <c r="AR54" s="385"/>
      <c r="AS54" s="391">
        <f t="array" ref="AS54">SUM(COUNTIF(N54:AR54, {"◎","〇","☆","共","特","浴"}))</f>
        <v>13</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〇</v>
      </c>
      <c r="D55" s="186"/>
      <c r="E55" s="372" t="str">
        <f t="shared" si="6"/>
        <v>岩井</v>
      </c>
      <c r="F55" s="381" t="str">
        <f t="shared" si="7"/>
        <v>〇</v>
      </c>
      <c r="G55" s="186"/>
      <c r="H55" s="186"/>
      <c r="I55" s="168" t="b">
        <v>1</v>
      </c>
      <c r="J55" s="362"/>
      <c r="K55" s="382" t="s">
        <v>266</v>
      </c>
      <c r="L55" s="383" t="s">
        <v>252</v>
      </c>
      <c r="M55" s="384" t="s">
        <v>253</v>
      </c>
      <c r="N55" s="390" t="s">
        <v>119</v>
      </c>
      <c r="O55" s="390"/>
      <c r="P55" s="390"/>
      <c r="Q55" s="390" t="s">
        <v>119</v>
      </c>
      <c r="R55" s="390"/>
      <c r="S55" s="390"/>
      <c r="T55" s="390" t="s">
        <v>119</v>
      </c>
      <c r="U55" s="390" t="s">
        <v>119</v>
      </c>
      <c r="V55" s="390"/>
      <c r="W55" s="390"/>
      <c r="X55" s="390" t="s">
        <v>119</v>
      </c>
      <c r="Y55" s="390"/>
      <c r="Z55" s="390"/>
      <c r="AA55" s="390" t="s">
        <v>119</v>
      </c>
      <c r="AB55" s="390" t="s">
        <v>119</v>
      </c>
      <c r="AC55" s="390"/>
      <c r="AD55" s="390"/>
      <c r="AE55" s="390" t="s">
        <v>119</v>
      </c>
      <c r="AF55" s="390"/>
      <c r="AG55" s="390"/>
      <c r="AH55" s="390" t="s">
        <v>119</v>
      </c>
      <c r="AI55" s="390" t="s">
        <v>119</v>
      </c>
      <c r="AJ55" s="390"/>
      <c r="AK55" s="390"/>
      <c r="AL55" s="390" t="s">
        <v>119</v>
      </c>
      <c r="AM55" s="390"/>
      <c r="AN55" s="390"/>
      <c r="AO55" s="390" t="s">
        <v>119</v>
      </c>
      <c r="AP55" s="390" t="s">
        <v>119</v>
      </c>
      <c r="AQ55" s="390"/>
      <c r="AR55" s="390"/>
      <c r="AS55" s="391">
        <f t="array" ref="AS55">SUM(COUNTIF(N55:AR55, {"◎","〇","☆","共","特","浴"}))</f>
        <v>13</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
      </c>
      <c r="D56" s="186"/>
      <c r="E56" s="372" t="str">
        <f t="shared" si="6"/>
        <v>ニシャ</v>
      </c>
      <c r="F56" s="381" t="str">
        <f t="shared" si="7"/>
        <v/>
      </c>
      <c r="G56" s="186"/>
      <c r="H56" s="186"/>
      <c r="I56" s="168" t="b">
        <v>1</v>
      </c>
      <c r="J56" s="362"/>
      <c r="K56" s="382" t="s">
        <v>267</v>
      </c>
      <c r="L56" s="383" t="s">
        <v>248</v>
      </c>
      <c r="M56" s="384" t="s">
        <v>262</v>
      </c>
      <c r="N56" s="390"/>
      <c r="O56" s="390"/>
      <c r="P56" s="390"/>
      <c r="Q56" s="390" t="s">
        <v>119</v>
      </c>
      <c r="R56" s="390"/>
      <c r="S56" s="390"/>
      <c r="T56" s="390"/>
      <c r="U56" s="390"/>
      <c r="V56" s="390"/>
      <c r="W56" s="390"/>
      <c r="X56" s="390" t="s">
        <v>119</v>
      </c>
      <c r="Y56" s="390" t="s">
        <v>119</v>
      </c>
      <c r="Z56" s="390"/>
      <c r="AA56" s="390"/>
      <c r="AB56" s="390"/>
      <c r="AC56" s="390"/>
      <c r="AD56" s="390"/>
      <c r="AE56" s="390" t="s">
        <v>119</v>
      </c>
      <c r="AF56" s="390" t="s">
        <v>119</v>
      </c>
      <c r="AG56" s="390"/>
      <c r="AH56" s="390"/>
      <c r="AI56" s="390"/>
      <c r="AJ56" s="390"/>
      <c r="AK56" s="390"/>
      <c r="AL56" s="390" t="s">
        <v>119</v>
      </c>
      <c r="AM56" s="390" t="s">
        <v>119</v>
      </c>
      <c r="AN56" s="390"/>
      <c r="AO56" s="390"/>
      <c r="AP56" s="390"/>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テンジ</v>
      </c>
      <c r="C57" s="381" t="str">
        <f t="shared" si="5"/>
        <v/>
      </c>
      <c r="D57" s="186"/>
      <c r="E57" s="372" t="str">
        <f t="shared" si="6"/>
        <v>テンジ</v>
      </c>
      <c r="F57" s="381" t="str">
        <f t="shared" si="7"/>
        <v/>
      </c>
      <c r="G57" s="186"/>
      <c r="H57" s="186"/>
      <c r="I57" s="168" t="b">
        <v>1</v>
      </c>
      <c r="J57" s="362"/>
      <c r="K57" s="382" t="s">
        <v>270</v>
      </c>
      <c r="L57" s="383" t="s">
        <v>248</v>
      </c>
      <c r="M57" s="384" t="s">
        <v>287</v>
      </c>
      <c r="N57" s="390"/>
      <c r="O57" s="390" t="s">
        <v>119</v>
      </c>
      <c r="P57" s="390" t="s">
        <v>119</v>
      </c>
      <c r="Q57" s="390" t="s">
        <v>119</v>
      </c>
      <c r="R57" s="390" t="s">
        <v>119</v>
      </c>
      <c r="S57" s="390" t="s">
        <v>119</v>
      </c>
      <c r="T57" s="385"/>
      <c r="U57" s="390"/>
      <c r="V57" s="390" t="s">
        <v>119</v>
      </c>
      <c r="W57" s="390" t="s">
        <v>119</v>
      </c>
      <c r="X57" s="390" t="s">
        <v>119</v>
      </c>
      <c r="Y57" s="390" t="s">
        <v>119</v>
      </c>
      <c r="Z57" s="390" t="s">
        <v>119</v>
      </c>
      <c r="AA57" s="385"/>
      <c r="AB57" s="390"/>
      <c r="AC57" s="390" t="s">
        <v>119</v>
      </c>
      <c r="AD57" s="390" t="s">
        <v>119</v>
      </c>
      <c r="AE57" s="390" t="s">
        <v>119</v>
      </c>
      <c r="AF57" s="390" t="s">
        <v>119</v>
      </c>
      <c r="AG57" s="390" t="s">
        <v>119</v>
      </c>
      <c r="AH57" s="390"/>
      <c r="AI57" s="390"/>
      <c r="AJ57" s="390" t="s">
        <v>119</v>
      </c>
      <c r="AK57" s="390" t="s">
        <v>119</v>
      </c>
      <c r="AL57" s="390" t="s">
        <v>119</v>
      </c>
      <c r="AM57" s="390" t="s">
        <v>119</v>
      </c>
      <c r="AN57" s="390" t="s">
        <v>119</v>
      </c>
      <c r="AO57" s="385"/>
      <c r="AP57" s="390" t="s">
        <v>119</v>
      </c>
      <c r="AQ57" s="385"/>
      <c r="AR57" s="385"/>
      <c r="AS57" s="391">
        <f t="array" ref="AS57">SUM(COUNTIF(N57:AR57, {"◎","〇","☆","共","特","浴"}))</f>
        <v>21</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〇</v>
      </c>
      <c r="D58" s="186"/>
      <c r="E58" s="372" t="str">
        <f t="shared" si="6"/>
        <v>ビジャヤ</v>
      </c>
      <c r="F58" s="381" t="str">
        <f t="shared" si="7"/>
        <v>〇</v>
      </c>
      <c r="G58" s="186"/>
      <c r="H58" s="186"/>
      <c r="I58" s="168" t="b">
        <v>1</v>
      </c>
      <c r="J58" s="362"/>
      <c r="K58" s="382" t="s">
        <v>268</v>
      </c>
      <c r="L58" s="383" t="s">
        <v>248</v>
      </c>
      <c r="M58" s="384"/>
      <c r="N58" s="390" t="s">
        <v>119</v>
      </c>
      <c r="O58" s="390"/>
      <c r="P58" s="390"/>
      <c r="Q58" s="390" t="s">
        <v>119</v>
      </c>
      <c r="R58" s="390" t="s">
        <v>119</v>
      </c>
      <c r="S58" s="390" t="s">
        <v>119</v>
      </c>
      <c r="T58" s="390" t="s">
        <v>119</v>
      </c>
      <c r="U58" s="390" t="s">
        <v>119</v>
      </c>
      <c r="V58" s="390"/>
      <c r="W58" s="390"/>
      <c r="X58" s="390"/>
      <c r="Y58" s="390" t="s">
        <v>119</v>
      </c>
      <c r="Z58" s="390" t="s">
        <v>119</v>
      </c>
      <c r="AA58" s="390" t="s">
        <v>119</v>
      </c>
      <c r="AB58" s="390" t="s">
        <v>119</v>
      </c>
      <c r="AC58" s="390"/>
      <c r="AD58" s="390"/>
      <c r="AE58" s="390"/>
      <c r="AF58" s="390" t="s">
        <v>119</v>
      </c>
      <c r="AG58" s="390" t="s">
        <v>119</v>
      </c>
      <c r="AH58" s="390" t="s">
        <v>119</v>
      </c>
      <c r="AI58" s="390" t="s">
        <v>119</v>
      </c>
      <c r="AJ58" s="390"/>
      <c r="AK58" s="390"/>
      <c r="AL58" s="390"/>
      <c r="AM58" s="390" t="s">
        <v>119</v>
      </c>
      <c r="AN58" s="390" t="s">
        <v>119</v>
      </c>
      <c r="AO58" s="390" t="s">
        <v>119</v>
      </c>
      <c r="AP58" s="390" t="s">
        <v>119</v>
      </c>
      <c r="AQ58" s="390"/>
      <c r="AR58" s="390"/>
      <c r="AS58" s="391">
        <f t="array" ref="AS58">SUM(COUNTIF(N58:AR58, {"◎","〇","☆","共","特","浴"}))</f>
        <v>18</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ロジナ</v>
      </c>
      <c r="C59" s="381" t="str">
        <f t="shared" si="5"/>
        <v>〇</v>
      </c>
      <c r="D59" s="186"/>
      <c r="E59" s="372" t="str">
        <f t="shared" si="6"/>
        <v>ロジナ</v>
      </c>
      <c r="F59" s="381" t="str">
        <f t="shared" si="7"/>
        <v>〇</v>
      </c>
      <c r="G59" s="186"/>
      <c r="H59" s="186"/>
      <c r="I59" s="168" t="b">
        <v>1</v>
      </c>
      <c r="J59" s="362"/>
      <c r="K59" s="382" t="s">
        <v>258</v>
      </c>
      <c r="L59" s="383" t="s">
        <v>248</v>
      </c>
      <c r="M59" s="384"/>
      <c r="N59" s="390"/>
      <c r="O59" s="385"/>
      <c r="P59" s="390" t="s">
        <v>119</v>
      </c>
      <c r="Q59" s="390"/>
      <c r="R59" s="390"/>
      <c r="S59" s="390" t="s">
        <v>119</v>
      </c>
      <c r="T59" s="390"/>
      <c r="U59" s="390" t="s">
        <v>119</v>
      </c>
      <c r="V59" s="390" t="s">
        <v>119</v>
      </c>
      <c r="W59" s="390"/>
      <c r="X59" s="390"/>
      <c r="Y59" s="390"/>
      <c r="Z59" s="390"/>
      <c r="AA59" s="390"/>
      <c r="AB59" s="390" t="s">
        <v>119</v>
      </c>
      <c r="AC59" s="390" t="s">
        <v>119</v>
      </c>
      <c r="AD59" s="390" t="s">
        <v>119</v>
      </c>
      <c r="AE59" s="390"/>
      <c r="AF59" s="390"/>
      <c r="AG59" s="390" t="s">
        <v>119</v>
      </c>
      <c r="AH59" s="390" t="s">
        <v>119</v>
      </c>
      <c r="AI59" s="390" t="s">
        <v>119</v>
      </c>
      <c r="AJ59" s="390"/>
      <c r="AK59" s="390"/>
      <c r="AL59" s="390"/>
      <c r="AM59" s="390"/>
      <c r="AN59" s="390" t="s">
        <v>119</v>
      </c>
      <c r="AO59" s="390" t="s">
        <v>119</v>
      </c>
      <c r="AP59" s="390"/>
      <c r="AQ59" s="390" t="s">
        <v>119</v>
      </c>
      <c r="AR59" s="385"/>
      <c r="AS59" s="391">
        <f t="array" ref="AS59">SUM(COUNTIF(N59:AR59, {"◎","〇","☆","共","特","浴"}))</f>
        <v>13</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プラギャ</v>
      </c>
      <c r="C60" s="381" t="str">
        <f t="shared" si="5"/>
        <v/>
      </c>
      <c r="D60" s="186"/>
      <c r="E60" s="372" t="str">
        <f t="shared" si="6"/>
        <v>プラギャ</v>
      </c>
      <c r="F60" s="381" t="str">
        <f t="shared" si="7"/>
        <v/>
      </c>
      <c r="G60" s="186"/>
      <c r="H60" s="186"/>
      <c r="I60" s="168" t="b">
        <v>1</v>
      </c>
      <c r="J60" s="362"/>
      <c r="K60" s="382" t="s">
        <v>275</v>
      </c>
      <c r="L60" s="383" t="s">
        <v>252</v>
      </c>
      <c r="M60" s="384" t="s">
        <v>288</v>
      </c>
      <c r="N60" s="390"/>
      <c r="O60" s="390"/>
      <c r="P60" s="390"/>
      <c r="Q60" s="390"/>
      <c r="R60" s="390" t="s">
        <v>119</v>
      </c>
      <c r="S60" s="390"/>
      <c r="T60" s="390"/>
      <c r="U60" s="390"/>
      <c r="V60" s="390"/>
      <c r="W60" s="390"/>
      <c r="X60" s="390" t="s">
        <v>119</v>
      </c>
      <c r="Y60" s="390" t="s">
        <v>119</v>
      </c>
      <c r="Z60" s="390"/>
      <c r="AA60" s="390"/>
      <c r="AB60" s="390"/>
      <c r="AC60" s="390"/>
      <c r="AD60" s="390"/>
      <c r="AE60" s="390" t="s">
        <v>119</v>
      </c>
      <c r="AF60" s="390" t="s">
        <v>119</v>
      </c>
      <c r="AG60" s="390"/>
      <c r="AH60" s="390"/>
      <c r="AI60" s="390"/>
      <c r="AJ60" s="390"/>
      <c r="AK60" s="390"/>
      <c r="AL60" s="390" t="s">
        <v>119</v>
      </c>
      <c r="AM60" s="390" t="s">
        <v>119</v>
      </c>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シャイロン</v>
      </c>
      <c r="C61" s="381" t="str">
        <f t="shared" si="5"/>
        <v/>
      </c>
      <c r="D61" s="186"/>
      <c r="E61" s="372" t="str">
        <f t="shared" si="6"/>
        <v>シャイロン</v>
      </c>
      <c r="F61" s="381" t="str">
        <f t="shared" si="7"/>
        <v/>
      </c>
      <c r="G61" s="186"/>
      <c r="H61" s="186"/>
      <c r="I61" s="168" t="b">
        <v>0</v>
      </c>
      <c r="J61" s="362"/>
      <c r="K61" s="382" t="s">
        <v>289</v>
      </c>
      <c r="L61" s="383" t="s">
        <v>252</v>
      </c>
      <c r="M61" s="384" t="s">
        <v>288</v>
      </c>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t="s">
        <v>230</v>
      </c>
      <c r="M62" s="384"/>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90"/>
      <c r="AS62" s="391">
        <f t="array" ref="AS62">SUM(COUNTIF(N62:AR62, {"◎","〇","☆","共","特","浴"}))</f>
        <v>0</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t="s">
        <v>230</v>
      </c>
      <c r="M63" s="384"/>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90"/>
      <c r="AS63" s="391">
        <f t="array" ref="AS63">SUM(COUNTIF(N63:AR63, {"◎","〇","☆","共","特","浴"}))</f>
        <v>0</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2151780</v>
      </c>
      <c r="D1" s="406">
        <f>AZ20</f>
        <v>304153.1515</v>
      </c>
      <c r="E1" s="406">
        <f>BG23</f>
        <v>1137073</v>
      </c>
      <c r="F1" s="406">
        <f>BB23+BG40</f>
        <v>0</v>
      </c>
      <c r="G1" s="406">
        <f t="shared" ref="G1:H1" si="1">I8</f>
        <v>45921.27273</v>
      </c>
      <c r="H1" s="406">
        <f t="shared" si="1"/>
        <v>0</v>
      </c>
      <c r="I1" s="407">
        <f>G8</f>
        <v>0.7861378799</v>
      </c>
      <c r="J1" s="407">
        <f>AT7</f>
        <v>0</v>
      </c>
      <c r="K1" s="408">
        <f>AV44</f>
        <v>0</v>
      </c>
      <c r="L1" s="409">
        <f>F44</f>
        <v>2607</v>
      </c>
      <c r="M1" s="410" t="str">
        <f>if(C7&lt;C8,"達成","未達成")</f>
        <v>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46113.0</v>
      </c>
      <c r="E5" s="71"/>
      <c r="F5" s="423" t="s">
        <v>294</v>
      </c>
      <c r="G5" s="424">
        <f>DAY(EOMONTH(D5,0))</f>
        <v>30</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0.2956260382</v>
      </c>
      <c r="D7" s="71"/>
      <c r="E7" s="447">
        <f>AU12</f>
        <v>0.5053766081</v>
      </c>
      <c r="F7" s="71"/>
      <c r="G7" s="448" t="s">
        <v>311</v>
      </c>
      <c r="H7" s="449">
        <f t="array" ref="H7">xlookup($D$5,'🌟目標数値'!$A$3:$A$14,'🌟目標数値'!D$3:D14)</f>
        <v>3329190</v>
      </c>
      <c r="I7" s="449" t="s">
        <v>311</v>
      </c>
      <c r="J7" s="450" t="s">
        <v>311</v>
      </c>
      <c r="K7" s="451" t="s">
        <v>311</v>
      </c>
      <c r="L7" s="451" t="s">
        <v>311</v>
      </c>
      <c r="M7" s="452">
        <f t="array" ref="M7">xlookup($D$5,'🌟目標数値'!$A$3:$A$14,'🌟目標数値'!E$3:E14)</f>
        <v>984195.25</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IFERROR(__xludf.DUMMYFUNCTION("IMPORTRANGE(AT9,""日別集計!AI4"")"),19.0)</f>
        <v>19</v>
      </c>
      <c r="AW7" s="71"/>
      <c r="AX7" s="440"/>
      <c r="AY7" s="455" t="s">
        <v>312</v>
      </c>
      <c r="BG7" s="456"/>
      <c r="BL7" s="444"/>
    </row>
    <row r="8" ht="15.75" customHeight="1" outlineLevel="1">
      <c r="B8" s="457" t="s">
        <v>313</v>
      </c>
      <c r="C8" s="458">
        <f>M8/H8</f>
        <v>0.3088757102</v>
      </c>
      <c r="D8" s="71"/>
      <c r="E8" s="459">
        <f>(BB23+BG23-BE24)/H8</f>
        <v>0.5284336689</v>
      </c>
      <c r="F8" s="71"/>
      <c r="G8" s="460">
        <f>G47</f>
        <v>0.7861378799</v>
      </c>
      <c r="H8" s="461">
        <f>BB30</f>
        <v>2151780</v>
      </c>
      <c r="I8" s="462">
        <f>IFERROR(__xludf.DUMMYFUNCTION("IMPORTRANGE(""https://docs.google.com/spreadsheets/d/1QbHfX9wvC_RRupa4CCe_ZxA6O4e2Ap9vqX5hrZPeQRg/edit"",""date2_1!R18"")/G5*COUNTIFS($E$13:$E$43,""&gt;0"")"),45921.27272727272)</f>
        <v>45921.27273</v>
      </c>
      <c r="J8" s="463">
        <f>IFERROR(__xludf.DUMMYFUNCTION("IMPORTRANGE(""https://docs.google.com/spreadsheets/d/1PIAlDmsTatDNi42y_Nu-aVFqvVCXfe6jiDJFQImKjZ0/edit#gid=630612029"",""R8_4!J18"")"),0.0)</f>
        <v>0</v>
      </c>
      <c r="K8" s="464">
        <f>BE24</f>
        <v>0</v>
      </c>
      <c r="L8" s="464">
        <f>BB30-BB23-AZ20-BG45-BG23+BE24</f>
        <v>710553.8485</v>
      </c>
      <c r="M8" s="465">
        <f>L8-I8</f>
        <v>664632.5758</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4月分アルバイト給料スプレットシート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2108487</v>
      </c>
      <c r="I9" s="475" t="s">
        <v>311</v>
      </c>
      <c r="J9" s="476" t="s">
        <v>311</v>
      </c>
      <c r="K9" s="477" t="s">
        <v>311</v>
      </c>
      <c r="L9" s="477" t="s">
        <v>311</v>
      </c>
      <c r="M9" s="478">
        <f>M7/G5*COUNTIFS($E$11:$E$41,"&gt;0")</f>
        <v>623323.6583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"""")"),"R804_コンフォートホテル成田_アルバイト給料")</f>
        <v>R804_コンフォートホテル成田_アルバイト給料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46113</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0.5053766081</v>
      </c>
      <c r="AV12" s="499"/>
      <c r="AW12" s="499"/>
      <c r="AX12" s="416"/>
      <c r="AY12" s="504" t="s">
        <v>364</v>
      </c>
      <c r="BI12" s="207"/>
      <c r="BJ12" s="207"/>
      <c r="BL12" s="207"/>
      <c r="BM12" s="207"/>
    </row>
    <row r="13" ht="15.75" customHeight="1">
      <c r="A13" s="416"/>
      <c r="B13" s="505" t="b">
        <v>0</v>
      </c>
      <c r="C13" s="506">
        <f>D5</f>
        <v>46113</v>
      </c>
      <c r="D13" s="507" t="str">
        <f t="shared" ref="D13:D43" si="2">TEXT(C13,"ddd")</f>
        <v>水</v>
      </c>
      <c r="E13" s="507">
        <f t="shared" ref="E13:E43" si="3">if(F13="","",142)</f>
        <v>142</v>
      </c>
      <c r="F13" s="507">
        <f t="shared" ref="F13:F43" si="4">if(G13="","",sum(G13,H13))</f>
        <v>131</v>
      </c>
      <c r="G13" s="508">
        <v>106.0</v>
      </c>
      <c r="H13" s="509">
        <v>25.0</v>
      </c>
      <c r="I13" s="509"/>
      <c r="J13" s="509"/>
      <c r="K13" s="509"/>
      <c r="L13" s="509">
        <v>10.0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108380</v>
      </c>
      <c r="AT13" s="515">
        <f>IFERROR(__xludf.DUMMYFUNCTION("FLATTEN('⚙️抽出用'!B5:AF5)"),54184.0)</f>
        <v>54184</v>
      </c>
      <c r="AU13" s="516">
        <f t="shared" ref="AU13:AU43" si="7">if(E13="","",iferror((AT13+AR13+$BF$23/if(month($D$5)=month(today()),day(today()),$G$5))/(AS13+(sum($BA$31:$BA$32)/$G$5)),""))</f>
        <v>0.5403202137</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46114</v>
      </c>
      <c r="D14" s="507" t="str">
        <f t="shared" si="2"/>
        <v>木</v>
      </c>
      <c r="E14" s="507">
        <f t="shared" si="3"/>
        <v>142</v>
      </c>
      <c r="F14" s="507">
        <f t="shared" si="4"/>
        <v>138</v>
      </c>
      <c r="G14" s="508">
        <v>103.0</v>
      </c>
      <c r="H14" s="524">
        <v>35.0</v>
      </c>
      <c r="I14" s="524">
        <v>1.0</v>
      </c>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104540</v>
      </c>
      <c r="AT14" s="515">
        <f>IFERROR(__xludf.DUMMYFUNCTION("""COMPUTED_VALUE"""),50353.0)</f>
        <v>50353</v>
      </c>
      <c r="AU14" s="516">
        <f t="shared" si="7"/>
        <v>0.5235211858</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46115</v>
      </c>
      <c r="D15" s="507" t="str">
        <f t="shared" si="2"/>
        <v>金</v>
      </c>
      <c r="E15" s="507">
        <f t="shared" si="3"/>
        <v>142</v>
      </c>
      <c r="F15" s="507">
        <f t="shared" si="4"/>
        <v>139</v>
      </c>
      <c r="G15" s="508">
        <v>117.0</v>
      </c>
      <c r="H15" s="532">
        <v>22.0</v>
      </c>
      <c r="I15" s="532"/>
      <c r="J15" s="532"/>
      <c r="K15" s="532"/>
      <c r="L15" s="532">
        <v>10.0</v>
      </c>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118860</v>
      </c>
      <c r="AT15" s="515">
        <f>IFERROR(__xludf.DUMMYFUNCTION("""COMPUTED_VALUE"""),49470.0)</f>
        <v>49470</v>
      </c>
      <c r="AU15" s="516">
        <f t="shared" si="7"/>
        <v>0.4530195588</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46116</v>
      </c>
      <c r="D16" s="507" t="str">
        <f t="shared" si="2"/>
        <v>土</v>
      </c>
      <c r="E16" s="507">
        <f t="shared" si="3"/>
        <v>142</v>
      </c>
      <c r="F16" s="507">
        <f t="shared" si="4"/>
        <v>138</v>
      </c>
      <c r="G16" s="508">
        <v>106.0</v>
      </c>
      <c r="H16" s="524">
        <v>32.0</v>
      </c>
      <c r="I16" s="524">
        <v>10.0</v>
      </c>
      <c r="J16" s="524">
        <v>1.0</v>
      </c>
      <c r="K16" s="524">
        <v>1.0</v>
      </c>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108430</v>
      </c>
      <c r="AT16" s="515">
        <f>IFERROR(__xludf.DUMMYFUNCTION("""COMPUTED_VALUE"""),53166.0)</f>
        <v>53166</v>
      </c>
      <c r="AU16" s="516">
        <f t="shared" si="7"/>
        <v>0.5306825119</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46117</v>
      </c>
      <c r="D17" s="507" t="str">
        <f t="shared" si="2"/>
        <v>日</v>
      </c>
      <c r="E17" s="507">
        <f t="shared" si="3"/>
        <v>142</v>
      </c>
      <c r="F17" s="507">
        <f t="shared" si="4"/>
        <v>138</v>
      </c>
      <c r="G17" s="508">
        <v>119.0</v>
      </c>
      <c r="H17" s="532">
        <v>19.0</v>
      </c>
      <c r="I17" s="532">
        <v>6.0</v>
      </c>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119120</v>
      </c>
      <c r="AT17" s="515">
        <f>IFERROR(__xludf.DUMMYFUNCTION("""COMPUTED_VALUE"""),54730.0)</f>
        <v>54730</v>
      </c>
      <c r="AU17" s="516">
        <f t="shared" si="7"/>
        <v>0.4961879177</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46118</v>
      </c>
      <c r="D18" s="507" t="str">
        <f t="shared" si="2"/>
        <v>月</v>
      </c>
      <c r="E18" s="507">
        <f t="shared" si="3"/>
        <v>142</v>
      </c>
      <c r="F18" s="507">
        <f t="shared" si="4"/>
        <v>125</v>
      </c>
      <c r="G18" s="508">
        <v>102.0</v>
      </c>
      <c r="H18" s="524">
        <v>23.0</v>
      </c>
      <c r="I18" s="524"/>
      <c r="J18" s="524">
        <v>16.0</v>
      </c>
      <c r="K18" s="524">
        <v>1.0</v>
      </c>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104110</v>
      </c>
      <c r="AT18" s="515">
        <f>IFERROR(__xludf.DUMMYFUNCTION("""COMPUTED_VALUE"""),52647.0)</f>
        <v>52647</v>
      </c>
      <c r="AU18" s="516">
        <f t="shared" si="7"/>
        <v>0.5477178442</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46119</v>
      </c>
      <c r="D19" s="507" t="str">
        <f t="shared" si="2"/>
        <v>火</v>
      </c>
      <c r="E19" s="507">
        <f t="shared" si="3"/>
        <v>142</v>
      </c>
      <c r="F19" s="507">
        <f t="shared" si="4"/>
        <v>137</v>
      </c>
      <c r="G19" s="508">
        <v>76.0</v>
      </c>
      <c r="H19" s="532">
        <v>61.0</v>
      </c>
      <c r="I19" s="532">
        <v>1.0</v>
      </c>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82480</v>
      </c>
      <c r="AT19" s="515">
        <f>IFERROR(__xludf.DUMMYFUNCTION("""COMPUTED_VALUE"""),39627.0)</f>
        <v>39627</v>
      </c>
      <c r="AU19" s="516">
        <f t="shared" si="7"/>
        <v>0.5334978754</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46120</v>
      </c>
      <c r="D20" s="507" t="str">
        <f t="shared" si="2"/>
        <v>水</v>
      </c>
      <c r="E20" s="507">
        <f t="shared" si="3"/>
        <v>142</v>
      </c>
      <c r="F20" s="507">
        <f t="shared" si="4"/>
        <v>137</v>
      </c>
      <c r="G20" s="508">
        <v>110.0</v>
      </c>
      <c r="H20" s="524">
        <v>27.0</v>
      </c>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110500</v>
      </c>
      <c r="AT20" s="515">
        <f>IFERROR(__xludf.DUMMYFUNCTION("""COMPUTED_VALUE"""),59585.0)</f>
        <v>59585</v>
      </c>
      <c r="AU20" s="516">
        <f t="shared" si="7"/>
        <v>0.5788317173</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IFERROR(__xludf.DUMMYFUNCTION("IMPORTRANGE(""https://docs.google.com/spreadsheets/d/1QbHfX9wvC_RRupa4CCe_ZxA6O4e2Ap9vqX5hrZPeQRg/edit?gid=284905409#gid=284905409"",""date2_1!D18"")/G5*COUNTIFS($E$13:$E$43,""&gt;0"")+sum(AZ14:BA19)"),304153.1515151515)</f>
        <v>304153.1515</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46121</v>
      </c>
      <c r="D21" s="507" t="str">
        <f t="shared" si="2"/>
        <v>木</v>
      </c>
      <c r="E21" s="507">
        <f t="shared" si="3"/>
        <v>142</v>
      </c>
      <c r="F21" s="507">
        <f t="shared" si="4"/>
        <v>140</v>
      </c>
      <c r="G21" s="508">
        <v>105.0</v>
      </c>
      <c r="H21" s="532">
        <v>35.0</v>
      </c>
      <c r="I21" s="532"/>
      <c r="J21" s="532">
        <v>1.0</v>
      </c>
      <c r="K21" s="532"/>
      <c r="L21" s="532">
        <v>9.0</v>
      </c>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108300</v>
      </c>
      <c r="AT21" s="515">
        <f>IFERROR(__xludf.DUMMYFUNCTION("""COMPUTED_VALUE"""),51082.0)</f>
        <v>51082</v>
      </c>
      <c r="AU21" s="516">
        <f t="shared" si="7"/>
        <v>0.5120766829</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46122</v>
      </c>
      <c r="D22" s="507" t="str">
        <f t="shared" si="2"/>
        <v>金</v>
      </c>
      <c r="E22" s="507">
        <f t="shared" si="3"/>
        <v>142</v>
      </c>
      <c r="F22" s="507">
        <f t="shared" si="4"/>
        <v>138</v>
      </c>
      <c r="G22" s="508">
        <v>119.0</v>
      </c>
      <c r="H22" s="524">
        <v>19.0</v>
      </c>
      <c r="I22" s="524">
        <v>6.0</v>
      </c>
      <c r="J22" s="524"/>
      <c r="K22" s="524"/>
      <c r="L22" s="524">
        <v>10.0</v>
      </c>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121120</v>
      </c>
      <c r="AT22" s="515">
        <f>IFERROR(__xludf.DUMMYFUNCTION("""COMPUTED_VALUE"""),60635.0)</f>
        <v>60635</v>
      </c>
      <c r="AU22" s="516">
        <f t="shared" si="7"/>
        <v>0.5367478927</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46123</v>
      </c>
      <c r="D23" s="507" t="str">
        <f t="shared" si="2"/>
        <v>土</v>
      </c>
      <c r="E23" s="507">
        <f t="shared" si="3"/>
        <v>142</v>
      </c>
      <c r="F23" s="507">
        <f t="shared" si="4"/>
        <v>139</v>
      </c>
      <c r="G23" s="508">
        <v>120.0</v>
      </c>
      <c r="H23" s="532">
        <v>19.0</v>
      </c>
      <c r="I23" s="532">
        <v>2.0</v>
      </c>
      <c r="J23" s="532"/>
      <c r="K23" s="532"/>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121700</v>
      </c>
      <c r="AT23" s="515">
        <f>IFERROR(__xludf.DUMMYFUNCTION("""COMPUTED_VALUE"""),60697.0)</f>
        <v>60697</v>
      </c>
      <c r="AU23" s="516">
        <f t="shared" si="7"/>
        <v>0.5346992996</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IFERROR(__xludf.DUMMYFUNCTION("IMPORTRANGE(AT9,""total!ai2"")"),1045179.0)</f>
        <v>1045179</v>
      </c>
      <c r="BF23" s="550">
        <f>IFERROR(__xludf.DUMMYFUNCTION("IMPORTRANGE(AT9,""total!an2"")"),91894.0)</f>
        <v>91894</v>
      </c>
      <c r="BG23" s="548">
        <f>sum(BE23:BF27)+BE20</f>
        <v>1137073</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46124</v>
      </c>
      <c r="D24" s="507" t="str">
        <f t="shared" si="2"/>
        <v>日</v>
      </c>
      <c r="E24" s="507">
        <f t="shared" si="3"/>
        <v>142</v>
      </c>
      <c r="F24" s="507">
        <f t="shared" si="4"/>
        <v>141</v>
      </c>
      <c r="G24" s="508">
        <v>133.0</v>
      </c>
      <c r="H24" s="524">
        <v>8.0</v>
      </c>
      <c r="I24" s="524"/>
      <c r="J24" s="524">
        <v>8.0</v>
      </c>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131940</v>
      </c>
      <c r="AT24" s="515">
        <f>IFERROR(__xludf.DUMMYFUNCTION("""COMPUTED_VALUE"""),58130.0)</f>
        <v>58130</v>
      </c>
      <c r="AU24" s="516">
        <f t="shared" si="7"/>
        <v>0.4737449201</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46125</v>
      </c>
      <c r="D25" s="507" t="str">
        <f t="shared" si="2"/>
        <v>月</v>
      </c>
      <c r="E25" s="507">
        <f t="shared" si="3"/>
        <v>142</v>
      </c>
      <c r="F25" s="507">
        <f t="shared" si="4"/>
        <v>123</v>
      </c>
      <c r="G25" s="508">
        <v>108.0</v>
      </c>
      <c r="H25" s="532">
        <v>15.0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107340</v>
      </c>
      <c r="AT25" s="515">
        <f>IFERROR(__xludf.DUMMYFUNCTION("""COMPUTED_VALUE"""),52170.0)</f>
        <v>52170</v>
      </c>
      <c r="AU25" s="516">
        <f t="shared" si="7"/>
        <v>0.5267924796</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46126</v>
      </c>
      <c r="D26" s="507" t="str">
        <f t="shared" si="2"/>
        <v>火</v>
      </c>
      <c r="E26" s="507">
        <f t="shared" si="3"/>
        <v>142</v>
      </c>
      <c r="F26" s="507">
        <f t="shared" si="4"/>
        <v>139</v>
      </c>
      <c r="G26" s="508">
        <v>100.0</v>
      </c>
      <c r="H26" s="524">
        <v>39.0</v>
      </c>
      <c r="I26" s="524"/>
      <c r="J26" s="524"/>
      <c r="K26" s="524"/>
      <c r="L26" s="524">
        <v>9.0</v>
      </c>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103700</v>
      </c>
      <c r="AT26" s="515">
        <f>IFERROR(__xludf.DUMMYFUNCTION("""COMPUTED_VALUE"""),48750.0)</f>
        <v>48750</v>
      </c>
      <c r="AU26" s="516">
        <f t="shared" si="7"/>
        <v>0.5123038068</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46127</v>
      </c>
      <c r="D27" s="507" t="str">
        <f t="shared" si="2"/>
        <v>水</v>
      </c>
      <c r="E27" s="507">
        <f t="shared" si="3"/>
        <v>142</v>
      </c>
      <c r="F27" s="507">
        <f t="shared" si="4"/>
        <v>140</v>
      </c>
      <c r="G27" s="508">
        <v>102.0</v>
      </c>
      <c r="H27" s="532">
        <v>38.0</v>
      </c>
      <c r="I27" s="532"/>
      <c r="J27" s="532"/>
      <c r="K27" s="532"/>
      <c r="L27" s="532">
        <v>10.0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105760</v>
      </c>
      <c r="AT27" s="515">
        <f>IFERROR(__xludf.DUMMYFUNCTION("""COMPUTED_VALUE"""),50917.0)</f>
        <v>50917</v>
      </c>
      <c r="AU27" s="516">
        <f t="shared" si="7"/>
        <v>0.5228149089</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46128</v>
      </c>
      <c r="D28" s="507" t="str">
        <f t="shared" si="2"/>
        <v>木</v>
      </c>
      <c r="E28" s="507">
        <f t="shared" si="3"/>
        <v>142</v>
      </c>
      <c r="F28" s="507">
        <f t="shared" si="4"/>
        <v>141</v>
      </c>
      <c r="G28" s="508">
        <v>123.0</v>
      </c>
      <c r="H28" s="524">
        <v>18.0</v>
      </c>
      <c r="I28" s="524">
        <v>9.0</v>
      </c>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123240</v>
      </c>
      <c r="AT28" s="515">
        <f>IFERROR(__xludf.DUMMYFUNCTION("""COMPUTED_VALUE"""),53346.0)</f>
        <v>53346</v>
      </c>
      <c r="AU28" s="516">
        <f t="shared" si="7"/>
        <v>0.4683698861</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46129</v>
      </c>
      <c r="D29" s="507" t="str">
        <f t="shared" si="2"/>
        <v>金</v>
      </c>
      <c r="E29" s="507">
        <f t="shared" si="3"/>
        <v>142</v>
      </c>
      <c r="F29" s="507">
        <f t="shared" si="4"/>
        <v>141</v>
      </c>
      <c r="G29" s="508">
        <v>129.0</v>
      </c>
      <c r="H29" s="532">
        <v>12.0</v>
      </c>
      <c r="I29" s="532">
        <v>7.0</v>
      </c>
      <c r="J29" s="532"/>
      <c r="K29" s="532">
        <v>1.0</v>
      </c>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128570</v>
      </c>
      <c r="AT29" s="515">
        <f>IFERROR(__xludf.DUMMYFUNCTION("""COMPUTED_VALUE"""),62676.0)</f>
        <v>62676</v>
      </c>
      <c r="AU29" s="516">
        <f t="shared" si="7"/>
        <v>0.5215206095</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46130</v>
      </c>
      <c r="D30" s="507" t="str">
        <f t="shared" si="2"/>
        <v>土</v>
      </c>
      <c r="E30" s="507">
        <f t="shared" si="3"/>
        <v>142</v>
      </c>
      <c r="F30" s="507">
        <f t="shared" si="4"/>
        <v>140</v>
      </c>
      <c r="G30" s="508">
        <v>113.0</v>
      </c>
      <c r="H30" s="524">
        <v>27.0</v>
      </c>
      <c r="I30" s="524"/>
      <c r="J30" s="524">
        <v>1.0</v>
      </c>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113540</v>
      </c>
      <c r="AT30" s="515">
        <f>IFERROR(__xludf.DUMMYFUNCTION("""COMPUTED_VALUE"""),57084.0)</f>
        <v>57084</v>
      </c>
      <c r="AU30" s="516">
        <f t="shared" si="7"/>
        <v>0.5413061896</v>
      </c>
      <c r="AV30" s="507">
        <f>countifs('🔵クレーム'!$C:$C,MONTH($D$5)&amp;"月",'🔵クレーム'!$D:$D,day(C30)&amp;"日",'🔵クレーム'!$I:$I,"&lt;&gt;")</f>
        <v>0</v>
      </c>
      <c r="AW30" s="517"/>
      <c r="AX30" s="416"/>
      <c r="AY30" s="560" t="s">
        <v>382</v>
      </c>
      <c r="AZ30" s="550">
        <f>AS46</f>
        <v>2151780</v>
      </c>
      <c r="BA30" s="561" t="s">
        <v>311</v>
      </c>
      <c r="BB30" s="548">
        <f>SUM(AZ30:AZ36)</f>
        <v>2151780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46131</v>
      </c>
      <c r="D31" s="507" t="str">
        <f t="shared" si="2"/>
        <v>日</v>
      </c>
      <c r="E31" s="507">
        <f t="shared" si="3"/>
        <v>142</v>
      </c>
      <c r="F31" s="507">
        <f t="shared" si="4"/>
        <v>142</v>
      </c>
      <c r="G31" s="508">
        <v>130.0</v>
      </c>
      <c r="H31" s="524">
        <v>12.0</v>
      </c>
      <c r="I31" s="532"/>
      <c r="J31" s="532">
        <v>13.0</v>
      </c>
      <c r="K31" s="532">
        <v>1.0</v>
      </c>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130150</v>
      </c>
      <c r="AT31" s="515">
        <f>IFERROR(__xludf.DUMMYFUNCTION("""COMPUTED_VALUE"""),68748.0)</f>
        <v>68748</v>
      </c>
      <c r="AU31" s="516">
        <f t="shared" si="7"/>
        <v>0.5618432944</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46132</v>
      </c>
      <c r="D32" s="507" t="str">
        <f t="shared" si="2"/>
        <v>月</v>
      </c>
      <c r="E32" s="507" t="str">
        <f t="shared" si="3"/>
        <v/>
      </c>
      <c r="F32" s="507" t="str">
        <f t="shared" si="4"/>
        <v/>
      </c>
      <c r="G32" s="508"/>
      <c r="H32" s="524"/>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IFERROR(__xludf.DUMMYFUNCTION("""COMPUTED_VALUE"""),7182.0)</f>
        <v>7182</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46133</v>
      </c>
      <c r="D33" s="507" t="str">
        <f t="shared" si="2"/>
        <v>火</v>
      </c>
      <c r="E33" s="507" t="str">
        <f t="shared" si="3"/>
        <v/>
      </c>
      <c r="F33" s="507" t="str">
        <f t="shared" si="4"/>
        <v/>
      </c>
      <c r="G33" s="508"/>
      <c r="H33" s="524"/>
      <c r="I33" s="532"/>
      <c r="J33" s="532"/>
      <c r="K33" s="513"/>
      <c r="L33" s="513"/>
      <c r="M33" s="532"/>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IFERROR(__xludf.DUMMYFUNCTION("""COMPUTED_VALUE"""),0.0)</f>
        <v>0</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46134</v>
      </c>
      <c r="D34" s="507" t="str">
        <f t="shared" si="2"/>
        <v>水</v>
      </c>
      <c r="E34" s="507" t="str">
        <f t="shared" si="3"/>
        <v/>
      </c>
      <c r="F34" s="507" t="str">
        <f t="shared" si="4"/>
        <v/>
      </c>
      <c r="G34" s="508"/>
      <c r="H34" s="524"/>
      <c r="I34" s="524"/>
      <c r="J34" s="524"/>
      <c r="K34" s="527"/>
      <c r="L34" s="524"/>
      <c r="M34" s="524"/>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IFERROR(__xludf.DUMMYFUNCTION("""COMPUTED_VALUE"""),0.0)</f>
        <v>0</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46135</v>
      </c>
      <c r="D35" s="507" t="str">
        <f t="shared" si="2"/>
        <v>木</v>
      </c>
      <c r="E35" s="507" t="str">
        <f t="shared" si="3"/>
        <v/>
      </c>
      <c r="F35" s="507" t="str">
        <f t="shared" si="4"/>
        <v/>
      </c>
      <c r="G35" s="570"/>
      <c r="H35" s="532"/>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IFERROR(__xludf.DUMMYFUNCTION("""COMPUTED_VALUE"""),0.0)</f>
        <v>0</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46136</v>
      </c>
      <c r="D36" s="507" t="str">
        <f t="shared" si="2"/>
        <v>金</v>
      </c>
      <c r="E36" s="507" t="str">
        <f t="shared" si="3"/>
        <v/>
      </c>
      <c r="F36" s="507" t="str">
        <f t="shared" si="4"/>
        <v/>
      </c>
      <c r="G36" s="570"/>
      <c r="H36" s="524"/>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IFERROR(__xludf.DUMMYFUNCTION("""COMPUTED_VALUE"""),0.0)</f>
        <v>0</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46137</v>
      </c>
      <c r="D37" s="507" t="str">
        <f t="shared" si="2"/>
        <v>土</v>
      </c>
      <c r="E37" s="507" t="str">
        <f t="shared" si="3"/>
        <v/>
      </c>
      <c r="F37" s="507" t="str">
        <f t="shared" si="4"/>
        <v/>
      </c>
      <c r="G37" s="570"/>
      <c r="H37" s="532"/>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IFERROR(__xludf.DUMMYFUNCTION("""COMPUTED_VALUE"""),0.0)</f>
        <v>0</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46138</v>
      </c>
      <c r="D38" s="507" t="str">
        <f t="shared" si="2"/>
        <v>日</v>
      </c>
      <c r="E38" s="507" t="str">
        <f t="shared" si="3"/>
        <v/>
      </c>
      <c r="F38" s="507" t="str">
        <f t="shared" si="4"/>
        <v/>
      </c>
      <c r="G38" s="570"/>
      <c r="H38" s="524"/>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IFERROR(__xludf.DUMMYFUNCTION("""COMPUTED_VALUE"""),0.0)</f>
        <v>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46139</v>
      </c>
      <c r="D39" s="507" t="str">
        <f t="shared" si="2"/>
        <v>月</v>
      </c>
      <c r="E39" s="507" t="str">
        <f t="shared" si="3"/>
        <v/>
      </c>
      <c r="F39" s="507" t="str">
        <f t="shared" si="4"/>
        <v/>
      </c>
      <c r="G39" s="570"/>
      <c r="H39" s="532"/>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IFERROR(__xludf.DUMMYFUNCTION("""COMPUTED_VALUE"""),0.0)</f>
        <v>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46140</v>
      </c>
      <c r="D40" s="507" t="str">
        <f t="shared" si="2"/>
        <v>火</v>
      </c>
      <c r="E40" s="507" t="str">
        <f t="shared" si="3"/>
        <v/>
      </c>
      <c r="F40" s="507" t="str">
        <f t="shared" si="4"/>
        <v/>
      </c>
      <c r="G40" s="570"/>
      <c r="H40" s="524"/>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IFERROR(__xludf.DUMMYFUNCTION("""COMPUTED_VALUE"""),0.0)</f>
        <v>0</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46141</v>
      </c>
      <c r="D41" s="507" t="str">
        <f t="shared" si="2"/>
        <v>水</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46142</v>
      </c>
      <c r="D42" s="507" t="str">
        <f t="shared" si="2"/>
        <v>木</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2698</v>
      </c>
      <c r="F44" s="586">
        <f t="shared" ref="F44:AB44" si="11">SUM(F13:F43)</f>
        <v>2607</v>
      </c>
      <c r="G44" s="586">
        <f t="shared" si="11"/>
        <v>2121</v>
      </c>
      <c r="H44" s="586">
        <f t="shared" si="11"/>
        <v>486</v>
      </c>
      <c r="I44" s="586">
        <f t="shared" si="11"/>
        <v>42</v>
      </c>
      <c r="J44" s="586">
        <f t="shared" si="11"/>
        <v>40</v>
      </c>
      <c r="K44" s="586">
        <f t="shared" si="11"/>
        <v>4</v>
      </c>
      <c r="L44" s="586">
        <f t="shared" si="11"/>
        <v>77</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2151780</v>
      </c>
      <c r="AT44" s="589">
        <f t="shared" si="12"/>
        <v>1045179</v>
      </c>
      <c r="AU44" s="590">
        <f>AVERAGE(AU13:AU43)</f>
        <v>0.5218946734</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2078580</v>
      </c>
      <c r="H46" s="607">
        <f t="shared" si="14"/>
        <v>48600</v>
      </c>
      <c r="I46" s="607">
        <f t="shared" si="14"/>
        <v>4200</v>
      </c>
      <c r="J46" s="607">
        <f t="shared" si="14"/>
        <v>4000</v>
      </c>
      <c r="K46" s="607">
        <f t="shared" si="14"/>
        <v>1000</v>
      </c>
      <c r="L46" s="607">
        <f t="shared" si="14"/>
        <v>15400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2151780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0.7861378799</v>
      </c>
      <c r="H47" s="615">
        <f>H44/$F$44</f>
        <v>0.1864211738</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404</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46113.0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4</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46113</v>
      </c>
      <c r="D9" s="682" t="str">
        <f>TEXT(C9,"ddd")</f>
        <v>水</v>
      </c>
      <c r="E9" s="683"/>
      <c r="F9" s="684" t="s">
        <v>422</v>
      </c>
      <c r="G9" s="685" t="s">
        <v>423</v>
      </c>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263</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424</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261</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267</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270</v>
      </c>
      <c r="W19" s="678"/>
      <c r="X19" s="679">
        <v>46388.0</v>
      </c>
      <c r="Y19" s="623"/>
      <c r="Z19" s="623"/>
    </row>
    <row r="20" outlineLevel="1">
      <c r="A20" s="623"/>
      <c r="B20" s="705"/>
      <c r="C20" s="706">
        <f>IF(C9="","",IF(DAY(C9+1)=1,"",C9+1))</f>
        <v>46114</v>
      </c>
      <c r="D20" s="707" t="str">
        <f>TEXT(C20,"ddd")</f>
        <v>木</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285</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268</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426</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256</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258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427</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273</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719"/>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719"/>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ht="21.0" customHeight="1" outlineLevel="1">
      <c r="A31" s="623"/>
      <c r="B31" s="723"/>
      <c r="C31" s="724">
        <f>IF(C20="","",IF(DAY(C20+1)=1,"",C20+1))</f>
        <v>46115</v>
      </c>
      <c r="D31" s="725" t="str">
        <f>TEXT(C31,"ddd")</f>
        <v>金</v>
      </c>
      <c r="E31" s="726"/>
      <c r="F31" s="727" t="s">
        <v>98</v>
      </c>
      <c r="G31" s="685" t="s">
        <v>428</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t="21.0" customHeight="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t="21.0" customHeight="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t="21.0" customHeight="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t="21.0" customHeight="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t="21.0" customHeight="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t="21.0" customHeight="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t="21.0" customHeight="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t="21.0" customHeight="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t="21.0" customHeight="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46116</v>
      </c>
      <c r="D42" s="707" t="str">
        <f>TEXT(C42,"ddd")</f>
        <v>土</v>
      </c>
      <c r="E42" s="708"/>
      <c r="F42" s="735" t="s">
        <v>422</v>
      </c>
      <c r="G42" s="685" t="s">
        <v>423</v>
      </c>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46117</v>
      </c>
      <c r="D53" s="725" t="str">
        <f>TEXT(C53,"ddd")</f>
        <v>日</v>
      </c>
      <c r="E53" s="726"/>
      <c r="F53" s="727" t="s">
        <v>98</v>
      </c>
      <c r="G53" s="685" t="s">
        <v>429</v>
      </c>
      <c r="H53" s="728"/>
      <c r="I53" s="729">
        <v>0.7083333333333334</v>
      </c>
      <c r="J53" s="728" t="s">
        <v>430</v>
      </c>
      <c r="K53" s="728" t="s">
        <v>431</v>
      </c>
      <c r="L53" s="730"/>
      <c r="M53" s="730"/>
      <c r="N53" s="727" t="s">
        <v>432</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46118</v>
      </c>
      <c r="D65" s="707" t="str">
        <f>TEXT(C65,"ddd")</f>
        <v>月</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46119</v>
      </c>
      <c r="D76" s="725" t="str">
        <f>TEXT(C76,"ddd")</f>
        <v>火</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outlineLevel="1">
      <c r="A87" s="623"/>
      <c r="B87" s="705"/>
      <c r="C87" s="706">
        <f>IF(C76="","",IF(DAY(C76+1)=1,"",C76+1))</f>
        <v>46120</v>
      </c>
      <c r="D87" s="707" t="str">
        <f>TEXT(C87,"ddd")</f>
        <v>水</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t="17.25" customHeight="1" outlineLevel="1">
      <c r="A98" s="623"/>
      <c r="B98" s="723"/>
      <c r="C98" s="724">
        <f>IF(C87="","",IF(DAY(C87+1)=1,"",C87+1))</f>
        <v>46121</v>
      </c>
      <c r="D98" s="725" t="str">
        <f>TEXT(C98,"ddd")</f>
        <v>木</v>
      </c>
      <c r="E98" s="726"/>
      <c r="F98" s="727" t="s">
        <v>98</v>
      </c>
      <c r="G98" s="749" t="s">
        <v>434</v>
      </c>
      <c r="H98" s="728"/>
      <c r="I98" s="729">
        <v>0.6666666666666666</v>
      </c>
      <c r="J98" s="728">
        <v>8.0</v>
      </c>
      <c r="K98" s="728" t="s">
        <v>431</v>
      </c>
      <c r="L98" s="730"/>
      <c r="M98" s="730"/>
      <c r="N98" s="727">
        <v>140.0</v>
      </c>
      <c r="O98" s="731"/>
      <c r="P98" s="732"/>
      <c r="Q98" s="733"/>
      <c r="R98" s="623"/>
      <c r="S98" s="213" t="str">
        <f t="array" ref="S98">IFERROR(INDEX('💻シート作成'!$D$6:$D1001, MATCH(T98, '💻シート作成'!$E$6:$E1001, 0)), "")</f>
        <v/>
      </c>
      <c r="T98" s="168"/>
      <c r="U98" s="626"/>
      <c r="V98" s="719"/>
      <c r="W98" s="623"/>
      <c r="X98" s="718"/>
      <c r="Y98" s="623"/>
      <c r="Z98" s="623"/>
    </row>
    <row r="99" ht="17.25" customHeight="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t="17.25" customHeight="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t="17.25" customHeight="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t="17.25" customHeight="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t="17.25" customHeight="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t="17.25" customHeight="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t="17.25" customHeight="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t="17.25" customHeight="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t="17.25" customHeight="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46122</v>
      </c>
      <c r="D109" s="707" t="str">
        <f>TEXT(C109,"ddd")</f>
        <v>金</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46123</v>
      </c>
      <c r="D121" s="725" t="str">
        <f>TEXT(C121,"ddd")</f>
        <v>土</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t="18.0" customHeight="1" outlineLevel="1">
      <c r="A132" s="623"/>
      <c r="B132" s="705"/>
      <c r="C132" s="706">
        <f>IF(C121="","",IF(DAY(C121+1)=1,"",C121+1))</f>
        <v>46124</v>
      </c>
      <c r="D132" s="707" t="str">
        <f>TEXT(C132,"ddd")</f>
        <v>日</v>
      </c>
      <c r="E132" s="708"/>
      <c r="F132" s="735" t="s">
        <v>422</v>
      </c>
      <c r="G132" s="685" t="s">
        <v>436</v>
      </c>
      <c r="H132" s="736"/>
      <c r="I132" s="737">
        <v>0.7083333333333334</v>
      </c>
      <c r="J132" s="736">
        <v>8.0</v>
      </c>
      <c r="K132" s="736">
        <v>1.0</v>
      </c>
      <c r="L132" s="716"/>
      <c r="M132" s="716"/>
      <c r="N132" s="735">
        <v>110.0</v>
      </c>
      <c r="O132" s="738"/>
      <c r="P132" s="732"/>
      <c r="Q132" s="733"/>
      <c r="R132" s="623"/>
      <c r="S132" s="213" t="str">
        <f t="array" ref="S132">IFERROR(INDEX('💻シート作成'!$D$6:$D1001, MATCH(T132, '💻シート作成'!$E$6:$E1001, 0)), "")</f>
        <v/>
      </c>
      <c r="T132" s="170"/>
      <c r="U132" s="626"/>
      <c r="V132" s="719"/>
      <c r="W132" s="623"/>
      <c r="X132" s="718"/>
      <c r="Y132" s="623"/>
      <c r="Z132" s="623"/>
    </row>
    <row r="133" ht="18.0" customHeight="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t="18.0" customHeight="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t="18.0" customHeight="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t="18.0" customHeight="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t="18.0" customHeight="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t="18.0" customHeight="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t="18.0" customHeight="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t="18.0" customHeight="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t="18.0" customHeight="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t="21.0" customHeight="1" outlineLevel="1">
      <c r="A143" s="623"/>
      <c r="B143" s="723"/>
      <c r="C143" s="724">
        <f>IF(C132="","",IF(DAY(C132+1)=1,"",C132+1))</f>
        <v>46125</v>
      </c>
      <c r="D143" s="725" t="str">
        <f>TEXT(C143,"ddd")</f>
        <v>月</v>
      </c>
      <c r="E143" s="726"/>
      <c r="F143" s="727" t="s">
        <v>98</v>
      </c>
      <c r="G143" s="685" t="s">
        <v>437</v>
      </c>
      <c r="H143" s="728"/>
      <c r="I143" s="729">
        <v>0.0</v>
      </c>
      <c r="J143" s="728">
        <v>7.0</v>
      </c>
      <c r="K143" s="728">
        <v>1.0</v>
      </c>
      <c r="L143" s="730"/>
      <c r="M143" s="730"/>
      <c r="N143" s="727">
        <v>140.0</v>
      </c>
      <c r="O143" s="731"/>
      <c r="P143" s="732"/>
      <c r="Q143" s="733"/>
      <c r="R143" s="623"/>
      <c r="S143" s="213" t="str">
        <f t="array" ref="S143">IFERROR(INDEX('💻シート作成'!$D$6:$D1001, MATCH(T143, '💻シート作成'!$E$6:$E1001, 0)), "")</f>
        <v/>
      </c>
      <c r="T143" s="170"/>
      <c r="U143" s="626"/>
      <c r="V143" s="719"/>
      <c r="W143" s="623"/>
      <c r="X143" s="718"/>
      <c r="Y143" s="623"/>
      <c r="Z143" s="623"/>
    </row>
    <row r="144" ht="21.0" customHeight="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t="21.0" customHeight="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t="21.0" customHeight="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t="21.0" customHeight="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t="21.0" customHeight="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t="21.0" customHeight="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t="21.0" customHeight="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t="21.0" customHeight="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t="21.0" customHeight="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46126</v>
      </c>
      <c r="D154" s="707" t="str">
        <f>TEXT(C154,"ddd")</f>
        <v>火</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46127</v>
      </c>
      <c r="D165" s="725" t="str">
        <f>TEXT(C165,"ddd")</f>
        <v>水</v>
      </c>
      <c r="E165" s="726"/>
      <c r="F165" s="727" t="s">
        <v>422</v>
      </c>
      <c r="G165" s="685" t="s">
        <v>423</v>
      </c>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46128</v>
      </c>
      <c r="D177" s="707" t="str">
        <f>TEXT(C177,"ddd")</f>
        <v>木</v>
      </c>
      <c r="E177" s="708"/>
      <c r="F177" s="735" t="s">
        <v>422</v>
      </c>
      <c r="G177" s="685" t="s">
        <v>423</v>
      </c>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46129</v>
      </c>
      <c r="D188" s="725" t="str">
        <f>TEXT(C188,"ddd")</f>
        <v>金</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46130</v>
      </c>
      <c r="D199" s="707" t="str">
        <f>TEXT(C199,"ddd")</f>
        <v>土</v>
      </c>
      <c r="E199" s="708"/>
      <c r="F199" s="735" t="s">
        <v>422</v>
      </c>
      <c r="G199" s="685" t="s">
        <v>439</v>
      </c>
      <c r="H199" s="736"/>
      <c r="I199" s="737">
        <v>0.7083333333333334</v>
      </c>
      <c r="J199" s="736">
        <v>7.0</v>
      </c>
      <c r="K199" s="736">
        <v>1.0</v>
      </c>
      <c r="L199" s="716"/>
      <c r="M199" s="716"/>
      <c r="N199" s="735">
        <v>125.0</v>
      </c>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46131</v>
      </c>
      <c r="D210" s="725" t="str">
        <f>TEXT(C210,"ddd")</f>
        <v>日</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46132</v>
      </c>
      <c r="D221" s="707" t="str">
        <f>TEXT(C221,"ddd")</f>
        <v>月</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46133</v>
      </c>
      <c r="D233" s="725" t="str">
        <f>TEXT(C233,"ddd")</f>
        <v>火</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46134</v>
      </c>
      <c r="D244" s="707" t="str">
        <f>TEXT(C244,"ddd")</f>
        <v>水</v>
      </c>
      <c r="E244" s="708"/>
      <c r="F244" s="735" t="s">
        <v>422</v>
      </c>
      <c r="G244" s="685" t="s">
        <v>423</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46135</v>
      </c>
      <c r="D255" s="725" t="str">
        <f>TEXT(C255,"ddd")</f>
        <v>木</v>
      </c>
      <c r="E255" s="726"/>
      <c r="F255" s="727" t="s">
        <v>422</v>
      </c>
      <c r="G255" s="685" t="s">
        <v>423</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46136</v>
      </c>
      <c r="D266" s="707" t="str">
        <f>TEXT(C266,"ddd")</f>
        <v>金</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46137</v>
      </c>
      <c r="D277" s="725" t="str">
        <f>TEXT(C277,"ddd")</f>
        <v>土</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46138</v>
      </c>
      <c r="D289" s="707" t="str">
        <f>TEXT(C289,"ddd")</f>
        <v>日</v>
      </c>
      <c r="E289" s="708"/>
      <c r="F289" s="735" t="s">
        <v>422</v>
      </c>
      <c r="G289" s="685" t="s">
        <v>423</v>
      </c>
      <c r="H289" s="736"/>
      <c r="I289" s="737">
        <v>0.0</v>
      </c>
      <c r="J289" s="707"/>
      <c r="K289" s="707"/>
      <c r="L289" s="716"/>
      <c r="M289" s="716"/>
      <c r="N289" s="735"/>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46139</v>
      </c>
      <c r="D300" s="725" t="str">
        <f>TEXT(C300,"ddd")</f>
        <v>月</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46140</v>
      </c>
      <c r="D311" s="707" t="str">
        <f>TEXT(C311,"ddd")</f>
        <v>火</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46141</v>
      </c>
      <c r="D322" s="725" t="str">
        <f>TEXT(C322,"ddd")</f>
        <v>水</v>
      </c>
      <c r="E322" s="726"/>
      <c r="F322" s="727" t="s">
        <v>422</v>
      </c>
      <c r="G322" s="685" t="s">
        <v>423</v>
      </c>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46142</v>
      </c>
      <c r="D333" s="707" t="str">
        <f>TEXT(C333,"ddd")</f>
        <v>木</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54</v>
      </c>
      <c r="C5" s="770" t="s">
        <v>83</v>
      </c>
      <c r="D5" s="771"/>
      <c r="E5" s="772" t="b">
        <v>0</v>
      </c>
      <c r="F5" s="770" t="s">
        <v>445</v>
      </c>
      <c r="G5" s="773"/>
      <c r="H5" s="774" t="b">
        <v>0</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"),"①R8_4集計")</f>
        <v>①R8_4集計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0.3088757102</v>
      </c>
      <c r="D10" s="794">
        <f t="array" ref="D10">INDIRECT($E$8 &amp; "!E8")</f>
        <v>0.5284336689</v>
      </c>
      <c r="E10" s="794">
        <f t="array" ref="E10">INDIRECT($E$8 &amp; "!G8")</f>
        <v>0.7861378799</v>
      </c>
      <c r="F10" s="795">
        <f t="array" ref="F10">INDIRECT($E$8 &amp; "!H8")</f>
        <v>2151780</v>
      </c>
      <c r="G10" s="795">
        <f t="array" ref="G10">INDIRECT($E$8 &amp; "!K8")</f>
        <v>0</v>
      </c>
      <c r="H10" s="795">
        <f t="array" ref="H10">INDIRECT($E$8 &amp; "!M8")</f>
        <v>664632.5758</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0.2956260382</v>
      </c>
      <c r="D11" s="798"/>
      <c r="E11" s="799"/>
      <c r="F11" s="800">
        <f t="array" ref="F11">INDIRECT($E$8 &amp; "!H7")</f>
        <v>3329190</v>
      </c>
      <c r="G11" s="798"/>
      <c r="H11" s="801">
        <f t="array" ref="H11">INDIRECT($E$8 &amp; "!M7")</f>
        <v>984195.25</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2954380</v>
      </c>
      <c r="D1" s="406">
        <f>AZ20</f>
        <v>462514.5455</v>
      </c>
      <c r="E1" s="406">
        <f>BG23</f>
        <v>1625675</v>
      </c>
      <c r="F1" s="406">
        <f>BB23+BG40</f>
        <v>0</v>
      </c>
      <c r="G1" s="406">
        <f t="shared" ref="G1:H1" si="1">I8</f>
        <v>69701.93182</v>
      </c>
      <c r="H1" s="406">
        <f t="shared" si="1"/>
        <v>0</v>
      </c>
      <c r="I1" s="407">
        <f>G8</f>
        <v>0.6646978646</v>
      </c>
      <c r="J1" s="407">
        <f>AT7</f>
        <v>0</v>
      </c>
      <c r="K1" s="408">
        <f>AV44</f>
        <v>0</v>
      </c>
      <c r="L1" s="409">
        <f>F44</f>
        <v>3582</v>
      </c>
      <c r="M1" s="410" t="str">
        <f>if(C7&lt;C8,"達成","未達成")</f>
        <v>未達成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46082.0</v>
      </c>
      <c r="E5" s="71"/>
      <c r="F5" s="423" t="s">
        <v>294</v>
      </c>
      <c r="G5" s="424">
        <f>DAY(EOMONTH(D5,0))</f>
        <v>31</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0.2706023691</v>
      </c>
      <c r="D7" s="71"/>
      <c r="E7" s="447">
        <f>AU12</f>
        <v>0.5010216479</v>
      </c>
      <c r="F7" s="71"/>
      <c r="G7" s="448" t="s">
        <v>311</v>
      </c>
      <c r="H7" s="449">
        <f t="array" ref="H7">xlookup($D$5,'🌟目標数値'!$A$3:$A$14,'🌟目標数値'!D$3:D14)</f>
        <v>2900918</v>
      </c>
      <c r="I7" s="449" t="s">
        <v>311</v>
      </c>
      <c r="J7" s="450" t="s">
        <v>311</v>
      </c>
      <c r="K7" s="451" t="s">
        <v>311</v>
      </c>
      <c r="L7" s="451" t="s">
        <v>311</v>
      </c>
      <c r="M7" s="452">
        <f t="array" ref="M7">xlookup($D$5,'🌟目標数値'!$A$3:$A$14,'🌟目標数値'!E$3:E14)</f>
        <v>784995.2833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IFERROR(__xludf.DUMMYFUNCTION("IMPORTRANGE(AT9,""日別集計!AI4"")"),22.0)</f>
        <v>22</v>
      </c>
      <c r="AW7" s="71"/>
      <c r="AX7" s="440"/>
      <c r="AY7" s="455" t="s">
        <v>488</v>
      </c>
      <c r="BG7" s="456"/>
      <c r="BL7" s="444"/>
    </row>
    <row r="8" ht="15.75" customHeight="1" outlineLevel="1">
      <c r="B8" s="457" t="s">
        <v>313</v>
      </c>
      <c r="C8" s="458">
        <f>M8/H8</f>
        <v>0.2695958281</v>
      </c>
      <c r="D8" s="71"/>
      <c r="E8" s="459">
        <f>(BB23+BG23-BE24)/H8</f>
        <v>0.5502592761</v>
      </c>
      <c r="F8" s="71"/>
      <c r="G8" s="460">
        <f>G47</f>
        <v>0.6646978646</v>
      </c>
      <c r="H8" s="461">
        <f>BB30</f>
        <v>2954380</v>
      </c>
      <c r="I8" s="462">
        <f>IFERROR(__xludf.DUMMYFUNCTION("IMPORTRANGE(""https://docs.google.com/spreadsheets/d/1QbHfX9wvC_RRupa4CCe_ZxA6O4e2Ap9vqX5hrZPeQRg/edit"",""date2_1!Q18"")/G5*COUNTIFS($E$13:$E$43,""&gt;0"")"),69701.93181818182)</f>
        <v>69701.93182</v>
      </c>
      <c r="J8" s="463">
        <f>IFERROR(__xludf.DUMMYFUNCTION("IMPORTRANGE(""https://docs.google.com/spreadsheets/d/1PIAlDmsTatDNi42y_Nu-aVFqvVCXfe6jiDJFQImKjZ0/edit#gid=630612029"",""R8_3!J18"")"),0.0)</f>
        <v>0</v>
      </c>
      <c r="K8" s="464">
        <f>BE24</f>
        <v>0</v>
      </c>
      <c r="L8" s="464">
        <f>BB30-BB23-AZ20-BG45-BG23+BE24</f>
        <v>866190.4545</v>
      </c>
      <c r="M8" s="465">
        <f>L8-I8</f>
        <v>796488.5227</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3月分アルバイト給料スプレットシート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2713762</v>
      </c>
      <c r="I9" s="475" t="s">
        <v>311</v>
      </c>
      <c r="J9" s="476" t="s">
        <v>311</v>
      </c>
      <c r="K9" s="477" t="s">
        <v>311</v>
      </c>
      <c r="L9" s="477" t="s">
        <v>311</v>
      </c>
      <c r="M9" s="478">
        <f>M7/G5*COUNTIFS($E$11:$E$41,"&gt;0")</f>
        <v>734350.4263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"""")"),"R803_コンフォートホテル成田_アルバイト給料")</f>
        <v>R803_コンフォートホテル成田_アルバイト給料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46082</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0.5010216479</v>
      </c>
      <c r="AV12" s="499"/>
      <c r="AW12" s="499"/>
      <c r="AX12" s="416"/>
      <c r="AY12" s="504" t="s">
        <v>364</v>
      </c>
      <c r="BI12" s="207"/>
      <c r="BJ12" s="207"/>
      <c r="BL12" s="207"/>
      <c r="BM12" s="207"/>
    </row>
    <row r="13" ht="15.75" customHeight="1">
      <c r="A13" s="416"/>
      <c r="B13" s="505" t="b">
        <v>0</v>
      </c>
      <c r="C13" s="506">
        <f>D5</f>
        <v>46082</v>
      </c>
      <c r="D13" s="507" t="str">
        <f t="shared" ref="D13:D43" si="2">TEXT(C13,"ddd")</f>
        <v>日</v>
      </c>
      <c r="E13" s="507">
        <f t="shared" ref="E13:E43" si="3">if(F13="","",142)</f>
        <v>142</v>
      </c>
      <c r="F13" s="507">
        <f t="shared" ref="F13:F43" si="4">if(G13="","",sum(G13,H13))</f>
        <v>98</v>
      </c>
      <c r="G13" s="508">
        <v>82.0</v>
      </c>
      <c r="H13" s="509">
        <v>16.0</v>
      </c>
      <c r="I13" s="509">
        <v>2.0</v>
      </c>
      <c r="J13" s="509">
        <v>1.0</v>
      </c>
      <c r="K13" s="509"/>
      <c r="L13" s="509">
        <v>11.0</v>
      </c>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84460</v>
      </c>
      <c r="AT13" s="515">
        <f>IFERROR(__xludf.DUMMYFUNCTION("FLATTEN('⚙️抽出用'!B4:AF4)"),43970.0)</f>
        <v>43970</v>
      </c>
      <c r="AU13" s="516">
        <f t="shared" ref="AU13:AU43" si="7">if(E13="","",iferror((AT13+AR13+$BF$23/if(month($D$5)=month(today()),day(today()),$G$5))/(AS13+(sum($BA$31:$BA$32)/$G$5)),""))</f>
        <v>0.5683071964</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46083</v>
      </c>
      <c r="D14" s="507" t="str">
        <f t="shared" si="2"/>
        <v>月</v>
      </c>
      <c r="E14" s="507">
        <f t="shared" si="3"/>
        <v>142</v>
      </c>
      <c r="F14" s="507">
        <f t="shared" si="4"/>
        <v>102</v>
      </c>
      <c r="G14" s="508">
        <v>81.0</v>
      </c>
      <c r="H14" s="524">
        <v>21.0</v>
      </c>
      <c r="I14" s="524"/>
      <c r="J14" s="524">
        <v>2.0</v>
      </c>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81680</v>
      </c>
      <c r="AT14" s="515">
        <f>IFERROR(__xludf.DUMMYFUNCTION("""COMPUTED_VALUE"""),40663.0)</f>
        <v>40663</v>
      </c>
      <c r="AU14" s="516">
        <f t="shared" si="7"/>
        <v>0.5471624119</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46084</v>
      </c>
      <c r="D15" s="507" t="str">
        <f t="shared" si="2"/>
        <v>火</v>
      </c>
      <c r="E15" s="507">
        <f t="shared" si="3"/>
        <v>142</v>
      </c>
      <c r="F15" s="507">
        <f t="shared" si="4"/>
        <v>99</v>
      </c>
      <c r="G15" s="508">
        <v>74.0</v>
      </c>
      <c r="H15" s="532">
        <v>25.0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75020</v>
      </c>
      <c r="AT15" s="515">
        <f>IFERROR(__xludf.DUMMYFUNCTION("""COMPUTED_VALUE"""),38993.0)</f>
        <v>38993</v>
      </c>
      <c r="AU15" s="516">
        <f t="shared" si="7"/>
        <v>0.5734767503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46085</v>
      </c>
      <c r="D16" s="507" t="str">
        <f t="shared" si="2"/>
        <v>水</v>
      </c>
      <c r="E16" s="507">
        <f t="shared" si="3"/>
        <v>142</v>
      </c>
      <c r="F16" s="507">
        <f t="shared" si="4"/>
        <v>119</v>
      </c>
      <c r="G16" s="508">
        <v>96.0</v>
      </c>
      <c r="H16" s="524">
        <v>23.0</v>
      </c>
      <c r="I16" s="524"/>
      <c r="J16" s="524"/>
      <c r="K16" s="524"/>
      <c r="L16" s="524">
        <v>9.0</v>
      </c>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98180</v>
      </c>
      <c r="AT16" s="515">
        <f>IFERROR(__xludf.DUMMYFUNCTION("""COMPUTED_VALUE"""),45739.0)</f>
        <v>45739</v>
      </c>
      <c r="AU16" s="516">
        <f t="shared" si="7"/>
        <v>0.5069079834</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46086</v>
      </c>
      <c r="D17" s="507" t="str">
        <f t="shared" si="2"/>
        <v>木</v>
      </c>
      <c r="E17" s="507">
        <f t="shared" si="3"/>
        <v>142</v>
      </c>
      <c r="F17" s="507">
        <f t="shared" si="4"/>
        <v>103</v>
      </c>
      <c r="G17" s="508">
        <v>84.0</v>
      </c>
      <c r="H17" s="532">
        <v>19.0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84220</v>
      </c>
      <c r="AT17" s="515">
        <f>IFERROR(__xludf.DUMMYFUNCTION("""COMPUTED_VALUE"""),42039.0)</f>
        <v>42039</v>
      </c>
      <c r="AU17" s="516">
        <f t="shared" si="7"/>
        <v>0.5469986441</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46087</v>
      </c>
      <c r="D18" s="507" t="str">
        <f t="shared" si="2"/>
        <v>金</v>
      </c>
      <c r="E18" s="507">
        <f t="shared" si="3"/>
        <v>142</v>
      </c>
      <c r="F18" s="507">
        <f t="shared" si="4"/>
        <v>130</v>
      </c>
      <c r="G18" s="508">
        <v>114.0</v>
      </c>
      <c r="H18" s="524">
        <v>16.0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113320</v>
      </c>
      <c r="AT18" s="515">
        <f>IFERROR(__xludf.DUMMYFUNCTION("""COMPUTED_VALUE"""),58124.0)</f>
        <v>58124</v>
      </c>
      <c r="AU18" s="516">
        <f t="shared" si="7"/>
        <v>0.5484753425</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46088</v>
      </c>
      <c r="D19" s="507" t="str">
        <f t="shared" si="2"/>
        <v>土</v>
      </c>
      <c r="E19" s="507">
        <f t="shared" si="3"/>
        <v>142</v>
      </c>
      <c r="F19" s="507">
        <f t="shared" si="4"/>
        <v>103</v>
      </c>
      <c r="G19" s="508">
        <v>83.0</v>
      </c>
      <c r="H19" s="532">
        <v>20.0</v>
      </c>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83340</v>
      </c>
      <c r="AT19" s="515">
        <f>IFERROR(__xludf.DUMMYFUNCTION("""COMPUTED_VALUE"""),40391.0)</f>
        <v>40391</v>
      </c>
      <c r="AU19" s="516">
        <f t="shared" si="7"/>
        <v>0.5330000697</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46089</v>
      </c>
      <c r="D20" s="507" t="str">
        <f t="shared" si="2"/>
        <v>日</v>
      </c>
      <c r="E20" s="507">
        <f t="shared" si="3"/>
        <v>142</v>
      </c>
      <c r="F20" s="507">
        <f t="shared" si="4"/>
        <v>131</v>
      </c>
      <c r="G20" s="508">
        <v>115.0</v>
      </c>
      <c r="H20" s="524">
        <v>16.0</v>
      </c>
      <c r="I20" s="524"/>
      <c r="J20" s="524"/>
      <c r="K20" s="524"/>
      <c r="L20" s="524">
        <v>11.0</v>
      </c>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116500</v>
      </c>
      <c r="AT20" s="515">
        <f>IFERROR(__xludf.DUMMYFUNCTION("""COMPUTED_VALUE"""),62620.0)</f>
        <v>62620</v>
      </c>
      <c r="AU20" s="516">
        <f t="shared" si="7"/>
        <v>0.5720963589</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IFERROR(__xludf.DUMMYFUNCTION("IMPORTRANGE(""https://docs.google.com/spreadsheets/d/1QbHfX9wvC_RRupa4CCe_ZxA6O4e2Ap9vqX5hrZPeQRg/edit?gid=284905409#gid=284905409"",""date2_1!C18"")/G5*COUNTIFS($E$13:$E$43,""&gt;0"")+sum(AZ14:BA19)"),462514.54545454547)</f>
        <v>462514.5455</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46090</v>
      </c>
      <c r="D21" s="507" t="str">
        <f t="shared" si="2"/>
        <v>月</v>
      </c>
      <c r="E21" s="507">
        <f t="shared" si="3"/>
        <v>142</v>
      </c>
      <c r="F21" s="507">
        <f t="shared" si="4"/>
        <v>92</v>
      </c>
      <c r="G21" s="508">
        <v>80.0</v>
      </c>
      <c r="H21" s="532">
        <v>12.0</v>
      </c>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79600</v>
      </c>
      <c r="AT21" s="515">
        <f>IFERROR(__xludf.DUMMYFUNCTION("""COMPUTED_VALUE"""),41579.0)</f>
        <v>41579</v>
      </c>
      <c r="AU21" s="516">
        <f t="shared" si="7"/>
        <v>0.5729676609</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46091</v>
      </c>
      <c r="D22" s="507" t="str">
        <f t="shared" si="2"/>
        <v>火</v>
      </c>
      <c r="E22" s="507">
        <f t="shared" si="3"/>
        <v>142</v>
      </c>
      <c r="F22" s="507">
        <f t="shared" si="4"/>
        <v>105</v>
      </c>
      <c r="G22" s="508">
        <v>80.0</v>
      </c>
      <c r="H22" s="524">
        <v>25.0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80900</v>
      </c>
      <c r="AT22" s="515">
        <f>IFERROR(__xludf.DUMMYFUNCTION("""COMPUTED_VALUE"""),41142.0)</f>
        <v>41142</v>
      </c>
      <c r="AU22" s="516">
        <f t="shared" si="7"/>
        <v>0.5583587862</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46092</v>
      </c>
      <c r="D23" s="507" t="str">
        <f t="shared" si="2"/>
        <v>水</v>
      </c>
      <c r="E23" s="507">
        <f t="shared" si="3"/>
        <v>142</v>
      </c>
      <c r="F23" s="507">
        <f t="shared" si="4"/>
        <v>127</v>
      </c>
      <c r="G23" s="508">
        <v>104.0</v>
      </c>
      <c r="H23" s="532">
        <v>23.0</v>
      </c>
      <c r="I23" s="532"/>
      <c r="J23" s="532"/>
      <c r="K23" s="532">
        <v>1.0</v>
      </c>
      <c r="L23" s="532">
        <v>10.0</v>
      </c>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106470</v>
      </c>
      <c r="AT23" s="515">
        <f>IFERROR(__xludf.DUMMYFUNCTION("""COMPUTED_VALUE"""),51377.0)</f>
        <v>51377</v>
      </c>
      <c r="AU23" s="516">
        <f t="shared" si="7"/>
        <v>0.5203928412</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IFERROR(__xludf.DUMMYFUNCTION("IMPORTRANGE(AT9,""total!ai2"")"),1500769.0)</f>
        <v>1500769</v>
      </c>
      <c r="BF23" s="550">
        <f>IFERROR(__xludf.DUMMYFUNCTION("IMPORTRANGE(AT9,""total!an2"")"),124906.0)</f>
        <v>124906</v>
      </c>
      <c r="BG23" s="548">
        <f>sum(BE23:BF27)+BE20</f>
        <v>1625675</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46093</v>
      </c>
      <c r="D24" s="507" t="str">
        <f t="shared" si="2"/>
        <v>木</v>
      </c>
      <c r="E24" s="507">
        <f t="shared" si="3"/>
        <v>142</v>
      </c>
      <c r="F24" s="507">
        <f t="shared" si="4"/>
        <v>102</v>
      </c>
      <c r="G24" s="508">
        <v>84.0</v>
      </c>
      <c r="H24" s="524">
        <v>18.0</v>
      </c>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84120</v>
      </c>
      <c r="AT24" s="515">
        <f>IFERROR(__xludf.DUMMYFUNCTION("""COMPUTED_VALUE"""),41926.0)</f>
        <v>41926</v>
      </c>
      <c r="AU24" s="516">
        <f t="shared" si="7"/>
        <v>0.546305585</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IFERROR(__xludf.DUMMYFUNCTION("IMPORTRANGE(AT9,""total!as2"")"),0.0)</f>
        <v>0</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46094</v>
      </c>
      <c r="D25" s="507" t="str">
        <f t="shared" si="2"/>
        <v>金</v>
      </c>
      <c r="E25" s="507">
        <f t="shared" si="3"/>
        <v>142</v>
      </c>
      <c r="F25" s="507">
        <f t="shared" si="4"/>
        <v>116</v>
      </c>
      <c r="G25" s="508">
        <v>96.0</v>
      </c>
      <c r="H25" s="532">
        <v>20.0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96080</v>
      </c>
      <c r="AT25" s="515">
        <f>IFERROR(__xludf.DUMMYFUNCTION("""COMPUTED_VALUE"""),48335.0)</f>
        <v>48335</v>
      </c>
      <c r="AU25" s="516">
        <f t="shared" si="7"/>
        <v>0.5450065134</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46095</v>
      </c>
      <c r="D26" s="507" t="str">
        <f t="shared" si="2"/>
        <v>土</v>
      </c>
      <c r="E26" s="507">
        <f t="shared" si="3"/>
        <v>142</v>
      </c>
      <c r="F26" s="507">
        <f t="shared" si="4"/>
        <v>125</v>
      </c>
      <c r="G26" s="508">
        <v>104.0</v>
      </c>
      <c r="H26" s="524">
        <v>21.0</v>
      </c>
      <c r="I26" s="524"/>
      <c r="J26" s="524"/>
      <c r="K26" s="524">
        <v>1.0</v>
      </c>
      <c r="L26" s="524">
        <v>7.0</v>
      </c>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105670</v>
      </c>
      <c r="AT26" s="515">
        <f>IFERROR(__xludf.DUMMYFUNCTION("""COMPUTED_VALUE"""),54493.0)</f>
        <v>54493</v>
      </c>
      <c r="AU26" s="516">
        <f t="shared" si="7"/>
        <v>0.5538206284</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46096</v>
      </c>
      <c r="D27" s="507" t="str">
        <f t="shared" si="2"/>
        <v>日</v>
      </c>
      <c r="E27" s="507">
        <f t="shared" si="3"/>
        <v>142</v>
      </c>
      <c r="F27" s="507">
        <f t="shared" si="4"/>
        <v>134</v>
      </c>
      <c r="G27" s="508">
        <v>125.0</v>
      </c>
      <c r="H27" s="532">
        <v>9.0</v>
      </c>
      <c r="I27" s="532"/>
      <c r="J27" s="532"/>
      <c r="K27" s="532"/>
      <c r="L27" s="532">
        <v>6.0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124600</v>
      </c>
      <c r="AT27" s="515">
        <f>IFERROR(__xludf.DUMMYFUNCTION("""COMPUTED_VALUE"""),68165.0)</f>
        <v>68165</v>
      </c>
      <c r="AU27" s="516">
        <f t="shared" si="7"/>
        <v>0.5794079118</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46097</v>
      </c>
      <c r="D28" s="507" t="str">
        <f t="shared" si="2"/>
        <v>月</v>
      </c>
      <c r="E28" s="507">
        <f t="shared" si="3"/>
        <v>142</v>
      </c>
      <c r="F28" s="507">
        <f t="shared" si="4"/>
        <v>100</v>
      </c>
      <c r="G28" s="508">
        <v>72.0</v>
      </c>
      <c r="H28" s="524">
        <v>28.0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73360</v>
      </c>
      <c r="AT28" s="515">
        <f>IFERROR(__xludf.DUMMYFUNCTION("""COMPUTED_VALUE"""),35431.0)</f>
        <v>35431</v>
      </c>
      <c r="AU28" s="516">
        <f t="shared" si="7"/>
        <v>0.5378983889</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46098</v>
      </c>
      <c r="D29" s="507" t="str">
        <f t="shared" si="2"/>
        <v>火</v>
      </c>
      <c r="E29" s="507">
        <f t="shared" si="3"/>
        <v>142</v>
      </c>
      <c r="F29" s="507">
        <f t="shared" si="4"/>
        <v>124</v>
      </c>
      <c r="G29" s="508">
        <v>97.0</v>
      </c>
      <c r="H29" s="532">
        <v>27.0</v>
      </c>
      <c r="I29" s="532"/>
      <c r="J29" s="532"/>
      <c r="K29" s="532">
        <v>1.0</v>
      </c>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98010</v>
      </c>
      <c r="AT29" s="515">
        <f>IFERROR(__xludf.DUMMYFUNCTION("""COMPUTED_VALUE"""),49321.0)</f>
        <v>49321</v>
      </c>
      <c r="AU29" s="516">
        <f t="shared" si="7"/>
        <v>0.5443345149</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46099</v>
      </c>
      <c r="D30" s="507" t="str">
        <f t="shared" si="2"/>
        <v>水</v>
      </c>
      <c r="E30" s="507">
        <f t="shared" si="3"/>
        <v>142</v>
      </c>
      <c r="F30" s="507">
        <f t="shared" si="4"/>
        <v>134</v>
      </c>
      <c r="G30" s="508">
        <v>112.0</v>
      </c>
      <c r="H30" s="524">
        <v>22.0</v>
      </c>
      <c r="I30" s="524"/>
      <c r="J30" s="524"/>
      <c r="K30" s="524">
        <v>1.0</v>
      </c>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112210</v>
      </c>
      <c r="AT30" s="515">
        <f>IFERROR(__xludf.DUMMYFUNCTION("""COMPUTED_VALUE"""),57610.0)</f>
        <v>57610</v>
      </c>
      <c r="AU30" s="516">
        <f t="shared" si="7"/>
        <v>0.5493202549</v>
      </c>
      <c r="AV30" s="507">
        <f>countifs('🔵クレーム'!$C:$C,MONTH($D$5)&amp;"月",'🔵クレーム'!$D:$D,day(C30)&amp;"日",'🔵クレーム'!$I:$I,"&lt;&gt;")</f>
        <v>0</v>
      </c>
      <c r="AW30" s="517"/>
      <c r="AX30" s="416"/>
      <c r="AY30" s="560" t="s">
        <v>382</v>
      </c>
      <c r="AZ30" s="550">
        <f>AS46</f>
        <v>2954380</v>
      </c>
      <c r="BA30" s="561" t="s">
        <v>311</v>
      </c>
      <c r="BB30" s="548">
        <f>SUM(AZ30:AZ36)</f>
        <v>2954380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46100</v>
      </c>
      <c r="D31" s="507" t="str">
        <f t="shared" si="2"/>
        <v>木</v>
      </c>
      <c r="E31" s="507">
        <f t="shared" si="3"/>
        <v>142</v>
      </c>
      <c r="F31" s="507">
        <f t="shared" si="4"/>
        <v>120</v>
      </c>
      <c r="G31" s="508">
        <v>102.0</v>
      </c>
      <c r="H31" s="524">
        <v>18.0</v>
      </c>
      <c r="I31" s="532"/>
      <c r="J31" s="532"/>
      <c r="K31" s="532"/>
      <c r="L31" s="532">
        <v>6.0</v>
      </c>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102960</v>
      </c>
      <c r="AT31" s="515">
        <f>IFERROR(__xludf.DUMMYFUNCTION("""COMPUTED_VALUE"""),48312.0)</f>
        <v>48312</v>
      </c>
      <c r="AU31" s="516">
        <f t="shared" si="7"/>
        <v>0.508364664</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46101</v>
      </c>
      <c r="D32" s="507" t="str">
        <f t="shared" si="2"/>
        <v>金</v>
      </c>
      <c r="E32" s="507">
        <f t="shared" si="3"/>
        <v>142</v>
      </c>
      <c r="F32" s="507">
        <f t="shared" si="4"/>
        <v>98</v>
      </c>
      <c r="G32" s="508">
        <v>79.0</v>
      </c>
      <c r="H32" s="524">
        <v>19.0</v>
      </c>
      <c r="I32" s="524"/>
      <c r="J32" s="524"/>
      <c r="K32" s="527"/>
      <c r="L32" s="524"/>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79320</v>
      </c>
      <c r="AT32" s="515">
        <f>IFERROR(__xludf.DUMMYFUNCTION("""COMPUTED_VALUE"""),38713.0)</f>
        <v>38713</v>
      </c>
      <c r="AU32" s="516">
        <f t="shared" si="7"/>
        <v>0.5388581166</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46102</v>
      </c>
      <c r="D33" s="507" t="str">
        <f t="shared" si="2"/>
        <v>土</v>
      </c>
      <c r="E33" s="507">
        <f t="shared" si="3"/>
        <v>142</v>
      </c>
      <c r="F33" s="507">
        <f t="shared" si="4"/>
        <v>139</v>
      </c>
      <c r="G33" s="508">
        <v>104.0</v>
      </c>
      <c r="H33" s="524">
        <v>35.0</v>
      </c>
      <c r="I33" s="532"/>
      <c r="J33" s="532"/>
      <c r="K33" s="513"/>
      <c r="L33" s="513"/>
      <c r="M33" s="532">
        <v>1.0</v>
      </c>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105720</v>
      </c>
      <c r="AT33" s="515">
        <f>IFERROR(__xludf.DUMMYFUNCTION("""COMPUTED_VALUE"""),52061.0)</f>
        <v>52061</v>
      </c>
      <c r="AU33" s="516">
        <f t="shared" si="7"/>
        <v>0.5305545385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46103</v>
      </c>
      <c r="D34" s="507" t="str">
        <f t="shared" si="2"/>
        <v>日</v>
      </c>
      <c r="E34" s="507">
        <f t="shared" si="3"/>
        <v>142</v>
      </c>
      <c r="F34" s="507">
        <f t="shared" si="4"/>
        <v>113</v>
      </c>
      <c r="G34" s="508">
        <v>99.0</v>
      </c>
      <c r="H34" s="524">
        <v>14.0</v>
      </c>
      <c r="I34" s="524"/>
      <c r="J34" s="524"/>
      <c r="K34" s="527"/>
      <c r="L34" s="524">
        <v>8.0</v>
      </c>
      <c r="M34" s="524">
        <v>1.0</v>
      </c>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100320</v>
      </c>
      <c r="AT34" s="515">
        <f>IFERROR(__xludf.DUMMYFUNCTION("""COMPUTED_VALUE"""),55824.0)</f>
        <v>55824</v>
      </c>
      <c r="AU34" s="516">
        <f t="shared" si="7"/>
        <v>0.5966230643</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46104</v>
      </c>
      <c r="D35" s="507" t="str">
        <f t="shared" si="2"/>
        <v>月</v>
      </c>
      <c r="E35" s="507">
        <f t="shared" si="3"/>
        <v>142</v>
      </c>
      <c r="F35" s="507">
        <f t="shared" si="4"/>
        <v>93</v>
      </c>
      <c r="G35" s="570">
        <v>78.0</v>
      </c>
      <c r="H35" s="532">
        <v>15.0</v>
      </c>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77940</v>
      </c>
      <c r="AT35" s="515">
        <f>IFERROR(__xludf.DUMMYFUNCTION("""COMPUTED_VALUE"""),36776.0)</f>
        <v>36776</v>
      </c>
      <c r="AU35" s="516">
        <f t="shared" si="7"/>
        <v>0.5235466488</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46105</v>
      </c>
      <c r="D36" s="507" t="str">
        <f t="shared" si="2"/>
        <v>火</v>
      </c>
      <c r="E36" s="507">
        <f t="shared" si="3"/>
        <v>142</v>
      </c>
      <c r="F36" s="507">
        <f t="shared" si="4"/>
        <v>105</v>
      </c>
      <c r="G36" s="570">
        <v>84.0</v>
      </c>
      <c r="H36" s="524">
        <v>21.0</v>
      </c>
      <c r="I36" s="524"/>
      <c r="J36" s="524"/>
      <c r="K36" s="527"/>
      <c r="L36" s="524"/>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84420</v>
      </c>
      <c r="AT36" s="515">
        <f>IFERROR(__xludf.DUMMYFUNCTION("""COMPUTED_VALUE"""),42773.0)</f>
        <v>42773</v>
      </c>
      <c r="AU36" s="516">
        <f t="shared" si="7"/>
        <v>0.554397368</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46106</v>
      </c>
      <c r="D37" s="507" t="str">
        <f t="shared" si="2"/>
        <v>水</v>
      </c>
      <c r="E37" s="507">
        <f t="shared" si="3"/>
        <v>142</v>
      </c>
      <c r="F37" s="507">
        <f t="shared" si="4"/>
        <v>116</v>
      </c>
      <c r="G37" s="570">
        <v>94.0</v>
      </c>
      <c r="H37" s="532">
        <v>22.0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94320</v>
      </c>
      <c r="AT37" s="515">
        <f>IFERROR(__xludf.DUMMYFUNCTION("""COMPUTED_VALUE"""),46023.0)</f>
        <v>46023</v>
      </c>
      <c r="AU37" s="516">
        <f t="shared" si="7"/>
        <v>0.5306639717</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46107</v>
      </c>
      <c r="D38" s="507" t="str">
        <f t="shared" si="2"/>
        <v>木</v>
      </c>
      <c r="E38" s="507">
        <f t="shared" si="3"/>
        <v>142</v>
      </c>
      <c r="F38" s="507">
        <f t="shared" si="4"/>
        <v>119</v>
      </c>
      <c r="G38" s="570">
        <v>94.0</v>
      </c>
      <c r="H38" s="524">
        <v>25.0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94620</v>
      </c>
      <c r="AT38" s="515">
        <f>IFERROR(__xludf.DUMMYFUNCTION("""COMPUTED_VALUE"""),45727.0)</f>
        <v>45727</v>
      </c>
      <c r="AU38" s="516">
        <f t="shared" si="7"/>
        <v>0.525853158</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46108</v>
      </c>
      <c r="D39" s="507" t="str">
        <f t="shared" si="2"/>
        <v>金</v>
      </c>
      <c r="E39" s="507">
        <f t="shared" si="3"/>
        <v>142</v>
      </c>
      <c r="F39" s="507">
        <f t="shared" si="4"/>
        <v>138</v>
      </c>
      <c r="G39" s="570">
        <v>115.0</v>
      </c>
      <c r="H39" s="532">
        <v>23.0</v>
      </c>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115000</v>
      </c>
      <c r="AT39" s="515">
        <f>IFERROR(__xludf.DUMMYFUNCTION("""COMPUTED_VALUE"""),60018.0)</f>
        <v>60018</v>
      </c>
      <c r="AU39" s="516">
        <f t="shared" si="7"/>
        <v>0.5569323983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46109</v>
      </c>
      <c r="D40" s="507" t="str">
        <f t="shared" si="2"/>
        <v>土</v>
      </c>
      <c r="E40" s="507">
        <f t="shared" si="3"/>
        <v>142</v>
      </c>
      <c r="F40" s="507">
        <f t="shared" si="4"/>
        <v>140</v>
      </c>
      <c r="G40" s="570">
        <v>108.0</v>
      </c>
      <c r="H40" s="524">
        <v>32.0</v>
      </c>
      <c r="I40" s="524">
        <v>18.0</v>
      </c>
      <c r="J40" s="524"/>
      <c r="K40" s="527"/>
      <c r="L40" s="524">
        <v>10.0</v>
      </c>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112840</v>
      </c>
      <c r="AT40" s="515">
        <f>IFERROR(__xludf.DUMMYFUNCTION("""COMPUTED_VALUE"""),54828.0)</f>
        <v>54828</v>
      </c>
      <c r="AU40" s="516">
        <f t="shared" si="7"/>
        <v>0.5215989526</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f t="shared" si="8"/>
        <v>46110</v>
      </c>
      <c r="D41" s="507" t="str">
        <f t="shared" si="2"/>
        <v>日</v>
      </c>
      <c r="E41" s="507">
        <f t="shared" si="3"/>
        <v>142</v>
      </c>
      <c r="F41" s="507">
        <f t="shared" si="4"/>
        <v>138</v>
      </c>
      <c r="G41" s="570">
        <v>116.0</v>
      </c>
      <c r="H41" s="532">
        <v>22.0</v>
      </c>
      <c r="I41" s="524"/>
      <c r="J41" s="524">
        <v>13.0</v>
      </c>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117180</v>
      </c>
      <c r="AT41" s="515">
        <f>IFERROR(__xludf.DUMMYFUNCTION("""COMPUTED_VALUE"""),62507.0)</f>
        <v>62507</v>
      </c>
      <c r="AU41" s="516">
        <f t="shared" si="7"/>
        <v>0.5678121335</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f t="shared" si="8"/>
        <v>46111</v>
      </c>
      <c r="D42" s="507" t="str">
        <f t="shared" si="2"/>
        <v>月</v>
      </c>
      <c r="E42" s="507">
        <f t="shared" si="3"/>
        <v>142</v>
      </c>
      <c r="F42" s="507">
        <f t="shared" si="4"/>
        <v>104</v>
      </c>
      <c r="G42" s="570">
        <v>83.0</v>
      </c>
      <c r="H42" s="524">
        <v>21.0</v>
      </c>
      <c r="I42" s="527"/>
      <c r="J42" s="524">
        <v>5.0</v>
      </c>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83940</v>
      </c>
      <c r="AT42" s="515">
        <f>IFERROR(__xludf.DUMMYFUNCTION("""COMPUTED_VALUE"""),45441.0)</f>
        <v>45441</v>
      </c>
      <c r="AU42" s="516">
        <f t="shared" si="7"/>
        <v>0.5893522255</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f t="shared" si="8"/>
        <v>46112</v>
      </c>
      <c r="D43" s="507" t="str">
        <f t="shared" si="2"/>
        <v>火</v>
      </c>
      <c r="E43" s="507">
        <f t="shared" si="3"/>
        <v>142</v>
      </c>
      <c r="F43" s="507">
        <f t="shared" si="4"/>
        <v>115</v>
      </c>
      <c r="G43" s="570">
        <v>87.0</v>
      </c>
      <c r="H43" s="532">
        <v>28.0</v>
      </c>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88060</v>
      </c>
      <c r="AT43" s="515">
        <f>IFERROR(__xludf.DUMMYFUNCTION("""COMPUTED_VALUE"""),49848.0)</f>
        <v>49848</v>
      </c>
      <c r="AU43" s="516">
        <f t="shared" si="7"/>
        <v>0.6118240496</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4402</v>
      </c>
      <c r="F44" s="586">
        <f t="shared" ref="F44:AB44" si="11">SUM(F13:F43)</f>
        <v>3582</v>
      </c>
      <c r="G44" s="586">
        <f t="shared" si="11"/>
        <v>2926</v>
      </c>
      <c r="H44" s="586">
        <f t="shared" si="11"/>
        <v>656</v>
      </c>
      <c r="I44" s="586">
        <f t="shared" si="11"/>
        <v>20</v>
      </c>
      <c r="J44" s="586">
        <f t="shared" si="11"/>
        <v>21</v>
      </c>
      <c r="K44" s="586">
        <f t="shared" si="11"/>
        <v>4</v>
      </c>
      <c r="L44" s="586">
        <f t="shared" si="11"/>
        <v>78</v>
      </c>
      <c r="M44" s="586">
        <f t="shared" si="11"/>
        <v>2</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2954380</v>
      </c>
      <c r="AT44" s="589">
        <f t="shared" si="12"/>
        <v>1500769</v>
      </c>
      <c r="AU44" s="590">
        <f>AVERAGE(AU13:AU43)</f>
        <v>0.5503425526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2867480</v>
      </c>
      <c r="H46" s="607">
        <f t="shared" si="14"/>
        <v>65600</v>
      </c>
      <c r="I46" s="607">
        <f t="shared" si="14"/>
        <v>2000</v>
      </c>
      <c r="J46" s="607">
        <f t="shared" si="14"/>
        <v>2100</v>
      </c>
      <c r="K46" s="607">
        <f t="shared" si="14"/>
        <v>1000</v>
      </c>
      <c r="L46" s="607">
        <f t="shared" si="14"/>
        <v>15600</v>
      </c>
      <c r="M46" s="607">
        <f t="shared" si="14"/>
        <v>600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2954380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0.6646978646</v>
      </c>
      <c r="H47" s="615">
        <f>H44/$F$44</f>
        <v>0.1831379118</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489</v>
      </c>
      <c r="O2" s="279"/>
      <c r="P2" s="280"/>
      <c r="Q2" s="281"/>
      <c r="R2" s="281"/>
      <c r="S2" s="282"/>
      <c r="T2" s="281"/>
      <c r="U2" s="281"/>
      <c r="V2" s="281"/>
      <c r="W2" s="281"/>
      <c r="X2" s="281"/>
      <c r="Y2" s="283"/>
      <c r="Z2" s="262"/>
      <c r="AA2" s="262"/>
      <c r="AB2" s="262"/>
      <c r="AC2" s="262"/>
      <c r="AD2" s="262"/>
      <c r="AE2" s="262"/>
      <c r="AF2" s="284"/>
      <c r="AG2" s="285"/>
      <c r="AH2" s="286"/>
      <c r="AI2" s="287" t="s">
        <v>490</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46133</v>
      </c>
      <c r="C7" s="358"/>
      <c r="D7" s="274"/>
      <c r="E7" s="359">
        <f>today()+1</f>
        <v>46134</v>
      </c>
      <c r="F7" s="360"/>
      <c r="G7" s="274"/>
      <c r="H7" s="274"/>
      <c r="I7" s="361" t="s">
        <v>213</v>
      </c>
      <c r="J7" s="362" t="s">
        <v>214</v>
      </c>
      <c r="K7" s="363">
        <v>46082.0</v>
      </c>
      <c r="L7" s="364" t="s">
        <v>215</v>
      </c>
      <c r="M7" s="365" t="s">
        <v>216</v>
      </c>
      <c r="N7" s="366">
        <f>K7</f>
        <v>46082</v>
      </c>
      <c r="O7" s="366">
        <f t="shared" ref="O7:AR7" si="2">IF(N7="","",IF(DAY(N7+1)=1,"",N7+1))</f>
        <v>46083</v>
      </c>
      <c r="P7" s="366">
        <f t="shared" si="2"/>
        <v>46084</v>
      </c>
      <c r="Q7" s="366">
        <f t="shared" si="2"/>
        <v>46085</v>
      </c>
      <c r="R7" s="366">
        <f t="shared" si="2"/>
        <v>46086</v>
      </c>
      <c r="S7" s="366">
        <f t="shared" si="2"/>
        <v>46087</v>
      </c>
      <c r="T7" s="366">
        <f t="shared" si="2"/>
        <v>46088</v>
      </c>
      <c r="U7" s="366">
        <f t="shared" si="2"/>
        <v>46089</v>
      </c>
      <c r="V7" s="366">
        <f t="shared" si="2"/>
        <v>46090</v>
      </c>
      <c r="W7" s="366">
        <f t="shared" si="2"/>
        <v>46091</v>
      </c>
      <c r="X7" s="366">
        <f t="shared" si="2"/>
        <v>46092</v>
      </c>
      <c r="Y7" s="366">
        <f t="shared" si="2"/>
        <v>46093</v>
      </c>
      <c r="Z7" s="366">
        <f t="shared" si="2"/>
        <v>46094</v>
      </c>
      <c r="AA7" s="366">
        <f t="shared" si="2"/>
        <v>46095</v>
      </c>
      <c r="AB7" s="366">
        <f t="shared" si="2"/>
        <v>46096</v>
      </c>
      <c r="AC7" s="366">
        <f t="shared" si="2"/>
        <v>46097</v>
      </c>
      <c r="AD7" s="366">
        <f t="shared" si="2"/>
        <v>46098</v>
      </c>
      <c r="AE7" s="366">
        <f t="shared" si="2"/>
        <v>46099</v>
      </c>
      <c r="AF7" s="366">
        <f t="shared" si="2"/>
        <v>46100</v>
      </c>
      <c r="AG7" s="366">
        <f t="shared" si="2"/>
        <v>46101</v>
      </c>
      <c r="AH7" s="366">
        <f t="shared" si="2"/>
        <v>46102</v>
      </c>
      <c r="AI7" s="366">
        <f t="shared" si="2"/>
        <v>46103</v>
      </c>
      <c r="AJ7" s="366">
        <f t="shared" si="2"/>
        <v>46104</v>
      </c>
      <c r="AK7" s="366">
        <f t="shared" si="2"/>
        <v>46105</v>
      </c>
      <c r="AL7" s="366">
        <f t="shared" si="2"/>
        <v>46106</v>
      </c>
      <c r="AM7" s="366">
        <f t="shared" si="2"/>
        <v>46107</v>
      </c>
      <c r="AN7" s="366">
        <f t="shared" si="2"/>
        <v>46108</v>
      </c>
      <c r="AO7" s="366">
        <f t="shared" si="2"/>
        <v>46109</v>
      </c>
      <c r="AP7" s="366">
        <f t="shared" si="2"/>
        <v>46110</v>
      </c>
      <c r="AQ7" s="366">
        <f t="shared" si="2"/>
        <v>46111</v>
      </c>
      <c r="AR7" s="367">
        <f t="shared" si="2"/>
        <v>46112</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火</v>
      </c>
      <c r="D8" s="186"/>
      <c r="E8" s="374" t="s">
        <v>225</v>
      </c>
      <c r="F8" s="375" t="str">
        <f>TEXT(E7,"ddd")</f>
        <v>水</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日</v>
      </c>
      <c r="AQ8" s="378" t="str">
        <f t="shared" si="3"/>
        <v>月</v>
      </c>
      <c r="AR8" s="378" t="str">
        <f t="shared" si="3"/>
        <v>火</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65" si="4">K9</f>
        <v>出勤者数合計</v>
      </c>
      <c r="C9" s="381" t="str">
        <f t="shared" ref="C9:C65" si="5">if(B9="","", xlookup($B$7,$N$7:$AR$7,$N9:$AR9))</f>
        <v>#N/A</v>
      </c>
      <c r="D9" s="186"/>
      <c r="E9" s="372" t="str">
        <f t="shared" ref="E9:E65" si="6">K9</f>
        <v>出勤者数合計</v>
      </c>
      <c r="F9" s="381" t="str">
        <f t="shared" ref="F9:F65" si="7">if(E9="","", xlookup($E$7,$N$7:$AR$7,$N9:$AR9))</f>
        <v>#N/A</v>
      </c>
      <c r="G9" s="186"/>
      <c r="H9" s="186"/>
      <c r="I9" s="168" t="b">
        <v>1</v>
      </c>
      <c r="J9" s="376"/>
      <c r="K9" s="382" t="s">
        <v>229</v>
      </c>
      <c r="L9" s="383" t="s">
        <v>230</v>
      </c>
      <c r="M9" s="384" t="s">
        <v>231</v>
      </c>
      <c r="N9" s="385">
        <f t="array" ref="N9">SUM(COUNTIF(N11:N105, {"◎","〇","☆","共","特","浴"}))</f>
        <v>10</v>
      </c>
      <c r="O9" s="385">
        <f t="array" ref="O9">SUM(COUNTIF(O11:O105, {"◎","〇","☆","共","特","浴"}))</f>
        <v>9</v>
      </c>
      <c r="P9" s="385">
        <f t="array" ref="P9">SUM(COUNTIF(P11:P105, {"◎","〇","☆","共","特","浴"}))</f>
        <v>9</v>
      </c>
      <c r="Q9" s="385">
        <f t="array" ref="Q9">SUM(COUNTIF(Q11:Q105, {"◎","〇","☆","共","特","浴"}))</f>
        <v>9</v>
      </c>
      <c r="R9" s="385">
        <f t="array" ref="R9">SUM(COUNTIF(R11:R105, {"◎","〇","☆","共","特","浴"}))</f>
        <v>9</v>
      </c>
      <c r="S9" s="385">
        <f t="array" ref="S9">SUM(COUNTIF(S11:S105, {"◎","〇","☆","共","特","浴"}))</f>
        <v>11</v>
      </c>
      <c r="T9" s="385">
        <f t="array" ref="T9">SUM(COUNTIF(T11:T105, {"◎","〇","☆","共","特","浴"}))</f>
        <v>12</v>
      </c>
      <c r="U9" s="385">
        <f t="array" ref="U9">SUM(COUNTIF(U11:U105, {"◎","〇","☆","共","特","浴"}))</f>
        <v>9</v>
      </c>
      <c r="V9" s="385">
        <f t="array" ref="V9">SUM(COUNTIF(V11:V105, {"◎","〇","☆","共","特","浴"}))</f>
        <v>10</v>
      </c>
      <c r="W9" s="385">
        <f t="array" ref="W9">SUM(COUNTIF(W11:W105, {"◎","〇","☆","共","特","浴"}))</f>
        <v>9</v>
      </c>
      <c r="X9" s="385">
        <f t="array" ref="X9">SUM(COUNTIF(X11:X105, {"◎","〇","☆","共","特","浴"}))</f>
        <v>8</v>
      </c>
      <c r="Y9" s="385">
        <f t="array" ref="Y9">SUM(COUNTIF(Y11:Y105, {"◎","〇","☆","共","特","浴"}))</f>
        <v>10</v>
      </c>
      <c r="Z9" s="385">
        <f t="array" ref="Z9">SUM(COUNTIF(Z11:Z105, {"◎","〇","☆","共","特","浴"}))</f>
        <v>10</v>
      </c>
      <c r="AA9" s="385">
        <f t="array" ref="AA9">SUM(COUNTIF(AA11:AA105, {"◎","〇","☆","共","特","浴"}))</f>
        <v>11</v>
      </c>
      <c r="AB9" s="385">
        <f t="array" ref="AB9">SUM(COUNTIF(AB11:AB105, {"◎","〇","☆","共","特","浴"}))</f>
        <v>10</v>
      </c>
      <c r="AC9" s="385">
        <f t="array" ref="AC9">SUM(COUNTIF(AC11:AC105, {"◎","〇","☆","共","特","浴"}))</f>
        <v>9</v>
      </c>
      <c r="AD9" s="385">
        <f t="array" ref="AD9">SUM(COUNTIF(AD11:AD105, {"◎","〇","☆","共","特","浴"}))</f>
        <v>10</v>
      </c>
      <c r="AE9" s="385">
        <f t="array" ref="AE9">SUM(COUNTIF(AE11:AE105, {"◎","〇","☆","共","特","浴"}))</f>
        <v>10</v>
      </c>
      <c r="AF9" s="385">
        <f t="array" ref="AF9">SUM(COUNTIF(AF11:AF105, {"◎","〇","☆","共","特","浴"}))</f>
        <v>9</v>
      </c>
      <c r="AG9" s="385">
        <f t="array" ref="AG9">SUM(COUNTIF(AG11:AG105, {"◎","〇","☆","共","特","浴"}))</f>
        <v>8</v>
      </c>
      <c r="AH9" s="385">
        <f t="array" ref="AH9">SUM(COUNTIF(AH11:AH105, {"◎","〇","☆","共","特","浴"}))</f>
        <v>10</v>
      </c>
      <c r="AI9" s="385">
        <f t="array" ref="AI9">SUM(COUNTIF(AI11:AI105, {"◎","〇","☆","共","特","浴"}))</f>
        <v>8</v>
      </c>
      <c r="AJ9" s="385">
        <f t="array" ref="AJ9">SUM(COUNTIF(AJ11:AJ105, {"◎","〇","☆","共","特","浴"}))</f>
        <v>10</v>
      </c>
      <c r="AK9" s="385">
        <f t="array" ref="AK9">SUM(COUNTIF(AK11:AK105, {"◎","〇","☆","共","特","浴"}))</f>
        <v>9</v>
      </c>
      <c r="AL9" s="385">
        <f t="array" ref="AL9">SUM(COUNTIF(AL11:AL105, {"◎","〇","☆","共","特","浴"}))</f>
        <v>10</v>
      </c>
      <c r="AM9" s="385">
        <f t="array" ref="AM9">SUM(COUNTIF(AM11:AM105, {"◎","〇","☆","共","特","浴"}))</f>
        <v>8</v>
      </c>
      <c r="AN9" s="385">
        <f t="array" ref="AN9">SUM(COUNTIF(AN11:AN105, {"◎","〇","☆","共","特","浴"}))</f>
        <v>7</v>
      </c>
      <c r="AO9" s="385">
        <f t="array" ref="AO9">SUM(COUNTIF(AO11:AO105, {"◎","〇","☆","共","特","浴"}))</f>
        <v>10</v>
      </c>
      <c r="AP9" s="385">
        <f t="array" ref="AP9">SUM(COUNTIF(AP11:AP105, {"◎","〇","☆","共","特","浴"}))</f>
        <v>9</v>
      </c>
      <c r="AQ9" s="385">
        <f t="array" ref="AQ9">SUM(COUNTIF(AQ11:AQ105, {"◎","〇","☆","共","特","浴"}))</f>
        <v>9</v>
      </c>
      <c r="AR9" s="385">
        <f t="array" ref="AR9">SUM(COUNTIF(AR11:AR105, {"◎","〇","☆","共","特","浴"}))</f>
        <v>8</v>
      </c>
      <c r="AS9" s="379" t="s">
        <v>230</v>
      </c>
      <c r="AT9" s="386" t="s">
        <v>230</v>
      </c>
      <c r="AU9" s="387">
        <f t="array" ref="AU9">SUM(COUNTIF(AU11:AU105, {"◎","〇","☆","共","特","浴"}))</f>
        <v>0</v>
      </c>
      <c r="AV9" s="387">
        <f t="array" ref="AV9">SUM(COUNTIF(AV11:AV105, {"◎","〇","☆","共","特","浴"}))</f>
        <v>0</v>
      </c>
      <c r="AW9" s="387">
        <f t="array" ref="AW9">SUM(COUNTIF(AW11:AW105, {"◎","〇","☆","共","特","浴"}))</f>
        <v>0</v>
      </c>
      <c r="AX9" s="387">
        <f t="array" ref="AX9">SUM(COUNTIF(AX11:AX105, {"◎","〇","☆","共","特","浴"}))</f>
        <v>0</v>
      </c>
      <c r="AY9" s="387">
        <f t="array" ref="AY9">SUM(COUNTIF(AY11:AY105, {"◎","〇","☆","共","特","浴"}))</f>
        <v>0</v>
      </c>
      <c r="AZ9" s="387">
        <f t="array" ref="AZ9">SUM(COUNTIF(AZ11:AZ105, {"◎","〇","☆","共","特","浴"}))</f>
        <v>0</v>
      </c>
      <c r="BA9" s="387">
        <f t="array" ref="BA9">SUM(COUNTIF(BA11:BA105,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1</v>
      </c>
      <c r="J10" s="376"/>
      <c r="K10" s="382" t="s">
        <v>232</v>
      </c>
      <c r="L10" s="383" t="s">
        <v>230</v>
      </c>
      <c r="M10" s="384" t="s">
        <v>233</v>
      </c>
      <c r="N10" s="385">
        <f t="array" ref="N10">SUM(COUNTIF(N11:N105, {"◎","☆"}))</f>
        <v>1</v>
      </c>
      <c r="O10" s="385">
        <f t="array" ref="O10">SUM(COUNTIF(O11:O105, {"◎","☆"}))</f>
        <v>2</v>
      </c>
      <c r="P10" s="385">
        <f t="array" ref="P10">SUM(COUNTIF(P11:P105, {"◎","☆"}))</f>
        <v>1</v>
      </c>
      <c r="Q10" s="385">
        <f t="array" ref="Q10">SUM(COUNTIF(Q11:Q105, {"◎","☆"}))</f>
        <v>1</v>
      </c>
      <c r="R10" s="385">
        <f t="array" ref="R10">SUM(COUNTIF(R11:R105, {"◎","☆"}))</f>
        <v>1</v>
      </c>
      <c r="S10" s="385">
        <f t="array" ref="S10">SUM(COUNTIF(S11:S105, {"◎","☆"}))</f>
        <v>2</v>
      </c>
      <c r="T10" s="385">
        <f t="array" ref="T10">SUM(COUNTIF(T11:T105, {"◎","☆"}))</f>
        <v>1</v>
      </c>
      <c r="U10" s="385">
        <f t="array" ref="U10">SUM(COUNTIF(U11:U105, {"◎","☆"}))</f>
        <v>1</v>
      </c>
      <c r="V10" s="385">
        <f t="array" ref="V10">SUM(COUNTIF(V11:V105, {"◎","☆"}))</f>
        <v>1</v>
      </c>
      <c r="W10" s="385">
        <f t="array" ref="W10">SUM(COUNTIF(W11:W105, {"◎","☆"}))</f>
        <v>1</v>
      </c>
      <c r="X10" s="385">
        <f t="array" ref="X10">SUM(COUNTIF(X11:X105, {"◎","☆"}))</f>
        <v>1</v>
      </c>
      <c r="Y10" s="385">
        <f t="array" ref="Y10">SUM(COUNTIF(Y11:Y105, {"◎","☆"}))</f>
        <v>1</v>
      </c>
      <c r="Z10" s="385">
        <f t="array" ref="Z10">SUM(COUNTIF(Z11:Z105, {"◎","☆"}))</f>
        <v>1</v>
      </c>
      <c r="AA10" s="385">
        <f t="array" ref="AA10">SUM(COUNTIF(AA11:AA105, {"◎","☆"}))</f>
        <v>1</v>
      </c>
      <c r="AB10" s="385">
        <f t="array" ref="AB10">SUM(COUNTIF(AB11:AB105, {"◎","☆"}))</f>
        <v>1</v>
      </c>
      <c r="AC10" s="385">
        <f t="array" ref="AC10">SUM(COUNTIF(AC11:AC105, {"◎","☆"}))</f>
        <v>2</v>
      </c>
      <c r="AD10" s="385">
        <f t="array" ref="AD10">SUM(COUNTIF(AD11:AD105, {"◎","☆"}))</f>
        <v>1</v>
      </c>
      <c r="AE10" s="385">
        <f t="array" ref="AE10">SUM(COUNTIF(AE11:AE105, {"◎","☆"}))</f>
        <v>1</v>
      </c>
      <c r="AF10" s="385">
        <f t="array" ref="AF10">SUM(COUNTIF(AF11:AF105, {"◎","☆"}))</f>
        <v>1</v>
      </c>
      <c r="AG10" s="385">
        <f t="array" ref="AG10">SUM(COUNTIF(AG11:AG105, {"◎","☆"}))</f>
        <v>1</v>
      </c>
      <c r="AH10" s="385">
        <f t="array" ref="AH10">SUM(COUNTIF(AH11:AH105, {"◎","☆"}))</f>
        <v>1</v>
      </c>
      <c r="AI10" s="385">
        <f t="array" ref="AI10">SUM(COUNTIF(AI11:AI105, {"◎","☆"}))</f>
        <v>1</v>
      </c>
      <c r="AJ10" s="385">
        <f t="array" ref="AJ10">SUM(COUNTIF(AJ11:AJ105, {"◎","☆"}))</f>
        <v>2</v>
      </c>
      <c r="AK10" s="385">
        <f t="array" ref="AK10">SUM(COUNTIF(AK11:AK105, {"◎","☆"}))</f>
        <v>1</v>
      </c>
      <c r="AL10" s="385">
        <f t="array" ref="AL10">SUM(COUNTIF(AL11:AL105, {"◎","☆"}))</f>
        <v>2</v>
      </c>
      <c r="AM10" s="385">
        <f t="array" ref="AM10">SUM(COUNTIF(AM11:AM105, {"◎","☆"}))</f>
        <v>1</v>
      </c>
      <c r="AN10" s="385">
        <f t="array" ref="AN10">SUM(COUNTIF(AN11:AN105, {"◎","☆"}))</f>
        <v>1</v>
      </c>
      <c r="AO10" s="385">
        <f t="array" ref="AO10">SUM(COUNTIF(AO11:AO105, {"◎","☆"}))</f>
        <v>1</v>
      </c>
      <c r="AP10" s="385">
        <f t="array" ref="AP10">SUM(COUNTIF(AP11:AP105, {"◎","☆"}))</f>
        <v>1</v>
      </c>
      <c r="AQ10" s="385">
        <f t="array" ref="AQ10">SUM(COUNTIF(AQ11:AQ105, {"◎","☆"}))</f>
        <v>1</v>
      </c>
      <c r="AR10" s="385">
        <f t="array" ref="AR10">SUM(COUNTIF(AR11:AR105, {"◎","☆"}))</f>
        <v>1</v>
      </c>
      <c r="AS10" s="379" t="s">
        <v>230</v>
      </c>
      <c r="AT10" s="386" t="s">
        <v>230</v>
      </c>
      <c r="AU10" s="387">
        <f t="array" ref="AU10">SUM(COUNTIF(AU11:AU105, {"◎","☆"}))</f>
        <v>0</v>
      </c>
      <c r="AV10" s="387">
        <f t="array" ref="AV10">SUM(COUNTIF(AV11:AV105, {"◎","☆"}))</f>
        <v>0</v>
      </c>
      <c r="AW10" s="387">
        <f t="array" ref="AW10">SUM(COUNTIF(AW11:AW105, {"◎","☆"}))</f>
        <v>0</v>
      </c>
      <c r="AX10" s="387">
        <f t="array" ref="AX10">SUM(COUNTIF(AX11:AX105, {"◎","☆"}))</f>
        <v>0</v>
      </c>
      <c r="AY10" s="387">
        <f t="array" ref="AY10">SUM(COUNTIF(AY11:AY105, {"◎","☆"}))</f>
        <v>0</v>
      </c>
      <c r="AZ10" s="387">
        <f t="array" ref="AZ10">SUM(COUNTIF(AZ11:AZ105, {"◎","☆"}))</f>
        <v>0</v>
      </c>
      <c r="BA10" s="387">
        <f t="array" ref="BA10">SUM(COUNTIF(BA11:BA105,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1</v>
      </c>
      <c r="J11" s="362"/>
      <c r="K11" s="382" t="s">
        <v>98</v>
      </c>
      <c r="L11" s="383" t="s">
        <v>234</v>
      </c>
      <c r="M11" s="389"/>
      <c r="N11" s="390" t="s">
        <v>187</v>
      </c>
      <c r="O11" s="390" t="s">
        <v>187</v>
      </c>
      <c r="P11" s="390" t="s">
        <v>281</v>
      </c>
      <c r="Q11" s="390" t="s">
        <v>207</v>
      </c>
      <c r="R11" s="390" t="s">
        <v>187</v>
      </c>
      <c r="S11" s="390" t="s">
        <v>187</v>
      </c>
      <c r="T11" s="390" t="s">
        <v>207</v>
      </c>
      <c r="U11" s="390" t="s">
        <v>187</v>
      </c>
      <c r="V11" s="390" t="s">
        <v>281</v>
      </c>
      <c r="W11" s="390" t="s">
        <v>281</v>
      </c>
      <c r="X11" s="390" t="s">
        <v>207</v>
      </c>
      <c r="Y11" s="390" t="s">
        <v>187</v>
      </c>
      <c r="Z11" s="390" t="s">
        <v>281</v>
      </c>
      <c r="AA11" s="390" t="s">
        <v>207</v>
      </c>
      <c r="AB11" s="390" t="s">
        <v>187</v>
      </c>
      <c r="AC11" s="390" t="s">
        <v>187</v>
      </c>
      <c r="AD11" s="390" t="s">
        <v>281</v>
      </c>
      <c r="AE11" s="390" t="s">
        <v>207</v>
      </c>
      <c r="AF11" s="390" t="s">
        <v>187</v>
      </c>
      <c r="AG11" s="390" t="s">
        <v>281</v>
      </c>
      <c r="AH11" s="390" t="s">
        <v>207</v>
      </c>
      <c r="AI11" s="390" t="s">
        <v>187</v>
      </c>
      <c r="AJ11" s="390" t="s">
        <v>187</v>
      </c>
      <c r="AK11" s="390" t="s">
        <v>281</v>
      </c>
      <c r="AL11" s="390" t="s">
        <v>187</v>
      </c>
      <c r="AM11" s="390" t="s">
        <v>187</v>
      </c>
      <c r="AN11" s="390" t="s">
        <v>207</v>
      </c>
      <c r="AO11" s="390" t="s">
        <v>207</v>
      </c>
      <c r="AP11" s="390" t="s">
        <v>187</v>
      </c>
      <c r="AQ11" s="390" t="s">
        <v>207</v>
      </c>
      <c r="AR11" s="390" t="s">
        <v>491</v>
      </c>
      <c r="AS11" s="391">
        <f t="array" ref="AS11">SUM(COUNTIF(N11:AR11, {"◎","〇","☆","共","特","浴"}))</f>
        <v>14</v>
      </c>
      <c r="AT11" s="392"/>
      <c r="AU11" s="393"/>
      <c r="AV11" s="393"/>
      <c r="AW11" s="393"/>
      <c r="AX11" s="393"/>
      <c r="AY11" s="393"/>
      <c r="AZ11" s="393"/>
      <c r="BA11" s="393"/>
      <c r="BB11" s="394"/>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1</v>
      </c>
      <c r="J12" s="362"/>
      <c r="K12" s="382" t="s">
        <v>235</v>
      </c>
      <c r="L12" s="383" t="s">
        <v>230</v>
      </c>
      <c r="M12" s="389"/>
      <c r="N12" s="390"/>
      <c r="O12" s="390" t="s">
        <v>187</v>
      </c>
      <c r="P12" s="390" t="s">
        <v>187</v>
      </c>
      <c r="Q12" s="390" t="s">
        <v>187</v>
      </c>
      <c r="R12" s="390"/>
      <c r="S12" s="390" t="s">
        <v>187</v>
      </c>
      <c r="T12" s="390" t="s">
        <v>187</v>
      </c>
      <c r="U12" s="390"/>
      <c r="V12" s="390" t="s">
        <v>187</v>
      </c>
      <c r="W12" s="390" t="s">
        <v>187</v>
      </c>
      <c r="X12" s="390" t="s">
        <v>187</v>
      </c>
      <c r="Y12" s="390"/>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t="s">
        <v>187</v>
      </c>
      <c r="AR12" s="390" t="s">
        <v>187</v>
      </c>
      <c r="AS12" s="391">
        <f t="array" ref="AS12">SUM(COUNTIF(N12:AR12, {"◎","〇","☆","共","特","浴"}))</f>
        <v>22</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t="1.5" customHeight="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t="1.5" customHeight="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t="1.5" customHeight="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t="1.5" customHeight="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t="1.5" customHeight="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t="1.5" customHeight="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t="1.5" customHeight="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t="1.5" customHeight="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t="1.5" customHeight="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t="1.5" customHeight="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t="1.5" customHeight="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t="1.5" customHeight="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t="1.5" customHeight="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t="1.5" customHeight="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t="1.5" customHeight="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COUNTIF(N45:N105,"〇")+countif(N14:N40,"〇")</f>
        <v>9</v>
      </c>
      <c r="O41" s="385">
        <f t="shared" si="8"/>
        <v>7</v>
      </c>
      <c r="P41" s="385">
        <f t="shared" si="8"/>
        <v>8</v>
      </c>
      <c r="Q41" s="385">
        <f t="shared" ref="Q41:AR41" si="9">COUNTIF(Q45:Q105,"〇")+countif(Q$11:Q$40,"〇")</f>
        <v>8</v>
      </c>
      <c r="R41" s="385">
        <f t="shared" si="9"/>
        <v>8</v>
      </c>
      <c r="S41" s="385">
        <f t="shared" si="9"/>
        <v>9</v>
      </c>
      <c r="T41" s="385">
        <f t="shared" si="9"/>
        <v>11</v>
      </c>
      <c r="U41" s="385">
        <f t="shared" si="9"/>
        <v>8</v>
      </c>
      <c r="V41" s="385">
        <f t="shared" si="9"/>
        <v>9</v>
      </c>
      <c r="W41" s="385">
        <f t="shared" si="9"/>
        <v>8</v>
      </c>
      <c r="X41" s="385">
        <f t="shared" si="9"/>
        <v>7</v>
      </c>
      <c r="Y41" s="385">
        <f t="shared" si="9"/>
        <v>9</v>
      </c>
      <c r="Z41" s="385">
        <f t="shared" si="9"/>
        <v>9</v>
      </c>
      <c r="AA41" s="385">
        <f t="shared" si="9"/>
        <v>10</v>
      </c>
      <c r="AB41" s="385">
        <f t="shared" si="9"/>
        <v>9</v>
      </c>
      <c r="AC41" s="385">
        <f t="shared" si="9"/>
        <v>7</v>
      </c>
      <c r="AD41" s="385">
        <f t="shared" si="9"/>
        <v>9</v>
      </c>
      <c r="AE41" s="385">
        <f t="shared" si="9"/>
        <v>9</v>
      </c>
      <c r="AF41" s="385">
        <f t="shared" si="9"/>
        <v>8</v>
      </c>
      <c r="AG41" s="385">
        <f t="shared" si="9"/>
        <v>7</v>
      </c>
      <c r="AH41" s="385">
        <f t="shared" si="9"/>
        <v>9</v>
      </c>
      <c r="AI41" s="385">
        <f t="shared" si="9"/>
        <v>7</v>
      </c>
      <c r="AJ41" s="385">
        <f t="shared" si="9"/>
        <v>8</v>
      </c>
      <c r="AK41" s="385">
        <f t="shared" si="9"/>
        <v>8</v>
      </c>
      <c r="AL41" s="385">
        <f t="shared" si="9"/>
        <v>8</v>
      </c>
      <c r="AM41" s="385">
        <f t="shared" si="9"/>
        <v>7</v>
      </c>
      <c r="AN41" s="385">
        <f t="shared" si="9"/>
        <v>6</v>
      </c>
      <c r="AO41" s="385">
        <f t="shared" si="9"/>
        <v>9</v>
      </c>
      <c r="AP41" s="385">
        <f t="shared" si="9"/>
        <v>8</v>
      </c>
      <c r="AQ41" s="385">
        <f t="shared" si="9"/>
        <v>8</v>
      </c>
      <c r="AR41" s="385">
        <f t="shared" si="9"/>
        <v>7</v>
      </c>
      <c r="AS41" s="390" t="s">
        <v>230</v>
      </c>
      <c r="AT41" s="390" t="s">
        <v>230</v>
      </c>
      <c r="AU41" s="385">
        <f t="shared" ref="AU41:BA41" si="10">COUNTIF(AU45:AU105,"〇")+countif(AU$11:AU$40,"〇")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COUNTIF(N45:N105,"共")+countif(N$11:N$40,"共")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COUNTIF(AU45:AU105,"共")+countif(AU$11:AU$40,"共")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sumif(N45:N105,"〇",$J45:$J105)+sumif(N11:N40,"〇",$J11:$J40)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90">
        <v>99.0</v>
      </c>
      <c r="O44" s="390">
        <v>100.0</v>
      </c>
      <c r="P44" s="390">
        <v>100.0</v>
      </c>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1</v>
      </c>
      <c r="J45" s="362"/>
      <c r="K45" s="382" t="s">
        <v>247</v>
      </c>
      <c r="L45" s="383" t="s">
        <v>248</v>
      </c>
      <c r="M45" s="389"/>
      <c r="N45" s="390"/>
      <c r="O45" s="390" t="s">
        <v>119</v>
      </c>
      <c r="P45" s="390" t="s">
        <v>119</v>
      </c>
      <c r="Q45" s="390" t="s">
        <v>119</v>
      </c>
      <c r="R45" s="390" t="s">
        <v>119</v>
      </c>
      <c r="S45" s="390" t="s">
        <v>119</v>
      </c>
      <c r="T45" s="390"/>
      <c r="U45" s="390"/>
      <c r="V45" s="390" t="s">
        <v>119</v>
      </c>
      <c r="W45" s="390" t="s">
        <v>119</v>
      </c>
      <c r="X45" s="390" t="s">
        <v>119</v>
      </c>
      <c r="Y45" s="390" t="s">
        <v>119</v>
      </c>
      <c r="Z45" s="390"/>
      <c r="AA45" s="390"/>
      <c r="AB45" s="390"/>
      <c r="AC45" s="390" t="s">
        <v>119</v>
      </c>
      <c r="AD45" s="390" t="s">
        <v>119</v>
      </c>
      <c r="AE45" s="390" t="s">
        <v>119</v>
      </c>
      <c r="AF45" s="390" t="s">
        <v>119</v>
      </c>
      <c r="AG45" s="390" t="s">
        <v>119</v>
      </c>
      <c r="AH45" s="390"/>
      <c r="AI45" s="390"/>
      <c r="AJ45" s="390" t="s">
        <v>119</v>
      </c>
      <c r="AK45" s="390"/>
      <c r="AL45" s="390" t="s">
        <v>119</v>
      </c>
      <c r="AM45" s="390" t="s">
        <v>119</v>
      </c>
      <c r="AN45" s="390" t="s">
        <v>119</v>
      </c>
      <c r="AO45" s="390"/>
      <c r="AP45" s="390"/>
      <c r="AQ45" s="390" t="s">
        <v>119</v>
      </c>
      <c r="AR45" s="390" t="s">
        <v>119</v>
      </c>
      <c r="AS45" s="391">
        <f t="array" ref="AS45">SUM(COUNTIF(N45:AR45, {"◎","〇","☆","共","特","浴"}))</f>
        <v>20</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1</v>
      </c>
      <c r="J46" s="362"/>
      <c r="K46" s="382" t="s">
        <v>251</v>
      </c>
      <c r="L46" s="383" t="s">
        <v>252</v>
      </c>
      <c r="M46" s="384" t="s">
        <v>253</v>
      </c>
      <c r="N46" s="390"/>
      <c r="O46" s="390"/>
      <c r="P46" s="390" t="s">
        <v>119</v>
      </c>
      <c r="Q46" s="390" t="s">
        <v>119</v>
      </c>
      <c r="R46" s="390" t="s">
        <v>119</v>
      </c>
      <c r="S46" s="390"/>
      <c r="T46" s="390"/>
      <c r="U46" s="390"/>
      <c r="V46" s="390" t="s">
        <v>119</v>
      </c>
      <c r="W46" s="390" t="s">
        <v>119</v>
      </c>
      <c r="X46" s="390"/>
      <c r="Y46" s="390" t="s">
        <v>119</v>
      </c>
      <c r="Z46" s="390" t="s">
        <v>119</v>
      </c>
      <c r="AA46" s="390"/>
      <c r="AB46" s="390"/>
      <c r="AC46" s="390"/>
      <c r="AD46" s="390" t="s">
        <v>119</v>
      </c>
      <c r="AE46" s="390" t="s">
        <v>119</v>
      </c>
      <c r="AF46" s="390" t="s">
        <v>119</v>
      </c>
      <c r="AG46" s="390"/>
      <c r="AH46" s="390"/>
      <c r="AI46" s="390"/>
      <c r="AJ46" s="390"/>
      <c r="AK46" s="390" t="s">
        <v>119</v>
      </c>
      <c r="AL46" s="390" t="s">
        <v>119</v>
      </c>
      <c r="AM46" s="390" t="s">
        <v>119</v>
      </c>
      <c r="AN46" s="390"/>
      <c r="AO46" s="390"/>
      <c r="AP46" s="390"/>
      <c r="AQ46" s="390" t="s">
        <v>119</v>
      </c>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1</v>
      </c>
      <c r="J47" s="362"/>
      <c r="K47" s="382" t="s">
        <v>254</v>
      </c>
      <c r="L47" s="383" t="s">
        <v>252</v>
      </c>
      <c r="M47" s="384" t="s">
        <v>253</v>
      </c>
      <c r="N47" s="390"/>
      <c r="O47" s="390"/>
      <c r="P47" s="390"/>
      <c r="Q47" s="390" t="s">
        <v>119</v>
      </c>
      <c r="R47" s="390" t="s">
        <v>119</v>
      </c>
      <c r="S47" s="390" t="s">
        <v>119</v>
      </c>
      <c r="T47" s="390"/>
      <c r="U47" s="390"/>
      <c r="V47" s="390"/>
      <c r="W47" s="390" t="s">
        <v>119</v>
      </c>
      <c r="X47" s="390" t="s">
        <v>119</v>
      </c>
      <c r="Y47" s="390" t="s">
        <v>119</v>
      </c>
      <c r="Z47" s="390"/>
      <c r="AA47" s="390"/>
      <c r="AB47" s="390"/>
      <c r="AC47" s="390" t="s">
        <v>119</v>
      </c>
      <c r="AD47" s="390"/>
      <c r="AE47" s="390"/>
      <c r="AF47" s="390" t="s">
        <v>119</v>
      </c>
      <c r="AG47" s="390" t="s">
        <v>119</v>
      </c>
      <c r="AH47" s="390"/>
      <c r="AI47" s="390"/>
      <c r="AJ47" s="390" t="s">
        <v>119</v>
      </c>
      <c r="AK47" s="390"/>
      <c r="AL47" s="390"/>
      <c r="AM47" s="390"/>
      <c r="AN47" s="390"/>
      <c r="AO47" s="390"/>
      <c r="AP47" s="390"/>
      <c r="AQ47" s="390"/>
      <c r="AR47" s="385"/>
      <c r="AS47" s="391">
        <f t="array" ref="AS47">SUM(COUNTIF(N47:AR47, {"◎","〇","☆","共","特","浴"}))</f>
        <v>10</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1</v>
      </c>
      <c r="J48" s="362"/>
      <c r="K48" s="382" t="s">
        <v>255</v>
      </c>
      <c r="L48" s="383" t="s">
        <v>252</v>
      </c>
      <c r="M48" s="384" t="s">
        <v>253</v>
      </c>
      <c r="N48" s="390"/>
      <c r="O48" s="390"/>
      <c r="P48" s="390" t="s">
        <v>119</v>
      </c>
      <c r="Q48" s="390" t="s">
        <v>119</v>
      </c>
      <c r="R48" s="390"/>
      <c r="S48" s="390" t="s">
        <v>119</v>
      </c>
      <c r="T48" s="390"/>
      <c r="U48" s="390"/>
      <c r="V48" s="390"/>
      <c r="W48" s="390" t="s">
        <v>119</v>
      </c>
      <c r="X48" s="390" t="s">
        <v>119</v>
      </c>
      <c r="Y48" s="390"/>
      <c r="Z48" s="390" t="s">
        <v>119</v>
      </c>
      <c r="AA48" s="390"/>
      <c r="AB48" s="390"/>
      <c r="AC48" s="390"/>
      <c r="AD48" s="390" t="s">
        <v>119</v>
      </c>
      <c r="AE48" s="390" t="s">
        <v>119</v>
      </c>
      <c r="AF48" s="390"/>
      <c r="AG48" s="390" t="s">
        <v>119</v>
      </c>
      <c r="AH48" s="390"/>
      <c r="AI48" s="390"/>
      <c r="AJ48" s="390"/>
      <c r="AK48" s="390" t="s">
        <v>119</v>
      </c>
      <c r="AL48" s="390" t="s">
        <v>119</v>
      </c>
      <c r="AM48" s="390"/>
      <c r="AN48" s="390" t="s">
        <v>119</v>
      </c>
      <c r="AO48" s="390"/>
      <c r="AP48" s="390"/>
      <c r="AQ48" s="390" t="s">
        <v>119</v>
      </c>
      <c r="AR48" s="390" t="s">
        <v>119</v>
      </c>
      <c r="AS48" s="391">
        <f t="array" ref="AS48">SUM(COUNTIF(N48:AR48, {"◎","〇","☆","共","特","浴"}))</f>
        <v>14</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1</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t="s">
        <v>119</v>
      </c>
      <c r="AQ49" s="390" t="s">
        <v>119</v>
      </c>
      <c r="AR49" s="385"/>
      <c r="AS49" s="391">
        <f t="array" ref="AS49">SUM(COUNTIF(N49:AR49, {"◎","〇","☆","共","特","浴"}))</f>
        <v>22</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1</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t="s">
        <v>119</v>
      </c>
      <c r="AQ50" s="385"/>
      <c r="AR50" s="385"/>
      <c r="AS50" s="391">
        <f t="array" ref="AS50">SUM(COUNTIF(N50:AR50, {"◎","〇","☆","共","特","浴"}))</f>
        <v>9</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1</v>
      </c>
      <c r="J51" s="362"/>
      <c r="K51" s="382" t="s">
        <v>260</v>
      </c>
      <c r="L51" s="383" t="s">
        <v>248</v>
      </c>
      <c r="M51" s="384" t="s">
        <v>253</v>
      </c>
      <c r="N51" s="390"/>
      <c r="O51" s="390"/>
      <c r="P51" s="390"/>
      <c r="Q51" s="390"/>
      <c r="R51" s="390" t="s">
        <v>119</v>
      </c>
      <c r="S51" s="390" t="s">
        <v>119</v>
      </c>
      <c r="T51" s="390"/>
      <c r="U51" s="390"/>
      <c r="V51" s="390"/>
      <c r="W51" s="390"/>
      <c r="X51" s="390"/>
      <c r="Y51" s="390" t="s">
        <v>119</v>
      </c>
      <c r="Z51" s="390" t="s">
        <v>119</v>
      </c>
      <c r="AA51" s="390"/>
      <c r="AB51" s="390"/>
      <c r="AC51" s="390"/>
      <c r="AD51" s="390"/>
      <c r="AE51" s="390"/>
      <c r="AF51" s="390" t="s">
        <v>119</v>
      </c>
      <c r="AG51" s="390"/>
      <c r="AH51" s="390"/>
      <c r="AI51" s="390"/>
      <c r="AJ51" s="390"/>
      <c r="AK51" s="390"/>
      <c r="AL51" s="390"/>
      <c r="AM51" s="390"/>
      <c r="AN51" s="390"/>
      <c r="AO51" s="390"/>
      <c r="AP51" s="390"/>
      <c r="AQ51" s="390"/>
      <c r="AR51" s="385"/>
      <c r="AS51" s="391">
        <f t="array" ref="AS51">SUM(COUNTIF(N51:AR51, {"◎","〇","☆","共","特","浴"}))</f>
        <v>5</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1</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c r="AI52" s="390"/>
      <c r="AJ52" s="390"/>
      <c r="AK52" s="390"/>
      <c r="AL52" s="390"/>
      <c r="AM52" s="390"/>
      <c r="AN52" s="390"/>
      <c r="AO52" s="390" t="s">
        <v>119</v>
      </c>
      <c r="AP52" s="390" t="s">
        <v>119</v>
      </c>
      <c r="AQ52" s="390"/>
      <c r="AR52" s="385"/>
      <c r="AS52" s="391">
        <f t="array" ref="AS52">SUM(COUNTIF(N52:AR52, {"◎","〇","☆","共","特","浴"}))</f>
        <v>7</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1</v>
      </c>
      <c r="J53" s="362"/>
      <c r="K53" s="382" t="s">
        <v>263</v>
      </c>
      <c r="L53" s="383" t="s">
        <v>248</v>
      </c>
      <c r="M53" s="384" t="s">
        <v>264</v>
      </c>
      <c r="N53" s="390"/>
      <c r="O53" s="390"/>
      <c r="P53" s="390"/>
      <c r="Q53" s="390"/>
      <c r="R53" s="390" t="s">
        <v>119</v>
      </c>
      <c r="S53" s="390"/>
      <c r="T53" s="390" t="s">
        <v>119</v>
      </c>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1</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1</v>
      </c>
      <c r="J55" s="362"/>
      <c r="K55" s="382" t="s">
        <v>266</v>
      </c>
      <c r="L55" s="383" t="s">
        <v>252</v>
      </c>
      <c r="M55" s="384" t="s">
        <v>253</v>
      </c>
      <c r="N55" s="390"/>
      <c r="O55" s="390" t="s">
        <v>119</v>
      </c>
      <c r="P55" s="390" t="s">
        <v>119</v>
      </c>
      <c r="Q55" s="390"/>
      <c r="R55" s="390" t="s">
        <v>119</v>
      </c>
      <c r="S55" s="390"/>
      <c r="T55" s="390" t="s">
        <v>119</v>
      </c>
      <c r="U55" s="390"/>
      <c r="V55" s="390" t="s">
        <v>119</v>
      </c>
      <c r="W55" s="390" t="s">
        <v>119</v>
      </c>
      <c r="X55" s="390"/>
      <c r="Y55" s="390" t="s">
        <v>119</v>
      </c>
      <c r="Z55" s="390"/>
      <c r="AA55" s="390" t="s">
        <v>119</v>
      </c>
      <c r="AB55" s="390"/>
      <c r="AC55" s="390" t="s">
        <v>119</v>
      </c>
      <c r="AD55" s="390" t="s">
        <v>119</v>
      </c>
      <c r="AE55" s="390" t="s">
        <v>119</v>
      </c>
      <c r="AF55" s="390"/>
      <c r="AG55" s="390"/>
      <c r="AH55" s="390" t="s">
        <v>119</v>
      </c>
      <c r="AI55" s="390"/>
      <c r="AJ55" s="390" t="s">
        <v>119</v>
      </c>
      <c r="AK55" s="390" t="s">
        <v>119</v>
      </c>
      <c r="AL55" s="390"/>
      <c r="AM55" s="390" t="s">
        <v>119</v>
      </c>
      <c r="AN55" s="390"/>
      <c r="AO55" s="390" t="s">
        <v>119</v>
      </c>
      <c r="AP55" s="390"/>
      <c r="AQ55" s="390" t="s">
        <v>119</v>
      </c>
      <c r="AR55" s="390" t="s">
        <v>119</v>
      </c>
      <c r="AS55" s="391">
        <f t="array" ref="AS55">SUM(COUNTIF(N55:AR55, {"◎","〇","☆","共","特","浴"}))</f>
        <v>18</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1</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c r="AI56" s="390"/>
      <c r="AJ56" s="390"/>
      <c r="AK56" s="390"/>
      <c r="AL56" s="390"/>
      <c r="AM56" s="390"/>
      <c r="AN56" s="390"/>
      <c r="AO56" s="390" t="s">
        <v>119</v>
      </c>
      <c r="AP56" s="390" t="s">
        <v>119</v>
      </c>
      <c r="AQ56" s="390"/>
      <c r="AR56" s="385"/>
      <c r="AS56" s="391">
        <f t="array" ref="AS56">SUM(COUNTIF(N56:AR56, {"◎","〇","☆","共","特","浴"}))</f>
        <v>7</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1</v>
      </c>
      <c r="J57" s="362"/>
      <c r="K57" s="382"/>
      <c r="L57" s="383" t="s">
        <v>248</v>
      </c>
      <c r="M57" s="384" t="s">
        <v>287</v>
      </c>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1</v>
      </c>
      <c r="J58" s="362"/>
      <c r="K58" s="382" t="s">
        <v>268</v>
      </c>
      <c r="L58" s="383" t="s">
        <v>248</v>
      </c>
      <c r="M58" s="384"/>
      <c r="N58" s="390" t="s">
        <v>119</v>
      </c>
      <c r="O58" s="390" t="s">
        <v>119</v>
      </c>
      <c r="P58" s="390" t="s">
        <v>119</v>
      </c>
      <c r="Q58" s="390" t="s">
        <v>119</v>
      </c>
      <c r="R58" s="390"/>
      <c r="S58" s="390"/>
      <c r="T58" s="390" t="s">
        <v>119</v>
      </c>
      <c r="U58" s="390" t="s">
        <v>119</v>
      </c>
      <c r="V58" s="390" t="s">
        <v>119</v>
      </c>
      <c r="W58" s="390" t="s">
        <v>119</v>
      </c>
      <c r="X58" s="390" t="s">
        <v>119</v>
      </c>
      <c r="Y58" s="390"/>
      <c r="Z58" s="390"/>
      <c r="AA58" s="390"/>
      <c r="AB58" s="390" t="s">
        <v>119</v>
      </c>
      <c r="AC58" s="390" t="s">
        <v>119</v>
      </c>
      <c r="AD58" s="390" t="s">
        <v>119</v>
      </c>
      <c r="AE58" s="390" t="s">
        <v>119</v>
      </c>
      <c r="AF58" s="390"/>
      <c r="AG58" s="390"/>
      <c r="AH58" s="390" t="s">
        <v>119</v>
      </c>
      <c r="AI58" s="390" t="s">
        <v>119</v>
      </c>
      <c r="AJ58" s="390" t="s">
        <v>119</v>
      </c>
      <c r="AK58" s="390" t="s">
        <v>119</v>
      </c>
      <c r="AL58" s="390" t="s">
        <v>119</v>
      </c>
      <c r="AM58" s="390"/>
      <c r="AN58" s="390"/>
      <c r="AO58" s="390"/>
      <c r="AP58" s="390" t="s">
        <v>119</v>
      </c>
      <c r="AQ58" s="390" t="s">
        <v>119</v>
      </c>
      <c r="AR58" s="390" t="s">
        <v>119</v>
      </c>
      <c r="AS58" s="391">
        <f t="array" ref="AS58">SUM(COUNTIF(N58:AR58, {"◎","〇","☆","共","特","浴"}))</f>
        <v>21</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1</v>
      </c>
      <c r="J59" s="362"/>
      <c r="K59" s="382" t="s">
        <v>492</v>
      </c>
      <c r="L59" s="383" t="s">
        <v>248</v>
      </c>
      <c r="M59" s="384" t="s">
        <v>262</v>
      </c>
      <c r="N59" s="390" t="s">
        <v>119</v>
      </c>
      <c r="O59" s="385"/>
      <c r="P59" s="390"/>
      <c r="Q59" s="390"/>
      <c r="R59" s="390"/>
      <c r="S59" s="390"/>
      <c r="T59" s="390" t="s">
        <v>119</v>
      </c>
      <c r="U59" s="390"/>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t="s">
        <v>119</v>
      </c>
      <c r="AQ59" s="390"/>
      <c r="AR59" s="385"/>
      <c r="AS59" s="391">
        <f t="array" ref="AS59">SUM(COUNTIF(N59:AR59, {"◎","〇","☆","共","特","浴"}))</f>
        <v>8</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1</v>
      </c>
      <c r="J60" s="362"/>
      <c r="K60" s="382" t="s">
        <v>493</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c r="AP60" s="390"/>
      <c r="AQ60" s="385"/>
      <c r="AR60" s="390"/>
      <c r="AS60" s="391">
        <f t="array" ref="AS60">SUM(COUNTIF(N60:AR60, {"◎","〇","☆","共","特","浴"}))</f>
        <v>7</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1</v>
      </c>
      <c r="J61" s="362"/>
      <c r="K61" s="382" t="s">
        <v>258</v>
      </c>
      <c r="L61" s="383" t="s">
        <v>248</v>
      </c>
      <c r="M61" s="389"/>
      <c r="N61" s="390"/>
      <c r="O61" s="390" t="s">
        <v>119</v>
      </c>
      <c r="P61" s="390" t="s">
        <v>119</v>
      </c>
      <c r="Q61" s="390" t="s">
        <v>119</v>
      </c>
      <c r="R61" s="390"/>
      <c r="S61" s="390" t="s">
        <v>119</v>
      </c>
      <c r="T61" s="390"/>
      <c r="U61" s="390"/>
      <c r="V61" s="390" t="s">
        <v>119</v>
      </c>
      <c r="W61" s="390"/>
      <c r="X61" s="390"/>
      <c r="Y61" s="390" t="s">
        <v>119</v>
      </c>
      <c r="Z61" s="390" t="s">
        <v>119</v>
      </c>
      <c r="AA61" s="390"/>
      <c r="AB61" s="390"/>
      <c r="AC61" s="390"/>
      <c r="AD61" s="390" t="s">
        <v>119</v>
      </c>
      <c r="AE61" s="390" t="s">
        <v>119</v>
      </c>
      <c r="AF61" s="390"/>
      <c r="AG61" s="390"/>
      <c r="AH61" s="390"/>
      <c r="AI61" s="390"/>
      <c r="AJ61" s="390"/>
      <c r="AK61" s="390" t="s">
        <v>119</v>
      </c>
      <c r="AL61" s="390" t="s">
        <v>119</v>
      </c>
      <c r="AM61" s="390" t="s">
        <v>119</v>
      </c>
      <c r="AN61" s="390"/>
      <c r="AO61" s="390"/>
      <c r="AP61" s="390"/>
      <c r="AQ61" s="390"/>
      <c r="AR61" s="390" t="s">
        <v>119</v>
      </c>
      <c r="AS61" s="391">
        <f t="array" ref="AS61">SUM(COUNTIF(N61:AR61, {"◎","〇","☆","共","特","浴"}))</f>
        <v>13</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テンジ</v>
      </c>
      <c r="C62" s="381" t="str">
        <f t="shared" si="5"/>
        <v>#N/A</v>
      </c>
      <c r="D62" s="186"/>
      <c r="E62" s="372" t="str">
        <f t="shared" si="6"/>
        <v>テンジ</v>
      </c>
      <c r="F62" s="381" t="str">
        <f t="shared" si="7"/>
        <v>#N/A</v>
      </c>
      <c r="G62" s="186"/>
      <c r="H62" s="186"/>
      <c r="I62" s="168" t="b">
        <v>1</v>
      </c>
      <c r="J62" s="362"/>
      <c r="K62" s="382" t="s">
        <v>270</v>
      </c>
      <c r="L62" s="383" t="s">
        <v>248</v>
      </c>
      <c r="M62" s="384"/>
      <c r="N62" s="390" t="s">
        <v>119</v>
      </c>
      <c r="O62" s="390" t="s">
        <v>119</v>
      </c>
      <c r="P62" s="390" t="s">
        <v>119</v>
      </c>
      <c r="Q62" s="390" t="s">
        <v>119</v>
      </c>
      <c r="R62" s="390"/>
      <c r="S62" s="390" t="s">
        <v>119</v>
      </c>
      <c r="T62" s="390" t="s">
        <v>119</v>
      </c>
      <c r="U62" s="390" t="s">
        <v>119</v>
      </c>
      <c r="V62" s="390" t="s">
        <v>119</v>
      </c>
      <c r="W62" s="390" t="s">
        <v>119</v>
      </c>
      <c r="X62" s="390" t="s">
        <v>119</v>
      </c>
      <c r="Y62" s="390"/>
      <c r="Z62" s="390" t="s">
        <v>119</v>
      </c>
      <c r="AA62" s="390" t="s">
        <v>119</v>
      </c>
      <c r="AB62" s="390" t="s">
        <v>119</v>
      </c>
      <c r="AC62" s="390" t="s">
        <v>119</v>
      </c>
      <c r="AD62" s="390" t="s">
        <v>119</v>
      </c>
      <c r="AE62" s="390" t="s">
        <v>119</v>
      </c>
      <c r="AF62" s="390" t="s">
        <v>119</v>
      </c>
      <c r="AG62" s="390" t="s">
        <v>119</v>
      </c>
      <c r="AH62" s="390" t="s">
        <v>119</v>
      </c>
      <c r="AI62" s="390" t="s">
        <v>119</v>
      </c>
      <c r="AJ62" s="390" t="s">
        <v>119</v>
      </c>
      <c r="AK62" s="390" t="s">
        <v>119</v>
      </c>
      <c r="AL62" s="390" t="s">
        <v>119</v>
      </c>
      <c r="AM62" s="390"/>
      <c r="AN62" s="390" t="s">
        <v>119</v>
      </c>
      <c r="AO62" s="390" t="s">
        <v>119</v>
      </c>
      <c r="AP62" s="390" t="s">
        <v>119</v>
      </c>
      <c r="AQ62" s="390" t="s">
        <v>119</v>
      </c>
      <c r="AR62" s="390" t="s">
        <v>119</v>
      </c>
      <c r="AS62" s="391">
        <f t="array" ref="AS62">SUM(COUNTIF(N62:AR62, {"◎","〇","☆","共","特","浴"}))</f>
        <v>28</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1</v>
      </c>
      <c r="J63" s="362"/>
      <c r="K63" s="382" t="s">
        <v>272</v>
      </c>
      <c r="L63" s="383" t="s">
        <v>248</v>
      </c>
      <c r="M63" s="384" t="s">
        <v>288</v>
      </c>
      <c r="N63" s="390" t="s">
        <v>119</v>
      </c>
      <c r="O63" s="390" t="s">
        <v>119</v>
      </c>
      <c r="P63" s="390" t="s">
        <v>119</v>
      </c>
      <c r="Q63" s="390" t="s">
        <v>119</v>
      </c>
      <c r="R63" s="390" t="s">
        <v>119</v>
      </c>
      <c r="S63" s="390" t="s">
        <v>119</v>
      </c>
      <c r="T63" s="390" t="s">
        <v>119</v>
      </c>
      <c r="U63" s="390" t="s">
        <v>119</v>
      </c>
      <c r="V63" s="390" t="s">
        <v>119</v>
      </c>
      <c r="W63" s="390" t="s">
        <v>119</v>
      </c>
      <c r="X63" s="390" t="s">
        <v>119</v>
      </c>
      <c r="Y63" s="390"/>
      <c r="Z63" s="390" t="s">
        <v>119</v>
      </c>
      <c r="AA63" s="390" t="s">
        <v>119</v>
      </c>
      <c r="AB63" s="390" t="s">
        <v>119</v>
      </c>
      <c r="AC63" s="390" t="s">
        <v>119</v>
      </c>
      <c r="AD63" s="390" t="s">
        <v>119</v>
      </c>
      <c r="AE63" s="390" t="s">
        <v>119</v>
      </c>
      <c r="AF63" s="390"/>
      <c r="AG63" s="390" t="s">
        <v>119</v>
      </c>
      <c r="AH63" s="390" t="s">
        <v>119</v>
      </c>
      <c r="AI63" s="390" t="s">
        <v>119</v>
      </c>
      <c r="AJ63" s="390" t="s">
        <v>119</v>
      </c>
      <c r="AK63" s="390" t="s">
        <v>119</v>
      </c>
      <c r="AL63" s="390" t="s">
        <v>119</v>
      </c>
      <c r="AM63" s="390"/>
      <c r="AN63" s="390" t="s">
        <v>119</v>
      </c>
      <c r="AO63" s="390" t="s">
        <v>119</v>
      </c>
      <c r="AP63" s="390" t="s">
        <v>119</v>
      </c>
      <c r="AQ63" s="390" t="s">
        <v>119</v>
      </c>
      <c r="AR63" s="390" t="s">
        <v>119</v>
      </c>
      <c r="AS63" s="391">
        <f t="array" ref="AS63">SUM(COUNTIF(N63:AR63, {"◎","〇","☆","共","特","浴"}))</f>
        <v>28</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t="s">
        <v>230</v>
      </c>
      <c r="M64" s="384" t="s">
        <v>288</v>
      </c>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90"/>
      <c r="AQ64" s="390"/>
      <c r="AR64" s="390"/>
      <c r="AS64" s="391">
        <f t="array" ref="AS64">SUM(COUNTIF(N64:AR64, {"◎","〇","☆","共","特","浴"}))</f>
        <v>0</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c r="C66" s="381"/>
      <c r="D66" s="186"/>
      <c r="E66" s="372"/>
      <c r="F66" s="381"/>
      <c r="G66" s="186"/>
      <c r="H66" s="186"/>
      <c r="I66" s="168" t="b">
        <v>0</v>
      </c>
      <c r="J66" s="362"/>
      <c r="K66" s="382"/>
      <c r="L66" s="383"/>
      <c r="M66" s="384"/>
      <c r="N66" s="385"/>
      <c r="O66" s="385"/>
      <c r="P66" s="390"/>
      <c r="Q66" s="385"/>
      <c r="R66" s="385"/>
      <c r="S66" s="385"/>
      <c r="T66" s="390"/>
      <c r="U66" s="390"/>
      <c r="V66" s="390"/>
      <c r="W66" s="390"/>
      <c r="X66" s="390"/>
      <c r="Y66" s="390"/>
      <c r="Z66" s="390"/>
      <c r="AA66" s="390"/>
      <c r="AB66" s="390"/>
      <c r="AC66" s="390"/>
      <c r="AD66" s="390"/>
      <c r="AE66" s="390"/>
      <c r="AF66" s="390"/>
      <c r="AG66" s="385"/>
      <c r="AH66" s="390"/>
      <c r="AI66" s="385"/>
      <c r="AJ66" s="385"/>
      <c r="AK66" s="390"/>
      <c r="AL66" s="385"/>
      <c r="AM66" s="385"/>
      <c r="AN66" s="385"/>
      <c r="AO66" s="390"/>
      <c r="AP66" s="385"/>
      <c r="AQ66" s="385"/>
      <c r="AR66" s="385"/>
      <c r="AS66" s="391"/>
      <c r="AT66" s="395"/>
      <c r="AU66" s="393"/>
      <c r="AV66" s="393"/>
      <c r="AW66" s="393"/>
      <c r="AX66" s="393"/>
      <c r="AY66" s="393"/>
      <c r="AZ66" s="393"/>
      <c r="BA66" s="393"/>
      <c r="BB66" s="404"/>
      <c r="BC66" s="404"/>
      <c r="BD66" s="404"/>
      <c r="BE66" s="404"/>
      <c r="BF66" s="404"/>
      <c r="BG66" s="404"/>
      <c r="BH66" s="404"/>
      <c r="BI66" s="186"/>
      <c r="BJ66" s="213"/>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ref="B67:B105" si="14">K67</f>
        <v/>
      </c>
      <c r="C67" s="381" t="str">
        <f t="shared" ref="C67:C105" si="15">if(B67="","", xlookup($B$7,$N$7:$AR$7,$N67:$AR67))</f>
        <v/>
      </c>
      <c r="D67" s="186"/>
      <c r="E67" s="372" t="str">
        <f t="shared" ref="E67:E105" si="16">K67</f>
        <v/>
      </c>
      <c r="F67" s="381" t="str">
        <f t="shared" ref="F67:F104" si="17">if(E67="","", xlookup($E$7,$N$7:$AR$7,$N67:$AR67))</f>
        <v/>
      </c>
      <c r="G67" s="186"/>
      <c r="H67" s="186"/>
      <c r="I67" s="168" t="b">
        <v>0</v>
      </c>
      <c r="J67" s="362"/>
      <c r="K67" s="397"/>
      <c r="L67" s="403"/>
      <c r="M67" s="389"/>
      <c r="N67" s="385"/>
      <c r="O67" s="385"/>
      <c r="P67" s="385"/>
      <c r="Q67" s="385"/>
      <c r="R67" s="385"/>
      <c r="S67" s="385"/>
      <c r="T67" s="385"/>
      <c r="U67" s="390"/>
      <c r="V67" s="390"/>
      <c r="W67" s="390"/>
      <c r="X67" s="390"/>
      <c r="Y67" s="390"/>
      <c r="Z67" s="390"/>
      <c r="AA67" s="390"/>
      <c r="AB67" s="390"/>
      <c r="AC67" s="390"/>
      <c r="AD67" s="390"/>
      <c r="AE67" s="390"/>
      <c r="AF67" s="390"/>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14"/>
        <v/>
      </c>
      <c r="C68" s="381" t="str">
        <f t="shared" si="15"/>
        <v/>
      </c>
      <c r="D68" s="186"/>
      <c r="E68" s="372" t="str">
        <f t="shared" si="16"/>
        <v/>
      </c>
      <c r="F68" s="381" t="str">
        <f t="shared" si="17"/>
        <v/>
      </c>
      <c r="G68" s="186"/>
      <c r="H68" s="186"/>
      <c r="I68" s="168" t="b">
        <v>0</v>
      </c>
      <c r="J68" s="362"/>
      <c r="K68" s="397"/>
      <c r="L68" s="403"/>
      <c r="M68" s="389"/>
      <c r="N68" s="385"/>
      <c r="O68" s="385"/>
      <c r="P68" s="385"/>
      <c r="Q68" s="385"/>
      <c r="R68" s="385"/>
      <c r="S68" s="385"/>
      <c r="T68" s="385"/>
      <c r="U68" s="385"/>
      <c r="V68" s="385"/>
      <c r="W68" s="385"/>
      <c r="X68" s="385"/>
      <c r="Y68" s="385"/>
      <c r="Z68" s="385"/>
      <c r="AA68" s="385"/>
      <c r="AB68" s="385"/>
      <c r="AC68" s="385"/>
      <c r="AD68" s="385"/>
      <c r="AE68" s="385"/>
      <c r="AF68" s="385"/>
      <c r="AG68" s="385"/>
      <c r="AH68" s="385"/>
      <c r="AI68" s="385"/>
      <c r="AJ68" s="385"/>
      <c r="AK68" s="385"/>
      <c r="AL68" s="385"/>
      <c r="AM68" s="385"/>
      <c r="AN68" s="385"/>
      <c r="AO68" s="385"/>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14"/>
        <v/>
      </c>
      <c r="C69" s="381" t="str">
        <f t="shared" si="15"/>
        <v/>
      </c>
      <c r="D69" s="186"/>
      <c r="E69" s="372" t="str">
        <f t="shared" si="16"/>
        <v/>
      </c>
      <c r="F69" s="381" t="str">
        <f t="shared" si="17"/>
        <v/>
      </c>
      <c r="G69" s="186"/>
      <c r="H69" s="186"/>
      <c r="I69" s="168" t="b">
        <v>0</v>
      </c>
      <c r="J69" s="362"/>
      <c r="K69" s="397"/>
      <c r="L69" s="40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14"/>
        <v/>
      </c>
      <c r="C70" s="381" t="str">
        <f t="shared" si="15"/>
        <v/>
      </c>
      <c r="D70" s="186"/>
      <c r="E70" s="372" t="str">
        <f t="shared" si="16"/>
        <v/>
      </c>
      <c r="F70" s="381" t="str">
        <f t="shared" si="1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14"/>
        <v/>
      </c>
      <c r="C71" s="381" t="str">
        <f t="shared" si="15"/>
        <v/>
      </c>
      <c r="D71" s="186"/>
      <c r="E71" s="372" t="str">
        <f t="shared" si="16"/>
        <v/>
      </c>
      <c r="F71" s="381" t="str">
        <f t="shared" si="1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IFERROR(INDEX('💻シート作成'!$D$6:$D172, MATCH(BK71, '💻シート作成'!$E$6:$E172, 0)), "")</f>
        <v/>
      </c>
      <c r="BK71" s="168"/>
      <c r="BL71" s="396"/>
      <c r="BM71" s="186"/>
      <c r="BN71" s="186"/>
      <c r="BO71" s="186"/>
      <c r="BP71" s="186"/>
      <c r="BQ71" s="186"/>
      <c r="BR71" s="186"/>
      <c r="BS71" s="186"/>
      <c r="BT71" s="186"/>
      <c r="BU71" s="186"/>
      <c r="BV71" s="186"/>
      <c r="BW71" s="186"/>
      <c r="BX71" s="186"/>
    </row>
    <row r="72">
      <c r="A72" s="186"/>
      <c r="B72" s="372" t="str">
        <f t="shared" si="14"/>
        <v/>
      </c>
      <c r="C72" s="381" t="str">
        <f t="shared" si="15"/>
        <v/>
      </c>
      <c r="D72" s="186"/>
      <c r="E72" s="372" t="str">
        <f t="shared" si="16"/>
        <v/>
      </c>
      <c r="F72" s="381" t="str">
        <f t="shared" si="17"/>
        <v/>
      </c>
      <c r="G72" s="186"/>
      <c r="H72" s="186"/>
      <c r="I72" s="168" t="b">
        <v>0</v>
      </c>
      <c r="J72" s="362"/>
      <c r="K72" s="382"/>
      <c r="L72" s="38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IFERROR(INDEX('💻シート作成'!$D$6:$D172, MATCH(BK72, '💻シート作成'!$E$6:$E172, 0)), "")</f>
        <v/>
      </c>
      <c r="BK72" s="168"/>
      <c r="BL72" s="396"/>
      <c r="BM72" s="186"/>
      <c r="BN72" s="186"/>
      <c r="BO72" s="186"/>
      <c r="BP72" s="186"/>
      <c r="BQ72" s="186"/>
      <c r="BR72" s="186"/>
      <c r="BS72" s="186"/>
      <c r="BT72" s="186"/>
      <c r="BU72" s="186"/>
      <c r="BV72" s="186"/>
      <c r="BW72" s="186"/>
      <c r="BX72" s="186"/>
    </row>
    <row r="73">
      <c r="A73" s="186"/>
      <c r="B73" s="372" t="str">
        <f t="shared" si="14"/>
        <v/>
      </c>
      <c r="C73" s="381" t="str">
        <f t="shared" si="15"/>
        <v/>
      </c>
      <c r="D73" s="186"/>
      <c r="E73" s="372" t="str">
        <f t="shared" si="16"/>
        <v/>
      </c>
      <c r="F73" s="381" t="str">
        <f t="shared" si="1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IFERROR(INDEX('💻シート作成'!$D$6:$D172, MATCH(BK73, '💻シート作成'!$E$6:$E172, 0)), "")</f>
        <v/>
      </c>
      <c r="BK73" s="168"/>
      <c r="BL73" s="396"/>
      <c r="BM73" s="186"/>
      <c r="BN73" s="186"/>
      <c r="BO73" s="186"/>
      <c r="BP73" s="186"/>
      <c r="BQ73" s="186"/>
      <c r="BR73" s="186"/>
      <c r="BS73" s="186"/>
      <c r="BT73" s="186"/>
      <c r="BU73" s="186"/>
      <c r="BV73" s="186"/>
      <c r="BW73" s="186"/>
      <c r="BX73" s="186"/>
    </row>
    <row r="74">
      <c r="A74" s="186"/>
      <c r="B74" s="372" t="str">
        <f t="shared" si="14"/>
        <v/>
      </c>
      <c r="C74" s="381" t="str">
        <f t="shared" si="15"/>
        <v/>
      </c>
      <c r="D74" s="186"/>
      <c r="E74" s="372" t="str">
        <f t="shared" si="16"/>
        <v/>
      </c>
      <c r="F74" s="381" t="str">
        <f t="shared" si="1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IFERROR(INDEX('💻シート作成'!$D$6:$D172, MATCH(BK74, '💻シート作成'!$E$6:$E172, 0)), "")</f>
        <v/>
      </c>
      <c r="BK74" s="168"/>
      <c r="BL74" s="396"/>
      <c r="BM74" s="186"/>
      <c r="BN74" s="186"/>
      <c r="BO74" s="186"/>
      <c r="BP74" s="186"/>
      <c r="BQ74" s="186"/>
      <c r="BR74" s="186"/>
      <c r="BS74" s="186"/>
      <c r="BT74" s="186"/>
      <c r="BU74" s="186"/>
      <c r="BV74" s="186"/>
      <c r="BW74" s="186"/>
      <c r="BX74" s="186"/>
    </row>
    <row r="75">
      <c r="A75" s="186"/>
      <c r="B75" s="372" t="str">
        <f t="shared" si="14"/>
        <v/>
      </c>
      <c r="C75" s="381" t="str">
        <f t="shared" si="15"/>
        <v/>
      </c>
      <c r="D75" s="186"/>
      <c r="E75" s="372" t="str">
        <f t="shared" si="16"/>
        <v/>
      </c>
      <c r="F75" s="381" t="str">
        <f t="shared" si="17"/>
        <v/>
      </c>
      <c r="G75" s="186"/>
      <c r="H75" s="186"/>
      <c r="I75" s="168" t="b">
        <v>0</v>
      </c>
      <c r="J75" s="362"/>
      <c r="K75" s="397"/>
      <c r="L75" s="403"/>
      <c r="M75" s="389"/>
      <c r="N75" s="390"/>
      <c r="O75" s="390"/>
      <c r="P75" s="390"/>
      <c r="Q75" s="390"/>
      <c r="R75" s="390"/>
      <c r="S75" s="390"/>
      <c r="T75" s="390"/>
      <c r="U75" s="390"/>
      <c r="V75" s="390"/>
      <c r="W75" s="390"/>
      <c r="X75" s="390"/>
      <c r="Y75" s="390"/>
      <c r="Z75" s="390"/>
      <c r="AA75" s="390"/>
      <c r="AB75" s="390"/>
      <c r="AC75" s="390"/>
      <c r="AD75" s="390"/>
      <c r="AE75" s="390"/>
      <c r="AF75" s="390"/>
      <c r="AG75" s="390"/>
      <c r="AH75" s="390"/>
      <c r="AI75" s="390"/>
      <c r="AJ75" s="390"/>
      <c r="AK75" s="390"/>
      <c r="AL75" s="390"/>
      <c r="AM75" s="390"/>
      <c r="AN75" s="390"/>
      <c r="AO75" s="390"/>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IFERROR(INDEX('💻シート作成'!$D$6:$D172, MATCH(BK75, '💻シート作成'!$E$6:$E172, 0)), "")</f>
        <v/>
      </c>
      <c r="BK75" s="168"/>
      <c r="BL75" s="396"/>
      <c r="BM75" s="186"/>
      <c r="BN75" s="186"/>
      <c r="BO75" s="186"/>
      <c r="BP75" s="186"/>
      <c r="BQ75" s="186"/>
      <c r="BR75" s="186"/>
      <c r="BS75" s="186"/>
      <c r="BT75" s="186"/>
      <c r="BU75" s="186"/>
      <c r="BV75" s="186"/>
      <c r="BW75" s="186"/>
      <c r="BX75" s="186"/>
    </row>
    <row r="76">
      <c r="A76" s="186"/>
      <c r="B76" s="372" t="str">
        <f t="shared" si="14"/>
        <v/>
      </c>
      <c r="C76" s="381" t="str">
        <f t="shared" si="15"/>
        <v/>
      </c>
      <c r="D76" s="186"/>
      <c r="E76" s="372" t="str">
        <f t="shared" si="16"/>
        <v/>
      </c>
      <c r="F76" s="381" t="str">
        <f t="shared" si="1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IFERROR(INDEX('💻シート作成'!$D$6:$D172, MATCH(BK76, '💻シート作成'!$E$6:$E172, 0)), "")</f>
        <v/>
      </c>
      <c r="BK76" s="168"/>
      <c r="BL76" s="396"/>
      <c r="BM76" s="186"/>
      <c r="BN76" s="186"/>
      <c r="BO76" s="186"/>
      <c r="BP76" s="186"/>
      <c r="BQ76" s="186"/>
      <c r="BR76" s="186"/>
      <c r="BS76" s="186"/>
      <c r="BT76" s="186"/>
      <c r="BU76" s="186"/>
      <c r="BV76" s="186"/>
      <c r="BW76" s="186"/>
      <c r="BX76" s="186"/>
    </row>
    <row r="77">
      <c r="A77" s="186"/>
      <c r="B77" s="372" t="str">
        <f t="shared" si="14"/>
        <v/>
      </c>
      <c r="C77" s="381" t="str">
        <f t="shared" si="15"/>
        <v/>
      </c>
      <c r="D77" s="186"/>
      <c r="E77" s="372" t="str">
        <f t="shared" si="16"/>
        <v/>
      </c>
      <c r="F77" s="381" t="str">
        <f t="shared" si="17"/>
        <v/>
      </c>
      <c r="G77" s="186"/>
      <c r="H77" s="186"/>
      <c r="I77" s="168" t="b">
        <v>0</v>
      </c>
      <c r="J77" s="362"/>
      <c r="K77" s="397"/>
      <c r="L77" s="403"/>
      <c r="M77" s="389"/>
      <c r="N77" s="385"/>
      <c r="O77" s="385"/>
      <c r="P77" s="385"/>
      <c r="Q77" s="385"/>
      <c r="R77" s="385"/>
      <c r="S77" s="385"/>
      <c r="T77" s="385"/>
      <c r="U77" s="390"/>
      <c r="V77" s="390"/>
      <c r="W77" s="390"/>
      <c r="X77" s="390"/>
      <c r="Y77" s="390"/>
      <c r="Z77" s="390"/>
      <c r="AA77" s="390"/>
      <c r="AB77" s="390"/>
      <c r="AC77" s="390"/>
      <c r="AD77" s="390"/>
      <c r="AE77" s="390"/>
      <c r="AF77" s="390"/>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IFERROR(INDEX('💻シート作成'!$D$6:$D172, MATCH(BK77, '💻シート作成'!$E$6:$E172, 0)), "")</f>
        <v/>
      </c>
      <c r="BK77" s="168"/>
      <c r="BL77" s="396"/>
      <c r="BM77" s="186"/>
      <c r="BN77" s="186"/>
      <c r="BO77" s="186"/>
      <c r="BP77" s="186"/>
      <c r="BQ77" s="186"/>
      <c r="BR77" s="186"/>
      <c r="BS77" s="186"/>
      <c r="BT77" s="186"/>
      <c r="BU77" s="186"/>
      <c r="BV77" s="186"/>
      <c r="BW77" s="186"/>
      <c r="BX77" s="186"/>
    </row>
    <row r="78">
      <c r="A78" s="186"/>
      <c r="B78" s="372" t="str">
        <f t="shared" si="14"/>
        <v/>
      </c>
      <c r="C78" s="381" t="str">
        <f t="shared" si="15"/>
        <v/>
      </c>
      <c r="D78" s="186"/>
      <c r="E78" s="372" t="str">
        <f t="shared" si="16"/>
        <v/>
      </c>
      <c r="F78" s="381" t="str">
        <f t="shared" si="17"/>
        <v/>
      </c>
      <c r="G78" s="186"/>
      <c r="H78" s="186"/>
      <c r="I78" s="168" t="b">
        <v>0</v>
      </c>
      <c r="J78" s="362"/>
      <c r="K78" s="397"/>
      <c r="L78" s="403"/>
      <c r="M78" s="389"/>
      <c r="N78" s="385"/>
      <c r="O78" s="385"/>
      <c r="P78" s="385"/>
      <c r="Q78" s="385"/>
      <c r="R78" s="385"/>
      <c r="S78" s="385"/>
      <c r="T78" s="385"/>
      <c r="U78" s="385"/>
      <c r="V78" s="385"/>
      <c r="W78" s="385"/>
      <c r="X78" s="385"/>
      <c r="Y78" s="385"/>
      <c r="Z78" s="385"/>
      <c r="AA78" s="385"/>
      <c r="AB78" s="385"/>
      <c r="AC78" s="385"/>
      <c r="AD78" s="385"/>
      <c r="AE78" s="385"/>
      <c r="AF78" s="385"/>
      <c r="AG78" s="385"/>
      <c r="AH78" s="385"/>
      <c r="AI78" s="385"/>
      <c r="AJ78" s="385"/>
      <c r="AK78" s="385"/>
      <c r="AL78" s="385"/>
      <c r="AM78" s="385"/>
      <c r="AN78" s="385"/>
      <c r="AO78" s="385"/>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IFERROR(INDEX('💻シート作成'!$D$6:$D172, MATCH(BK78, '💻シート作成'!$E$6:$E172, 0)), "")</f>
        <v/>
      </c>
      <c r="BK78" s="168"/>
      <c r="BL78" s="396"/>
      <c r="BM78" s="186"/>
      <c r="BN78" s="186"/>
      <c r="BO78" s="186"/>
      <c r="BP78" s="186"/>
      <c r="BQ78" s="186"/>
      <c r="BR78" s="186"/>
      <c r="BS78" s="186"/>
      <c r="BT78" s="186"/>
      <c r="BU78" s="186"/>
      <c r="BV78" s="186"/>
      <c r="BW78" s="186"/>
      <c r="BX78" s="186"/>
    </row>
    <row r="79">
      <c r="A79" s="186"/>
      <c r="B79" s="372" t="str">
        <f t="shared" si="14"/>
        <v/>
      </c>
      <c r="C79" s="381" t="str">
        <f t="shared" si="15"/>
        <v/>
      </c>
      <c r="D79" s="186"/>
      <c r="E79" s="372" t="str">
        <f t="shared" si="16"/>
        <v/>
      </c>
      <c r="F79" s="381" t="str">
        <f t="shared" si="17"/>
        <v/>
      </c>
      <c r="G79" s="186"/>
      <c r="H79" s="186"/>
      <c r="I79" s="168" t="b">
        <v>0</v>
      </c>
      <c r="J79" s="362"/>
      <c r="K79" s="397"/>
      <c r="L79" s="40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IFERROR(INDEX('💻シート作成'!$D$6:$D172, MATCH(BK79, '💻シート作成'!$E$6:$E172, 0)), "")</f>
        <v/>
      </c>
      <c r="BK79" s="168"/>
      <c r="BL79" s="396"/>
      <c r="BM79" s="186"/>
      <c r="BN79" s="186"/>
      <c r="BO79" s="186"/>
      <c r="BP79" s="186"/>
      <c r="BQ79" s="186"/>
      <c r="BR79" s="186"/>
      <c r="BS79" s="186"/>
      <c r="BT79" s="186"/>
      <c r="BU79" s="186"/>
      <c r="BV79" s="186"/>
      <c r="BW79" s="186"/>
      <c r="BX79" s="186"/>
    </row>
    <row r="80">
      <c r="A80" s="186"/>
      <c r="B80" s="372" t="str">
        <f t="shared" si="14"/>
        <v/>
      </c>
      <c r="C80" s="381" t="str">
        <f t="shared" si="15"/>
        <v/>
      </c>
      <c r="D80" s="186"/>
      <c r="E80" s="372" t="str">
        <f t="shared" si="16"/>
        <v/>
      </c>
      <c r="F80" s="381" t="str">
        <f t="shared" si="1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IFERROR(INDEX('💻シート作成'!$D$6:$D172, MATCH(BK80, '💻シート作成'!$E$6:$E172, 0)), "")</f>
        <v/>
      </c>
      <c r="BK80" s="168"/>
      <c r="BL80" s="396"/>
      <c r="BM80" s="186"/>
      <c r="BN80" s="186"/>
      <c r="BO80" s="186"/>
      <c r="BP80" s="186"/>
      <c r="BQ80" s="186"/>
      <c r="BR80" s="186"/>
      <c r="BS80" s="186"/>
      <c r="BT80" s="186"/>
      <c r="BU80" s="186"/>
      <c r="BV80" s="186"/>
      <c r="BW80" s="186"/>
      <c r="BX80" s="186"/>
    </row>
    <row r="81">
      <c r="A81" s="186"/>
      <c r="B81" s="372" t="str">
        <f t="shared" si="14"/>
        <v/>
      </c>
      <c r="C81" s="381" t="str">
        <f t="shared" si="15"/>
        <v/>
      </c>
      <c r="D81" s="186"/>
      <c r="E81" s="372" t="str">
        <f t="shared" si="16"/>
        <v/>
      </c>
      <c r="F81" s="381" t="str">
        <f t="shared" si="1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IFERROR(INDEX('💻シート作成'!$D$6:$D172, MATCH(BK81, '💻シート作成'!$E$6:$E172, 0)), "")</f>
        <v/>
      </c>
      <c r="BK81" s="168"/>
      <c r="BL81" s="396"/>
      <c r="BM81" s="186"/>
      <c r="BN81" s="186"/>
      <c r="BO81" s="186"/>
      <c r="BP81" s="186"/>
      <c r="BQ81" s="186"/>
      <c r="BR81" s="186"/>
      <c r="BS81" s="186"/>
      <c r="BT81" s="186"/>
      <c r="BU81" s="186"/>
      <c r="BV81" s="186"/>
      <c r="BW81" s="186"/>
      <c r="BX81" s="186"/>
    </row>
    <row r="82">
      <c r="A82" s="186"/>
      <c r="B82" s="372" t="str">
        <f t="shared" si="14"/>
        <v/>
      </c>
      <c r="C82" s="381" t="str">
        <f t="shared" si="15"/>
        <v/>
      </c>
      <c r="D82" s="186"/>
      <c r="E82" s="372" t="str">
        <f t="shared" si="16"/>
        <v/>
      </c>
      <c r="F82" s="381" t="str">
        <f t="shared" si="17"/>
        <v/>
      </c>
      <c r="G82" s="186"/>
      <c r="H82" s="186"/>
      <c r="I82" s="168" t="b">
        <v>0</v>
      </c>
      <c r="J82" s="362"/>
      <c r="K82" s="382"/>
      <c r="L82" s="38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IFERROR(INDEX('💻シート作成'!$D$6:$D172, MATCH(BK82, '💻シート作成'!$E$6:$E172, 0)), "")</f>
        <v/>
      </c>
      <c r="BK82" s="168"/>
      <c r="BL82" s="396"/>
      <c r="BM82" s="186"/>
      <c r="BN82" s="186"/>
      <c r="BO82" s="186"/>
      <c r="BP82" s="186"/>
      <c r="BQ82" s="186"/>
      <c r="BR82" s="186"/>
      <c r="BS82" s="186"/>
      <c r="BT82" s="186"/>
      <c r="BU82" s="186"/>
      <c r="BV82" s="186"/>
      <c r="BW82" s="186"/>
      <c r="BX82" s="186"/>
    </row>
    <row r="83">
      <c r="A83" s="186"/>
      <c r="B83" s="372" t="str">
        <f t="shared" si="14"/>
        <v/>
      </c>
      <c r="C83" s="381" t="str">
        <f t="shared" si="15"/>
        <v/>
      </c>
      <c r="D83" s="186"/>
      <c r="E83" s="372" t="str">
        <f t="shared" si="16"/>
        <v/>
      </c>
      <c r="F83" s="381" t="str">
        <f t="shared" si="1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IFERROR(INDEX('💻シート作成'!$D$6:$D172, MATCH(BK83, '💻シート作成'!$E$6:$E172, 0)), "")</f>
        <v/>
      </c>
      <c r="BK83" s="168"/>
      <c r="BL83" s="396"/>
      <c r="BM83" s="186"/>
      <c r="BN83" s="186"/>
      <c r="BO83" s="186"/>
      <c r="BP83" s="186"/>
      <c r="BQ83" s="186"/>
      <c r="BR83" s="186"/>
      <c r="BS83" s="186"/>
      <c r="BT83" s="186"/>
      <c r="BU83" s="186"/>
      <c r="BV83" s="186"/>
      <c r="BW83" s="186"/>
      <c r="BX83" s="186"/>
    </row>
    <row r="84">
      <c r="A84" s="186"/>
      <c r="B84" s="372" t="str">
        <f t="shared" si="14"/>
        <v/>
      </c>
      <c r="C84" s="381" t="str">
        <f t="shared" si="15"/>
        <v/>
      </c>
      <c r="D84" s="186"/>
      <c r="E84" s="372" t="str">
        <f t="shared" si="16"/>
        <v/>
      </c>
      <c r="F84" s="381" t="str">
        <f t="shared" si="1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IFERROR(INDEX('💻シート作成'!$D$6:$D172, MATCH(BK84, '💻シート作成'!$E$6:$E172, 0)), "")</f>
        <v/>
      </c>
      <c r="BK84" s="168"/>
      <c r="BL84" s="396"/>
      <c r="BM84" s="186"/>
      <c r="BN84" s="186"/>
      <c r="BO84" s="186"/>
      <c r="BP84" s="186"/>
      <c r="BQ84" s="186"/>
      <c r="BR84" s="186"/>
      <c r="BS84" s="186"/>
      <c r="BT84" s="186"/>
      <c r="BU84" s="186"/>
      <c r="BV84" s="186"/>
      <c r="BW84" s="186"/>
      <c r="BX84" s="186"/>
    </row>
    <row r="85">
      <c r="A85" s="186"/>
      <c r="B85" s="372" t="str">
        <f t="shared" si="14"/>
        <v/>
      </c>
      <c r="C85" s="381" t="str">
        <f t="shared" si="15"/>
        <v/>
      </c>
      <c r="D85" s="186"/>
      <c r="E85" s="372" t="str">
        <f t="shared" si="16"/>
        <v/>
      </c>
      <c r="F85" s="381" t="str">
        <f t="shared" si="17"/>
        <v/>
      </c>
      <c r="G85" s="186"/>
      <c r="H85" s="186"/>
      <c r="I85" s="168" t="b">
        <v>0</v>
      </c>
      <c r="J85" s="362"/>
      <c r="K85" s="397"/>
      <c r="L85" s="403"/>
      <c r="M85" s="389"/>
      <c r="N85" s="390"/>
      <c r="O85" s="390"/>
      <c r="P85" s="390"/>
      <c r="Q85" s="390"/>
      <c r="R85" s="390"/>
      <c r="S85" s="390"/>
      <c r="T85" s="390"/>
      <c r="U85" s="390"/>
      <c r="V85" s="390"/>
      <c r="W85" s="390"/>
      <c r="X85" s="390"/>
      <c r="Y85" s="390"/>
      <c r="Z85" s="390"/>
      <c r="AA85" s="390"/>
      <c r="AB85" s="390"/>
      <c r="AC85" s="390"/>
      <c r="AD85" s="390"/>
      <c r="AE85" s="390"/>
      <c r="AF85" s="390"/>
      <c r="AG85" s="390"/>
      <c r="AH85" s="390"/>
      <c r="AI85" s="390"/>
      <c r="AJ85" s="390"/>
      <c r="AK85" s="390"/>
      <c r="AL85" s="390"/>
      <c r="AM85" s="390"/>
      <c r="AN85" s="390"/>
      <c r="AO85" s="390"/>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IFERROR(INDEX('💻シート作成'!$D$6:$D172, MATCH(BK85, '💻シート作成'!$E$6:$E172, 0)), "")</f>
        <v/>
      </c>
      <c r="BK85" s="168"/>
      <c r="BL85" s="396"/>
      <c r="BM85" s="186"/>
      <c r="BN85" s="186"/>
      <c r="BO85" s="186"/>
      <c r="BP85" s="186"/>
      <c r="BQ85" s="186"/>
      <c r="BR85" s="186"/>
      <c r="BS85" s="186"/>
      <c r="BT85" s="186"/>
      <c r="BU85" s="186"/>
      <c r="BV85" s="186"/>
      <c r="BW85" s="186"/>
      <c r="BX85" s="186"/>
    </row>
    <row r="86">
      <c r="A86" s="186"/>
      <c r="B86" s="372" t="str">
        <f t="shared" si="14"/>
        <v/>
      </c>
      <c r="C86" s="381" t="str">
        <f t="shared" si="15"/>
        <v/>
      </c>
      <c r="D86" s="186"/>
      <c r="E86" s="372" t="str">
        <f t="shared" si="16"/>
        <v/>
      </c>
      <c r="F86" s="381" t="str">
        <f t="shared" si="1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IFERROR(INDEX('💻シート作成'!$D$6:$D172, MATCH(BK86, '💻シート作成'!$E$6:$E172, 0)), "")</f>
        <v/>
      </c>
      <c r="BK86" s="168"/>
      <c r="BL86" s="396"/>
      <c r="BM86" s="186"/>
      <c r="BN86" s="186"/>
      <c r="BO86" s="186"/>
      <c r="BP86" s="186"/>
      <c r="BQ86" s="186"/>
      <c r="BR86" s="186"/>
      <c r="BS86" s="186"/>
      <c r="BT86" s="186"/>
      <c r="BU86" s="186"/>
      <c r="BV86" s="186"/>
      <c r="BW86" s="186"/>
      <c r="BX86" s="186"/>
    </row>
    <row r="87">
      <c r="A87" s="186"/>
      <c r="B87" s="372" t="str">
        <f t="shared" si="14"/>
        <v/>
      </c>
      <c r="C87" s="381" t="str">
        <f t="shared" si="15"/>
        <v/>
      </c>
      <c r="D87" s="186"/>
      <c r="E87" s="372" t="str">
        <f t="shared" si="16"/>
        <v/>
      </c>
      <c r="F87" s="381" t="str">
        <f t="shared" si="17"/>
        <v/>
      </c>
      <c r="G87" s="186"/>
      <c r="H87" s="186"/>
      <c r="I87" s="168" t="b">
        <v>0</v>
      </c>
      <c r="J87" s="362"/>
      <c r="K87" s="397"/>
      <c r="L87" s="403"/>
      <c r="M87" s="389"/>
      <c r="N87" s="385"/>
      <c r="O87" s="385"/>
      <c r="P87" s="385"/>
      <c r="Q87" s="385"/>
      <c r="R87" s="385"/>
      <c r="S87" s="385"/>
      <c r="T87" s="385"/>
      <c r="U87" s="390"/>
      <c r="V87" s="390"/>
      <c r="W87" s="390"/>
      <c r="X87" s="390"/>
      <c r="Y87" s="390"/>
      <c r="Z87" s="390"/>
      <c r="AA87" s="390"/>
      <c r="AB87" s="390"/>
      <c r="AC87" s="390"/>
      <c r="AD87" s="390"/>
      <c r="AE87" s="390"/>
      <c r="AF87" s="390"/>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IFERROR(INDEX('💻シート作成'!$D$6:$D172, MATCH(BK87, '💻シート作成'!$E$6:$E172, 0)), "")</f>
        <v/>
      </c>
      <c r="BK87" s="168"/>
      <c r="BL87" s="396"/>
      <c r="BM87" s="186"/>
      <c r="BN87" s="186"/>
      <c r="BO87" s="186"/>
      <c r="BP87" s="186"/>
      <c r="BQ87" s="186"/>
      <c r="BR87" s="186"/>
      <c r="BS87" s="186"/>
      <c r="BT87" s="186"/>
      <c r="BU87" s="186"/>
      <c r="BV87" s="186"/>
      <c r="BW87" s="186"/>
      <c r="BX87" s="186"/>
    </row>
    <row r="88">
      <c r="A88" s="186"/>
      <c r="B88" s="372" t="str">
        <f t="shared" si="14"/>
        <v/>
      </c>
      <c r="C88" s="381" t="str">
        <f t="shared" si="15"/>
        <v/>
      </c>
      <c r="D88" s="186"/>
      <c r="E88" s="372" t="str">
        <f t="shared" si="16"/>
        <v/>
      </c>
      <c r="F88" s="381" t="str">
        <f t="shared" si="17"/>
        <v/>
      </c>
      <c r="G88" s="186"/>
      <c r="H88" s="186"/>
      <c r="I88" s="168" t="b">
        <v>0</v>
      </c>
      <c r="J88" s="362"/>
      <c r="K88" s="397"/>
      <c r="L88" s="403"/>
      <c r="M88" s="389"/>
      <c r="N88" s="385"/>
      <c r="O88" s="385"/>
      <c r="P88" s="385"/>
      <c r="Q88" s="385"/>
      <c r="R88" s="385"/>
      <c r="S88" s="385"/>
      <c r="T88" s="385"/>
      <c r="U88" s="385"/>
      <c r="V88" s="385"/>
      <c r="W88" s="385"/>
      <c r="X88" s="385"/>
      <c r="Y88" s="385"/>
      <c r="Z88" s="385"/>
      <c r="AA88" s="385"/>
      <c r="AB88" s="385"/>
      <c r="AC88" s="385"/>
      <c r="AD88" s="385"/>
      <c r="AE88" s="385"/>
      <c r="AF88" s="385"/>
      <c r="AG88" s="385"/>
      <c r="AH88" s="385"/>
      <c r="AI88" s="385"/>
      <c r="AJ88" s="385"/>
      <c r="AK88" s="385"/>
      <c r="AL88" s="385"/>
      <c r="AM88" s="385"/>
      <c r="AN88" s="385"/>
      <c r="AO88" s="385"/>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IFERROR(INDEX('💻シート作成'!$D$6:$D172, MATCH(BK88, '💻シート作成'!$E$6:$E172, 0)), "")</f>
        <v/>
      </c>
      <c r="BK88" s="168"/>
      <c r="BL88" s="396"/>
      <c r="BM88" s="186"/>
      <c r="BN88" s="186"/>
      <c r="BO88" s="186"/>
      <c r="BP88" s="186"/>
      <c r="BQ88" s="186"/>
      <c r="BR88" s="186"/>
      <c r="BS88" s="186"/>
      <c r="BT88" s="186"/>
      <c r="BU88" s="186"/>
      <c r="BV88" s="186"/>
      <c r="BW88" s="186"/>
      <c r="BX88" s="186"/>
    </row>
    <row r="89">
      <c r="A89" s="186"/>
      <c r="B89" s="372" t="str">
        <f t="shared" si="14"/>
        <v/>
      </c>
      <c r="C89" s="381" t="str">
        <f t="shared" si="15"/>
        <v/>
      </c>
      <c r="D89" s="186"/>
      <c r="E89" s="372" t="str">
        <f t="shared" si="16"/>
        <v/>
      </c>
      <c r="F89" s="381" t="str">
        <f t="shared" si="17"/>
        <v/>
      </c>
      <c r="G89" s="186"/>
      <c r="H89" s="186"/>
      <c r="I89" s="168" t="b">
        <v>0</v>
      </c>
      <c r="J89" s="362"/>
      <c r="K89" s="397"/>
      <c r="L89" s="40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IFERROR(INDEX('💻シート作成'!$D$6:$D172, MATCH(BK89, '💻シート作成'!$E$6:$E172, 0)), "")</f>
        <v/>
      </c>
      <c r="BK89" s="168"/>
      <c r="BL89" s="396"/>
      <c r="BM89" s="186"/>
      <c r="BN89" s="186"/>
      <c r="BO89" s="186"/>
      <c r="BP89" s="186"/>
      <c r="BQ89" s="186"/>
      <c r="BR89" s="186"/>
      <c r="BS89" s="186"/>
      <c r="BT89" s="186"/>
      <c r="BU89" s="186"/>
      <c r="BV89" s="186"/>
      <c r="BW89" s="186"/>
      <c r="BX89" s="186"/>
    </row>
    <row r="90">
      <c r="A90" s="186"/>
      <c r="B90" s="372" t="str">
        <f t="shared" si="14"/>
        <v/>
      </c>
      <c r="C90" s="381" t="str">
        <f t="shared" si="15"/>
        <v/>
      </c>
      <c r="D90" s="186"/>
      <c r="E90" s="372" t="str">
        <f t="shared" si="16"/>
        <v/>
      </c>
      <c r="F90" s="381" t="str">
        <f t="shared" si="1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IFERROR(INDEX('💻シート作成'!$D$6:$D172, MATCH(BK90, '💻シート作成'!$E$6:$E172, 0)), "")</f>
        <v/>
      </c>
      <c r="BK90" s="168"/>
      <c r="BL90" s="396"/>
      <c r="BM90" s="186"/>
      <c r="BN90" s="186"/>
      <c r="BO90" s="186"/>
      <c r="BP90" s="186"/>
      <c r="BQ90" s="186"/>
      <c r="BR90" s="186"/>
      <c r="BS90" s="186"/>
      <c r="BT90" s="186"/>
      <c r="BU90" s="186"/>
      <c r="BV90" s="186"/>
      <c r="BW90" s="186"/>
      <c r="BX90" s="186"/>
    </row>
    <row r="91">
      <c r="A91" s="186"/>
      <c r="B91" s="372" t="str">
        <f t="shared" si="14"/>
        <v/>
      </c>
      <c r="C91" s="381" t="str">
        <f t="shared" si="15"/>
        <v/>
      </c>
      <c r="D91" s="186"/>
      <c r="E91" s="372" t="str">
        <f t="shared" si="16"/>
        <v/>
      </c>
      <c r="F91" s="381" t="str">
        <f t="shared" si="1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IFERROR(INDEX('💻シート作成'!$D$6:$D172, MATCH(BK91, '💻シート作成'!$E$6:$E172, 0)), "")</f>
        <v/>
      </c>
      <c r="BK91" s="168"/>
      <c r="BL91" s="396"/>
      <c r="BM91" s="186"/>
      <c r="BN91" s="186"/>
      <c r="BO91" s="186"/>
      <c r="BP91" s="186"/>
      <c r="BQ91" s="186"/>
      <c r="BR91" s="186"/>
      <c r="BS91" s="186"/>
      <c r="BT91" s="186"/>
      <c r="BU91" s="186"/>
      <c r="BV91" s="186"/>
      <c r="BW91" s="186"/>
      <c r="BX91" s="186"/>
    </row>
    <row r="92">
      <c r="A92" s="186"/>
      <c r="B92" s="372" t="str">
        <f t="shared" si="14"/>
        <v/>
      </c>
      <c r="C92" s="381" t="str">
        <f t="shared" si="15"/>
        <v/>
      </c>
      <c r="D92" s="186"/>
      <c r="E92" s="372" t="str">
        <f t="shared" si="16"/>
        <v/>
      </c>
      <c r="F92" s="381" t="str">
        <f t="shared" si="1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IFERROR(INDEX('💻シート作成'!$D$6:$D172, MATCH(BK92, '💻シート作成'!$E$6:$E172, 0)), "")</f>
        <v/>
      </c>
      <c r="BK92" s="168"/>
      <c r="BL92" s="396"/>
      <c r="BM92" s="186"/>
      <c r="BN92" s="186"/>
      <c r="BO92" s="186"/>
      <c r="BP92" s="186"/>
      <c r="BQ92" s="186"/>
      <c r="BR92" s="186"/>
      <c r="BS92" s="186"/>
      <c r="BT92" s="186"/>
      <c r="BU92" s="186"/>
      <c r="BV92" s="186"/>
      <c r="BW92" s="186"/>
      <c r="BX92" s="186"/>
    </row>
    <row r="93">
      <c r="A93" s="186"/>
      <c r="B93" s="372" t="str">
        <f t="shared" si="14"/>
        <v/>
      </c>
      <c r="C93" s="381" t="str">
        <f t="shared" si="15"/>
        <v/>
      </c>
      <c r="D93" s="186"/>
      <c r="E93" s="372" t="str">
        <f t="shared" si="16"/>
        <v/>
      </c>
      <c r="F93" s="381" t="str">
        <f t="shared" si="1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IFERROR(INDEX('💻シート作成'!$D$6:$D172, MATCH(BK93, '💻シート作成'!$E$6:$E172, 0)), "")</f>
        <v/>
      </c>
      <c r="BK93" s="168"/>
      <c r="BL93" s="396"/>
      <c r="BM93" s="186"/>
      <c r="BN93" s="186"/>
      <c r="BO93" s="186"/>
      <c r="BP93" s="186"/>
      <c r="BQ93" s="186"/>
      <c r="BR93" s="186"/>
      <c r="BS93" s="186"/>
      <c r="BT93" s="186"/>
      <c r="BU93" s="186"/>
      <c r="BV93" s="186"/>
      <c r="BW93" s="186"/>
      <c r="BX93" s="186"/>
    </row>
    <row r="94">
      <c r="A94" s="186"/>
      <c r="B94" s="372" t="str">
        <f t="shared" si="14"/>
        <v/>
      </c>
      <c r="C94" s="381" t="str">
        <f t="shared" si="15"/>
        <v/>
      </c>
      <c r="D94" s="186"/>
      <c r="E94" s="372" t="str">
        <f t="shared" si="16"/>
        <v/>
      </c>
      <c r="F94" s="381" t="str">
        <f t="shared" si="1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IFERROR(INDEX('💻シート作成'!$D$6:$D172, MATCH(BK94, '💻シート作成'!$E$6:$E172, 0)), "")</f>
        <v/>
      </c>
      <c r="BK94" s="168"/>
      <c r="BL94" s="396"/>
      <c r="BM94" s="186"/>
      <c r="BN94" s="186"/>
      <c r="BO94" s="186"/>
      <c r="BP94" s="186"/>
      <c r="BQ94" s="186"/>
      <c r="BR94" s="186"/>
      <c r="BS94" s="186"/>
      <c r="BT94" s="186"/>
      <c r="BU94" s="186"/>
      <c r="BV94" s="186"/>
      <c r="BW94" s="186"/>
      <c r="BX94" s="186"/>
    </row>
    <row r="95">
      <c r="A95" s="186"/>
      <c r="B95" s="372" t="str">
        <f t="shared" si="14"/>
        <v/>
      </c>
      <c r="C95" s="381" t="str">
        <f t="shared" si="15"/>
        <v/>
      </c>
      <c r="D95" s="186"/>
      <c r="E95" s="372" t="str">
        <f t="shared" si="16"/>
        <v/>
      </c>
      <c r="F95" s="381" t="str">
        <f t="shared" si="1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IFERROR(INDEX('💻シート作成'!$D$6:$D172, MATCH(BK95, '💻シート作成'!$E$6:$E172, 0)), "")</f>
        <v/>
      </c>
      <c r="BK95" s="168"/>
      <c r="BL95" s="396"/>
      <c r="BM95" s="186"/>
      <c r="BN95" s="186"/>
      <c r="BO95" s="186"/>
      <c r="BP95" s="186"/>
      <c r="BQ95" s="186"/>
      <c r="BR95" s="186"/>
      <c r="BS95" s="186"/>
      <c r="BT95" s="186"/>
      <c r="BU95" s="186"/>
      <c r="BV95" s="186"/>
      <c r="BW95" s="186"/>
      <c r="BX95" s="186"/>
    </row>
    <row r="96">
      <c r="A96" s="186"/>
      <c r="B96" s="372" t="str">
        <f t="shared" si="14"/>
        <v/>
      </c>
      <c r="C96" s="381" t="str">
        <f t="shared" si="15"/>
        <v/>
      </c>
      <c r="D96" s="186"/>
      <c r="E96" s="372" t="str">
        <f t="shared" si="16"/>
        <v/>
      </c>
      <c r="F96" s="381" t="str">
        <f t="shared" si="1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IFERROR(INDEX('💻シート作成'!$D$6:$D172, MATCH(BK96, '💻シート作成'!$E$6:$E172, 0)), "")</f>
        <v/>
      </c>
      <c r="BK96" s="168"/>
      <c r="BL96" s="396"/>
      <c r="BM96" s="186"/>
      <c r="BN96" s="186"/>
      <c r="BO96" s="186"/>
      <c r="BP96" s="186"/>
      <c r="BQ96" s="186"/>
      <c r="BR96" s="186"/>
      <c r="BS96" s="186"/>
      <c r="BT96" s="186"/>
      <c r="BU96" s="186"/>
      <c r="BV96" s="186"/>
      <c r="BW96" s="186"/>
      <c r="BX96" s="186"/>
    </row>
    <row r="97">
      <c r="A97" s="186"/>
      <c r="B97" s="372" t="str">
        <f t="shared" si="14"/>
        <v/>
      </c>
      <c r="C97" s="381" t="str">
        <f t="shared" si="15"/>
        <v/>
      </c>
      <c r="D97" s="186"/>
      <c r="E97" s="372" t="str">
        <f t="shared" si="16"/>
        <v/>
      </c>
      <c r="F97" s="381" t="str">
        <f t="shared" si="1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IFERROR(INDEX('💻シート作成'!$D$6:$D172, MATCH(BK97, '💻シート作成'!$E$6:$E172, 0)), "")</f>
        <v/>
      </c>
      <c r="BK97" s="168"/>
      <c r="BL97" s="396"/>
      <c r="BM97" s="186"/>
      <c r="BN97" s="186"/>
      <c r="BO97" s="186"/>
      <c r="BP97" s="186"/>
      <c r="BQ97" s="186"/>
      <c r="BR97" s="186"/>
      <c r="BS97" s="186"/>
      <c r="BT97" s="186"/>
      <c r="BU97" s="186"/>
      <c r="BV97" s="186"/>
      <c r="BW97" s="186"/>
      <c r="BX97" s="186"/>
    </row>
    <row r="98">
      <c r="A98" s="186"/>
      <c r="B98" s="372" t="str">
        <f t="shared" si="14"/>
        <v/>
      </c>
      <c r="C98" s="381" t="str">
        <f t="shared" si="15"/>
        <v/>
      </c>
      <c r="D98" s="186"/>
      <c r="E98" s="372" t="str">
        <f t="shared" si="16"/>
        <v/>
      </c>
      <c r="F98" s="381" t="str">
        <f t="shared" si="1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IFERROR(INDEX('💻シート作成'!$D$6:$D172, MATCH(BK98, '💻シート作成'!$E$6:$E172, 0)), "")</f>
        <v/>
      </c>
      <c r="BK98" s="168"/>
      <c r="BL98" s="396"/>
      <c r="BM98" s="186"/>
      <c r="BN98" s="186"/>
      <c r="BO98" s="186"/>
      <c r="BP98" s="186"/>
      <c r="BQ98" s="186"/>
      <c r="BR98" s="186"/>
      <c r="BS98" s="186"/>
      <c r="BT98" s="186"/>
      <c r="BU98" s="186"/>
      <c r="BV98" s="186"/>
      <c r="BW98" s="186"/>
      <c r="BX98" s="186"/>
    </row>
    <row r="99">
      <c r="A99" s="186"/>
      <c r="B99" s="372" t="str">
        <f t="shared" si="14"/>
        <v/>
      </c>
      <c r="C99" s="381" t="str">
        <f t="shared" si="15"/>
        <v/>
      </c>
      <c r="D99" s="186"/>
      <c r="E99" s="372" t="str">
        <f t="shared" si="16"/>
        <v/>
      </c>
      <c r="F99" s="381" t="str">
        <f t="shared" si="1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IFERROR(INDEX('💻シート作成'!$D$6:$D172, MATCH(BK99, '💻シート作成'!$E$6:$E172, 0)), "")</f>
        <v/>
      </c>
      <c r="BK99" s="168"/>
      <c r="BL99" s="396"/>
      <c r="BM99" s="186"/>
      <c r="BN99" s="186"/>
      <c r="BO99" s="186"/>
      <c r="BP99" s="186"/>
      <c r="BQ99" s="186"/>
      <c r="BR99" s="186"/>
      <c r="BS99" s="186"/>
      <c r="BT99" s="186"/>
      <c r="BU99" s="186"/>
      <c r="BV99" s="186"/>
      <c r="BW99" s="186"/>
      <c r="BX99" s="186"/>
    </row>
    <row r="100">
      <c r="A100" s="186"/>
      <c r="B100" s="372" t="str">
        <f t="shared" si="14"/>
        <v/>
      </c>
      <c r="C100" s="381" t="str">
        <f t="shared" si="15"/>
        <v/>
      </c>
      <c r="D100" s="186"/>
      <c r="E100" s="372" t="str">
        <f t="shared" si="16"/>
        <v/>
      </c>
      <c r="F100" s="381" t="str">
        <f t="shared" si="1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IFERROR(INDEX('💻シート作成'!$D$6:$D172, MATCH(BK100, '💻シート作成'!$E$6:$E172, 0)), "")</f>
        <v/>
      </c>
      <c r="BK100" s="168"/>
      <c r="BL100" s="396"/>
      <c r="BM100" s="186"/>
      <c r="BN100" s="186"/>
      <c r="BO100" s="186"/>
      <c r="BP100" s="186"/>
      <c r="BQ100" s="186"/>
      <c r="BR100" s="186"/>
      <c r="BS100" s="186"/>
      <c r="BT100" s="186"/>
      <c r="BU100" s="186"/>
      <c r="BV100" s="186"/>
      <c r="BW100" s="186"/>
      <c r="BX100" s="186"/>
    </row>
    <row r="101">
      <c r="A101" s="186"/>
      <c r="B101" s="372" t="str">
        <f t="shared" si="14"/>
        <v/>
      </c>
      <c r="C101" s="381" t="str">
        <f t="shared" si="15"/>
        <v/>
      </c>
      <c r="D101" s="186"/>
      <c r="E101" s="372" t="str">
        <f t="shared" si="16"/>
        <v/>
      </c>
      <c r="F101" s="381" t="str">
        <f t="shared" si="1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IFERROR(INDEX('💻シート作成'!$D$6:$D172, MATCH(BK101, '💻シート作成'!$E$6:$E172, 0)), "")</f>
        <v/>
      </c>
      <c r="BK101" s="168"/>
      <c r="BL101" s="396"/>
      <c r="BM101" s="186"/>
      <c r="BN101" s="186"/>
      <c r="BO101" s="186"/>
      <c r="BP101" s="186"/>
      <c r="BQ101" s="186"/>
      <c r="BR101" s="186"/>
      <c r="BS101" s="186"/>
      <c r="BT101" s="186"/>
      <c r="BU101" s="186"/>
      <c r="BV101" s="186"/>
      <c r="BW101" s="186"/>
      <c r="BX101" s="186"/>
    </row>
    <row r="102">
      <c r="A102" s="186"/>
      <c r="B102" s="372" t="str">
        <f t="shared" si="14"/>
        <v/>
      </c>
      <c r="C102" s="381" t="str">
        <f t="shared" si="15"/>
        <v/>
      </c>
      <c r="D102" s="186"/>
      <c r="E102" s="372" t="str">
        <f t="shared" si="16"/>
        <v/>
      </c>
      <c r="F102" s="381" t="str">
        <f t="shared" si="1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IFERROR(INDEX('💻シート作成'!$D$6:$D172, MATCH(BK102, '💻シート作成'!$E$6:$E172, 0)), "")</f>
        <v/>
      </c>
      <c r="BK102" s="168"/>
      <c r="BL102" s="396"/>
      <c r="BM102" s="186"/>
      <c r="BN102" s="186"/>
      <c r="BO102" s="186"/>
      <c r="BP102" s="186"/>
      <c r="BQ102" s="186"/>
      <c r="BR102" s="186"/>
      <c r="BS102" s="186"/>
      <c r="BT102" s="186"/>
      <c r="BU102" s="186"/>
      <c r="BV102" s="186"/>
      <c r="BW102" s="186"/>
      <c r="BX102" s="186"/>
    </row>
    <row r="103">
      <c r="A103" s="186"/>
      <c r="B103" s="372" t="str">
        <f t="shared" si="14"/>
        <v/>
      </c>
      <c r="C103" s="381" t="str">
        <f t="shared" si="15"/>
        <v/>
      </c>
      <c r="D103" s="186"/>
      <c r="E103" s="372" t="str">
        <f t="shared" si="16"/>
        <v/>
      </c>
      <c r="F103" s="381" t="str">
        <f t="shared" si="1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IFERROR(INDEX('💻シート作成'!$D$6:$D172, MATCH(BK103, '💻シート作成'!$E$6:$E172, 0)), "")</f>
        <v/>
      </c>
      <c r="BK103" s="168"/>
      <c r="BL103" s="396"/>
      <c r="BM103" s="186"/>
      <c r="BN103" s="186"/>
      <c r="BO103" s="186"/>
      <c r="BP103" s="186"/>
      <c r="BQ103" s="186"/>
      <c r="BR103" s="186"/>
      <c r="BS103" s="186"/>
      <c r="BT103" s="186"/>
      <c r="BU103" s="186"/>
      <c r="BV103" s="186"/>
      <c r="BW103" s="186"/>
      <c r="BX103" s="186"/>
    </row>
    <row r="104">
      <c r="A104" s="186"/>
      <c r="B104" s="372" t="str">
        <f t="shared" si="14"/>
        <v/>
      </c>
      <c r="C104" s="381" t="str">
        <f t="shared" si="15"/>
        <v/>
      </c>
      <c r="D104" s="186"/>
      <c r="E104" s="372" t="str">
        <f t="shared" si="16"/>
        <v/>
      </c>
      <c r="F104" s="381" t="str">
        <f t="shared" si="17"/>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IFERROR(INDEX('💻シート作成'!$D$6:$D172, MATCH(BK104, '💻シート作成'!$E$6:$E172, 0)), "")</f>
        <v/>
      </c>
      <c r="BK104" s="168"/>
      <c r="BL104" s="396"/>
      <c r="BM104" s="186"/>
      <c r="BN104" s="186"/>
      <c r="BO104" s="186"/>
      <c r="BP104" s="186"/>
      <c r="BQ104" s="186"/>
      <c r="BR104" s="186"/>
      <c r="BS104" s="186"/>
      <c r="BT104" s="186"/>
      <c r="BU104" s="186"/>
      <c r="BV104" s="186"/>
      <c r="BW104" s="186"/>
      <c r="BX104" s="186"/>
    </row>
    <row r="105">
      <c r="A105" s="186"/>
      <c r="B105" s="372" t="str">
        <f t="shared" si="14"/>
        <v/>
      </c>
      <c r="C105" s="381" t="str">
        <f t="shared" si="15"/>
        <v/>
      </c>
      <c r="D105" s="186"/>
      <c r="E105" s="372" t="str">
        <f t="shared" si="16"/>
        <v/>
      </c>
      <c r="F105" s="381" t="str">
        <f t="array" ref="F105">if(B105="","", xlookup($E$7,$N$7:$AR$7,$N105:$AR105))</f>
        <v/>
      </c>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IFERROR(INDEX('💻シート作成'!$D$6:$D172, MATCH(BK105, '💻シート作成'!$E$6:$E172,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IFERROR(INDEX('💻シート作成'!$D$6:$D172, MATCH(BK106, '💻シート作成'!$E$6:$E172,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IFERROR(INDEX('💻シート作成'!$D$6:$D172, MATCH(BK107, '💻シート作成'!$E$6:$E172,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IFERROR(INDEX('💻シート作成'!$D$6:$D172, MATCH(BK108, '💻シート作成'!$E$6:$E172,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IFERROR(INDEX('💻シート作成'!$D$6:$D172, MATCH(BK109, '💻シート作成'!$E$6:$E172,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IFERROR(INDEX('💻シート作成'!$D$6:$D172, MATCH(BK110, '💻シート作成'!$E$6:$E172,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IFERROR(INDEX('💻シート作成'!$D$6:$D172, MATCH(BK111, '💻シート作成'!$E$6:$E172,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IFERROR(INDEX('💻シート作成'!$D$6:$D172, MATCH(BK112, '💻シート作成'!$E$6:$E172,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IFERROR(INDEX('💻シート作成'!$D$6:$D172, MATCH(BK113, '💻シート作成'!$E$6:$E172,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IFERROR(INDEX('💻シート作成'!$D$6:$D172, MATCH(BK114, '💻シート作成'!$E$6:$E172,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IFERROR(INDEX('💻シート作成'!$D$6:$D172, MATCH(BK115, '💻シート作成'!$E$6:$E172,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IFERROR(INDEX('💻シート作成'!$D$6:$D172, MATCH(BK116, '💻シート作成'!$E$6:$E172,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IFERROR(INDEX('💻シート作成'!$D$6:$D172, MATCH(BK117, '💻シート作成'!$E$6:$E172,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IFERROR(INDEX('💻シート作成'!$D$6:$D172, MATCH(BK118, '💻シート作成'!$E$6:$E172,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IFERROR(INDEX('💻シート作成'!$D$6:$D172, MATCH(BK119, '💻シート作成'!$E$6:$E172,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IFERROR(INDEX('💻シート作成'!$D$6:$D172, MATCH(BK120, '💻シート作成'!$E$6:$E172,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IFERROR(INDEX('💻シート作成'!$D$6:$D172, MATCH(BK121, '💻シート作成'!$E$6:$E172,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IFERROR(INDEX('💻シート作成'!$D$6:$D172, MATCH(BK122, '💻シート作成'!$E$6:$E172, 0)), "")</f>
        <v/>
      </c>
      <c r="BK122" s="168"/>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IFERROR(INDEX('💻シート作成'!$D$6:$D172, MATCH(BK123, '💻シート作成'!$E$6:$E172, 0)), "")</f>
        <v/>
      </c>
      <c r="BK123" s="170"/>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IFERROR(INDEX('💻シート作成'!$D$6:$D172, MATCH(BK124, '💻シート作成'!$E$6:$E172, 0)), "")</f>
        <v/>
      </c>
      <c r="BK124" s="168"/>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IFERROR(INDEX('💻シート作成'!$D$6:$D172, MATCH(BK125, '💻シート作成'!$E$6:$E172,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IFERROR(INDEX('💻シート作成'!$D$6:$D172, MATCH(BK126, '💻シート作成'!$E$6:$E172,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IFERROR(INDEX('💻シート作成'!$D$6:$D172, MATCH(BK127, '💻シート作成'!$E$6:$E172,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IFERROR(INDEX('💻シート作成'!$D$6:$D172, MATCH(BK128, '💻シート作成'!$E$6:$E172,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IFERROR(INDEX('💻シート作成'!$D$6:$D172, MATCH(BK129, '💻シート作成'!$E$6:$E172,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IFERROR(INDEX('💻シート作成'!$D$6:$D172, MATCH(BK130, '💻シート作成'!$E$6:$E172,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IFERROR(INDEX('💻シート作成'!$D$6:$D172, MATCH(BK131, '💻シート作成'!$E$6:$E172,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IFERROR(INDEX('💻シート作成'!$D$6:$D172, MATCH(BK132, '💻シート作成'!$E$6:$E172,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IFERROR(INDEX('💻シート作成'!$D$6:$D172, MATCH(BK133, '💻シート作成'!$E$6:$E172,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IFERROR(INDEX('💻シート作成'!$D$6:$D172, MATCH(BK134, '💻シート作成'!$E$6:$E172,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IFERROR(INDEX('💻シート作成'!$D$6:$D172, MATCH(BK135, '💻シート作成'!$E$6:$E172,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IFERROR(INDEX('💻シート作成'!$D$6:$D172, MATCH(BK136, '💻シート作成'!$E$6:$E172,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IFERROR(INDEX('💻シート作成'!$D$6:$D172, MATCH(BK137, '💻シート作成'!$E$6:$E172,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IFERROR(INDEX('💻シート作成'!$D$6:$D172, MATCH(BK138, '💻シート作成'!$E$6:$E172,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IFERROR(INDEX('💻シート作成'!$D$6:$D172, MATCH(BK139, '💻シート作成'!$E$6:$E172,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IFERROR(INDEX('💻シート作成'!$D$6:$D172, MATCH(BK140, '💻シート作成'!$E$6:$E172,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IFERROR(INDEX('💻シート作成'!$D$6:$D172, MATCH(BK141, '💻シート作成'!$E$6:$E172,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IFERROR(INDEX('💻シート作成'!$D$6:$D172, MATCH(BK142, '💻シート作成'!$E$6:$E172,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IFERROR(INDEX('💻シート作成'!$D$6:$D172, MATCH(BK143, '💻シート作成'!$E$6:$E172,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IFERROR(INDEX('💻シート作成'!$D$6:$D172, MATCH(BK144, '💻シート作成'!$E$6:$E172,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IFERROR(INDEX('💻シート作成'!$D$6:$D172, MATCH(BK145, '💻シート作成'!$E$6:$E172,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IFERROR(INDEX('💻シート作成'!$D$6:$D172, MATCH(BK146, '💻シート作成'!$E$6:$E172,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IFERROR(INDEX('💻シート作成'!$D$6:$D172, MATCH(BK147, '💻シート作成'!$E$6:$E172,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IFERROR(INDEX('💻シート作成'!$D$6:$D172, MATCH(BK148, '💻シート作成'!$E$6:$E172,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IFERROR(INDEX('💻シート作成'!$D$6:$D172, MATCH(BK149, '💻シート作成'!$E$6:$E172,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IFERROR(INDEX('💻シート作成'!$D$6:$D172, MATCH(BK150, '💻シート作成'!$E$6:$E172,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IFERROR(INDEX('💻シート作成'!$D$6:$D172, MATCH(BK151, '💻シート作成'!$E$6:$E172,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IFERROR(INDEX('💻シート作成'!$D$6:$D172, MATCH(BK152, '💻シート作成'!$E$6:$E172,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IFERROR(INDEX('💻シート作成'!$D$6:$D172, MATCH(BK153, '💻シート作成'!$E$6:$E172,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IFERROR(INDEX('💻シート作成'!$D$6:$D172, MATCH(BK154, '💻シート作成'!$E$6:$E172,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IFERROR(INDEX('💻シート作成'!$D$6:$D172, MATCH(BK155, '💻シート作成'!$E$6:$E172,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IFERROR(INDEX('💻シート作成'!$D$6:$D172, MATCH(BK156, '💻シート作成'!$E$6:$E172,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IFERROR(INDEX('💻シート作成'!$D$6:$D172, MATCH(BK157, '💻シート作成'!$E$6:$E172,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IFERROR(INDEX('💻シート作成'!$D$6:$D172, MATCH(BK158, '💻シート作成'!$E$6:$E172,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IFERROR(INDEX('💻シート作成'!$D$6:$D172, MATCH(BK159, '💻シート作成'!$E$6:$E172,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IFERROR(INDEX('💻シート作成'!$D$6:$D172, MATCH(BK160, '💻シート作成'!$E$6:$E172,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IFERROR(INDEX('💻シート作成'!$D$6:$D172, MATCH(BK161, '💻シート作成'!$E$6:$E172,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IFERROR(INDEX('💻シート作成'!$D$6:$D172, MATCH(BK162, '💻シート作成'!$E$6:$E172,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IFERROR(INDEX('💻シート作成'!$D$6:$D172, MATCH(BK163, '💻シート作成'!$E$6:$E172,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IFERROR(INDEX('💻シート作成'!$D$6:$D172, MATCH(BK164, '💻シート作成'!$E$6:$E172,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IFERROR(INDEX('💻シート作成'!$D$6:$D172, MATCH(BK165, '💻シート作成'!$E$6:$E172,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IFERROR(INDEX('💻シート作成'!$D$6:$D172, MATCH(BK166, '💻シート作成'!$E$6:$E172,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IFERROR(INDEX('💻シート作成'!$D$6:$D172, MATCH(BK167, '💻シート作成'!$E$6:$E172,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IFERROR(INDEX('💻シート作成'!$D$6:$D172, MATCH(BK168, '💻シート作成'!$E$6:$E172,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IFERROR(INDEX('💻シート作成'!$D$6:$D172, MATCH(BK169, '💻シート作成'!$E$6:$E172,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IFERROR(INDEX('💻シート作成'!$D$6:$D172, MATCH(BK170, '💻シート作成'!$E$6:$E172,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IFERROR(INDEX('💻シート作成'!$D$6:$D172, MATCH(BK171, '💻シート作成'!$E$6:$E172, 0)), "")</f>
        <v/>
      </c>
      <c r="BK171" s="170"/>
      <c r="BL171" s="396"/>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2"/>
      <c r="K172" s="382"/>
      <c r="L172" s="383"/>
      <c r="M172" s="389"/>
      <c r="N172" s="390"/>
      <c r="O172" s="390"/>
      <c r="P172" s="390"/>
      <c r="Q172" s="390"/>
      <c r="R172" s="390"/>
      <c r="S172" s="390"/>
      <c r="T172" s="390"/>
      <c r="U172" s="390"/>
      <c r="V172" s="390"/>
      <c r="W172" s="390"/>
      <c r="X172" s="390"/>
      <c r="Y172" s="390"/>
      <c r="Z172" s="390"/>
      <c r="AA172" s="390"/>
      <c r="AB172" s="390"/>
      <c r="AC172" s="390"/>
      <c r="AD172" s="390"/>
      <c r="AE172" s="390"/>
      <c r="AF172" s="390"/>
      <c r="AG172" s="390"/>
      <c r="AH172" s="390"/>
      <c r="AI172" s="390"/>
      <c r="AJ172" s="390"/>
      <c r="AK172" s="390"/>
      <c r="AL172" s="390"/>
      <c r="AM172" s="390"/>
      <c r="AN172" s="390"/>
      <c r="AO172" s="390"/>
      <c r="AP172" s="385"/>
      <c r="AQ172" s="385"/>
      <c r="AR172" s="385"/>
      <c r="AS172" s="391">
        <f t="array" ref="AS172">SUM(COUNTIF(N172:AR172, {"◎","〇","☆","共","特","浴"}))</f>
        <v>0</v>
      </c>
      <c r="AT172" s="395"/>
      <c r="AU172" s="393"/>
      <c r="AV172" s="393"/>
      <c r="AW172" s="393"/>
      <c r="AX172" s="393"/>
      <c r="AY172" s="393"/>
      <c r="AZ172" s="393"/>
      <c r="BA172" s="393"/>
      <c r="BB172" s="394"/>
      <c r="BC172" s="74"/>
      <c r="BD172" s="74"/>
      <c r="BE172" s="74"/>
      <c r="BF172" s="74"/>
      <c r="BG172" s="74"/>
      <c r="BH172" s="71"/>
      <c r="BI172" s="186"/>
      <c r="BJ172" s="213" t="str">
        <f t="array" ref="BJ172">IFERROR(INDEX('💻シート作成'!$D$6:$D172, MATCH(BK172, '💻シート作成'!$E$6:$E172, 0)), "")</f>
        <v/>
      </c>
      <c r="BK172" s="170"/>
      <c r="BL172" s="396"/>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t="s">
        <v>400</v>
      </c>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494</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46082.0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3</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小川</v>
      </c>
      <c r="W8" s="678"/>
      <c r="X8" s="679">
        <v>46054.0</v>
      </c>
      <c r="Y8" s="623"/>
      <c r="Z8" s="623"/>
    </row>
    <row r="9" outlineLevel="1">
      <c r="A9" s="623"/>
      <c r="B9" s="680"/>
      <c r="C9" s="681">
        <f>D5</f>
        <v>46082</v>
      </c>
      <c r="D9" s="682" t="str">
        <f>TEXT(C9,"ddd")</f>
        <v>日</v>
      </c>
      <c r="E9" s="683"/>
      <c r="F9" s="684" t="s">
        <v>422</v>
      </c>
      <c r="G9" s="685" t="s">
        <v>495</v>
      </c>
      <c r="H9" s="686"/>
      <c r="I9" s="687">
        <v>0.6666666666666666</v>
      </c>
      <c r="J9" s="686">
        <v>9.0</v>
      </c>
      <c r="K9" s="686">
        <v>1.0</v>
      </c>
      <c r="L9" s="688"/>
      <c r="M9" s="688"/>
      <c r="N9" s="686">
        <v>90.0</v>
      </c>
      <c r="O9" s="689"/>
      <c r="Q9" s="690"/>
      <c r="R9" s="625"/>
      <c r="S9" s="213" t="str">
        <f t="array" ref="S9">IFERROR(INDEX('💻シート作成'!$D$6:$D1001, MATCH(T9, '💻シート作成'!$E$6:$E1001, 0)), "")</f>
        <v/>
      </c>
      <c r="T9" s="166" t="str">
        <f>IFERROR(__xludf.DUMMYFUNCTION("""COMPUTED_VALUE"""),"🔵クレーム")</f>
        <v>🔵クレーム</v>
      </c>
      <c r="U9" s="631"/>
      <c r="V9" s="677" t="s">
        <v>255</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254</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251</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266</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260</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247</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493</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492</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263</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424</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261</v>
      </c>
      <c r="W19" s="678"/>
      <c r="X19" s="679">
        <v>46388.0</v>
      </c>
      <c r="Y19" s="623"/>
      <c r="Z19" s="623"/>
    </row>
    <row r="20" outlineLevel="1">
      <c r="A20" s="623"/>
      <c r="B20" s="705"/>
      <c r="C20" s="706">
        <f>IF(C9="","",IF(DAY(C9+1)=1,"",C9+1))</f>
        <v>46083</v>
      </c>
      <c r="D20" s="707" t="str">
        <f>TEXT(C20,"ddd")</f>
        <v>月</v>
      </c>
      <c r="E20" s="708"/>
      <c r="F20" s="709" t="s">
        <v>422</v>
      </c>
      <c r="G20" s="685" t="s">
        <v>423</v>
      </c>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267</v>
      </c>
      <c r="W20" s="678"/>
      <c r="X20" s="679"/>
      <c r="Y20" s="623"/>
      <c r="Z20" s="623"/>
    </row>
    <row r="2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270</v>
      </c>
      <c r="W21" s="678"/>
      <c r="X21" s="679"/>
      <c r="Y21" s="623"/>
      <c r="Z21" s="623"/>
    </row>
    <row r="22"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285</v>
      </c>
      <c r="W22" s="678"/>
      <c r="X22" s="679"/>
      <c r="Y22" s="623"/>
      <c r="Z22" s="623"/>
    </row>
    <row r="23"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496</v>
      </c>
      <c r="W23" s="623"/>
      <c r="X23" s="718"/>
      <c r="Y23" s="623"/>
      <c r="Z23" s="623"/>
    </row>
    <row r="24"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268</v>
      </c>
      <c r="W24" s="623"/>
      <c r="X24" s="718"/>
      <c r="Y24" s="623"/>
      <c r="Z24" s="623"/>
    </row>
    <row r="25"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426</v>
      </c>
      <c r="W25" s="623"/>
      <c r="X25" s="718"/>
      <c r="Y25" s="623"/>
      <c r="Z25" s="623"/>
    </row>
    <row r="26"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256</v>
      </c>
      <c r="W26" s="623"/>
      <c r="X26" s="718"/>
      <c r="Y26" s="623"/>
      <c r="Z26" s="623"/>
    </row>
    <row r="27"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258</v>
      </c>
      <c r="W27" s="623"/>
      <c r="X27" s="718"/>
      <c r="Y27" s="623"/>
      <c r="Z27" s="623"/>
    </row>
    <row r="28"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238</v>
      </c>
      <c r="W28" s="623"/>
      <c r="X28" s="718"/>
      <c r="Y28" s="623"/>
      <c r="Z28" s="623"/>
    </row>
    <row r="29"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677" t="s">
        <v>273</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c r="W30" s="623"/>
      <c r="X30" s="718"/>
      <c r="Y30" s="623"/>
      <c r="Z30" s="623"/>
    </row>
    <row r="31" outlineLevel="1">
      <c r="A31" s="623"/>
      <c r="B31" s="723"/>
      <c r="C31" s="724">
        <f>IF(C20="","",IF(DAY(C20+1)=1,"",C20+1))</f>
        <v>46084</v>
      </c>
      <c r="D31" s="725" t="str">
        <f>TEXT(C31,"ddd")</f>
        <v>火</v>
      </c>
      <c r="E31" s="726"/>
      <c r="F31" s="727" t="s">
        <v>422</v>
      </c>
      <c r="G31" s="685" t="s">
        <v>423</v>
      </c>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t="17.25" customHeight="1" outlineLevel="1">
      <c r="A42" s="623"/>
      <c r="B42" s="705"/>
      <c r="C42" s="706">
        <f>IF(C31="","",IF(DAY(C31+1)=1,"",C31+1))</f>
        <v>46085</v>
      </c>
      <c r="D42" s="707" t="str">
        <f>TEXT(C42,"ddd")</f>
        <v>水</v>
      </c>
      <c r="E42" s="708"/>
      <c r="F42" s="735" t="s">
        <v>98</v>
      </c>
      <c r="G42" s="685" t="s">
        <v>497</v>
      </c>
      <c r="H42" s="736"/>
      <c r="I42" s="737">
        <v>0.6666666666666666</v>
      </c>
      <c r="J42" s="736">
        <v>8.0</v>
      </c>
      <c r="K42" s="736">
        <v>1.0</v>
      </c>
      <c r="L42" s="716"/>
      <c r="M42" s="716"/>
      <c r="N42" s="735">
        <v>100.0</v>
      </c>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t="17.25" customHeight="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t="17.25" customHeight="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t="17.25" customHeight="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t="17.25" customHeight="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t="17.25" customHeight="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t="17.25" customHeight="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t="17.25" customHeight="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t="17.25" customHeight="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t="17.25" customHeight="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46086</v>
      </c>
      <c r="D53" s="725" t="str">
        <f>TEXT(C53,"ddd")</f>
        <v>木</v>
      </c>
      <c r="E53" s="726"/>
      <c r="F53" s="727" t="s">
        <v>422</v>
      </c>
      <c r="G53" s="685" t="s">
        <v>498</v>
      </c>
      <c r="H53" s="728"/>
      <c r="I53" s="729">
        <v>0.6666666666666666</v>
      </c>
      <c r="J53" s="728">
        <v>8.0</v>
      </c>
      <c r="K53" s="728">
        <v>1.0</v>
      </c>
      <c r="L53" s="730"/>
      <c r="M53" s="730"/>
      <c r="N53" s="727">
        <v>130.0</v>
      </c>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46087</v>
      </c>
      <c r="D65" s="707" t="str">
        <f>TEXT(C65,"ddd")</f>
        <v>金</v>
      </c>
      <c r="E65" s="708"/>
      <c r="F65" s="735" t="s">
        <v>422</v>
      </c>
      <c r="G65" s="685" t="s">
        <v>499</v>
      </c>
      <c r="H65" s="736"/>
      <c r="I65" s="737">
        <v>0.6666666666666666</v>
      </c>
      <c r="J65" s="736">
        <v>8.0</v>
      </c>
      <c r="K65" s="736">
        <v>1.0</v>
      </c>
      <c r="L65" s="716"/>
      <c r="M65" s="716"/>
      <c r="N65" s="735">
        <v>100.0</v>
      </c>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46088</v>
      </c>
      <c r="D76" s="725" t="str">
        <f>TEXT(C76,"ddd")</f>
        <v>土</v>
      </c>
      <c r="E76" s="726"/>
      <c r="F76" s="727" t="s">
        <v>422</v>
      </c>
      <c r="G76" s="685" t="s">
        <v>423</v>
      </c>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46089</v>
      </c>
      <c r="D87" s="707" t="str">
        <f>TEXT(C87,"ddd")</f>
        <v>日</v>
      </c>
      <c r="E87" s="708"/>
      <c r="F87" s="735" t="s">
        <v>98</v>
      </c>
      <c r="G87" s="685" t="s">
        <v>500</v>
      </c>
      <c r="H87" s="736"/>
      <c r="I87" s="737">
        <v>0.6666666666666666</v>
      </c>
      <c r="J87" s="736">
        <v>8.0</v>
      </c>
      <c r="K87" s="736">
        <v>1.0</v>
      </c>
      <c r="L87" s="716"/>
      <c r="M87" s="716"/>
      <c r="N87" s="735">
        <v>110.0</v>
      </c>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46090</v>
      </c>
      <c r="D98" s="725" t="str">
        <f>TEXT(C98,"ddd")</f>
        <v>月</v>
      </c>
      <c r="E98" s="726"/>
      <c r="F98" s="727" t="s">
        <v>422</v>
      </c>
      <c r="G98" s="685" t="s">
        <v>423</v>
      </c>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46091</v>
      </c>
      <c r="D109" s="707" t="str">
        <f>TEXT(C109,"ddd")</f>
        <v>火</v>
      </c>
      <c r="E109" s="708"/>
      <c r="F109" s="735" t="s">
        <v>422</v>
      </c>
      <c r="G109" s="685" t="s">
        <v>423</v>
      </c>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46092</v>
      </c>
      <c r="D121" s="725" t="str">
        <f>TEXT(C121,"ddd")</f>
        <v>水</v>
      </c>
      <c r="E121" s="726"/>
      <c r="F121" s="727" t="s">
        <v>422</v>
      </c>
      <c r="G121" s="685" t="s">
        <v>423</v>
      </c>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46093</v>
      </c>
      <c r="D132" s="707" t="str">
        <f>TEXT(C132,"ddd")</f>
        <v>木</v>
      </c>
      <c r="E132" s="708"/>
      <c r="F132" s="735" t="s">
        <v>98</v>
      </c>
      <c r="G132" s="685" t="s">
        <v>501</v>
      </c>
      <c r="H132" s="736"/>
      <c r="I132" s="737">
        <v>0.6666666666666666</v>
      </c>
      <c r="J132" s="736">
        <v>8.0</v>
      </c>
      <c r="K132" s="736">
        <v>1.0</v>
      </c>
      <c r="L132" s="716"/>
      <c r="M132" s="716"/>
      <c r="N132" s="735" t="s">
        <v>432</v>
      </c>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46094</v>
      </c>
      <c r="D143" s="725" t="str">
        <f>TEXT(C143,"ddd")</f>
        <v>金</v>
      </c>
      <c r="E143" s="726"/>
      <c r="F143" s="727" t="s">
        <v>422</v>
      </c>
      <c r="G143" s="685" t="s">
        <v>423</v>
      </c>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46095</v>
      </c>
      <c r="D154" s="707" t="str">
        <f>TEXT(C154,"ddd")</f>
        <v>土</v>
      </c>
      <c r="E154" s="708"/>
      <c r="F154" s="735" t="s">
        <v>422</v>
      </c>
      <c r="G154" s="685" t="s">
        <v>423</v>
      </c>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t="18.0" customHeight="1" outlineLevel="1">
      <c r="A165" s="623"/>
      <c r="B165" s="723"/>
      <c r="C165" s="724">
        <f>IF(C154="","",IF(DAY(C154+1)=1,"",C154+1))</f>
        <v>46096</v>
      </c>
      <c r="D165" s="725" t="str">
        <f>TEXT(C165,"ddd")</f>
        <v>日</v>
      </c>
      <c r="E165" s="726"/>
      <c r="F165" s="727" t="s">
        <v>422</v>
      </c>
      <c r="G165" s="685" t="s">
        <v>502</v>
      </c>
      <c r="H165" s="728"/>
      <c r="I165" s="728" t="s">
        <v>503</v>
      </c>
      <c r="J165" s="728" t="s">
        <v>504</v>
      </c>
      <c r="K165" s="728" t="s">
        <v>431</v>
      </c>
      <c r="L165" s="730"/>
      <c r="M165" s="730"/>
      <c r="N165" s="727">
        <v>110.0</v>
      </c>
      <c r="O165" s="731"/>
      <c r="P165" s="732"/>
      <c r="Q165" s="733"/>
      <c r="R165" s="623"/>
      <c r="S165" s="213" t="str">
        <f t="array" ref="S165">IFERROR(INDEX('💻シート作成'!$D$6:$D1001, MATCH(T165, '💻シート作成'!$E$6:$E1001, 0)), "")</f>
        <v/>
      </c>
      <c r="T165" s="170"/>
      <c r="U165" s="626"/>
      <c r="V165" s="719"/>
      <c r="W165" s="623"/>
      <c r="X165" s="718"/>
      <c r="Y165" s="623"/>
      <c r="Z165" s="623"/>
    </row>
    <row r="166" ht="18.0" customHeight="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t="18.0" customHeight="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t="18.0" customHeight="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t="18.0" customHeight="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t="18.0" customHeight="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t="18.0" customHeight="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t="18.0" customHeight="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t="18.0" customHeight="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t="18.0" customHeight="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46097</v>
      </c>
      <c r="D177" s="707" t="str">
        <f>TEXT(C177,"ddd")</f>
        <v>月</v>
      </c>
      <c r="E177" s="708"/>
      <c r="F177" s="735" t="s">
        <v>98</v>
      </c>
      <c r="G177" s="685" t="s">
        <v>505</v>
      </c>
      <c r="H177" s="736"/>
      <c r="I177" s="737">
        <v>0.6666666666666666</v>
      </c>
      <c r="J177" s="736">
        <v>6.0</v>
      </c>
      <c r="K177" s="736">
        <v>1.0</v>
      </c>
      <c r="L177" s="716"/>
      <c r="M177" s="716"/>
      <c r="N177" s="735">
        <v>110.0</v>
      </c>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46098</v>
      </c>
      <c r="D188" s="725" t="str">
        <f>TEXT(C188,"ddd")</f>
        <v>火</v>
      </c>
      <c r="E188" s="726"/>
      <c r="F188" s="727" t="s">
        <v>422</v>
      </c>
      <c r="G188" s="685" t="s">
        <v>423</v>
      </c>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46099</v>
      </c>
      <c r="D199" s="707" t="str">
        <f>TEXT(C199,"ddd")</f>
        <v>水</v>
      </c>
      <c r="E199" s="708"/>
      <c r="F199" s="735" t="s">
        <v>422</v>
      </c>
      <c r="G199" s="685" t="s">
        <v>423</v>
      </c>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46100</v>
      </c>
      <c r="D210" s="725" t="str">
        <f>TEXT(C210,"ddd")</f>
        <v>木</v>
      </c>
      <c r="E210" s="726"/>
      <c r="F210" s="727" t="s">
        <v>422</v>
      </c>
      <c r="G210" s="685" t="s">
        <v>423</v>
      </c>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46101</v>
      </c>
      <c r="D221" s="707" t="str">
        <f>TEXT(C221,"ddd")</f>
        <v>金</v>
      </c>
      <c r="E221" s="708"/>
      <c r="F221" s="735" t="s">
        <v>422</v>
      </c>
      <c r="G221" s="685" t="s">
        <v>423</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46102</v>
      </c>
      <c r="D233" s="725" t="str">
        <f>TEXT(C233,"ddd")</f>
        <v>土</v>
      </c>
      <c r="E233" s="726"/>
      <c r="F233" s="727" t="s">
        <v>422</v>
      </c>
      <c r="G233" s="685" t="s">
        <v>423</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46103</v>
      </c>
      <c r="D244" s="707" t="str">
        <f>TEXT(C244,"ddd")</f>
        <v>日</v>
      </c>
      <c r="E244" s="708"/>
      <c r="F244" s="735" t="s">
        <v>422</v>
      </c>
      <c r="G244" s="685" t="s">
        <v>423</v>
      </c>
      <c r="H244" s="736"/>
      <c r="I244" s="737">
        <v>0.6666666666666666</v>
      </c>
      <c r="J244" s="736">
        <v>9.0</v>
      </c>
      <c r="K244" s="736">
        <v>1.0</v>
      </c>
      <c r="L244" s="716"/>
      <c r="M244" s="716"/>
      <c r="N244" s="735">
        <v>110.0</v>
      </c>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46104</v>
      </c>
      <c r="D255" s="725" t="str">
        <f>TEXT(C255,"ddd")</f>
        <v>月</v>
      </c>
      <c r="E255" s="726"/>
      <c r="F255" s="727" t="s">
        <v>422</v>
      </c>
      <c r="G255" s="685" t="s">
        <v>506</v>
      </c>
      <c r="H255" s="728"/>
      <c r="I255" s="729">
        <v>0.6666666666666666</v>
      </c>
      <c r="J255" s="728">
        <v>7.0</v>
      </c>
      <c r="K255" s="728">
        <v>1.0</v>
      </c>
      <c r="L255" s="730"/>
      <c r="M255" s="730"/>
      <c r="N255" s="727">
        <v>110.0</v>
      </c>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46105</v>
      </c>
      <c r="D266" s="707" t="str">
        <f>TEXT(C266,"ddd")</f>
        <v>火</v>
      </c>
      <c r="E266" s="708"/>
      <c r="F266" s="735" t="s">
        <v>422</v>
      </c>
      <c r="G266" s="685" t="s">
        <v>423</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46106</v>
      </c>
      <c r="D277" s="725" t="str">
        <f>TEXT(C277,"ddd")</f>
        <v>水</v>
      </c>
      <c r="E277" s="726"/>
      <c r="F277" s="727" t="s">
        <v>422</v>
      </c>
      <c r="G277" s="685" t="s">
        <v>423</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outlineLevel="1">
      <c r="A289" s="623"/>
      <c r="B289" s="705"/>
      <c r="C289" s="706">
        <f>IF(C277="","",IF(DAY(C277+1)=1,"",C277+1))</f>
        <v>46107</v>
      </c>
      <c r="D289" s="707" t="str">
        <f>TEXT(C289,"ddd")</f>
        <v>木</v>
      </c>
      <c r="E289" s="708"/>
      <c r="F289" s="735" t="s">
        <v>422</v>
      </c>
      <c r="G289" s="685" t="s">
        <v>507</v>
      </c>
      <c r="H289" s="736"/>
      <c r="I289" s="737">
        <v>0.0</v>
      </c>
      <c r="J289" s="736">
        <v>7.0</v>
      </c>
      <c r="K289" s="736">
        <v>1.0</v>
      </c>
      <c r="L289" s="716"/>
      <c r="M289" s="716"/>
      <c r="N289" s="735">
        <v>140.0</v>
      </c>
      <c r="O289" s="738"/>
      <c r="P289" s="732"/>
      <c r="Q289" s="733"/>
      <c r="R289" s="623"/>
      <c r="S289" s="623"/>
      <c r="T289" s="623"/>
      <c r="U289" s="626"/>
      <c r="V289" s="627"/>
      <c r="W289" s="623"/>
      <c r="X289" s="623"/>
      <c r="Y289" s="623"/>
      <c r="Z289" s="623"/>
    </row>
    <row r="290"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46108</v>
      </c>
      <c r="D300" s="725" t="str">
        <f>TEXT(C300,"ddd")</f>
        <v>金</v>
      </c>
      <c r="E300" s="726"/>
      <c r="F300" s="727" t="s">
        <v>422</v>
      </c>
      <c r="G300" s="685" t="s">
        <v>423</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46109</v>
      </c>
      <c r="D311" s="707" t="str">
        <f>TEXT(C311,"ddd")</f>
        <v>土</v>
      </c>
      <c r="E311" s="708"/>
      <c r="F311" s="735" t="s">
        <v>422</v>
      </c>
      <c r="G311" s="685" t="s">
        <v>423</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f>IF(C311="","",IF(DAY(C311+1)=1,"",C311+1))</f>
        <v>46110</v>
      </c>
      <c r="D322" s="725" t="str">
        <f>TEXT(C322,"ddd")</f>
        <v>日</v>
      </c>
      <c r="E322" s="726"/>
      <c r="F322" s="727" t="s">
        <v>422</v>
      </c>
      <c r="G322" s="685" t="s">
        <v>508</v>
      </c>
      <c r="H322" s="728"/>
      <c r="I322" s="729">
        <v>0.6666666666666666</v>
      </c>
      <c r="J322" s="728" t="s">
        <v>504</v>
      </c>
      <c r="K322" s="728" t="s">
        <v>431</v>
      </c>
      <c r="L322" s="730"/>
      <c r="M322" s="730"/>
      <c r="N322" s="727" t="s">
        <v>509</v>
      </c>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f>IF(C322="","",IF(DAY(C322+1)=1,"",C322+1))</f>
        <v>46111</v>
      </c>
      <c r="D333" s="707" t="str">
        <f>TEXT(C333,"ddd")</f>
        <v>月</v>
      </c>
      <c r="E333" s="708"/>
      <c r="F333" s="735" t="s">
        <v>422</v>
      </c>
      <c r="G333" s="685" t="s">
        <v>423</v>
      </c>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f>IF(C333="","",IF(DAY(C333+1)=1,"",C333+1))</f>
        <v>46112</v>
      </c>
      <c r="D344" s="725" t="str">
        <f>TEXT(C344,"ddd")</f>
        <v>火</v>
      </c>
      <c r="E344" s="726"/>
      <c r="F344" s="727" t="s">
        <v>422</v>
      </c>
      <c r="G344" s="685" t="s">
        <v>423</v>
      </c>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52</v>
      </c>
      <c r="C5" s="770" t="s">
        <v>83</v>
      </c>
      <c r="D5" s="771" t="s">
        <v>98</v>
      </c>
      <c r="E5" s="772" t="b">
        <v>1</v>
      </c>
      <c r="F5" s="770" t="s">
        <v>445</v>
      </c>
      <c r="G5" s="773" t="s">
        <v>510</v>
      </c>
      <c r="H5" s="774" t="b">
        <v>1</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"),"①R8_3集計")</f>
        <v>①R8_3集計</v>
      </c>
      <c r="F8" s="271"/>
      <c r="G8" s="208"/>
      <c r="H8" s="208"/>
      <c r="I8" s="186"/>
      <c r="J8" s="775"/>
      <c r="K8" s="759"/>
      <c r="L8" s="788" t="s">
        <v>511</v>
      </c>
      <c r="M8" s="230"/>
      <c r="N8" s="230"/>
      <c r="O8" s="230"/>
      <c r="P8" s="230"/>
      <c r="Q8" s="230"/>
      <c r="R8" s="230"/>
      <c r="S8" s="232"/>
      <c r="U8" s="788" t="s">
        <v>512</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0.2695958281</v>
      </c>
      <c r="D10" s="794">
        <f t="array" ref="D10">INDIRECT($E$8 &amp; "!E8")</f>
        <v>0.5502592761</v>
      </c>
      <c r="E10" s="794">
        <f t="array" ref="E10">INDIRECT($E$8 &amp; "!G8")</f>
        <v>0.6646978646</v>
      </c>
      <c r="F10" s="795">
        <f t="array" ref="F10">INDIRECT($E$8 &amp; "!H8")</f>
        <v>2954380</v>
      </c>
      <c r="G10" s="795">
        <f t="array" ref="G10">INDIRECT($E$8 &amp; "!K8")</f>
        <v>0</v>
      </c>
      <c r="H10" s="795">
        <f t="array" ref="H10">INDIRECT($E$8 &amp; "!M8")</f>
        <v>796488.5227</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0.2706023691</v>
      </c>
      <c r="D11" s="798"/>
      <c r="E11" s="799"/>
      <c r="F11" s="800">
        <f t="array" ref="F11">INDIRECT($E$8 &amp; "!H7")</f>
        <v>2900918</v>
      </c>
      <c r="G11" s="798"/>
      <c r="H11" s="801">
        <f t="array" ref="H11">INDIRECT($E$8 &amp; "!M7")</f>
        <v>784995.2833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513</v>
      </c>
      <c r="M22" s="230"/>
      <c r="N22" s="230"/>
      <c r="O22" s="230"/>
      <c r="P22" s="230"/>
      <c r="Q22" s="230"/>
      <c r="R22" s="230"/>
      <c r="S22" s="232"/>
      <c r="U22" s="788" t="s">
        <v>514</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515</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0</v>
      </c>
      <c r="E50" s="821"/>
      <c r="F50" s="821"/>
      <c r="G50" s="821"/>
      <c r="H50" s="821"/>
      <c r="I50" s="760"/>
      <c r="J50" s="760"/>
      <c r="K50" s="759"/>
      <c r="L50" s="788" t="s">
        <v>516</v>
      </c>
      <c r="M50" s="230"/>
      <c r="N50" s="230"/>
      <c r="O50" s="230"/>
      <c r="P50" s="230"/>
      <c r="Q50" s="230"/>
      <c r="R50" s="230"/>
      <c r="S50" s="232"/>
      <c r="U50" s="788" t="s">
        <v>517</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2</v>
      </c>
      <c r="E64" s="821"/>
      <c r="F64" s="821"/>
      <c r="G64" s="821"/>
      <c r="H64" s="821"/>
      <c r="I64" s="821"/>
      <c r="J64" s="760"/>
      <c r="K64" s="759"/>
      <c r="L64" s="788" t="s">
        <v>518</v>
      </c>
      <c r="M64" s="230"/>
      <c r="N64" s="230"/>
      <c r="O64" s="230"/>
      <c r="P64" s="230"/>
      <c r="Q64" s="230"/>
      <c r="R64" s="230"/>
      <c r="S64" s="232"/>
      <c r="U64" s="788" t="s">
        <v>519</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492</v>
      </c>
      <c r="D66" s="844"/>
      <c r="E66" s="870" t="s">
        <v>520</v>
      </c>
      <c r="F66" s="871" t="s">
        <v>521</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493</v>
      </c>
      <c r="D67" s="844"/>
      <c r="E67" s="870" t="s">
        <v>520</v>
      </c>
      <c r="F67" s="871" t="s">
        <v>521</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522</v>
      </c>
      <c r="M78" s="230"/>
      <c r="N78" s="230"/>
      <c r="O78" s="230"/>
      <c r="P78" s="230"/>
      <c r="Q78" s="230"/>
      <c r="R78" s="230"/>
      <c r="S78" s="232"/>
      <c r="U78" s="788" t="s">
        <v>523</v>
      </c>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524</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5" t="s">
        <v>290</v>
      </c>
      <c r="C1" s="406">
        <f>BB30</f>
        <v>2655760</v>
      </c>
      <c r="D1" s="406">
        <f>AZ20</f>
        <v>435560</v>
      </c>
      <c r="E1" s="406">
        <f>BG23</f>
        <v>1448290</v>
      </c>
      <c r="F1" s="406">
        <f>BB23+BG40</f>
        <v>0</v>
      </c>
      <c r="G1" s="406">
        <f t="shared" ref="G1:H1" si="1">I8</f>
        <v>65436.375</v>
      </c>
      <c r="H1" s="406">
        <f t="shared" si="1"/>
        <v>0</v>
      </c>
      <c r="I1" s="407">
        <f>G8</f>
        <v>0.6594567404</v>
      </c>
      <c r="J1" s="407">
        <f>AT7</f>
        <v>0</v>
      </c>
      <c r="K1" s="408">
        <f>AV44</f>
        <v>0</v>
      </c>
      <c r="L1" s="409">
        <f>F44</f>
        <v>3287</v>
      </c>
      <c r="M1" s="410" t="str">
        <f>if(C7&lt;C8,"達成","未達成")</f>
        <v>達成</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1</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f>AV44/E44</f>
        <v>0</v>
      </c>
      <c r="AU7" s="71"/>
      <c r="AV7" s="454">
        <f>IFERROR(__xludf.DUMMYFUNCTION("IMPORTRANGE(AT9,""日別集計!AI4"")"),23.0)</f>
        <v>23</v>
      </c>
      <c r="AW7" s="71"/>
      <c r="AX7" s="440"/>
      <c r="AY7" s="455" t="s">
        <v>525</v>
      </c>
      <c r="BG7" s="456"/>
      <c r="BL7" s="444"/>
    </row>
    <row r="8" ht="15.75" customHeight="1" outlineLevel="1">
      <c r="B8" s="457" t="s">
        <v>313</v>
      </c>
      <c r="C8" s="458">
        <f>M8/H8</f>
        <v>0.2673188183</v>
      </c>
      <c r="D8" s="71"/>
      <c r="E8" s="459">
        <f>(BB23+BG23-BE24)/H8</f>
        <v>0.5440359822</v>
      </c>
      <c r="F8" s="71"/>
      <c r="G8" s="460">
        <f>G47</f>
        <v>0.6594567404</v>
      </c>
      <c r="H8" s="461">
        <f>BB30</f>
        <v>2655760</v>
      </c>
      <c r="I8" s="462">
        <f>IFERROR(__xludf.DUMMYFUNCTION("IMPORTRANGE(""https://docs.google.com/spreadsheets/d/1QbHfX9wvC_RRupa4CCe_ZxA6O4e2Ap9vqX5hrZPeQRg/edit"",""date2_1!P18"")/G5*COUNTIFS($E$13:$E$43,""&gt;0"")"),65436.37499999999)</f>
        <v>65436.375</v>
      </c>
      <c r="J8" s="463">
        <f>IFERROR(__xludf.DUMMYFUNCTION("IMPORTRANGE(""https://docs.google.com/spreadsheets/d/1PIAlDmsTatDNi42y_Nu-aVFqvVCXfe6jiDJFQImKjZ0/edit#gid=630612029"",""R8_2!J18"")"),0.0)</f>
        <v>0</v>
      </c>
      <c r="K8" s="464">
        <f>BE24</f>
        <v>3461</v>
      </c>
      <c r="L8" s="464">
        <f>BB30-BB23-AZ20-BG45-BG23+BE24</f>
        <v>775371</v>
      </c>
      <c r="M8" s="465">
        <f>L8-I8</f>
        <v>709934.625</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2620184</v>
      </c>
      <c r="I9" s="475" t="s">
        <v>311</v>
      </c>
      <c r="J9" s="476" t="s">
        <v>311</v>
      </c>
      <c r="K9" s="477" t="s">
        <v>311</v>
      </c>
      <c r="L9" s="477" t="s">
        <v>311</v>
      </c>
      <c r="M9" s="478">
        <f>M7/G5*COUNTIFS($E$11:$E$41,"&gt;0")</f>
        <v>650673.9333</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f t="shared" ref="E13:E43" si="3">if(F13="","",142)</f>
        <v>142</v>
      </c>
      <c r="F13" s="507">
        <f t="shared" ref="F13:F43" si="4">if(G13="","",sum(G13,H13))</f>
        <v>105</v>
      </c>
      <c r="G13" s="508">
        <v>87.0</v>
      </c>
      <c r="H13" s="509">
        <v>18.0</v>
      </c>
      <c r="I13" s="509">
        <v>1.0</v>
      </c>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87160</v>
      </c>
      <c r="AT13" s="515">
        <f>IFERROR(__xludf.DUMMYFUNCTION("FLATTEN('⚙️抽出用'!B3:AF3)"),39445.0)</f>
        <v>39445</v>
      </c>
      <c r="AU13" s="516">
        <f t="shared" ref="AU13:AU43" si="7">if(E13="","",iferror((AT13+AR13+$BF$23/if(month($D$5)=month(today()),day(today()),$G$5))/(AS13+(sum($BA$31:$BA$32)/$G$5)),""))</f>
        <v>0.5088875959</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f t="shared" si="3"/>
        <v>142</v>
      </c>
      <c r="F14" s="507">
        <f t="shared" si="4"/>
        <v>95</v>
      </c>
      <c r="G14" s="508">
        <v>77.0</v>
      </c>
      <c r="H14" s="524">
        <v>18.0</v>
      </c>
      <c r="I14" s="524"/>
      <c r="J14" s="524">
        <v>1.0</v>
      </c>
      <c r="K14" s="524"/>
      <c r="L14" s="524">
        <v>9.0</v>
      </c>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79160</v>
      </c>
      <c r="AT14" s="515">
        <f>IFERROR(__xludf.DUMMYFUNCTION("""COMPUTED_VALUE"""),33120.0)</f>
        <v>33120</v>
      </c>
      <c r="AU14" s="516">
        <f t="shared" si="7"/>
        <v>0.4804148921</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f t="shared" si="3"/>
        <v>142</v>
      </c>
      <c r="F15" s="507">
        <f t="shared" si="4"/>
        <v>121</v>
      </c>
      <c r="G15" s="508">
        <v>88.0</v>
      </c>
      <c r="H15" s="532">
        <v>33.0</v>
      </c>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89540</v>
      </c>
      <c r="AT15" s="515">
        <f>IFERROR(__xludf.DUMMYFUNCTION("""COMPUTED_VALUE"""),43580.0)</f>
        <v>43580</v>
      </c>
      <c r="AU15" s="516">
        <f t="shared" si="7"/>
        <v>0.5415416893</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f t="shared" si="3"/>
        <v>142</v>
      </c>
      <c r="F16" s="507">
        <f t="shared" si="4"/>
        <v>110</v>
      </c>
      <c r="G16" s="508">
        <v>83.0</v>
      </c>
      <c r="H16" s="524">
        <v>27.0</v>
      </c>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84040</v>
      </c>
      <c r="AT16" s="515">
        <f>IFERROR(__xludf.DUMMYFUNCTION("""COMPUTED_VALUE"""),37751.0)</f>
        <v>37751</v>
      </c>
      <c r="AU16" s="516">
        <f t="shared" si="7"/>
        <v>0.5076230706</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f t="shared" si="3"/>
        <v>142</v>
      </c>
      <c r="F17" s="507">
        <f t="shared" si="4"/>
        <v>134</v>
      </c>
      <c r="G17" s="508">
        <v>95.0</v>
      </c>
      <c r="H17" s="532">
        <v>39.0</v>
      </c>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97000</v>
      </c>
      <c r="AT17" s="515">
        <f>IFERROR(__xludf.DUMMYFUNCTION("""COMPUTED_VALUE"""),40728.0)</f>
        <v>40728</v>
      </c>
      <c r="AU17" s="516">
        <f t="shared" si="7"/>
        <v>0.4704911635</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f t="shared" si="3"/>
        <v>142</v>
      </c>
      <c r="F18" s="507">
        <f t="shared" si="4"/>
        <v>126</v>
      </c>
      <c r="G18" s="508">
        <v>99.0</v>
      </c>
      <c r="H18" s="524">
        <v>27.0</v>
      </c>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99720</v>
      </c>
      <c r="AT18" s="515">
        <f>IFERROR(__xludf.DUMMYFUNCTION("""COMPUTED_VALUE"""),49126.0)</f>
        <v>49126</v>
      </c>
      <c r="AU18" s="516">
        <f t="shared" si="7"/>
        <v>0.5418736749</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f t="shared" si="3"/>
        <v>142</v>
      </c>
      <c r="F19" s="507">
        <f t="shared" si="4"/>
        <v>131</v>
      </c>
      <c r="G19" s="508">
        <v>111.0</v>
      </c>
      <c r="H19" s="532">
        <v>20.0</v>
      </c>
      <c r="I19" s="532"/>
      <c r="J19" s="532"/>
      <c r="K19" s="532"/>
      <c r="L19" s="532">
        <v>9.0</v>
      </c>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112580</v>
      </c>
      <c r="AT19" s="515">
        <f>IFERROR(__xludf.DUMMYFUNCTION("""COMPUTED_VALUE"""),54173.0)</f>
        <v>54173</v>
      </c>
      <c r="AU19" s="516">
        <f t="shared" si="7"/>
        <v>0.5248058523</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f t="shared" si="3"/>
        <v>142</v>
      </c>
      <c r="F20" s="507">
        <f t="shared" si="4"/>
        <v>136</v>
      </c>
      <c r="G20" s="508">
        <v>114.0</v>
      </c>
      <c r="H20" s="524">
        <v>22.0</v>
      </c>
      <c r="I20" s="524">
        <v>1.0</v>
      </c>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114020</v>
      </c>
      <c r="AT20" s="515">
        <f>IFERROR(__xludf.DUMMYFUNCTION("""COMPUTED_VALUE"""),56460.0)</f>
        <v>56460</v>
      </c>
      <c r="AU20" s="516">
        <f t="shared" si="7"/>
        <v>0.5382357732</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IFERROR(__xludf.DUMMYFUNCTION("IMPORTRANGE(""https://docs.google.com/spreadsheets/d/1QbHfX9wvC_RRupa4CCe_ZxA6O4e2Ap9vqX5hrZPeQRg/edit?gid=284905409#gid=284905409"",""date2_1!B18"")/G5*COUNTIFS($E$13:$E$43,""&gt;0"")+sum(AZ14:BA19)"),435560.0)</f>
        <v>435560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f t="shared" si="3"/>
        <v>142</v>
      </c>
      <c r="F21" s="507">
        <f t="shared" si="4"/>
        <v>123</v>
      </c>
      <c r="G21" s="508">
        <v>93.0</v>
      </c>
      <c r="H21" s="532">
        <v>30.0</v>
      </c>
      <c r="I21" s="532"/>
      <c r="J21" s="532">
        <v>1.0</v>
      </c>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94240</v>
      </c>
      <c r="AT21" s="515">
        <f>IFERROR(__xludf.DUMMYFUNCTION("""COMPUTED_VALUE"""),46498.0)</f>
        <v>46498</v>
      </c>
      <c r="AU21" s="516">
        <f t="shared" si="7"/>
        <v>0.5454970592</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f t="shared" si="3"/>
        <v>142</v>
      </c>
      <c r="F22" s="507">
        <f t="shared" si="4"/>
        <v>123</v>
      </c>
      <c r="G22" s="508">
        <v>84.0</v>
      </c>
      <c r="H22" s="524">
        <v>39.0</v>
      </c>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86220</v>
      </c>
      <c r="AT22" s="515">
        <f>IFERROR(__xludf.DUMMYFUNCTION("""COMPUTED_VALUE"""),50328.0)</f>
        <v>50328</v>
      </c>
      <c r="AU22" s="516">
        <f t="shared" si="7"/>
        <v>0.6406592769</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f t="shared" si="3"/>
        <v>142</v>
      </c>
      <c r="F23" s="507">
        <f t="shared" si="4"/>
        <v>109</v>
      </c>
      <c r="G23" s="508">
        <v>82.0</v>
      </c>
      <c r="H23" s="532">
        <v>27.0</v>
      </c>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83060</v>
      </c>
      <c r="AT23" s="515">
        <f>IFERROR(__xludf.DUMMYFUNCTION("""COMPUTED_VALUE"""),38854.0)</f>
        <v>38854</v>
      </c>
      <c r="AU23" s="516">
        <f t="shared" si="7"/>
        <v>0.5268919198</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f t="shared" si="3"/>
        <v>142</v>
      </c>
      <c r="F24" s="507">
        <f t="shared" si="4"/>
        <v>105</v>
      </c>
      <c r="G24" s="508">
        <v>79.0</v>
      </c>
      <c r="H24" s="524">
        <v>26.0</v>
      </c>
      <c r="I24" s="524">
        <v>1.0</v>
      </c>
      <c r="J24" s="524"/>
      <c r="K24" s="524"/>
      <c r="L24" s="524">
        <v>10.0</v>
      </c>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82120</v>
      </c>
      <c r="AT24" s="515">
        <f>IFERROR(__xludf.DUMMYFUNCTION("""COMPUTED_VALUE"""),37023.0)</f>
        <v>37023</v>
      </c>
      <c r="AU24" s="516">
        <f t="shared" si="7"/>
        <v>0.5106264352</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f t="shared" si="3"/>
        <v>142</v>
      </c>
      <c r="F25" s="507">
        <f t="shared" si="4"/>
        <v>124</v>
      </c>
      <c r="G25" s="508">
        <v>98.0</v>
      </c>
      <c r="H25" s="532">
        <v>26.0</v>
      </c>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98640</v>
      </c>
      <c r="AT25" s="515">
        <f>IFERROR(__xludf.DUMMYFUNCTION("""COMPUTED_VALUE"""),57742.0)</f>
        <v>57742</v>
      </c>
      <c r="AU25" s="516">
        <f t="shared" si="7"/>
        <v>0.6351545302</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f t="shared" si="3"/>
        <v>142</v>
      </c>
      <c r="F26" s="507">
        <f t="shared" si="4"/>
        <v>111</v>
      </c>
      <c r="G26" s="508">
        <v>86.0</v>
      </c>
      <c r="H26" s="524">
        <v>25.0</v>
      </c>
      <c r="I26" s="524"/>
      <c r="J26" s="524">
        <v>1.0</v>
      </c>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86880</v>
      </c>
      <c r="AT26" s="515">
        <f>IFERROR(__xludf.DUMMYFUNCTION("""COMPUTED_VALUE"""),39418.0)</f>
        <v>39418</v>
      </c>
      <c r="AU26" s="516">
        <f t="shared" si="7"/>
        <v>0.5102168837</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f t="shared" si="3"/>
        <v>142</v>
      </c>
      <c r="F27" s="507">
        <f t="shared" si="4"/>
        <v>108</v>
      </c>
      <c r="G27" s="508">
        <v>87.0</v>
      </c>
      <c r="H27" s="532">
        <v>21.0</v>
      </c>
      <c r="I27" s="532"/>
      <c r="J27" s="532"/>
      <c r="K27" s="532"/>
      <c r="L27" s="532">
        <v>10.0</v>
      </c>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89360</v>
      </c>
      <c r="AT27" s="515">
        <f>IFERROR(__xludf.DUMMYFUNCTION("""COMPUTED_VALUE"""),43850.0)</f>
        <v>43850</v>
      </c>
      <c r="AU27" s="516">
        <f t="shared" si="7"/>
        <v>0.5456540159</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f t="shared" si="3"/>
        <v>142</v>
      </c>
      <c r="F28" s="507">
        <f t="shared" si="4"/>
        <v>98</v>
      </c>
      <c r="G28" s="508">
        <v>81.0</v>
      </c>
      <c r="H28" s="524">
        <v>17.0</v>
      </c>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81080</v>
      </c>
      <c r="AT28" s="515">
        <f>IFERROR(__xludf.DUMMYFUNCTION("""COMPUTED_VALUE"""),38274.0)</f>
        <v>38274</v>
      </c>
      <c r="AU28" s="516">
        <f t="shared" si="7"/>
        <v>0.5326053633</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f t="shared" si="3"/>
        <v>142</v>
      </c>
      <c r="F29" s="507">
        <f t="shared" si="4"/>
        <v>121</v>
      </c>
      <c r="G29" s="508">
        <v>92.0</v>
      </c>
      <c r="H29" s="532">
        <v>29.0</v>
      </c>
      <c r="I29" s="532"/>
      <c r="J29" s="532"/>
      <c r="K29" s="532"/>
      <c r="L29" s="532">
        <v>10.0</v>
      </c>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95060</v>
      </c>
      <c r="AT29" s="515">
        <f>IFERROR(__xludf.DUMMYFUNCTION("""COMPUTED_VALUE"""),49519.0)</f>
        <v>49519</v>
      </c>
      <c r="AU29" s="516">
        <f t="shared" si="7"/>
        <v>0.5725714586</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f t="shared" si="3"/>
        <v>142</v>
      </c>
      <c r="F30" s="507">
        <f t="shared" si="4"/>
        <v>137</v>
      </c>
      <c r="G30" s="508">
        <v>108.0</v>
      </c>
      <c r="H30" s="524">
        <v>29.0</v>
      </c>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108740</v>
      </c>
      <c r="AT30" s="515">
        <f>IFERROR(__xludf.DUMMYFUNCTION("""COMPUTED_VALUE"""),53680.0)</f>
        <v>53680</v>
      </c>
      <c r="AU30" s="516">
        <f t="shared" si="7"/>
        <v>0.5388048819</v>
      </c>
      <c r="AV30" s="507">
        <f>countifs('🔵クレーム'!$C:$C,MONTH($D$5)&amp;"月",'🔵クレーム'!$D:$D,day(C30)&amp;"日",'🔵クレーム'!$I:$I,"&lt;&gt;")</f>
        <v>0</v>
      </c>
      <c r="AW30" s="517"/>
      <c r="AX30" s="416"/>
      <c r="AY30" s="560" t="s">
        <v>382</v>
      </c>
      <c r="AZ30" s="550">
        <f>AS46</f>
        <v>2655760</v>
      </c>
      <c r="BA30" s="561" t="s">
        <v>311</v>
      </c>
      <c r="BB30" s="548">
        <f>SUM(AZ30:AZ36)</f>
        <v>2655760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f t="shared" si="3"/>
        <v>142</v>
      </c>
      <c r="F31" s="507">
        <f t="shared" si="4"/>
        <v>142</v>
      </c>
      <c r="G31" s="508">
        <v>115.0</v>
      </c>
      <c r="H31" s="524">
        <v>27.0</v>
      </c>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115400</v>
      </c>
      <c r="AT31" s="515">
        <f>IFERROR(__xludf.DUMMYFUNCTION("""COMPUTED_VALUE"""),62336.0)</f>
        <v>62336</v>
      </c>
      <c r="AU31" s="516">
        <f t="shared" si="7"/>
        <v>0.5827178757</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f t="shared" si="3"/>
        <v>142</v>
      </c>
      <c r="F32" s="507">
        <f t="shared" si="4"/>
        <v>134</v>
      </c>
      <c r="G32" s="508">
        <v>117.0</v>
      </c>
      <c r="H32" s="524">
        <v>17.0</v>
      </c>
      <c r="I32" s="524"/>
      <c r="J32" s="524"/>
      <c r="K32" s="527"/>
      <c r="L32" s="524">
        <v>8.0</v>
      </c>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117960</v>
      </c>
      <c r="AT32" s="515">
        <f>IFERROR(__xludf.DUMMYFUNCTION("""COMPUTED_VALUE"""),67750.0)</f>
        <v>67750</v>
      </c>
      <c r="AU32" s="516">
        <f t="shared" si="7"/>
        <v>0.6159684881</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f t="shared" si="3"/>
        <v>142</v>
      </c>
      <c r="F33" s="507">
        <f t="shared" si="4"/>
        <v>105</v>
      </c>
      <c r="G33" s="508">
        <v>88.0</v>
      </c>
      <c r="H33" s="524">
        <v>17.0</v>
      </c>
      <c r="I33" s="532">
        <v>19.0</v>
      </c>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89840</v>
      </c>
      <c r="AT33" s="515">
        <f>IFERROR(__xludf.DUMMYFUNCTION("""COMPUTED_VALUE"""),42134.0)</f>
        <v>42134</v>
      </c>
      <c r="AU33" s="516">
        <f t="shared" si="7"/>
        <v>0.523638055</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f t="shared" si="3"/>
        <v>142</v>
      </c>
      <c r="F34" s="507">
        <f t="shared" si="4"/>
        <v>140</v>
      </c>
      <c r="G34" s="508">
        <v>125.0</v>
      </c>
      <c r="H34" s="524">
        <v>15.0</v>
      </c>
      <c r="I34" s="524">
        <v>1.0</v>
      </c>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124100</v>
      </c>
      <c r="AT34" s="515">
        <f>IFERROR(__xludf.DUMMYFUNCTION("""COMPUTED_VALUE"""),55382.0)</f>
        <v>55382</v>
      </c>
      <c r="AU34" s="516">
        <f t="shared" si="7"/>
        <v>0.485831127</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f t="shared" si="3"/>
        <v>142</v>
      </c>
      <c r="F35" s="507">
        <f t="shared" si="4"/>
        <v>137</v>
      </c>
      <c r="G35" s="570">
        <v>123.0</v>
      </c>
      <c r="H35" s="532">
        <v>14.0</v>
      </c>
      <c r="I35" s="524"/>
      <c r="J35" s="524">
        <v>20.0</v>
      </c>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123940</v>
      </c>
      <c r="AT35" s="515">
        <f>IFERROR(__xludf.DUMMYFUNCTION("""COMPUTED_VALUE"""),61923.0)</f>
        <v>61923</v>
      </c>
      <c r="AU35" s="516">
        <f t="shared" si="7"/>
        <v>0.5392338459</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f t="shared" si="3"/>
        <v>142</v>
      </c>
      <c r="F36" s="507">
        <f t="shared" si="4"/>
        <v>93</v>
      </c>
      <c r="G36" s="570">
        <v>70.0</v>
      </c>
      <c r="H36" s="524">
        <v>23.0</v>
      </c>
      <c r="I36" s="524"/>
      <c r="J36" s="524">
        <v>1.0</v>
      </c>
      <c r="K36" s="527"/>
      <c r="L36" s="524">
        <v>10.0</v>
      </c>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73000</v>
      </c>
      <c r="AT36" s="515">
        <f>IFERROR(__xludf.DUMMYFUNCTION("""COMPUTED_VALUE"""),45798.0)</f>
        <v>45798</v>
      </c>
      <c r="AU36" s="516">
        <f t="shared" si="7"/>
        <v>0.6946252446</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f t="shared" si="3"/>
        <v>142</v>
      </c>
      <c r="F37" s="507">
        <f t="shared" si="4"/>
        <v>119</v>
      </c>
      <c r="G37" s="570">
        <v>94.0</v>
      </c>
      <c r="H37" s="532">
        <v>25.0</v>
      </c>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94620</v>
      </c>
      <c r="AT37" s="515">
        <f>IFERROR(__xludf.DUMMYFUNCTION("""COMPUTED_VALUE"""),42703.0)</f>
        <v>42703</v>
      </c>
      <c r="AU37" s="516">
        <f t="shared" si="7"/>
        <v>0.5031985083</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f t="shared" si="3"/>
        <v>142</v>
      </c>
      <c r="F38" s="507">
        <f t="shared" si="4"/>
        <v>108</v>
      </c>
      <c r="G38" s="570">
        <v>82.0</v>
      </c>
      <c r="H38" s="524">
        <v>26.0</v>
      </c>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82960</v>
      </c>
      <c r="AT38" s="515">
        <f>IFERROR(__xludf.DUMMYFUNCTION("""COMPUTED_VALUE"""),37530.0)</f>
        <v>37530</v>
      </c>
      <c r="AU38" s="516">
        <f t="shared" si="7"/>
        <v>0.5115675369</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f t="shared" si="3"/>
        <v>142</v>
      </c>
      <c r="F39" s="507">
        <f t="shared" si="4"/>
        <v>102</v>
      </c>
      <c r="G39" s="570">
        <v>86.0</v>
      </c>
      <c r="H39" s="532">
        <v>16.0</v>
      </c>
      <c r="I39" s="524"/>
      <c r="J39" s="524"/>
      <c r="K39" s="527"/>
      <c r="L39" s="524">
        <v>9.0</v>
      </c>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87680</v>
      </c>
      <c r="AT39" s="515">
        <f>IFERROR(__xludf.DUMMYFUNCTION("""COMPUTED_VALUE"""),44050.0)</f>
        <v>44050</v>
      </c>
      <c r="AU39" s="516">
        <f t="shared" si="7"/>
        <v>0.5583900873</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f t="shared" si="3"/>
        <v>142</v>
      </c>
      <c r="F40" s="507">
        <f t="shared" si="4"/>
        <v>90</v>
      </c>
      <c r="G40" s="570">
        <v>78.0</v>
      </c>
      <c r="H40" s="524">
        <v>12.0</v>
      </c>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77640</v>
      </c>
      <c r="AT40" s="515">
        <f>IFERROR(__xludf.DUMMYFUNCTION("""COMPUTED_VALUE"""),38184.0)</f>
        <v>38184</v>
      </c>
      <c r="AU40" s="516">
        <f t="shared" si="7"/>
        <v>0.5550443439</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32"/>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4"/>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3"/>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3976</v>
      </c>
      <c r="F44" s="586">
        <f t="shared" ref="F44:AB44" si="11">SUM(F13:F43)</f>
        <v>3287</v>
      </c>
      <c r="G44" s="586">
        <f t="shared" si="11"/>
        <v>2622</v>
      </c>
      <c r="H44" s="586">
        <f t="shared" si="11"/>
        <v>665</v>
      </c>
      <c r="I44" s="586">
        <f t="shared" si="11"/>
        <v>23</v>
      </c>
      <c r="J44" s="586">
        <f t="shared" si="11"/>
        <v>24</v>
      </c>
      <c r="K44" s="586">
        <f t="shared" si="11"/>
        <v>0</v>
      </c>
      <c r="L44" s="586">
        <f t="shared" si="11"/>
        <v>75</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2655760</v>
      </c>
      <c r="AT44" s="589">
        <f t="shared" si="12"/>
        <v>1307359</v>
      </c>
      <c r="AU44" s="590">
        <f>AVERAGE(AU13:AU43)</f>
        <v>0.544384666</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2569560</v>
      </c>
      <c r="H46" s="607">
        <f t="shared" si="14"/>
        <v>66500</v>
      </c>
      <c r="I46" s="607">
        <f t="shared" si="14"/>
        <v>2300</v>
      </c>
      <c r="J46" s="607">
        <f t="shared" si="14"/>
        <v>2400</v>
      </c>
      <c r="K46" s="607">
        <f t="shared" si="14"/>
        <v>0</v>
      </c>
      <c r="L46" s="607">
        <f t="shared" si="14"/>
        <v>15000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2655760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f>G44/$E$44</f>
        <v>0.6594567404</v>
      </c>
      <c r="H47" s="615">
        <f>H44/$F$44</f>
        <v>0.2023121387</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526</v>
      </c>
      <c r="O2" s="279"/>
      <c r="P2" s="280"/>
      <c r="Q2" s="281"/>
      <c r="R2" s="281"/>
      <c r="S2" s="282"/>
      <c r="T2" s="281"/>
      <c r="U2" s="281"/>
      <c r="V2" s="281"/>
      <c r="W2" s="281"/>
      <c r="X2" s="281"/>
      <c r="Y2" s="283"/>
      <c r="Z2" s="262"/>
      <c r="AA2" s="262"/>
      <c r="AB2" s="262"/>
      <c r="AC2" s="262"/>
      <c r="AD2" s="262"/>
      <c r="AE2" s="262"/>
      <c r="AF2" s="284"/>
      <c r="AG2" s="285"/>
      <c r="AH2" s="286"/>
      <c r="AI2" s="287" t="s">
        <v>527</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46133</v>
      </c>
      <c r="C7" s="358"/>
      <c r="D7" s="274"/>
      <c r="E7" s="359">
        <f>today()+1</f>
        <v>46134</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2" t="s">
        <v>225</v>
      </c>
      <c r="C8" s="373" t="str">
        <f>TEXT(B7,"ddd")</f>
        <v>火</v>
      </c>
      <c r="D8" s="186"/>
      <c r="E8" s="374" t="s">
        <v>225</v>
      </c>
      <c r="F8" s="375" t="str">
        <f>TEXT(E7,"ddd")</f>
        <v>水</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10</v>
      </c>
      <c r="O9" s="385">
        <f t="array" ref="O9">SUM(COUNTIF(O11:O104, {"◎","〇","☆","共","特","浴"}))</f>
        <v>6</v>
      </c>
      <c r="P9" s="385">
        <f t="array" ref="P9">SUM(COUNTIF(P11:P104, {"◎","〇","☆","共","特","浴"}))</f>
        <v>6</v>
      </c>
      <c r="Q9" s="385">
        <f t="array" ref="Q9">SUM(COUNTIF(Q11:Q104, {"◎","〇","☆","共","特","浴"}))</f>
        <v>6</v>
      </c>
      <c r="R9" s="385">
        <f t="array" ref="R9">SUM(COUNTIF(R11:R104, {"◎","〇","☆","共","特","浴"}))</f>
        <v>7</v>
      </c>
      <c r="S9" s="385">
        <f t="array" ref="S9">SUM(COUNTIF(S11:S104, {"◎","〇","☆","共","特","浴"}))</f>
        <v>9</v>
      </c>
      <c r="T9" s="385">
        <f t="array" ref="T9">SUM(COUNTIF(T11:T104, {"◎","〇","☆","共","特","浴"}))</f>
        <v>9</v>
      </c>
      <c r="U9" s="385">
        <f t="array" ref="U9">SUM(COUNTIF(U11:U104, {"◎","〇","☆","共","特","浴"}))</f>
        <v>8</v>
      </c>
      <c r="V9" s="385">
        <f t="array" ref="V9">SUM(COUNTIF(V11:V104, {"◎","〇","☆","共","特","浴"}))</f>
        <v>9</v>
      </c>
      <c r="W9" s="385">
        <f t="array" ref="W9">SUM(COUNTIF(W11:W104, {"◎","〇","☆","共","特","浴"}))</f>
        <v>7</v>
      </c>
      <c r="X9" s="385">
        <f t="array" ref="X9">SUM(COUNTIF(X11:X104, {"◎","〇","☆","共","特","浴"}))</f>
        <v>7</v>
      </c>
      <c r="Y9" s="385">
        <f t="array" ref="Y9">SUM(COUNTIF(Y11:Y104, {"◎","〇","☆","共","特","浴"}))</f>
        <v>10</v>
      </c>
      <c r="Z9" s="385">
        <f t="array" ref="Z9">SUM(COUNTIF(Z11:Z104, {"◎","〇","☆","共","特","浴"}))</f>
        <v>10</v>
      </c>
      <c r="AA9" s="385">
        <f t="array" ref="AA9">SUM(COUNTIF(AA11:AA104, {"◎","〇","☆","共","特","浴"}))</f>
        <v>10</v>
      </c>
      <c r="AB9" s="385">
        <f t="array" ref="AB9">SUM(COUNTIF(AB11:AB104, {"◎","〇","☆","共","特","浴"}))</f>
        <v>10</v>
      </c>
      <c r="AC9" s="385">
        <f t="array" ref="AC9">SUM(COUNTIF(AC11:AC104, {"◎","〇","☆","共","特","浴"}))</f>
        <v>8</v>
      </c>
      <c r="AD9" s="385">
        <f t="array" ref="AD9">SUM(COUNTIF(AD11:AD104, {"◎","〇","☆","共","特","浴"}))</f>
        <v>8</v>
      </c>
      <c r="AE9" s="385">
        <f t="array" ref="AE9">SUM(COUNTIF(AE11:AE104, {"◎","〇","☆","共","特","浴"}))</f>
        <v>9</v>
      </c>
      <c r="AF9" s="385">
        <f t="array" ref="AF9">SUM(COUNTIF(AF11:AF104, {"◎","〇","☆","共","特","浴"}))</f>
        <v>8</v>
      </c>
      <c r="AG9" s="385">
        <f t="array" ref="AG9">SUM(COUNTIF(AG11:AG104, {"◎","〇","☆","共","特","浴"}))</f>
        <v>7</v>
      </c>
      <c r="AH9" s="385">
        <f t="array" ref="AH9">SUM(COUNTIF(AH11:AH104, {"◎","〇","☆","共","特","浴"}))</f>
        <v>11</v>
      </c>
      <c r="AI9" s="385">
        <f t="array" ref="AI9">SUM(COUNTIF(AI11:AI104, {"◎","〇","☆","共","特","浴"}))</f>
        <v>11</v>
      </c>
      <c r="AJ9" s="385">
        <f t="array" ref="AJ9">SUM(COUNTIF(AJ11:AJ104, {"◎","〇","☆","共","特","浴"}))</f>
        <v>8</v>
      </c>
      <c r="AK9" s="385">
        <f t="array" ref="AK9">SUM(COUNTIF(AK11:AK104, {"◎","〇","☆","共","特","浴"}))</f>
        <v>9</v>
      </c>
      <c r="AL9" s="385">
        <f t="array" ref="AL9">SUM(COUNTIF(AL11:AL104, {"◎","〇","☆","共","特","浴"}))</f>
        <v>9</v>
      </c>
      <c r="AM9" s="385">
        <f t="array" ref="AM9">SUM(COUNTIF(AM11:AM104, {"◎","〇","☆","共","特","浴"}))</f>
        <v>8</v>
      </c>
      <c r="AN9" s="385">
        <f t="array" ref="AN9">SUM(COUNTIF(AN11:AN104, {"◎","〇","☆","共","特","浴"}))</f>
        <v>10</v>
      </c>
      <c r="AO9" s="385">
        <f t="array" ref="AO9">SUM(COUNTIF(AO11:AO104, {"◎","〇","☆","共","特","浴"}))</f>
        <v>11</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1</v>
      </c>
      <c r="O10" s="385">
        <f t="array" ref="O10">SUM(COUNTIF(O11:O104, {"◎","☆"}))</f>
        <v>2</v>
      </c>
      <c r="P10" s="385">
        <f t="array" ref="P10">SUM(COUNTIF(P11:P104, {"◎","☆"}))</f>
        <v>1</v>
      </c>
      <c r="Q10" s="385">
        <f t="array" ref="Q10">SUM(COUNTIF(Q11:Q104, {"◎","☆"}))</f>
        <v>1</v>
      </c>
      <c r="R10" s="385">
        <f t="array" ref="R10">SUM(COUNTIF(R11:R104, {"◎","☆"}))</f>
        <v>2</v>
      </c>
      <c r="S10" s="385">
        <f t="array" ref="S10">SUM(COUNTIF(S11:S104, {"◎","☆"}))</f>
        <v>1</v>
      </c>
      <c r="T10" s="385">
        <f t="array" ref="T10">SUM(COUNTIF(T11:T104, {"◎","☆"}))</f>
        <v>1</v>
      </c>
      <c r="U10" s="385">
        <f t="array" ref="U10">SUM(COUNTIF(U11:U104, {"◎","☆"}))</f>
        <v>1</v>
      </c>
      <c r="V10" s="385">
        <f t="array" ref="V10">SUM(COUNTIF(V11:V104, {"◎","☆"}))</f>
        <v>2</v>
      </c>
      <c r="W10" s="385">
        <f t="array" ref="W10">SUM(COUNTIF(W11:W104, {"◎","☆"}))</f>
        <v>1</v>
      </c>
      <c r="X10" s="385">
        <f t="array" ref="X10">SUM(COUNTIF(X11:X104, {"◎","☆"}))</f>
        <v>1</v>
      </c>
      <c r="Y10" s="385">
        <f t="array" ref="Y10">SUM(COUNTIF(Y11:Y104, {"◎","☆"}))</f>
        <v>1</v>
      </c>
      <c r="Z10" s="385">
        <f t="array" ref="Z10">SUM(COUNTIF(Z11:Z104, {"◎","☆"}))</f>
        <v>1</v>
      </c>
      <c r="AA10" s="385">
        <f t="array" ref="AA10">SUM(COUNTIF(AA11:AA104, {"◎","☆"}))</f>
        <v>1</v>
      </c>
      <c r="AB10" s="385">
        <f t="array" ref="AB10">SUM(COUNTIF(AB11:AB104, {"◎","☆"}))</f>
        <v>1</v>
      </c>
      <c r="AC10" s="385">
        <f t="array" ref="AC10">SUM(COUNTIF(AC11:AC104, {"◎","☆"}))</f>
        <v>2</v>
      </c>
      <c r="AD10" s="385">
        <f t="array" ref="AD10">SUM(COUNTIF(AD11:AD104, {"◎","☆"}))</f>
        <v>1</v>
      </c>
      <c r="AE10" s="385">
        <f t="array" ref="AE10">SUM(COUNTIF(AE11:AE104, {"◎","☆"}))</f>
        <v>1</v>
      </c>
      <c r="AF10" s="385">
        <f t="array" ref="AF10">SUM(COUNTIF(AF11:AF104, {"◎","☆"}))</f>
        <v>1</v>
      </c>
      <c r="AG10" s="385">
        <f t="array" ref="AG10">SUM(COUNTIF(AG11:AG104, {"◎","☆"}))</f>
        <v>1</v>
      </c>
      <c r="AH10" s="385">
        <f t="array" ref="AH10">SUM(COUNTIF(AH11:AH104, {"◎","☆"}))</f>
        <v>1</v>
      </c>
      <c r="AI10" s="385">
        <f t="array" ref="AI10">SUM(COUNTIF(AI11:AI104, {"◎","☆"}))</f>
        <v>1</v>
      </c>
      <c r="AJ10" s="385">
        <f t="array" ref="AJ10">SUM(COUNTIF(AJ11:AJ104, {"◎","☆"}))</f>
        <v>2</v>
      </c>
      <c r="AK10" s="385">
        <f t="array" ref="AK10">SUM(COUNTIF(AK11:AK104, {"◎","☆"}))</f>
        <v>1</v>
      </c>
      <c r="AL10" s="385">
        <f t="array" ref="AL10">SUM(COUNTIF(AL11:AL104, {"◎","☆"}))</f>
        <v>1</v>
      </c>
      <c r="AM10" s="385">
        <f t="array" ref="AM10">SUM(COUNTIF(AM11:AM104, {"◎","☆"}))</f>
        <v>1</v>
      </c>
      <c r="AN10" s="385">
        <f t="array" ref="AN10">SUM(COUNTIF(AN11:AN104, {"◎","☆"}))</f>
        <v>1</v>
      </c>
      <c r="AO10" s="385">
        <f t="array" ref="AO10">SUM(COUNTIF(AO11:AO104, {"◎","☆"}))</f>
        <v>1</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t="s">
        <v>187</v>
      </c>
      <c r="O11" s="390" t="s">
        <v>187</v>
      </c>
      <c r="P11" s="390" t="s">
        <v>281</v>
      </c>
      <c r="Q11" s="390" t="s">
        <v>187</v>
      </c>
      <c r="R11" s="390" t="s">
        <v>187</v>
      </c>
      <c r="S11" s="390"/>
      <c r="T11" s="390"/>
      <c r="U11" s="390" t="s">
        <v>187</v>
      </c>
      <c r="V11" s="390" t="s">
        <v>187</v>
      </c>
      <c r="W11" s="390" t="s">
        <v>281</v>
      </c>
      <c r="X11" s="390" t="s">
        <v>187</v>
      </c>
      <c r="Y11" s="390"/>
      <c r="Z11" s="390" t="s">
        <v>281</v>
      </c>
      <c r="AA11" s="390"/>
      <c r="AB11" s="390" t="s">
        <v>187</v>
      </c>
      <c r="AC11" s="390" t="s">
        <v>187</v>
      </c>
      <c r="AD11" s="390" t="s">
        <v>281</v>
      </c>
      <c r="AE11" s="390"/>
      <c r="AF11" s="390" t="s">
        <v>187</v>
      </c>
      <c r="AG11" s="390" t="s">
        <v>281</v>
      </c>
      <c r="AH11" s="390"/>
      <c r="AI11" s="390" t="s">
        <v>187</v>
      </c>
      <c r="AJ11" s="390" t="s">
        <v>187</v>
      </c>
      <c r="AK11" s="390" t="s">
        <v>281</v>
      </c>
      <c r="AL11" s="390"/>
      <c r="AM11" s="390" t="s">
        <v>187</v>
      </c>
      <c r="AN11" s="390" t="s">
        <v>281</v>
      </c>
      <c r="AO11" s="390"/>
      <c r="AP11" s="390"/>
      <c r="AQ11" s="390"/>
      <c r="AR11" s="390"/>
      <c r="AS11" s="391">
        <f t="array" ref="AS11">SUM(COUNTIF(N11:AR11, {"◎","〇","☆","共","特","浴"}))</f>
        <v>13</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小川</v>
      </c>
      <c r="C12" s="381" t="str">
        <f t="shared" si="5"/>
        <v>#N/A</v>
      </c>
      <c r="D12" s="186"/>
      <c r="E12" s="372" t="str">
        <f t="shared" si="6"/>
        <v>小川</v>
      </c>
      <c r="F12" s="381" t="str">
        <f t="shared" si="7"/>
        <v>#N/A</v>
      </c>
      <c r="G12" s="186"/>
      <c r="H12" s="186"/>
      <c r="I12" s="168" t="b">
        <v>0</v>
      </c>
      <c r="J12" s="362"/>
      <c r="K12" s="382" t="s">
        <v>235</v>
      </c>
      <c r="L12" s="383" t="s">
        <v>236</v>
      </c>
      <c r="M12" s="389"/>
      <c r="N12" s="390"/>
      <c r="O12" s="390" t="s">
        <v>187</v>
      </c>
      <c r="P12" s="390" t="s">
        <v>187</v>
      </c>
      <c r="Q12" s="390"/>
      <c r="R12" s="390" t="s">
        <v>187</v>
      </c>
      <c r="S12" s="390" t="s">
        <v>187</v>
      </c>
      <c r="T12" s="390" t="s">
        <v>187</v>
      </c>
      <c r="U12" s="390"/>
      <c r="V12" s="390" t="s">
        <v>187</v>
      </c>
      <c r="W12" s="390" t="s">
        <v>187</v>
      </c>
      <c r="X12" s="390"/>
      <c r="Y12" s="390" t="s">
        <v>187</v>
      </c>
      <c r="Z12" s="390" t="s">
        <v>187</v>
      </c>
      <c r="AA12" s="390" t="s">
        <v>187</v>
      </c>
      <c r="AB12" s="390"/>
      <c r="AC12" s="390" t="s">
        <v>187</v>
      </c>
      <c r="AD12" s="390" t="s">
        <v>187</v>
      </c>
      <c r="AE12" s="390" t="s">
        <v>187</v>
      </c>
      <c r="AF12" s="390"/>
      <c r="AG12" s="390" t="s">
        <v>187</v>
      </c>
      <c r="AH12" s="390" t="s">
        <v>187</v>
      </c>
      <c r="AI12" s="390"/>
      <c r="AJ12" s="390" t="s">
        <v>187</v>
      </c>
      <c r="AK12" s="390" t="s">
        <v>187</v>
      </c>
      <c r="AL12" s="390" t="s">
        <v>187</v>
      </c>
      <c r="AM12" s="390"/>
      <c r="AN12" s="390" t="s">
        <v>187</v>
      </c>
      <c r="AO12" s="390" t="s">
        <v>187</v>
      </c>
      <c r="AP12" s="390"/>
      <c r="AQ12" s="390"/>
      <c r="AR12" s="390"/>
      <c r="AS12" s="391">
        <f t="array" ref="AS12">SUM(COUNTIF(N12:AR12, {"◎","〇","☆","共","特","浴"}))</f>
        <v>20</v>
      </c>
      <c r="AT12" s="392" t="s">
        <v>237</v>
      </c>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hidden="1" outlineLevel="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9</v>
      </c>
      <c r="O41" s="385">
        <f t="shared" si="8"/>
        <v>4</v>
      </c>
      <c r="P41" s="385">
        <f t="shared" si="8"/>
        <v>5</v>
      </c>
      <c r="Q41" s="385">
        <f t="shared" ref="Q41:AR41" si="9">COUNTIF(Q45:Q104,"〇")+countif(Q$11:Q$40,"〇")</f>
        <v>5</v>
      </c>
      <c r="R41" s="385">
        <f t="shared" si="9"/>
        <v>5</v>
      </c>
      <c r="S41" s="385">
        <f t="shared" si="9"/>
        <v>8</v>
      </c>
      <c r="T41" s="385">
        <f t="shared" si="9"/>
        <v>8</v>
      </c>
      <c r="U41" s="385">
        <f t="shared" si="9"/>
        <v>7</v>
      </c>
      <c r="V41" s="385">
        <f t="shared" si="9"/>
        <v>7</v>
      </c>
      <c r="W41" s="385">
        <f t="shared" si="9"/>
        <v>6</v>
      </c>
      <c r="X41" s="385">
        <f t="shared" si="9"/>
        <v>6</v>
      </c>
      <c r="Y41" s="385">
        <f t="shared" si="9"/>
        <v>9</v>
      </c>
      <c r="Z41" s="385">
        <f t="shared" si="9"/>
        <v>9</v>
      </c>
      <c r="AA41" s="385">
        <f t="shared" si="9"/>
        <v>9</v>
      </c>
      <c r="AB41" s="385">
        <f t="shared" si="9"/>
        <v>9</v>
      </c>
      <c r="AC41" s="385">
        <f t="shared" si="9"/>
        <v>6</v>
      </c>
      <c r="AD41" s="385">
        <f t="shared" si="9"/>
        <v>7</v>
      </c>
      <c r="AE41" s="385">
        <f t="shared" si="9"/>
        <v>8</v>
      </c>
      <c r="AF41" s="385">
        <f t="shared" si="9"/>
        <v>7</v>
      </c>
      <c r="AG41" s="385">
        <f t="shared" si="9"/>
        <v>6</v>
      </c>
      <c r="AH41" s="385">
        <f t="shared" si="9"/>
        <v>10</v>
      </c>
      <c r="AI41" s="385">
        <f t="shared" si="9"/>
        <v>10</v>
      </c>
      <c r="AJ41" s="385">
        <f t="shared" si="9"/>
        <v>6</v>
      </c>
      <c r="AK41" s="385">
        <f t="shared" si="9"/>
        <v>8</v>
      </c>
      <c r="AL41" s="385">
        <f t="shared" si="9"/>
        <v>8</v>
      </c>
      <c r="AM41" s="385">
        <f t="shared" si="9"/>
        <v>7</v>
      </c>
      <c r="AN41" s="385">
        <f t="shared" si="9"/>
        <v>9</v>
      </c>
      <c r="AO41" s="385">
        <f t="shared" si="9"/>
        <v>10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アシス</v>
      </c>
      <c r="C45" s="381" t="str">
        <f t="shared" si="5"/>
        <v>#N/A</v>
      </c>
      <c r="D45" s="186"/>
      <c r="E45" s="372" t="str">
        <f t="shared" si="6"/>
        <v>アシス</v>
      </c>
      <c r="F45" s="381" t="str">
        <f t="shared" si="7"/>
        <v>#N/A</v>
      </c>
      <c r="G45" s="186"/>
      <c r="H45" s="186"/>
      <c r="I45" s="168" t="b">
        <v>0</v>
      </c>
      <c r="J45" s="362"/>
      <c r="K45" s="382" t="s">
        <v>247</v>
      </c>
      <c r="L45" s="383" t="s">
        <v>248</v>
      </c>
      <c r="M45" s="389"/>
      <c r="N45" s="390"/>
      <c r="O45" s="390" t="s">
        <v>119</v>
      </c>
      <c r="P45" s="390" t="s">
        <v>119</v>
      </c>
      <c r="Q45" s="390" t="s">
        <v>119</v>
      </c>
      <c r="R45" s="390" t="s">
        <v>119</v>
      </c>
      <c r="S45" s="390"/>
      <c r="T45" s="390"/>
      <c r="U45" s="390"/>
      <c r="V45" s="390" t="s">
        <v>119</v>
      </c>
      <c r="W45" s="390" t="s">
        <v>119</v>
      </c>
      <c r="X45" s="390" t="s">
        <v>119</v>
      </c>
      <c r="Y45" s="390"/>
      <c r="Z45" s="390"/>
      <c r="AA45" s="390"/>
      <c r="AB45" s="390"/>
      <c r="AC45" s="390" t="s">
        <v>119</v>
      </c>
      <c r="AD45" s="390" t="s">
        <v>119</v>
      </c>
      <c r="AE45" s="390" t="s">
        <v>119</v>
      </c>
      <c r="AF45" s="390"/>
      <c r="AG45" s="390" t="s">
        <v>119</v>
      </c>
      <c r="AH45" s="390"/>
      <c r="AI45" s="390"/>
      <c r="AJ45" s="390" t="s">
        <v>119</v>
      </c>
      <c r="AK45" s="390" t="s">
        <v>119</v>
      </c>
      <c r="AL45" s="390" t="s">
        <v>119</v>
      </c>
      <c r="AM45" s="390" t="s">
        <v>119</v>
      </c>
      <c r="AN45" s="390" t="s">
        <v>119</v>
      </c>
      <c r="AO45" s="390"/>
      <c r="AP45" s="390"/>
      <c r="AQ45" s="390"/>
      <c r="AR45" s="385"/>
      <c r="AS45" s="391">
        <f t="array" ref="AS45">SUM(COUNTIF(N45:AR45, {"◎","〇","☆","共","特","浴"}))</f>
        <v>16</v>
      </c>
      <c r="AT45" s="392" t="s">
        <v>250</v>
      </c>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君島</v>
      </c>
      <c r="C46" s="381" t="str">
        <f t="shared" si="5"/>
        <v>#N/A</v>
      </c>
      <c r="D46" s="186"/>
      <c r="E46" s="372" t="str">
        <f t="shared" si="6"/>
        <v>君島</v>
      </c>
      <c r="F46" s="381" t="str">
        <f t="shared" si="7"/>
        <v>#N/A</v>
      </c>
      <c r="G46" s="186"/>
      <c r="H46" s="186"/>
      <c r="I46" s="168" t="b">
        <v>0</v>
      </c>
      <c r="J46" s="362"/>
      <c r="K46" s="382" t="s">
        <v>251</v>
      </c>
      <c r="L46" s="383" t="s">
        <v>252</v>
      </c>
      <c r="M46" s="384" t="s">
        <v>253</v>
      </c>
      <c r="N46" s="390" t="s">
        <v>119</v>
      </c>
      <c r="O46" s="390"/>
      <c r="P46" s="390"/>
      <c r="Q46" s="390" t="s">
        <v>119</v>
      </c>
      <c r="R46" s="390" t="s">
        <v>119</v>
      </c>
      <c r="S46" s="390" t="s">
        <v>119</v>
      </c>
      <c r="T46" s="390"/>
      <c r="U46" s="390"/>
      <c r="V46" s="390" t="s">
        <v>119</v>
      </c>
      <c r="W46" s="390" t="s">
        <v>119</v>
      </c>
      <c r="X46" s="390"/>
      <c r="Y46" s="390" t="s">
        <v>119</v>
      </c>
      <c r="Z46" s="390" t="s">
        <v>119</v>
      </c>
      <c r="AA46" s="390"/>
      <c r="AB46" s="390"/>
      <c r="AC46" s="390" t="s">
        <v>119</v>
      </c>
      <c r="AD46" s="390"/>
      <c r="AE46" s="390" t="s">
        <v>119</v>
      </c>
      <c r="AF46" s="390" t="s">
        <v>119</v>
      </c>
      <c r="AG46" s="390"/>
      <c r="AH46" s="390"/>
      <c r="AI46" s="390" t="s">
        <v>119</v>
      </c>
      <c r="AJ46" s="390"/>
      <c r="AK46" s="390" t="s">
        <v>119</v>
      </c>
      <c r="AL46" s="390"/>
      <c r="AM46" s="390"/>
      <c r="AN46" s="390" t="s">
        <v>119</v>
      </c>
      <c r="AO46" s="390"/>
      <c r="AP46" s="390"/>
      <c r="AQ46" s="390"/>
      <c r="AR46" s="385"/>
      <c r="AS46" s="391">
        <f t="array" ref="AS46">SUM(COUNTIF(N46:AR46, {"◎","〇","☆","共","特","浴"}))</f>
        <v>14</v>
      </c>
      <c r="AT46" s="392" t="s">
        <v>250</v>
      </c>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多田</v>
      </c>
      <c r="C47" s="381" t="str">
        <f t="shared" si="5"/>
        <v>#N/A</v>
      </c>
      <c r="D47" s="186"/>
      <c r="E47" s="372" t="str">
        <f t="shared" si="6"/>
        <v>多田</v>
      </c>
      <c r="F47" s="381" t="str">
        <f t="shared" si="7"/>
        <v>#N/A</v>
      </c>
      <c r="G47" s="186"/>
      <c r="H47" s="186"/>
      <c r="I47" s="168" t="b">
        <v>0</v>
      </c>
      <c r="J47" s="362"/>
      <c r="K47" s="382" t="s">
        <v>254</v>
      </c>
      <c r="L47" s="383" t="s">
        <v>252</v>
      </c>
      <c r="M47" s="384" t="s">
        <v>253</v>
      </c>
      <c r="N47" s="390"/>
      <c r="O47" s="390" t="s">
        <v>119</v>
      </c>
      <c r="P47" s="390" t="s">
        <v>119</v>
      </c>
      <c r="Q47" s="390"/>
      <c r="R47" s="390"/>
      <c r="S47" s="390" t="s">
        <v>119</v>
      </c>
      <c r="T47" s="390"/>
      <c r="U47" s="390"/>
      <c r="V47" s="390" t="s">
        <v>119</v>
      </c>
      <c r="W47" s="390" t="s">
        <v>119</v>
      </c>
      <c r="X47" s="390"/>
      <c r="Y47" s="390"/>
      <c r="Z47" s="390" t="s">
        <v>119</v>
      </c>
      <c r="AA47" s="390"/>
      <c r="AB47" s="390"/>
      <c r="AC47" s="390"/>
      <c r="AD47" s="390" t="s">
        <v>119</v>
      </c>
      <c r="AE47" s="390" t="s">
        <v>119</v>
      </c>
      <c r="AF47" s="390"/>
      <c r="AG47" s="390"/>
      <c r="AH47" s="390"/>
      <c r="AI47" s="390"/>
      <c r="AJ47" s="390"/>
      <c r="AK47" s="390" t="s">
        <v>119</v>
      </c>
      <c r="AL47" s="390" t="s">
        <v>119</v>
      </c>
      <c r="AM47" s="390"/>
      <c r="AN47" s="390" t="s">
        <v>119</v>
      </c>
      <c r="AO47" s="390"/>
      <c r="AP47" s="390"/>
      <c r="AQ47" s="390"/>
      <c r="AR47" s="385"/>
      <c r="AS47" s="391">
        <f t="array" ref="AS47">SUM(COUNTIF(N47:AR47, {"◎","〇","☆","共","特","浴"}))</f>
        <v>11</v>
      </c>
      <c r="AT47" s="392" t="s">
        <v>250</v>
      </c>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白鳥</v>
      </c>
      <c r="C48" s="381" t="str">
        <f t="shared" si="5"/>
        <v>#N/A</v>
      </c>
      <c r="D48" s="186"/>
      <c r="E48" s="372" t="str">
        <f t="shared" si="6"/>
        <v>白鳥</v>
      </c>
      <c r="F48" s="381" t="str">
        <f t="shared" si="7"/>
        <v>#N/A</v>
      </c>
      <c r="G48" s="186"/>
      <c r="H48" s="186"/>
      <c r="I48" s="168" t="b">
        <v>0</v>
      </c>
      <c r="J48" s="362"/>
      <c r="K48" s="382" t="s">
        <v>255</v>
      </c>
      <c r="L48" s="383" t="s">
        <v>252</v>
      </c>
      <c r="M48" s="384" t="s">
        <v>253</v>
      </c>
      <c r="N48" s="390"/>
      <c r="O48" s="390"/>
      <c r="P48" s="390" t="s">
        <v>119</v>
      </c>
      <c r="Q48" s="390" t="s">
        <v>119</v>
      </c>
      <c r="R48" s="390"/>
      <c r="S48" s="390" t="s">
        <v>119</v>
      </c>
      <c r="T48" s="390"/>
      <c r="U48" s="390"/>
      <c r="V48" s="390" t="s">
        <v>119</v>
      </c>
      <c r="W48" s="390" t="s">
        <v>119</v>
      </c>
      <c r="X48" s="390" t="s">
        <v>119</v>
      </c>
      <c r="Y48" s="390"/>
      <c r="Z48" s="390"/>
      <c r="AA48" s="390"/>
      <c r="AB48" s="390"/>
      <c r="AC48" s="390" t="s">
        <v>119</v>
      </c>
      <c r="AD48" s="390" t="s">
        <v>119</v>
      </c>
      <c r="AE48" s="390" t="s">
        <v>119</v>
      </c>
      <c r="AF48" s="390"/>
      <c r="AG48" s="390"/>
      <c r="AH48" s="390"/>
      <c r="AI48" s="390"/>
      <c r="AJ48" s="390" t="s">
        <v>119</v>
      </c>
      <c r="AK48" s="390" t="s">
        <v>119</v>
      </c>
      <c r="AL48" s="390" t="s">
        <v>119</v>
      </c>
      <c r="AM48" s="390"/>
      <c r="AN48" s="390" t="s">
        <v>119</v>
      </c>
      <c r="AO48" s="390"/>
      <c r="AP48" s="390"/>
      <c r="AQ48" s="390"/>
      <c r="AR48" s="385"/>
      <c r="AS48" s="391">
        <f t="array" ref="AS48">SUM(COUNTIF(N48:AR48, {"◎","〇","☆","共","特","浴"}))</f>
        <v>13</v>
      </c>
      <c r="AT48" s="392" t="s">
        <v>250</v>
      </c>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ラメス</v>
      </c>
      <c r="C49" s="381" t="str">
        <f t="shared" si="5"/>
        <v>#N/A</v>
      </c>
      <c r="D49" s="186"/>
      <c r="E49" s="372" t="str">
        <f t="shared" si="6"/>
        <v>ラメス</v>
      </c>
      <c r="F49" s="381" t="str">
        <f t="shared" si="7"/>
        <v>#N/A</v>
      </c>
      <c r="G49" s="186"/>
      <c r="H49" s="186"/>
      <c r="I49" s="168" t="b">
        <v>0</v>
      </c>
      <c r="J49" s="362"/>
      <c r="K49" s="382" t="s">
        <v>256</v>
      </c>
      <c r="L49" s="383" t="s">
        <v>248</v>
      </c>
      <c r="M49" s="384" t="s">
        <v>284</v>
      </c>
      <c r="N49" s="390" t="s">
        <v>119</v>
      </c>
      <c r="O49" s="390" t="s">
        <v>119</v>
      </c>
      <c r="P49" s="385"/>
      <c r="Q49" s="390"/>
      <c r="R49" s="390" t="s">
        <v>119</v>
      </c>
      <c r="S49" s="390" t="s">
        <v>119</v>
      </c>
      <c r="T49" s="390" t="s">
        <v>119</v>
      </c>
      <c r="U49" s="390" t="s">
        <v>119</v>
      </c>
      <c r="V49" s="390" t="s">
        <v>119</v>
      </c>
      <c r="W49" s="390"/>
      <c r="X49" s="390"/>
      <c r="Y49" s="390" t="s">
        <v>119</v>
      </c>
      <c r="Z49" s="390" t="s">
        <v>119</v>
      </c>
      <c r="AA49" s="390" t="s">
        <v>119</v>
      </c>
      <c r="AB49" s="390" t="s">
        <v>119</v>
      </c>
      <c r="AC49" s="390" t="s">
        <v>119</v>
      </c>
      <c r="AD49" s="390"/>
      <c r="AE49" s="390"/>
      <c r="AF49" s="390" t="s">
        <v>119</v>
      </c>
      <c r="AG49" s="390" t="s">
        <v>119</v>
      </c>
      <c r="AH49" s="390" t="s">
        <v>119</v>
      </c>
      <c r="AI49" s="390" t="s">
        <v>119</v>
      </c>
      <c r="AJ49" s="390" t="s">
        <v>119</v>
      </c>
      <c r="AK49" s="390"/>
      <c r="AL49" s="390"/>
      <c r="AM49" s="390" t="s">
        <v>119</v>
      </c>
      <c r="AN49" s="390" t="s">
        <v>119</v>
      </c>
      <c r="AO49" s="390" t="s">
        <v>119</v>
      </c>
      <c r="AP49" s="390"/>
      <c r="AQ49" s="385"/>
      <c r="AR49" s="385"/>
      <c r="AS49" s="391">
        <f t="array" ref="AS49">SUM(COUNTIF(N49:AR49, {"◎","〇","☆","共","特","浴"}))</f>
        <v>20</v>
      </c>
      <c r="AT49" s="392" t="s">
        <v>250</v>
      </c>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ハリ</v>
      </c>
      <c r="C50" s="381" t="str">
        <f t="shared" si="5"/>
        <v>#N/A</v>
      </c>
      <c r="D50" s="186"/>
      <c r="E50" s="372" t="str">
        <f t="shared" si="6"/>
        <v>ハリ</v>
      </c>
      <c r="F50" s="381" t="str">
        <f t="shared" si="7"/>
        <v>#N/A</v>
      </c>
      <c r="G50" s="186"/>
      <c r="H50" s="186"/>
      <c r="I50" s="168" t="b">
        <v>0</v>
      </c>
      <c r="J50" s="362"/>
      <c r="K50" s="382" t="s">
        <v>424</v>
      </c>
      <c r="L50" s="383" t="s">
        <v>248</v>
      </c>
      <c r="M50" s="384" t="s">
        <v>262</v>
      </c>
      <c r="N50" s="390" t="s">
        <v>119</v>
      </c>
      <c r="O50" s="385"/>
      <c r="P50" s="385"/>
      <c r="Q50" s="385"/>
      <c r="R50" s="390"/>
      <c r="S50" s="385"/>
      <c r="T50" s="390" t="s">
        <v>119</v>
      </c>
      <c r="U50" s="390" t="s">
        <v>119</v>
      </c>
      <c r="V50" s="385"/>
      <c r="W50" s="385"/>
      <c r="X50" s="390"/>
      <c r="Y50" s="390"/>
      <c r="Z50" s="390"/>
      <c r="AA50" s="390" t="s">
        <v>119</v>
      </c>
      <c r="AB50" s="390" t="s">
        <v>119</v>
      </c>
      <c r="AC50" s="385"/>
      <c r="AD50" s="385"/>
      <c r="AE50" s="390"/>
      <c r="AF50" s="390"/>
      <c r="AG50" s="390"/>
      <c r="AH50" s="390" t="s">
        <v>119</v>
      </c>
      <c r="AI50" s="390" t="s">
        <v>119</v>
      </c>
      <c r="AJ50" s="385"/>
      <c r="AK50" s="385"/>
      <c r="AL50" s="390"/>
      <c r="AM50" s="390"/>
      <c r="AN50" s="390"/>
      <c r="AO50" s="390" t="s">
        <v>119</v>
      </c>
      <c r="AP50" s="390"/>
      <c r="AQ50" s="385"/>
      <c r="AR50" s="385"/>
      <c r="AS50" s="391">
        <f t="array" ref="AS50">SUM(COUNTIF(N50:AR50, {"◎","〇","☆","共","特","浴"}))</f>
        <v>8</v>
      </c>
      <c r="AT50" s="392" t="s">
        <v>259</v>
      </c>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ムナ</v>
      </c>
      <c r="C51" s="381" t="str">
        <f t="shared" si="5"/>
        <v>#N/A</v>
      </c>
      <c r="D51" s="186"/>
      <c r="E51" s="372" t="str">
        <f t="shared" si="6"/>
        <v>ムナ</v>
      </c>
      <c r="F51" s="381" t="str">
        <f t="shared" si="7"/>
        <v>#N/A</v>
      </c>
      <c r="G51" s="186"/>
      <c r="H51" s="186"/>
      <c r="I51" s="168" t="b">
        <v>0</v>
      </c>
      <c r="J51" s="362"/>
      <c r="K51" s="382" t="s">
        <v>260</v>
      </c>
      <c r="L51" s="383" t="s">
        <v>248</v>
      </c>
      <c r="M51" s="384" t="s">
        <v>253</v>
      </c>
      <c r="N51" s="390"/>
      <c r="O51" s="390"/>
      <c r="P51" s="390"/>
      <c r="Q51" s="390" t="s">
        <v>119</v>
      </c>
      <c r="R51" s="390" t="s">
        <v>119</v>
      </c>
      <c r="S51" s="390" t="s">
        <v>119</v>
      </c>
      <c r="T51" s="390"/>
      <c r="U51" s="390"/>
      <c r="V51" s="390"/>
      <c r="W51" s="390"/>
      <c r="X51" s="390"/>
      <c r="Y51" s="390" t="s">
        <v>119</v>
      </c>
      <c r="Z51" s="390" t="s">
        <v>119</v>
      </c>
      <c r="AA51" s="390"/>
      <c r="AB51" s="390"/>
      <c r="AC51" s="390"/>
      <c r="AD51" s="390"/>
      <c r="AE51" s="390" t="s">
        <v>119</v>
      </c>
      <c r="AF51" s="390"/>
      <c r="AG51" s="390" t="s">
        <v>119</v>
      </c>
      <c r="AH51" s="390"/>
      <c r="AI51" s="390"/>
      <c r="AJ51" s="390"/>
      <c r="AK51" s="390"/>
      <c r="AL51" s="390" t="s">
        <v>119</v>
      </c>
      <c r="AM51" s="390" t="s">
        <v>119</v>
      </c>
      <c r="AN51" s="390" t="s">
        <v>119</v>
      </c>
      <c r="AO51" s="390"/>
      <c r="AP51" s="390"/>
      <c r="AQ51" s="390"/>
      <c r="AR51" s="385"/>
      <c r="AS51" s="391">
        <f t="array" ref="AS51">SUM(COUNTIF(N51:AR51, {"◎","〇","☆","共","特","浴"}))</f>
        <v>10</v>
      </c>
      <c r="AT51" s="392" t="s">
        <v>259</v>
      </c>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バサンタ</v>
      </c>
      <c r="C52" s="381" t="str">
        <f t="shared" si="5"/>
        <v>#N/A</v>
      </c>
      <c r="D52" s="186"/>
      <c r="E52" s="372" t="str">
        <f t="shared" si="6"/>
        <v>バサンタ</v>
      </c>
      <c r="F52" s="381" t="str">
        <f t="shared" si="7"/>
        <v>#N/A</v>
      </c>
      <c r="G52" s="186"/>
      <c r="H52" s="186"/>
      <c r="I52" s="168" t="b">
        <v>0</v>
      </c>
      <c r="J52" s="362"/>
      <c r="K52" s="382" t="s">
        <v>261</v>
      </c>
      <c r="L52" s="383" t="s">
        <v>248</v>
      </c>
      <c r="M52" s="384" t="s">
        <v>262</v>
      </c>
      <c r="N52" s="390" t="s">
        <v>119</v>
      </c>
      <c r="O52" s="390"/>
      <c r="P52" s="390"/>
      <c r="Q52" s="390"/>
      <c r="R52" s="390"/>
      <c r="S52" s="390"/>
      <c r="T52" s="390" t="s">
        <v>119</v>
      </c>
      <c r="U52" s="390" t="s">
        <v>119</v>
      </c>
      <c r="V52" s="390"/>
      <c r="W52" s="390"/>
      <c r="X52" s="390"/>
      <c r="Y52" s="390"/>
      <c r="Z52" s="390"/>
      <c r="AA52" s="390" t="s">
        <v>119</v>
      </c>
      <c r="AB52" s="390" t="s">
        <v>119</v>
      </c>
      <c r="AC52" s="390"/>
      <c r="AD52" s="390"/>
      <c r="AE52" s="390"/>
      <c r="AF52" s="390"/>
      <c r="AG52" s="390"/>
      <c r="AH52" s="390" t="s">
        <v>119</v>
      </c>
      <c r="AI52" s="390" t="s">
        <v>119</v>
      </c>
      <c r="AJ52" s="390"/>
      <c r="AK52" s="390"/>
      <c r="AL52" s="390"/>
      <c r="AM52" s="390"/>
      <c r="AN52" s="390"/>
      <c r="AO52" s="390" t="s">
        <v>119</v>
      </c>
      <c r="AP52" s="390"/>
      <c r="AQ52" s="390"/>
      <c r="AR52" s="385"/>
      <c r="AS52" s="391">
        <f t="array" ref="AS52">SUM(COUNTIF(N52:AR52, {"◎","〇","☆","共","特","浴"}))</f>
        <v>8</v>
      </c>
      <c r="AT52" s="392" t="s">
        <v>259</v>
      </c>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パワン</v>
      </c>
      <c r="C53" s="381" t="str">
        <f t="shared" si="5"/>
        <v>#N/A</v>
      </c>
      <c r="D53" s="186"/>
      <c r="E53" s="372" t="str">
        <f t="shared" si="6"/>
        <v>パワン</v>
      </c>
      <c r="F53" s="381" t="str">
        <f t="shared" si="7"/>
        <v>#N/A</v>
      </c>
      <c r="G53" s="186"/>
      <c r="H53" s="186"/>
      <c r="I53" s="168" t="b">
        <v>0</v>
      </c>
      <c r="J53" s="362"/>
      <c r="K53" s="382" t="s">
        <v>263</v>
      </c>
      <c r="L53" s="383" t="s">
        <v>248</v>
      </c>
      <c r="M53" s="384" t="s">
        <v>264</v>
      </c>
      <c r="N53" s="390"/>
      <c r="O53" s="390"/>
      <c r="P53" s="390"/>
      <c r="Q53" s="390"/>
      <c r="R53" s="390" t="s">
        <v>119</v>
      </c>
      <c r="S53" s="390" t="s">
        <v>119</v>
      </c>
      <c r="T53" s="390"/>
      <c r="U53" s="390"/>
      <c r="V53" s="390"/>
      <c r="W53" s="390"/>
      <c r="X53" s="390"/>
      <c r="Y53" s="390" t="s">
        <v>119</v>
      </c>
      <c r="Z53" s="390" t="s">
        <v>119</v>
      </c>
      <c r="AA53" s="390" t="s">
        <v>119</v>
      </c>
      <c r="AB53" s="390"/>
      <c r="AC53" s="390"/>
      <c r="AD53" s="390"/>
      <c r="AE53" s="390"/>
      <c r="AF53" s="390" t="s">
        <v>119</v>
      </c>
      <c r="AG53" s="390" t="s">
        <v>119</v>
      </c>
      <c r="AH53" s="390" t="s">
        <v>119</v>
      </c>
      <c r="AI53" s="390"/>
      <c r="AJ53" s="390"/>
      <c r="AK53" s="390"/>
      <c r="AL53" s="390"/>
      <c r="AM53" s="390" t="s">
        <v>119</v>
      </c>
      <c r="AN53" s="390" t="s">
        <v>119</v>
      </c>
      <c r="AO53" s="390" t="s">
        <v>119</v>
      </c>
      <c r="AP53" s="390"/>
      <c r="AQ53" s="390"/>
      <c r="AR53" s="385"/>
      <c r="AS53" s="391">
        <f t="array" ref="AS53">SUM(COUNTIF(N53:AR53, {"◎","〇","☆","共","特","浴"}))</f>
        <v>11</v>
      </c>
      <c r="AT53" s="392" t="s">
        <v>250</v>
      </c>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スニタ</v>
      </c>
      <c r="C54" s="381" t="str">
        <f t="shared" si="5"/>
        <v>#N/A</v>
      </c>
      <c r="D54" s="186"/>
      <c r="E54" s="372" t="str">
        <f t="shared" si="6"/>
        <v>スニタ</v>
      </c>
      <c r="F54" s="381" t="str">
        <f t="shared" si="7"/>
        <v>#N/A</v>
      </c>
      <c r="G54" s="186"/>
      <c r="H54" s="186"/>
      <c r="I54" s="168" t="b">
        <v>0</v>
      </c>
      <c r="J54" s="362"/>
      <c r="K54" s="382" t="s">
        <v>265</v>
      </c>
      <c r="L54" s="383" t="s">
        <v>248</v>
      </c>
      <c r="M54" s="389"/>
      <c r="N54" s="390"/>
      <c r="O54" s="390"/>
      <c r="P54" s="390"/>
      <c r="Q54" s="390"/>
      <c r="R54" s="390"/>
      <c r="S54" s="390" t="s">
        <v>119</v>
      </c>
      <c r="T54" s="390"/>
      <c r="U54" s="390"/>
      <c r="V54" s="390" t="s">
        <v>119</v>
      </c>
      <c r="W54" s="390"/>
      <c r="X54" s="390" t="s">
        <v>119</v>
      </c>
      <c r="Y54" s="390" t="s">
        <v>119</v>
      </c>
      <c r="Z54" s="390" t="s">
        <v>119</v>
      </c>
      <c r="AA54" s="390"/>
      <c r="AB54" s="390"/>
      <c r="AC54" s="390"/>
      <c r="AD54" s="390" t="s">
        <v>119</v>
      </c>
      <c r="AE54" s="390" t="s">
        <v>119</v>
      </c>
      <c r="AF54" s="390" t="s">
        <v>119</v>
      </c>
      <c r="AG54" s="390"/>
      <c r="AH54" s="390"/>
      <c r="AI54" s="390"/>
      <c r="AJ54" s="390" t="s">
        <v>119</v>
      </c>
      <c r="AK54" s="390" t="s">
        <v>119</v>
      </c>
      <c r="AL54" s="390" t="s">
        <v>119</v>
      </c>
      <c r="AM54" s="390" t="s">
        <v>119</v>
      </c>
      <c r="AN54" s="390"/>
      <c r="AO54" s="390"/>
      <c r="AP54" s="390"/>
      <c r="AQ54" s="390"/>
      <c r="AR54" s="385"/>
      <c r="AS54" s="391">
        <f t="array" ref="AS54">SUM(COUNTIF(N54:AR54, {"◎","〇","☆","共","特","浴"}))</f>
        <v>12</v>
      </c>
      <c r="AT54" s="392" t="s">
        <v>259</v>
      </c>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岩井</v>
      </c>
      <c r="C55" s="381" t="str">
        <f t="shared" si="5"/>
        <v>#N/A</v>
      </c>
      <c r="D55" s="186"/>
      <c r="E55" s="372" t="str">
        <f t="shared" si="6"/>
        <v>岩井</v>
      </c>
      <c r="F55" s="381" t="str">
        <f t="shared" si="7"/>
        <v>#N/A</v>
      </c>
      <c r="G55" s="186"/>
      <c r="H55" s="186"/>
      <c r="I55" s="168" t="b">
        <v>0</v>
      </c>
      <c r="J55" s="362"/>
      <c r="K55" s="382" t="s">
        <v>266</v>
      </c>
      <c r="L55" s="383" t="s">
        <v>252</v>
      </c>
      <c r="M55" s="384" t="s">
        <v>253</v>
      </c>
      <c r="N55" s="390"/>
      <c r="O55" s="390"/>
      <c r="P55" s="390" t="s">
        <v>119</v>
      </c>
      <c r="Q55" s="390" t="s">
        <v>119</v>
      </c>
      <c r="R55" s="390"/>
      <c r="S55" s="390"/>
      <c r="T55" s="390" t="s">
        <v>119</v>
      </c>
      <c r="U55" s="390"/>
      <c r="V55" s="390"/>
      <c r="W55" s="390" t="s">
        <v>119</v>
      </c>
      <c r="X55" s="390" t="s">
        <v>119</v>
      </c>
      <c r="Y55" s="390"/>
      <c r="Z55" s="390"/>
      <c r="AA55" s="390" t="s">
        <v>119</v>
      </c>
      <c r="AB55" s="390"/>
      <c r="AC55" s="390"/>
      <c r="AD55" s="390" t="s">
        <v>119</v>
      </c>
      <c r="AE55" s="390" t="s">
        <v>119</v>
      </c>
      <c r="AF55" s="390"/>
      <c r="AG55" s="390"/>
      <c r="AH55" s="390" t="s">
        <v>119</v>
      </c>
      <c r="AI55" s="390"/>
      <c r="AJ55" s="390"/>
      <c r="AK55" s="390" t="s">
        <v>119</v>
      </c>
      <c r="AL55" s="390" t="s">
        <v>119</v>
      </c>
      <c r="AM55" s="390"/>
      <c r="AN55" s="390"/>
      <c r="AO55" s="390" t="s">
        <v>119</v>
      </c>
      <c r="AP55" s="390"/>
      <c r="AQ55" s="390"/>
      <c r="AR55" s="390"/>
      <c r="AS55" s="391">
        <f t="array" ref="AS55">SUM(COUNTIF(N55:AR55, {"◎","〇","☆","共","特","浴"}))</f>
        <v>12</v>
      </c>
      <c r="AT55" s="392" t="s">
        <v>250</v>
      </c>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ニシャ</v>
      </c>
      <c r="C56" s="381" t="str">
        <f t="shared" si="5"/>
        <v>#N/A</v>
      </c>
      <c r="D56" s="186"/>
      <c r="E56" s="372" t="str">
        <f t="shared" si="6"/>
        <v>ニシャ</v>
      </c>
      <c r="F56" s="381" t="str">
        <f t="shared" si="7"/>
        <v>#N/A</v>
      </c>
      <c r="G56" s="186"/>
      <c r="H56" s="186"/>
      <c r="I56" s="168" t="b">
        <v>0</v>
      </c>
      <c r="J56" s="362"/>
      <c r="K56" s="382" t="s">
        <v>267</v>
      </c>
      <c r="L56" s="383" t="s">
        <v>248</v>
      </c>
      <c r="M56" s="384" t="s">
        <v>262</v>
      </c>
      <c r="N56" s="390" t="s">
        <v>119</v>
      </c>
      <c r="O56" s="390"/>
      <c r="P56" s="390"/>
      <c r="Q56" s="390"/>
      <c r="R56" s="390"/>
      <c r="S56" s="390"/>
      <c r="T56" s="390" t="s">
        <v>119</v>
      </c>
      <c r="U56" s="390" t="s">
        <v>119</v>
      </c>
      <c r="V56" s="390"/>
      <c r="W56" s="390"/>
      <c r="X56" s="390"/>
      <c r="Y56" s="390"/>
      <c r="Z56" s="390"/>
      <c r="AA56" s="390" t="s">
        <v>119</v>
      </c>
      <c r="AB56" s="390" t="s">
        <v>119</v>
      </c>
      <c r="AC56" s="390"/>
      <c r="AD56" s="390"/>
      <c r="AE56" s="390"/>
      <c r="AF56" s="390"/>
      <c r="AG56" s="390"/>
      <c r="AH56" s="390" t="s">
        <v>119</v>
      </c>
      <c r="AI56" s="390" t="s">
        <v>119</v>
      </c>
      <c r="AJ56" s="390"/>
      <c r="AK56" s="390"/>
      <c r="AL56" s="390"/>
      <c r="AM56" s="390"/>
      <c r="AN56" s="390"/>
      <c r="AO56" s="390" t="s">
        <v>119</v>
      </c>
      <c r="AP56" s="390"/>
      <c r="AQ56" s="390"/>
      <c r="AR56" s="385"/>
      <c r="AS56" s="391">
        <f t="array" ref="AS56">SUM(COUNTIF(N56:AR56, {"◎","〇","☆","共","特","浴"}))</f>
        <v>8</v>
      </c>
      <c r="AT56" s="392" t="s">
        <v>259</v>
      </c>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パルミラ</v>
      </c>
      <c r="C57" s="381" t="str">
        <f t="shared" si="5"/>
        <v>#N/A</v>
      </c>
      <c r="D57" s="186"/>
      <c r="E57" s="372" t="str">
        <f t="shared" si="6"/>
        <v>パルミラ</v>
      </c>
      <c r="F57" s="381" t="str">
        <f t="shared" si="7"/>
        <v>#N/A</v>
      </c>
      <c r="G57" s="186"/>
      <c r="H57" s="186"/>
      <c r="I57" s="168" t="b">
        <v>0</v>
      </c>
      <c r="J57" s="362"/>
      <c r="K57" s="382" t="s">
        <v>528</v>
      </c>
      <c r="L57" s="383" t="s">
        <v>248</v>
      </c>
      <c r="M57" s="384" t="s">
        <v>287</v>
      </c>
      <c r="N57" s="390"/>
      <c r="O57" s="390"/>
      <c r="P57" s="390"/>
      <c r="Q57" s="390"/>
      <c r="R57" s="390"/>
      <c r="S57" s="390" t="s">
        <v>119</v>
      </c>
      <c r="T57" s="385"/>
      <c r="U57" s="390"/>
      <c r="V57" s="390"/>
      <c r="W57" s="390"/>
      <c r="X57" s="390"/>
      <c r="Y57" s="390" t="s">
        <v>119</v>
      </c>
      <c r="Z57" s="390" t="s">
        <v>119</v>
      </c>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3</v>
      </c>
      <c r="AT57" s="392" t="s">
        <v>259</v>
      </c>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ビジャヤ</v>
      </c>
      <c r="C58" s="381" t="str">
        <f t="shared" si="5"/>
        <v>#N/A</v>
      </c>
      <c r="D58" s="186"/>
      <c r="E58" s="372" t="str">
        <f t="shared" si="6"/>
        <v>ビジャヤ</v>
      </c>
      <c r="F58" s="381" t="str">
        <f t="shared" si="7"/>
        <v>#N/A</v>
      </c>
      <c r="G58" s="186"/>
      <c r="H58" s="186"/>
      <c r="I58" s="168" t="b">
        <v>0</v>
      </c>
      <c r="J58" s="362"/>
      <c r="K58" s="382" t="s">
        <v>268</v>
      </c>
      <c r="L58" s="383" t="s">
        <v>248</v>
      </c>
      <c r="M58" s="384" t="s">
        <v>286</v>
      </c>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2" t="s">
        <v>250</v>
      </c>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サリナ</v>
      </c>
      <c r="C59" s="381" t="str">
        <f t="shared" si="5"/>
        <v>#N/A</v>
      </c>
      <c r="D59" s="186"/>
      <c r="E59" s="372" t="str">
        <f t="shared" si="6"/>
        <v>サリナ</v>
      </c>
      <c r="F59" s="381" t="str">
        <f t="shared" si="7"/>
        <v>#N/A</v>
      </c>
      <c r="G59" s="186"/>
      <c r="H59" s="186"/>
      <c r="I59" s="168" t="b">
        <v>0</v>
      </c>
      <c r="J59" s="362"/>
      <c r="K59" s="382" t="s">
        <v>492</v>
      </c>
      <c r="L59" s="383" t="s">
        <v>248</v>
      </c>
      <c r="M59" s="384" t="s">
        <v>262</v>
      </c>
      <c r="N59" s="390"/>
      <c r="O59" s="385"/>
      <c r="P59" s="390"/>
      <c r="Q59" s="390"/>
      <c r="R59" s="390"/>
      <c r="S59" s="390"/>
      <c r="T59" s="390" t="s">
        <v>119</v>
      </c>
      <c r="U59" s="390" t="s">
        <v>119</v>
      </c>
      <c r="V59" s="385"/>
      <c r="W59" s="390"/>
      <c r="X59" s="390"/>
      <c r="Y59" s="390"/>
      <c r="Z59" s="390"/>
      <c r="AA59" s="390" t="s">
        <v>119</v>
      </c>
      <c r="AB59" s="390" t="s">
        <v>119</v>
      </c>
      <c r="AC59" s="390"/>
      <c r="AD59" s="390"/>
      <c r="AE59" s="390"/>
      <c r="AF59" s="390"/>
      <c r="AG59" s="390"/>
      <c r="AH59" s="390" t="s">
        <v>119</v>
      </c>
      <c r="AI59" s="390" t="s">
        <v>119</v>
      </c>
      <c r="AJ59" s="390"/>
      <c r="AK59" s="390"/>
      <c r="AL59" s="390"/>
      <c r="AM59" s="390"/>
      <c r="AN59" s="390"/>
      <c r="AO59" s="390" t="s">
        <v>119</v>
      </c>
      <c r="AP59" s="390"/>
      <c r="AQ59" s="390"/>
      <c r="AR59" s="385"/>
      <c r="AS59" s="391">
        <f t="array" ref="AS59">SUM(COUNTIF(N59:AR59, {"◎","〇","☆","共","特","浴"}))</f>
        <v>7</v>
      </c>
      <c r="AT59" s="392" t="s">
        <v>259</v>
      </c>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ロシャニ</v>
      </c>
      <c r="C60" s="381" t="str">
        <f t="shared" si="5"/>
        <v>#N/A</v>
      </c>
      <c r="D60" s="186"/>
      <c r="E60" s="372" t="str">
        <f t="shared" si="6"/>
        <v>ロシャニ</v>
      </c>
      <c r="F60" s="381" t="str">
        <f t="shared" si="7"/>
        <v>#N/A</v>
      </c>
      <c r="G60" s="186"/>
      <c r="H60" s="186"/>
      <c r="I60" s="168" t="b">
        <v>0</v>
      </c>
      <c r="J60" s="362"/>
      <c r="K60" s="382" t="s">
        <v>493</v>
      </c>
      <c r="L60" s="383" t="s">
        <v>248</v>
      </c>
      <c r="M60" s="384" t="s">
        <v>262</v>
      </c>
      <c r="N60" s="390" t="s">
        <v>119</v>
      </c>
      <c r="O60" s="390"/>
      <c r="P60" s="390"/>
      <c r="Q60" s="390"/>
      <c r="R60" s="385"/>
      <c r="S60" s="390"/>
      <c r="T60" s="390" t="s">
        <v>119</v>
      </c>
      <c r="U60" s="390" t="s">
        <v>119</v>
      </c>
      <c r="V60" s="390"/>
      <c r="W60" s="390"/>
      <c r="X60" s="390"/>
      <c r="Y60" s="385"/>
      <c r="Z60" s="390"/>
      <c r="AA60" s="390" t="s">
        <v>119</v>
      </c>
      <c r="AB60" s="390" t="s">
        <v>119</v>
      </c>
      <c r="AC60" s="390"/>
      <c r="AD60" s="390"/>
      <c r="AE60" s="390"/>
      <c r="AF60" s="385"/>
      <c r="AG60" s="390"/>
      <c r="AH60" s="390" t="s">
        <v>119</v>
      </c>
      <c r="AI60" s="390" t="s">
        <v>119</v>
      </c>
      <c r="AJ60" s="390"/>
      <c r="AK60" s="390"/>
      <c r="AL60" s="390"/>
      <c r="AM60" s="385"/>
      <c r="AN60" s="390"/>
      <c r="AO60" s="390" t="s">
        <v>119</v>
      </c>
      <c r="AP60" s="390"/>
      <c r="AQ60" s="385"/>
      <c r="AR60" s="390"/>
      <c r="AS60" s="391">
        <f t="array" ref="AS60">SUM(COUNTIF(N60:AR60, {"◎","〇","☆","共","特","浴"}))</f>
        <v>8</v>
      </c>
      <c r="AT60" s="392" t="s">
        <v>259</v>
      </c>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ロジナ</v>
      </c>
      <c r="C61" s="381" t="str">
        <f t="shared" si="5"/>
        <v>#N/A</v>
      </c>
      <c r="D61" s="186"/>
      <c r="E61" s="372" t="str">
        <f t="shared" si="6"/>
        <v>ロジナ</v>
      </c>
      <c r="F61" s="381" t="str">
        <f t="shared" si="7"/>
        <v>#N/A</v>
      </c>
      <c r="G61" s="186"/>
      <c r="H61" s="186"/>
      <c r="I61" s="168" t="b">
        <v>0</v>
      </c>
      <c r="J61" s="362"/>
      <c r="K61" s="382" t="s">
        <v>258</v>
      </c>
      <c r="L61" s="383" t="s">
        <v>248</v>
      </c>
      <c r="M61" s="389"/>
      <c r="N61" s="390"/>
      <c r="O61" s="390" t="s">
        <v>119</v>
      </c>
      <c r="P61" s="390" t="s">
        <v>119</v>
      </c>
      <c r="Q61" s="390"/>
      <c r="R61" s="390"/>
      <c r="S61" s="390"/>
      <c r="T61" s="390"/>
      <c r="U61" s="390"/>
      <c r="V61" s="390" t="s">
        <v>119</v>
      </c>
      <c r="W61" s="390" t="s">
        <v>119</v>
      </c>
      <c r="X61" s="390"/>
      <c r="Y61" s="390" t="s">
        <v>119</v>
      </c>
      <c r="Z61" s="390" t="s">
        <v>119</v>
      </c>
      <c r="AA61" s="390"/>
      <c r="AB61" s="390"/>
      <c r="AC61" s="390"/>
      <c r="AD61" s="390"/>
      <c r="AE61" s="390" t="s">
        <v>119</v>
      </c>
      <c r="AF61" s="390" t="s">
        <v>119</v>
      </c>
      <c r="AG61" s="390" t="s">
        <v>119</v>
      </c>
      <c r="AH61" s="390"/>
      <c r="AI61" s="390"/>
      <c r="AJ61" s="390"/>
      <c r="AK61" s="390" t="s">
        <v>119</v>
      </c>
      <c r="AL61" s="390" t="s">
        <v>119</v>
      </c>
      <c r="AM61" s="390" t="s">
        <v>119</v>
      </c>
      <c r="AN61" s="390"/>
      <c r="AO61" s="390"/>
      <c r="AP61" s="390"/>
      <c r="AQ61" s="390"/>
      <c r="AR61" s="390"/>
      <c r="AS61" s="391">
        <f t="array" ref="AS61">SUM(COUNTIF(N61:AR61, {"◎","〇","☆","共","特","浴"}))</f>
        <v>12</v>
      </c>
      <c r="AT61" s="392" t="s">
        <v>259</v>
      </c>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インデイラ</v>
      </c>
      <c r="C62" s="381" t="str">
        <f t="shared" si="5"/>
        <v>#N/A</v>
      </c>
      <c r="D62" s="186"/>
      <c r="E62" s="372" t="str">
        <f t="shared" si="6"/>
        <v>インデイラ</v>
      </c>
      <c r="F62" s="381" t="str">
        <f t="shared" si="7"/>
        <v>#N/A</v>
      </c>
      <c r="G62" s="186"/>
      <c r="H62" s="186"/>
      <c r="I62" s="168" t="b">
        <v>0</v>
      </c>
      <c r="J62" s="362"/>
      <c r="K62" s="382" t="s">
        <v>529</v>
      </c>
      <c r="L62" s="383" t="s">
        <v>248</v>
      </c>
      <c r="M62" s="384" t="s">
        <v>262</v>
      </c>
      <c r="N62" s="390" t="s">
        <v>119</v>
      </c>
      <c r="O62" s="390"/>
      <c r="P62" s="390"/>
      <c r="Q62" s="390"/>
      <c r="R62" s="390"/>
      <c r="S62" s="390"/>
      <c r="T62" s="390" t="s">
        <v>119</v>
      </c>
      <c r="U62" s="390" t="s">
        <v>119</v>
      </c>
      <c r="V62" s="390"/>
      <c r="W62" s="390"/>
      <c r="X62" s="390"/>
      <c r="Y62" s="390"/>
      <c r="Z62" s="390"/>
      <c r="AA62" s="390" t="s">
        <v>119</v>
      </c>
      <c r="AB62" s="390" t="s">
        <v>119</v>
      </c>
      <c r="AC62" s="390"/>
      <c r="AD62" s="390"/>
      <c r="AE62" s="390"/>
      <c r="AF62" s="390"/>
      <c r="AG62" s="390"/>
      <c r="AH62" s="390" t="s">
        <v>119</v>
      </c>
      <c r="AI62" s="390" t="s">
        <v>119</v>
      </c>
      <c r="AJ62" s="390"/>
      <c r="AK62" s="390"/>
      <c r="AL62" s="390"/>
      <c r="AM62" s="390"/>
      <c r="AN62" s="390"/>
      <c r="AO62" s="390"/>
      <c r="AP62" s="390"/>
      <c r="AQ62" s="390"/>
      <c r="AR62" s="385"/>
      <c r="AS62" s="391">
        <f t="array" ref="AS62">SUM(COUNTIF(N62:AR62, {"◎","〇","☆","共","特","浴"}))</f>
        <v>7</v>
      </c>
      <c r="AT62" s="392" t="s">
        <v>259</v>
      </c>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ニサン</v>
      </c>
      <c r="C63" s="381" t="str">
        <f t="shared" si="5"/>
        <v>#N/A</v>
      </c>
      <c r="D63" s="186"/>
      <c r="E63" s="372" t="str">
        <f t="shared" si="6"/>
        <v>ニサン</v>
      </c>
      <c r="F63" s="381" t="str">
        <f t="shared" si="7"/>
        <v>#N/A</v>
      </c>
      <c r="G63" s="186"/>
      <c r="H63" s="186"/>
      <c r="I63" s="168" t="b">
        <v>0</v>
      </c>
      <c r="J63" s="362"/>
      <c r="K63" s="382" t="s">
        <v>272</v>
      </c>
      <c r="L63" s="383" t="s">
        <v>248</v>
      </c>
      <c r="M63" s="384" t="s">
        <v>288</v>
      </c>
      <c r="N63" s="390" t="s">
        <v>119</v>
      </c>
      <c r="O63" s="390"/>
      <c r="P63" s="390"/>
      <c r="Q63" s="390"/>
      <c r="R63" s="390"/>
      <c r="S63" s="390"/>
      <c r="T63" s="390"/>
      <c r="U63" s="390"/>
      <c r="V63" s="390"/>
      <c r="W63" s="390"/>
      <c r="X63" s="390" t="s">
        <v>119</v>
      </c>
      <c r="Y63" s="390" t="s">
        <v>119</v>
      </c>
      <c r="Z63" s="390"/>
      <c r="AA63" s="390"/>
      <c r="AB63" s="390" t="s">
        <v>119</v>
      </c>
      <c r="AC63" s="390" t="s">
        <v>119</v>
      </c>
      <c r="AD63" s="390" t="s">
        <v>119</v>
      </c>
      <c r="AE63" s="390"/>
      <c r="AF63" s="390" t="s">
        <v>119</v>
      </c>
      <c r="AG63" s="390"/>
      <c r="AH63" s="390" t="s">
        <v>119</v>
      </c>
      <c r="AI63" s="390" t="s">
        <v>119</v>
      </c>
      <c r="AJ63" s="390" t="s">
        <v>119</v>
      </c>
      <c r="AK63" s="390"/>
      <c r="AL63" s="390" t="s">
        <v>119</v>
      </c>
      <c r="AM63" s="390" t="s">
        <v>119</v>
      </c>
      <c r="AN63" s="390" t="s">
        <v>119</v>
      </c>
      <c r="AO63" s="390" t="s">
        <v>119</v>
      </c>
      <c r="AP63" s="390"/>
      <c r="AQ63" s="390"/>
      <c r="AR63" s="385"/>
      <c r="AS63" s="391">
        <f t="array" ref="AS63">SUM(COUNTIF(N63:AR63, {"◎","〇","☆","共","特","浴"}))</f>
        <v>14</v>
      </c>
      <c r="AT63" s="392" t="s">
        <v>277</v>
      </c>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テンジ</v>
      </c>
      <c r="C64" s="381" t="str">
        <f t="shared" si="5"/>
        <v>#N/A</v>
      </c>
      <c r="D64" s="186"/>
      <c r="E64" s="372" t="str">
        <f t="shared" si="6"/>
        <v>テンジ</v>
      </c>
      <c r="F64" s="381" t="str">
        <f t="shared" si="7"/>
        <v>#N/A</v>
      </c>
      <c r="G64" s="186"/>
      <c r="H64" s="186"/>
      <c r="I64" s="168" t="b">
        <v>0</v>
      </c>
      <c r="J64" s="362"/>
      <c r="K64" s="382" t="s">
        <v>270</v>
      </c>
      <c r="L64" s="383" t="s">
        <v>248</v>
      </c>
      <c r="M64" s="384" t="s">
        <v>288</v>
      </c>
      <c r="N64" s="390" t="s">
        <v>119</v>
      </c>
      <c r="O64" s="390"/>
      <c r="P64" s="390"/>
      <c r="Q64" s="390"/>
      <c r="R64" s="390"/>
      <c r="S64" s="390"/>
      <c r="T64" s="390"/>
      <c r="U64" s="390"/>
      <c r="V64" s="390"/>
      <c r="W64" s="390"/>
      <c r="X64" s="390" t="s">
        <v>119</v>
      </c>
      <c r="Y64" s="390" t="s">
        <v>119</v>
      </c>
      <c r="Z64" s="390" t="s">
        <v>119</v>
      </c>
      <c r="AA64" s="390"/>
      <c r="AB64" s="390" t="s">
        <v>119</v>
      </c>
      <c r="AC64" s="390" t="s">
        <v>119</v>
      </c>
      <c r="AD64" s="390" t="s">
        <v>119</v>
      </c>
      <c r="AE64" s="390"/>
      <c r="AF64" s="390" t="s">
        <v>119</v>
      </c>
      <c r="AG64" s="390" t="s">
        <v>119</v>
      </c>
      <c r="AH64" s="390"/>
      <c r="AI64" s="390" t="s">
        <v>119</v>
      </c>
      <c r="AJ64" s="390" t="s">
        <v>119</v>
      </c>
      <c r="AK64" s="390" t="s">
        <v>119</v>
      </c>
      <c r="AL64" s="390"/>
      <c r="AM64" s="390"/>
      <c r="AN64" s="390" t="s">
        <v>119</v>
      </c>
      <c r="AO64" s="390" t="s">
        <v>119</v>
      </c>
      <c r="AP64" s="385"/>
      <c r="AQ64" s="385"/>
      <c r="AR64" s="385"/>
      <c r="AS64" s="391">
        <f t="array" ref="AS64">SUM(COUNTIF(N64:AR64, {"◎","〇","☆","共","特","浴"}))</f>
        <v>14</v>
      </c>
      <c r="AT64" s="392" t="s">
        <v>277</v>
      </c>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4"/>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t="s">
        <v>530</v>
      </c>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528</v>
      </c>
      <c r="W10" s="678"/>
      <c r="X10" s="679">
        <v>46113.0</v>
      </c>
      <c r="Y10" s="623"/>
      <c r="Z10" s="623"/>
    </row>
    <row r="1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531</v>
      </c>
      <c r="W18" s="678"/>
      <c r="X18" s="679">
        <v>46357.0</v>
      </c>
      <c r="Y18" s="623"/>
      <c r="Z18" s="623"/>
    </row>
    <row r="19"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t="24.0" customHeight="1" outlineLevel="1">
      <c r="A20" s="623"/>
      <c r="B20" s="705"/>
      <c r="C20" s="706">
        <f>IF(C9="","",IF(DAY(C9+1)=1,"",C9+1))</f>
        <v>46055</v>
      </c>
      <c r="D20" s="707" t="str">
        <f>TEXT(C20,"ddd")</f>
        <v>月</v>
      </c>
      <c r="E20" s="708"/>
      <c r="F20" s="709" t="s">
        <v>422</v>
      </c>
      <c r="G20" s="872" t="s">
        <v>532</v>
      </c>
      <c r="H20" s="710"/>
      <c r="I20" s="711">
        <v>0.6666666666666666</v>
      </c>
      <c r="J20" s="710">
        <v>7.0</v>
      </c>
      <c r="K20" s="710">
        <v>1.0</v>
      </c>
      <c r="L20" s="713"/>
      <c r="M20" s="713"/>
      <c r="N20" s="709">
        <v>120.0</v>
      </c>
      <c r="O20" s="714"/>
      <c r="Q20" s="690"/>
      <c r="R20" s="623"/>
      <c r="S20" s="213" t="str">
        <f t="array" ref="S20">IFERROR(INDEX('💻シート作成'!$D$6:$D1001, MATCH(T20, '💻シート作成'!$E$6:$E1001, 0)), "")</f>
        <v>4月</v>
      </c>
      <c r="T20" s="166" t="str">
        <f>IFERROR(__xludf.DUMMYFUNCTION("""COMPUTED_VALUE"""),"②R8_4シフト")</f>
        <v>②R8_4シフト</v>
      </c>
      <c r="U20" s="715"/>
      <c r="V20" s="677" t="s">
        <v>493</v>
      </c>
      <c r="W20" s="678"/>
      <c r="X20" s="679"/>
      <c r="Y20" s="623"/>
      <c r="Z20" s="623"/>
    </row>
    <row r="21" ht="24.0" customHeight="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492</v>
      </c>
      <c r="W21" s="678"/>
      <c r="X21" s="679"/>
      <c r="Y21" s="623"/>
      <c r="Z21" s="623"/>
    </row>
    <row r="22" ht="24.0" customHeight="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t="24.0" customHeight="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t="24.0" customHeight="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t="24.0" customHeight="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t="24.0" customHeight="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533</v>
      </c>
      <c r="W26" s="623"/>
      <c r="X26" s="718"/>
      <c r="Y26" s="623"/>
      <c r="Z26" s="623"/>
    </row>
    <row r="27" ht="35.25" customHeight="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t="24.0" customHeight="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t="24.0" customHeight="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534</v>
      </c>
      <c r="W29" s="623"/>
      <c r="X29" s="718"/>
      <c r="Y29" s="623"/>
      <c r="Z29" s="623"/>
    </row>
    <row r="30"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496</v>
      </c>
      <c r="W30" s="623"/>
      <c r="X30" s="718"/>
      <c r="Y30" s="623"/>
      <c r="Z30" s="623"/>
    </row>
    <row r="3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t="24.0" customHeight="1" outlineLevel="1">
      <c r="A87" s="623"/>
      <c r="B87" s="705"/>
      <c r="C87" s="706">
        <f>IF(C76="","",IF(DAY(C76+1)=1,"",C76+1))</f>
        <v>46061</v>
      </c>
      <c r="D87" s="707" t="str">
        <f>TEXT(C87,"ddd")</f>
        <v>日</v>
      </c>
      <c r="E87" s="708"/>
      <c r="F87" s="735" t="s">
        <v>422</v>
      </c>
      <c r="G87" s="872" t="s">
        <v>535</v>
      </c>
      <c r="H87" s="736"/>
      <c r="I87" s="737">
        <v>0.7430555555555556</v>
      </c>
      <c r="J87" s="736" t="s">
        <v>430</v>
      </c>
      <c r="K87" s="736" t="s">
        <v>431</v>
      </c>
      <c r="L87" s="716"/>
      <c r="M87" s="716"/>
      <c r="N87" s="735" t="s">
        <v>432</v>
      </c>
      <c r="O87" s="738"/>
      <c r="P87" s="732"/>
      <c r="Q87" s="733"/>
      <c r="R87" s="623"/>
      <c r="S87" s="213" t="str">
        <f t="array" ref="S87">IFERROR(INDEX('💻シート作成'!$D$6:$D1001, MATCH(T87, '💻シート作成'!$E$6:$E1001, 0)), "")</f>
        <v/>
      </c>
      <c r="T87" s="168"/>
      <c r="U87" s="626"/>
      <c r="V87" s="719"/>
      <c r="W87" s="623"/>
      <c r="X87" s="718"/>
      <c r="Y87" s="623"/>
      <c r="Z87" s="623"/>
    </row>
    <row r="88" ht="24.0" customHeight="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t="24.0" customHeight="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t="24.0" customHeight="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t="24.0" customHeight="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t="24.0" customHeight="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t="24.0" customHeight="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t="24.0" customHeight="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t="24.0" customHeight="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t="24.0" customHeight="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outlineLevel="1">
      <c r="A121" s="623"/>
      <c r="B121" s="723"/>
      <c r="C121" s="724">
        <f>IF(C109="","",IF(DAY(C109+1)=1,"",C109+1))</f>
        <v>46064</v>
      </c>
      <c r="D121" s="725" t="str">
        <f>TEXT(C121,"ddd")</f>
        <v>水</v>
      </c>
      <c r="E121" s="726"/>
      <c r="F121" s="727" t="s">
        <v>422</v>
      </c>
      <c r="G121" s="749" t="s">
        <v>536</v>
      </c>
      <c r="H121" s="728"/>
      <c r="I121" s="729">
        <v>0.6875</v>
      </c>
      <c r="J121" s="728">
        <v>8.0</v>
      </c>
      <c r="K121" s="728">
        <v>1.0</v>
      </c>
      <c r="L121" s="730"/>
      <c r="M121" s="730"/>
      <c r="N121" s="727">
        <v>110.0</v>
      </c>
      <c r="O121" s="731"/>
      <c r="P121" s="732"/>
      <c r="Q121" s="733"/>
      <c r="R121" s="623"/>
      <c r="S121" s="213" t="str">
        <f t="array" ref="S121">IFERROR(INDEX('💻シート作成'!$D$6:$D1001, MATCH(T121, '💻シート作成'!$E$6:$E1001, 0)), "")</f>
        <v/>
      </c>
      <c r="T121" s="170"/>
      <c r="U121" s="626"/>
      <c r="V121" s="719"/>
      <c r="W121" s="623"/>
      <c r="X121" s="718"/>
      <c r="Y121" s="623"/>
      <c r="Z121" s="623"/>
    </row>
    <row r="122"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outlineLevel="1">
      <c r="A165" s="623"/>
      <c r="B165" s="723"/>
      <c r="C165" s="724">
        <f>IF(C154="","",IF(DAY(C154+1)=1,"",C154+1))</f>
        <v>46068</v>
      </c>
      <c r="D165" s="725" t="str">
        <f>TEXT(C165,"ddd")</f>
        <v>日</v>
      </c>
      <c r="E165" s="726"/>
      <c r="F165" s="727" t="s">
        <v>422</v>
      </c>
      <c r="G165" s="749" t="s">
        <v>537</v>
      </c>
      <c r="H165" s="728"/>
      <c r="I165" s="729">
        <v>0.6597222222222222</v>
      </c>
      <c r="J165" s="728" t="s">
        <v>538</v>
      </c>
      <c r="K165" s="728" t="s">
        <v>431</v>
      </c>
      <c r="L165" s="730"/>
      <c r="M165" s="730"/>
      <c r="N165" s="727">
        <v>100.0</v>
      </c>
      <c r="O165" s="731"/>
      <c r="P165" s="732"/>
      <c r="Q165" s="733"/>
      <c r="R165" s="623"/>
      <c r="S165" s="213" t="str">
        <f t="array" ref="S165">IFERROR(INDEX('💻シート作成'!$D$6:$D1001, MATCH(T165, '💻シート作成'!$E$6:$E1001, 0)), "")</f>
        <v/>
      </c>
      <c r="T165" s="170"/>
      <c r="U165" s="626"/>
      <c r="V165" s="719"/>
      <c r="W165" s="623"/>
      <c r="X165" s="718"/>
      <c r="Y165" s="623"/>
      <c r="Z165" s="623"/>
    </row>
    <row r="166"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outlineLevel="1">
      <c r="A210" s="623"/>
      <c r="B210" s="723"/>
      <c r="C210" s="724">
        <f>IF(C199="","",IF(DAY(C199+1)=1,"",C199+1))</f>
        <v>46072</v>
      </c>
      <c r="D210" s="725" t="str">
        <f>TEXT(C210,"ddd")</f>
        <v>木</v>
      </c>
      <c r="E210" s="726"/>
      <c r="F210" s="727" t="s">
        <v>422</v>
      </c>
      <c r="G210" s="749" t="s">
        <v>539</v>
      </c>
      <c r="H210" s="728"/>
      <c r="I210" s="729">
        <v>0.6875</v>
      </c>
      <c r="J210" s="728">
        <v>8.0</v>
      </c>
      <c r="K210" s="728">
        <v>1.0</v>
      </c>
      <c r="L210" s="730"/>
      <c r="M210" s="730"/>
      <c r="N210" s="727">
        <v>135.0</v>
      </c>
      <c r="O210" s="731"/>
      <c r="P210" s="732"/>
      <c r="Q210" s="733"/>
      <c r="R210" s="623"/>
      <c r="S210" s="213" t="str">
        <f t="array" ref="S210">IFERROR(INDEX('💻シート作成'!$D$6:$D1001, MATCH(T210, '💻シート作成'!$E$6:$E1001, 0)), "")</f>
        <v/>
      </c>
      <c r="T210" s="170"/>
      <c r="U210" s="626"/>
      <c r="V210" s="719"/>
      <c r="W210" s="623"/>
      <c r="X210" s="718"/>
      <c r="Y210" s="623"/>
      <c r="Z210" s="623"/>
    </row>
    <row r="21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outlineLevel="1">
      <c r="A221" s="623"/>
      <c r="B221" s="705"/>
      <c r="C221" s="706">
        <f>IF(C210="","",IF(DAY(C210+1)=1,"",C210+1))</f>
        <v>46073</v>
      </c>
      <c r="D221" s="707" t="str">
        <f>TEXT(C221,"ddd")</f>
        <v>金</v>
      </c>
      <c r="E221" s="708"/>
      <c r="F221" s="735" t="s">
        <v>422</v>
      </c>
      <c r="G221" s="749" t="s">
        <v>540</v>
      </c>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outlineLevel="1">
      <c r="A233" s="623"/>
      <c r="B233" s="723"/>
      <c r="C233" s="724">
        <f>IF(C221="","",IF(DAY(C221+1)=1,"",C221+1))</f>
        <v>46074</v>
      </c>
      <c r="D233" s="725" t="str">
        <f>TEXT(C233,"ddd")</f>
        <v>土</v>
      </c>
      <c r="E233" s="726"/>
      <c r="F233" s="727" t="s">
        <v>422</v>
      </c>
      <c r="G233" s="749" t="s">
        <v>540</v>
      </c>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outlineLevel="1">
      <c r="A244" s="623"/>
      <c r="B244" s="705"/>
      <c r="C244" s="706">
        <f>IF(C233="","",IF(DAY(C233+1)=1,"",C233+1))</f>
        <v>46075</v>
      </c>
      <c r="D244" s="707" t="str">
        <f>TEXT(C244,"ddd")</f>
        <v>日</v>
      </c>
      <c r="E244" s="708"/>
      <c r="F244" s="735" t="s">
        <v>422</v>
      </c>
      <c r="G244" s="749" t="s">
        <v>541</v>
      </c>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outlineLevel="1">
      <c r="A255" s="623"/>
      <c r="B255" s="723"/>
      <c r="C255" s="724">
        <f>IF(C244="","",IF(DAY(C244+1)=1,"",C244+1))</f>
        <v>46076</v>
      </c>
      <c r="D255" s="725" t="str">
        <f>TEXT(C255,"ddd")</f>
        <v>月</v>
      </c>
      <c r="E255" s="726"/>
      <c r="F255" s="727" t="s">
        <v>422</v>
      </c>
      <c r="G255" s="749" t="s">
        <v>540</v>
      </c>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outlineLevel="1">
      <c r="A266" s="623"/>
      <c r="B266" s="705"/>
      <c r="C266" s="706">
        <f>IF(C255="","",IF(DAY(C255+1)=1,"",C255+1))</f>
        <v>46077</v>
      </c>
      <c r="D266" s="707" t="str">
        <f>TEXT(C266,"ddd")</f>
        <v>火</v>
      </c>
      <c r="E266" s="708"/>
      <c r="F266" s="735" t="s">
        <v>422</v>
      </c>
      <c r="G266" s="749" t="s">
        <v>540</v>
      </c>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outlineLevel="1">
      <c r="A277" s="623"/>
      <c r="B277" s="723"/>
      <c r="C277" s="724">
        <f>IF(C266="","",IF(DAY(C266+1)=1,"",C266+1))</f>
        <v>46078</v>
      </c>
      <c r="D277" s="725" t="str">
        <f>TEXT(C277,"ddd")</f>
        <v>水</v>
      </c>
      <c r="E277" s="726"/>
      <c r="F277" s="727" t="s">
        <v>422</v>
      </c>
      <c r="G277" s="749" t="s">
        <v>540</v>
      </c>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t="17.25" customHeight="1" outlineLevel="1">
      <c r="A289" s="623"/>
      <c r="B289" s="705"/>
      <c r="C289" s="706">
        <f>IF(C277="","",IF(DAY(C277+1)=1,"",C277+1))</f>
        <v>46079</v>
      </c>
      <c r="D289" s="707" t="str">
        <f>TEXT(C289,"ddd")</f>
        <v>木</v>
      </c>
      <c r="E289" s="708"/>
      <c r="F289" s="735" t="s">
        <v>98</v>
      </c>
      <c r="G289" s="749" t="s">
        <v>542</v>
      </c>
      <c r="H289" s="736"/>
      <c r="I289" s="737">
        <v>0.0</v>
      </c>
      <c r="J289" s="707"/>
      <c r="K289" s="707"/>
      <c r="L289" s="716"/>
      <c r="M289" s="716"/>
      <c r="N289" s="735"/>
      <c r="O289" s="738"/>
      <c r="P289" s="732"/>
      <c r="Q289" s="733"/>
      <c r="R289" s="623"/>
      <c r="S289" s="623"/>
      <c r="T289" s="623"/>
      <c r="U289" s="626"/>
      <c r="V289" s="627"/>
      <c r="W289" s="623"/>
      <c r="X289" s="623"/>
      <c r="Y289" s="623"/>
      <c r="Z289" s="623"/>
    </row>
    <row r="290" ht="17.25" customHeight="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t="17.25" customHeight="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t="17.25" customHeight="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t="17.25" customHeight="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t="17.25" customHeight="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t="17.25" customHeight="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t="17.25" customHeight="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t="17.25" customHeight="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t="17.25" customHeight="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outlineLevel="1">
      <c r="A300" s="623"/>
      <c r="B300" s="723"/>
      <c r="C300" s="724">
        <f>IF(C289="","",IF(DAY(C289+1)=1,"",C289+1))</f>
        <v>46080</v>
      </c>
      <c r="D300" s="725" t="str">
        <f>TEXT(C300,"ddd")</f>
        <v>金</v>
      </c>
      <c r="E300" s="726"/>
      <c r="F300" s="727" t="s">
        <v>422</v>
      </c>
      <c r="G300" s="749" t="s">
        <v>540</v>
      </c>
      <c r="H300" s="728"/>
      <c r="I300" s="729">
        <v>0.0</v>
      </c>
      <c r="J300" s="725"/>
      <c r="K300" s="725"/>
      <c r="L300" s="730"/>
      <c r="M300" s="730"/>
      <c r="N300" s="727"/>
      <c r="O300" s="731"/>
      <c r="P300" s="732"/>
      <c r="Q300" s="733"/>
      <c r="R300" s="623"/>
      <c r="S300" s="623"/>
      <c r="T300" s="623"/>
      <c r="U300" s="626"/>
      <c r="V300" s="627"/>
      <c r="W300" s="623"/>
      <c r="X300" s="623"/>
      <c r="Y300" s="623"/>
      <c r="Z300" s="623"/>
    </row>
    <row r="30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outlineLevel="1">
      <c r="A311" s="623"/>
      <c r="B311" s="705"/>
      <c r="C311" s="706">
        <f>IF(C300="","",IF(DAY(C300+1)=1,"",C300+1))</f>
        <v>46081</v>
      </c>
      <c r="D311" s="707" t="str">
        <f>TEXT(C311,"ddd")</f>
        <v>土</v>
      </c>
      <c r="E311" s="708"/>
      <c r="F311" s="735" t="s">
        <v>422</v>
      </c>
      <c r="G311" s="749" t="s">
        <v>540</v>
      </c>
      <c r="H311" s="736"/>
      <c r="I311" s="737">
        <v>0.0</v>
      </c>
      <c r="J311" s="707"/>
      <c r="K311" s="707"/>
      <c r="L311" s="716"/>
      <c r="M311" s="716"/>
      <c r="N311" s="735"/>
      <c r="O311" s="738"/>
      <c r="P311" s="732"/>
      <c r="Q311" s="733"/>
      <c r="R311" s="623"/>
      <c r="S311" s="623"/>
      <c r="T311" s="623"/>
      <c r="U311" s="626"/>
      <c r="V311" s="627"/>
      <c r="W311" s="623"/>
      <c r="X311" s="623"/>
      <c r="Y311" s="623"/>
      <c r="Z311" s="623"/>
    </row>
    <row r="312"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t="s">
        <v>98</v>
      </c>
      <c r="E5" s="772" t="b">
        <v>1</v>
      </c>
      <c r="F5" s="770" t="s">
        <v>445</v>
      </c>
      <c r="G5" s="773" t="s">
        <v>510</v>
      </c>
      <c r="H5" s="774" t="b">
        <v>1</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"),"①R8_2集計")</f>
        <v>①R8_2集計</v>
      </c>
      <c r="F8" s="271"/>
      <c r="G8" s="208"/>
      <c r="H8" s="208"/>
      <c r="I8" s="186"/>
      <c r="J8" s="775"/>
      <c r="K8" s="759"/>
      <c r="L8" s="788" t="s">
        <v>543</v>
      </c>
      <c r="M8" s="230"/>
      <c r="N8" s="230"/>
      <c r="O8" s="230"/>
      <c r="P8" s="230"/>
      <c r="Q8" s="230"/>
      <c r="R8" s="230"/>
      <c r="S8" s="232"/>
      <c r="U8" s="788" t="s">
        <v>544</v>
      </c>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v>1.0</v>
      </c>
      <c r="C21" s="823"/>
      <c r="D21" s="823">
        <v>1.0</v>
      </c>
      <c r="E21" s="823">
        <v>20.0</v>
      </c>
      <c r="F21" s="823">
        <v>0.0</v>
      </c>
      <c r="G21" s="824"/>
      <c r="H21" s="824"/>
      <c r="I21" s="825">
        <f>sum(B21:G21)</f>
        <v>22</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t="s">
        <v>545</v>
      </c>
      <c r="M22" s="230"/>
      <c r="N22" s="230"/>
      <c r="O22" s="230"/>
      <c r="P22" s="230"/>
      <c r="Q22" s="230"/>
      <c r="R22" s="230"/>
      <c r="S22" s="232"/>
      <c r="U22" s="788" t="s">
        <v>546</v>
      </c>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t="s">
        <v>547</v>
      </c>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1</v>
      </c>
      <c r="E50" s="821"/>
      <c r="F50" s="821"/>
      <c r="G50" s="821"/>
      <c r="H50" s="821"/>
      <c r="I50" s="760"/>
      <c r="J50" s="760"/>
      <c r="K50" s="759"/>
      <c r="L50" s="788" t="s">
        <v>548</v>
      </c>
      <c r="M50" s="230"/>
      <c r="N50" s="230"/>
      <c r="O50" s="230"/>
      <c r="P50" s="230"/>
      <c r="Q50" s="230"/>
      <c r="R50" s="230"/>
      <c r="S50" s="232"/>
      <c r="U50" s="788" t="s">
        <v>549</v>
      </c>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t="s">
        <v>496</v>
      </c>
      <c r="D52" s="844"/>
      <c r="E52" s="873">
        <v>46070.0</v>
      </c>
      <c r="F52" s="861" t="s">
        <v>550</v>
      </c>
      <c r="G52" s="861" t="s">
        <v>551</v>
      </c>
      <c r="H52" s="862" t="s">
        <v>89</v>
      </c>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2</v>
      </c>
      <c r="E64" s="821"/>
      <c r="F64" s="821"/>
      <c r="G64" s="821"/>
      <c r="H64" s="821"/>
      <c r="I64" s="821"/>
      <c r="J64" s="760"/>
      <c r="K64" s="759"/>
      <c r="L64" s="788" t="s">
        <v>552</v>
      </c>
      <c r="M64" s="230"/>
      <c r="N64" s="230"/>
      <c r="O64" s="230"/>
      <c r="P64" s="230"/>
      <c r="Q64" s="230"/>
      <c r="R64" s="230"/>
      <c r="S64" s="232"/>
      <c r="U64" s="788" t="s">
        <v>553</v>
      </c>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t="s">
        <v>534</v>
      </c>
      <c r="D66" s="844"/>
      <c r="E66" s="874">
        <v>46067.0</v>
      </c>
      <c r="F66" s="871" t="s">
        <v>554</v>
      </c>
      <c r="G66" s="844"/>
      <c r="H66" s="866" t="s">
        <v>89</v>
      </c>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47" t="s">
        <v>529</v>
      </c>
      <c r="D67" s="844"/>
      <c r="E67" s="870" t="s">
        <v>555</v>
      </c>
      <c r="F67" s="871" t="s">
        <v>556</v>
      </c>
      <c r="G67" s="844"/>
      <c r="H67" s="866" t="s">
        <v>89</v>
      </c>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t="s">
        <v>557</v>
      </c>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t="s">
        <v>558</v>
      </c>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559</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560</v>
      </c>
      <c r="K4" s="186"/>
      <c r="L4" s="186"/>
      <c r="M4" s="186"/>
      <c r="N4" s="186"/>
      <c r="O4" s="186"/>
      <c r="P4" s="186"/>
      <c r="Q4" s="186"/>
      <c r="R4" s="186"/>
      <c r="S4" s="186"/>
      <c r="T4" s="186"/>
      <c r="U4" s="186"/>
      <c r="V4" s="186"/>
      <c r="W4" s="186"/>
      <c r="X4" s="186"/>
      <c r="Y4" s="186"/>
      <c r="Z4" s="186"/>
      <c r="AA4" s="186"/>
      <c r="AB4" s="186"/>
      <c r="AC4" s="186"/>
    </row>
    <row r="5">
      <c r="A5" s="186"/>
      <c r="B5" s="878" t="s">
        <v>561</v>
      </c>
      <c r="C5" s="878" t="s">
        <v>562</v>
      </c>
      <c r="D5" s="878" t="s">
        <v>95</v>
      </c>
      <c r="E5" s="878" t="s">
        <v>448</v>
      </c>
      <c r="F5" s="878" t="s">
        <v>563</v>
      </c>
      <c r="G5" s="879" t="s">
        <v>564</v>
      </c>
      <c r="H5" s="878" t="s">
        <v>565</v>
      </c>
      <c r="I5" s="878" t="s">
        <v>566</v>
      </c>
      <c r="J5" s="878" t="s">
        <v>567</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568</v>
      </c>
      <c r="F6" s="882"/>
      <c r="G6" s="883" t="s">
        <v>569</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570</v>
      </c>
      <c r="F7" s="884"/>
      <c r="G7" s="883" t="s">
        <v>571</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572</v>
      </c>
      <c r="F8" s="885"/>
      <c r="G8" s="883" t="s">
        <v>573</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574</v>
      </c>
      <c r="H16" s="168" t="s">
        <v>575</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576</v>
      </c>
      <c r="F17" s="888"/>
      <c r="G17" s="883" t="s">
        <v>574</v>
      </c>
      <c r="H17" s="168" t="s">
        <v>577</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578</v>
      </c>
      <c r="F18" s="888"/>
      <c r="G18" s="883" t="s">
        <v>574</v>
      </c>
      <c r="H18" s="168" t="s">
        <v>579</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580</v>
      </c>
      <c r="F19" s="888"/>
      <c r="G19" s="883" t="s">
        <v>574</v>
      </c>
      <c r="H19" s="168" t="s">
        <v>581</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582</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583</v>
      </c>
      <c r="F24" s="889"/>
      <c r="G24" s="883" t="s">
        <v>582</v>
      </c>
      <c r="H24" s="168" t="s">
        <v>576</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584</v>
      </c>
      <c r="F25" s="889"/>
      <c r="G25" s="883" t="s">
        <v>582</v>
      </c>
      <c r="H25" s="168" t="s">
        <v>579</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585</v>
      </c>
      <c r="F26" s="889"/>
      <c r="G26" s="883" t="s">
        <v>582</v>
      </c>
      <c r="H26" s="168" t="s">
        <v>581</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574</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586</v>
      </c>
      <c r="F31" s="888"/>
      <c r="G31" s="883" t="s">
        <v>574</v>
      </c>
      <c r="H31" s="168" t="s">
        <v>583</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587</v>
      </c>
      <c r="F32" s="888"/>
      <c r="G32" s="883" t="s">
        <v>574</v>
      </c>
      <c r="H32" s="168" t="s">
        <v>579</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588</v>
      </c>
      <c r="F33" s="888"/>
      <c r="G33" s="883" t="s">
        <v>574</v>
      </c>
      <c r="H33" s="168" t="s">
        <v>581</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582</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589</v>
      </c>
      <c r="F38" s="889"/>
      <c r="G38" s="883" t="s">
        <v>582</v>
      </c>
      <c r="H38" s="168" t="s">
        <v>586</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590</v>
      </c>
      <c r="F39" s="889"/>
      <c r="G39" s="883" t="s">
        <v>582</v>
      </c>
      <c r="H39" s="168" t="s">
        <v>579</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591</v>
      </c>
      <c r="F40" s="889"/>
      <c r="G40" s="883" t="s">
        <v>582</v>
      </c>
      <c r="H40" s="168" t="s">
        <v>581</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574</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592</v>
      </c>
      <c r="F45" s="888"/>
      <c r="G45" s="883" t="s">
        <v>574</v>
      </c>
      <c r="H45" s="168" t="s">
        <v>589</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593</v>
      </c>
      <c r="F46" s="888"/>
      <c r="G46" s="883" t="s">
        <v>574</v>
      </c>
      <c r="H46" s="168" t="s">
        <v>579</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594</v>
      </c>
      <c r="F47" s="888"/>
      <c r="G47" s="883" t="s">
        <v>574</v>
      </c>
      <c r="H47" s="168" t="s">
        <v>581</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582</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595</v>
      </c>
      <c r="F52" s="889"/>
      <c r="G52" s="883" t="s">
        <v>582</v>
      </c>
      <c r="H52" s="168" t="s">
        <v>592</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596</v>
      </c>
      <c r="F53" s="889"/>
      <c r="G53" s="883" t="s">
        <v>582</v>
      </c>
      <c r="H53" s="168" t="s">
        <v>579</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597</v>
      </c>
      <c r="F54" s="889"/>
      <c r="G54" s="883" t="s">
        <v>582</v>
      </c>
      <c r="H54" s="168" t="s">
        <v>581</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574</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598</v>
      </c>
      <c r="F59" s="888"/>
      <c r="G59" s="883" t="s">
        <v>574</v>
      </c>
      <c r="H59" s="168" t="s">
        <v>595</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599</v>
      </c>
      <c r="F60" s="888"/>
      <c r="G60" s="883" t="s">
        <v>574</v>
      </c>
      <c r="H60" s="168" t="s">
        <v>579</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600</v>
      </c>
      <c r="F61" s="888"/>
      <c r="G61" s="883" t="s">
        <v>574</v>
      </c>
      <c r="H61" s="168" t="s">
        <v>581</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582</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601</v>
      </c>
      <c r="F66" s="889"/>
      <c r="G66" s="883" t="s">
        <v>582</v>
      </c>
      <c r="H66" s="168" t="s">
        <v>598</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602</v>
      </c>
      <c r="F67" s="889"/>
      <c r="G67" s="883" t="s">
        <v>582</v>
      </c>
      <c r="H67" s="168" t="s">
        <v>579</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603</v>
      </c>
      <c r="F68" s="889"/>
      <c r="G68" s="883" t="s">
        <v>582</v>
      </c>
      <c r="H68" s="168" t="s">
        <v>581</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574</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604</v>
      </c>
      <c r="F73" s="888"/>
      <c r="G73" s="883" t="s">
        <v>574</v>
      </c>
      <c r="H73" s="168" t="s">
        <v>601</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605</v>
      </c>
      <c r="F74" s="888"/>
      <c r="G74" s="883" t="s">
        <v>574</v>
      </c>
      <c r="H74" s="168" t="s">
        <v>579</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606</v>
      </c>
      <c r="F75" s="888"/>
      <c r="G75" s="883" t="s">
        <v>574</v>
      </c>
      <c r="H75" s="168" t="s">
        <v>581</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582</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607</v>
      </c>
      <c r="F80" s="889"/>
      <c r="G80" s="883" t="s">
        <v>582</v>
      </c>
      <c r="H80" s="168" t="s">
        <v>604</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608</v>
      </c>
      <c r="F81" s="889"/>
      <c r="G81" s="883" t="s">
        <v>582</v>
      </c>
      <c r="H81" s="168" t="s">
        <v>579</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609</v>
      </c>
      <c r="F82" s="889"/>
      <c r="G82" s="883" t="s">
        <v>582</v>
      </c>
      <c r="H82" s="168" t="s">
        <v>581</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574</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610</v>
      </c>
      <c r="F87" s="888"/>
      <c r="G87" s="883" t="s">
        <v>574</v>
      </c>
      <c r="H87" s="168" t="s">
        <v>607</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611</v>
      </c>
      <c r="F88" s="888"/>
      <c r="G88" s="883" t="s">
        <v>574</v>
      </c>
      <c r="H88" s="168" t="s">
        <v>579</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612</v>
      </c>
      <c r="F89" s="888"/>
      <c r="G89" s="883" t="s">
        <v>574</v>
      </c>
      <c r="H89" s="168" t="s">
        <v>581</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582</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613</v>
      </c>
      <c r="F94" s="889"/>
      <c r="G94" s="883" t="s">
        <v>582</v>
      </c>
      <c r="H94" s="168" t="s">
        <v>610</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614</v>
      </c>
      <c r="F95" s="889"/>
      <c r="G95" s="883" t="s">
        <v>582</v>
      </c>
      <c r="H95" s="168" t="s">
        <v>579</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615</v>
      </c>
      <c r="F96" s="889"/>
      <c r="G96" s="883" t="s">
        <v>582</v>
      </c>
      <c r="H96" s="168" t="s">
        <v>581</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616</v>
      </c>
      <c r="F102" s="891"/>
      <c r="G102" s="883" t="s">
        <v>617</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618</v>
      </c>
      <c r="F103" s="892"/>
      <c r="G103" s="883" t="s">
        <v>619</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620</v>
      </c>
      <c r="F104" s="893"/>
      <c r="G104" s="883" t="s">
        <v>621</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622</v>
      </c>
      <c r="F105" s="894"/>
      <c r="G105" s="883" t="s">
        <v>623</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624</v>
      </c>
      <c r="F106" s="895"/>
      <c r="G106" s="883" t="s">
        <v>625</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575</v>
      </c>
      <c r="F107" s="896"/>
      <c r="G107" s="883" t="s">
        <v>626</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577</v>
      </c>
      <c r="F108" s="896"/>
      <c r="G108" s="883" t="s">
        <v>626</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579</v>
      </c>
      <c r="F109" s="896"/>
      <c r="G109" s="883" t="s">
        <v>626</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581</v>
      </c>
      <c r="F110" s="896"/>
      <c r="G110" s="883" t="s">
        <v>626</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627</v>
      </c>
      <c r="B1" s="5"/>
      <c r="C1" s="5"/>
      <c r="D1" s="5"/>
      <c r="E1" s="5"/>
      <c r="F1" s="5"/>
      <c r="G1" s="5"/>
      <c r="I1" s="900" t="s">
        <v>628</v>
      </c>
      <c r="J1" s="901">
        <f>A3</f>
        <v>46054</v>
      </c>
      <c r="K1" s="900" t="str">
        <f>"①R"&amp;year(J1)-2018&amp;"_"&amp;month(J1)&amp;"集計"</f>
        <v>①R8_2集計</v>
      </c>
      <c r="N1" s="902">
        <f>R4</f>
        <v>2620184</v>
      </c>
      <c r="O1" s="902">
        <f>R7</f>
        <v>650673.9333</v>
      </c>
      <c r="P1" s="903">
        <f>R8</f>
        <v>0.2483313894</v>
      </c>
      <c r="Q1" s="903">
        <f>R6</f>
        <v>0.4988237722</v>
      </c>
    </row>
    <row r="2">
      <c r="A2" s="904" t="s">
        <v>628</v>
      </c>
      <c r="B2" s="905" t="s">
        <v>50</v>
      </c>
      <c r="C2" s="905" t="s">
        <v>302</v>
      </c>
      <c r="D2" s="904" t="s">
        <v>303</v>
      </c>
      <c r="E2" s="904" t="s">
        <v>308</v>
      </c>
      <c r="F2" s="904" t="s">
        <v>300</v>
      </c>
      <c r="G2" s="904" t="s">
        <v>629</v>
      </c>
      <c r="H2" s="906"/>
      <c r="I2" s="907" t="s">
        <v>630</v>
      </c>
      <c r="J2" s="908">
        <f>DAY(EOMONTH(J1,0))</f>
        <v>28</v>
      </c>
      <c r="K2" s="909" t="s">
        <v>631</v>
      </c>
      <c r="L2" s="909" t="s">
        <v>302</v>
      </c>
      <c r="M2" s="909" t="s">
        <v>632</v>
      </c>
      <c r="N2" s="909" t="s">
        <v>633</v>
      </c>
      <c r="O2" s="910"/>
      <c r="P2" s="909" t="s">
        <v>634</v>
      </c>
      <c r="Q2" s="907" t="s">
        <v>635</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302</v>
      </c>
      <c r="J3" s="916">
        <f t="array" ref="J3">xlookup(K1,$B$3:$B$14,$C$3:$C$14)*100</f>
        <v>65</v>
      </c>
      <c r="K3" s="917">
        <f>SUM(M3:O3)</f>
        <v>142</v>
      </c>
      <c r="L3" s="917">
        <v>100.0</v>
      </c>
      <c r="M3" s="911">
        <v>142.0</v>
      </c>
      <c r="N3" s="918"/>
      <c r="O3" s="918"/>
      <c r="P3" s="917">
        <f>K3*J2</f>
        <v>3976</v>
      </c>
      <c r="Q3" s="919" t="s">
        <v>636</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637</v>
      </c>
      <c r="J4" s="911">
        <v>340000.0</v>
      </c>
      <c r="K4" s="917">
        <f>K3*L4%</f>
        <v>92.3</v>
      </c>
      <c r="L4" s="921">
        <f>J3</f>
        <v>65</v>
      </c>
      <c r="M4" s="917">
        <f>K4*80%</f>
        <v>73.84</v>
      </c>
      <c r="N4" s="917">
        <f>K4*20%</f>
        <v>18.46</v>
      </c>
      <c r="O4" s="917">
        <f>O3*L4%</f>
        <v>0</v>
      </c>
      <c r="P4" s="917">
        <f>K4*J2</f>
        <v>2584.4</v>
      </c>
      <c r="Q4" s="907" t="s">
        <v>303</v>
      </c>
      <c r="R4" s="917">
        <f>R2*P4+R3</f>
        <v>2620184</v>
      </c>
    </row>
    <row r="5">
      <c r="A5" s="920">
        <f t="shared" si="5"/>
        <v>46113</v>
      </c>
      <c r="B5" s="905" t="str">
        <f t="shared" si="2"/>
        <v>①R8_4集計</v>
      </c>
      <c r="C5" s="913">
        <f t="shared" si="3"/>
        <v>0.775</v>
      </c>
      <c r="D5" s="914">
        <f t="shared" ref="D5:G5" si="6">xlookup($B5,$K:$K,N:N)</f>
        <v>3329190</v>
      </c>
      <c r="E5" s="914">
        <f t="shared" si="6"/>
        <v>984195.25</v>
      </c>
      <c r="F5" s="915">
        <f t="shared" si="6"/>
        <v>0.2956260382</v>
      </c>
      <c r="G5" s="915">
        <f t="shared" si="6"/>
        <v>0.5053766081</v>
      </c>
      <c r="H5" s="906"/>
      <c r="I5" s="907" t="s">
        <v>638</v>
      </c>
      <c r="J5" s="911">
        <v>210000.0</v>
      </c>
      <c r="K5" s="922" t="s">
        <v>639</v>
      </c>
      <c r="L5" s="2"/>
      <c r="M5" s="911">
        <v>26.3</v>
      </c>
      <c r="N5" s="911">
        <v>21.05</v>
      </c>
      <c r="O5" s="918"/>
      <c r="P5" s="923"/>
      <c r="Q5" s="907" t="s">
        <v>640</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641</v>
      </c>
      <c r="J6" s="918"/>
      <c r="K6" s="922" t="s">
        <v>642</v>
      </c>
      <c r="L6" s="2"/>
      <c r="M6" s="917">
        <f t="shared" ref="M6:N6" si="8">M4/(360/M5)</f>
        <v>5.394422222</v>
      </c>
      <c r="N6" s="917">
        <f t="shared" si="8"/>
        <v>1.079397222</v>
      </c>
      <c r="O6" s="923"/>
      <c r="P6" s="917">
        <f t="shared" ref="P6:P7" si="10">M6+N6+O6</f>
        <v>6.473819444</v>
      </c>
      <c r="Q6" s="907" t="s">
        <v>301</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643</v>
      </c>
      <c r="J7" s="918"/>
      <c r="K7" s="909" t="s">
        <v>644</v>
      </c>
      <c r="L7" s="911">
        <v>1140.0</v>
      </c>
      <c r="M7" s="917">
        <f>M6*(L7*6)</f>
        <v>36897.848</v>
      </c>
      <c r="N7" s="917">
        <f>N6*(L7*6)</f>
        <v>7383.077</v>
      </c>
      <c r="O7" s="923"/>
      <c r="P7" s="917">
        <f t="shared" si="10"/>
        <v>44280.925</v>
      </c>
      <c r="Q7" s="907" t="s">
        <v>645</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646</v>
      </c>
      <c r="J8" s="918"/>
      <c r="K8" s="923"/>
      <c r="L8" s="923"/>
      <c r="M8" s="923"/>
      <c r="N8" s="923"/>
      <c r="O8" s="923"/>
      <c r="P8" s="923"/>
      <c r="Q8" s="907" t="s">
        <v>300</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647</v>
      </c>
      <c r="J9" s="918"/>
      <c r="K9" s="922" t="s">
        <v>648</v>
      </c>
      <c r="L9" s="2"/>
      <c r="M9" s="917">
        <f>P7+(P6*J15)</f>
        <v>48165.21667</v>
      </c>
      <c r="N9" s="923"/>
      <c r="O9" s="919" t="s">
        <v>649</v>
      </c>
      <c r="P9" s="919" t="s">
        <v>650</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651</v>
      </c>
      <c r="J10" s="918"/>
      <c r="K10" s="922" t="s">
        <v>652</v>
      </c>
      <c r="L10" s="2"/>
      <c r="M10" s="917">
        <f>M9*J2-(8.7*L7*6)+K3*J16*J2*30</f>
        <v>1307010.067</v>
      </c>
      <c r="N10" s="923"/>
      <c r="O10" s="931" t="s">
        <v>653</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654</v>
      </c>
      <c r="J11" s="918"/>
      <c r="K11" s="922" t="s">
        <v>655</v>
      </c>
      <c r="L11" s="2"/>
      <c r="M11" s="907" t="s">
        <v>394</v>
      </c>
      <c r="N11" s="907" t="s">
        <v>372</v>
      </c>
      <c r="O11" s="931" t="s">
        <v>656</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657</v>
      </c>
      <c r="J12" s="918"/>
      <c r="K12" s="922" t="s">
        <v>658</v>
      </c>
      <c r="L12" s="2"/>
      <c r="M12" s="921">
        <f t="shared" ref="M12:M13" si="17">J4*1.15</f>
        <v>391000</v>
      </c>
      <c r="N12" s="921">
        <v>15000.0</v>
      </c>
      <c r="O12" s="931" t="s">
        <v>659</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660</v>
      </c>
      <c r="J13" s="918"/>
      <c r="K13" s="922" t="s">
        <v>661</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662</v>
      </c>
      <c r="J14" s="918"/>
      <c r="K14" s="933" t="s">
        <v>663</v>
      </c>
      <c r="L14" s="2"/>
      <c r="M14" s="932"/>
      <c r="N14" s="932"/>
      <c r="O14" s="907" t="s">
        <v>180</v>
      </c>
      <c r="P14" s="917">
        <f>SUM(P10:P13)</f>
        <v>87472</v>
      </c>
      <c r="Q14" s="923"/>
      <c r="R14" s="934"/>
    </row>
    <row r="15">
      <c r="A15" s="924"/>
      <c r="B15" s="924"/>
      <c r="C15" s="924"/>
      <c r="D15" s="924"/>
      <c r="E15" s="924"/>
      <c r="F15" s="924"/>
      <c r="G15" s="924"/>
      <c r="H15" s="924"/>
      <c r="I15" s="925" t="s">
        <v>664</v>
      </c>
      <c r="J15" s="911">
        <v>600.0</v>
      </c>
      <c r="K15" s="922" t="s">
        <v>665</v>
      </c>
      <c r="L15" s="2"/>
      <c r="M15" s="921">
        <f>J9*J10*J11</f>
        <v>0</v>
      </c>
      <c r="N15" s="921">
        <f>J11*J15</f>
        <v>0</v>
      </c>
      <c r="O15" s="923"/>
      <c r="P15" s="923"/>
      <c r="Q15" s="923"/>
      <c r="R15" s="923"/>
    </row>
    <row r="16">
      <c r="A16" s="924"/>
      <c r="B16" s="924"/>
      <c r="C16" s="924"/>
      <c r="D16" s="924"/>
      <c r="E16" s="924"/>
      <c r="F16" s="924"/>
      <c r="G16" s="924"/>
      <c r="H16" s="924"/>
      <c r="I16" s="925" t="s">
        <v>656</v>
      </c>
      <c r="J16" s="935">
        <v>0.15</v>
      </c>
      <c r="K16" s="922" t="s">
        <v>666</v>
      </c>
      <c r="L16" s="2"/>
      <c r="M16" s="921">
        <f>J12*J13*J14</f>
        <v>0</v>
      </c>
      <c r="N16" s="921">
        <f>J14*J15</f>
        <v>0</v>
      </c>
      <c r="O16" s="923"/>
      <c r="P16" s="923"/>
      <c r="Q16" s="923"/>
      <c r="R16" s="934"/>
    </row>
    <row r="17">
      <c r="A17" s="924"/>
      <c r="B17" s="924"/>
      <c r="C17" s="924"/>
      <c r="D17" s="924"/>
      <c r="E17" s="924"/>
      <c r="F17" s="924"/>
      <c r="G17" s="924"/>
      <c r="H17" s="924"/>
      <c r="I17" s="925" t="s">
        <v>667</v>
      </c>
      <c r="J17" s="926">
        <v>0.035</v>
      </c>
      <c r="K17" s="922" t="s">
        <v>668</v>
      </c>
      <c r="L17" s="2"/>
      <c r="M17" s="921">
        <f>SUM(M12:N16)</f>
        <v>662500</v>
      </c>
      <c r="N17" s="932"/>
      <c r="O17" s="923"/>
      <c r="P17" s="923"/>
      <c r="Q17" s="923"/>
      <c r="R17" s="923"/>
    </row>
    <row r="19">
      <c r="I19" s="900" t="s">
        <v>628</v>
      </c>
      <c r="J19" s="901">
        <f>A4</f>
        <v>46082</v>
      </c>
      <c r="K19" s="900" t="str">
        <f>"①R"&amp;year(J19)-2018&amp;"_"&amp;month(J19)&amp;"集計"</f>
        <v>①R8_3集計</v>
      </c>
      <c r="N19" s="902">
        <f>R22</f>
        <v>2900918</v>
      </c>
      <c r="O19" s="902">
        <f>R25</f>
        <v>784995.2833</v>
      </c>
      <c r="P19" s="903">
        <f>R26</f>
        <v>0.2706023691</v>
      </c>
      <c r="Q19" s="903">
        <f>R24</f>
        <v>0.5010216479</v>
      </c>
    </row>
    <row r="20">
      <c r="I20" s="907" t="s">
        <v>630</v>
      </c>
      <c r="J20" s="908">
        <f>DAY(EOMONTH(J19,0))</f>
        <v>31</v>
      </c>
      <c r="K20" s="909" t="s">
        <v>631</v>
      </c>
      <c r="L20" s="909" t="s">
        <v>302</v>
      </c>
      <c r="M20" s="909" t="s">
        <v>632</v>
      </c>
      <c r="N20" s="909" t="s">
        <v>633</v>
      </c>
      <c r="O20" s="910"/>
      <c r="P20" s="909" t="s">
        <v>634</v>
      </c>
      <c r="Q20" s="907" t="s">
        <v>635</v>
      </c>
      <c r="R20" s="911">
        <v>980.0</v>
      </c>
    </row>
    <row r="21">
      <c r="I21" s="907" t="s">
        <v>302</v>
      </c>
      <c r="J21" s="916">
        <f t="array" ref="J21">xlookup(K19,$B$3:$B$14,$C$3:$C$14)*100</f>
        <v>65</v>
      </c>
      <c r="K21" s="917">
        <f>SUM(M21:O21)</f>
        <v>142</v>
      </c>
      <c r="L21" s="917">
        <v>100.0</v>
      </c>
      <c r="M21" s="911">
        <v>142.0</v>
      </c>
      <c r="N21" s="918"/>
      <c r="O21" s="918"/>
      <c r="P21" s="917">
        <f>K21*J20</f>
        <v>4402</v>
      </c>
      <c r="Q21" s="919" t="s">
        <v>636</v>
      </c>
      <c r="R21" s="917">
        <f>P32</f>
        <v>96844</v>
      </c>
    </row>
    <row r="22">
      <c r="I22" s="907" t="s">
        <v>637</v>
      </c>
      <c r="J22" s="911">
        <v>340000.0</v>
      </c>
      <c r="K22" s="917">
        <f>K21*L22%</f>
        <v>92.3</v>
      </c>
      <c r="L22" s="921">
        <f>J21</f>
        <v>65</v>
      </c>
      <c r="M22" s="917">
        <f>K22*80%</f>
        <v>73.84</v>
      </c>
      <c r="N22" s="917">
        <f>K22*20%</f>
        <v>18.46</v>
      </c>
      <c r="O22" s="917">
        <f>O21*L22%</f>
        <v>0</v>
      </c>
      <c r="P22" s="917">
        <f>K22*J20</f>
        <v>2861.3</v>
      </c>
      <c r="Q22" s="907" t="s">
        <v>303</v>
      </c>
      <c r="R22" s="917">
        <f>R20*P22+R21</f>
        <v>2900918</v>
      </c>
    </row>
    <row r="23">
      <c r="I23" s="907" t="s">
        <v>638</v>
      </c>
      <c r="J23" s="911">
        <v>210000.0</v>
      </c>
      <c r="K23" s="922" t="s">
        <v>639</v>
      </c>
      <c r="L23" s="2"/>
      <c r="M23" s="911">
        <v>26.3</v>
      </c>
      <c r="N23" s="911">
        <v>21.05</v>
      </c>
      <c r="O23" s="918"/>
      <c r="P23" s="923"/>
      <c r="Q23" s="907" t="s">
        <v>640</v>
      </c>
      <c r="R23" s="917">
        <f>M28</f>
        <v>1453422.717</v>
      </c>
    </row>
    <row r="24">
      <c r="I24" s="925" t="s">
        <v>641</v>
      </c>
      <c r="J24" s="918"/>
      <c r="K24" s="922" t="s">
        <v>642</v>
      </c>
      <c r="L24" s="2"/>
      <c r="M24" s="917">
        <f t="shared" ref="M24:N24" si="19">M22/(360/M23)</f>
        <v>5.394422222</v>
      </c>
      <c r="N24" s="917">
        <f t="shared" si="19"/>
        <v>1.079397222</v>
      </c>
      <c r="O24" s="923"/>
      <c r="P24" s="917">
        <f t="shared" ref="P24:P25" si="20">M24+N24+O24</f>
        <v>6.473819444</v>
      </c>
      <c r="Q24" s="907" t="s">
        <v>301</v>
      </c>
      <c r="R24" s="926">
        <f>R23/R22</f>
        <v>0.5010216479</v>
      </c>
    </row>
    <row r="25">
      <c r="I25" s="928" t="s">
        <v>643</v>
      </c>
      <c r="J25" s="918"/>
      <c r="K25" s="909" t="s">
        <v>644</v>
      </c>
      <c r="L25" s="911">
        <v>1140.0</v>
      </c>
      <c r="M25" s="917">
        <f>M24*(L25*6)</f>
        <v>36897.848</v>
      </c>
      <c r="N25" s="917">
        <f>N24*(L25*6)</f>
        <v>7383.077</v>
      </c>
      <c r="O25" s="923"/>
      <c r="P25" s="917">
        <f t="shared" si="20"/>
        <v>44280.925</v>
      </c>
      <c r="Q25" s="907" t="s">
        <v>645</v>
      </c>
      <c r="R25" s="917">
        <f>R22-R23-M35</f>
        <v>784995.2833</v>
      </c>
    </row>
    <row r="26">
      <c r="I26" s="907" t="s">
        <v>646</v>
      </c>
      <c r="J26" s="918"/>
      <c r="K26" s="923"/>
      <c r="L26" s="923"/>
      <c r="M26" s="923"/>
      <c r="N26" s="923"/>
      <c r="O26" s="923"/>
      <c r="P26" s="923"/>
      <c r="Q26" s="907" t="s">
        <v>300</v>
      </c>
      <c r="R26" s="926">
        <f>R25/R22</f>
        <v>0.2706023691</v>
      </c>
    </row>
    <row r="27">
      <c r="I27" s="925" t="s">
        <v>647</v>
      </c>
      <c r="J27" s="918"/>
      <c r="K27" s="922" t="s">
        <v>648</v>
      </c>
      <c r="L27" s="2"/>
      <c r="M27" s="917">
        <f>P25+(P24*J33)</f>
        <v>48165.21667</v>
      </c>
      <c r="N27" s="923"/>
      <c r="O27" s="919" t="s">
        <v>649</v>
      </c>
      <c r="P27" s="919" t="s">
        <v>650</v>
      </c>
      <c r="Q27" s="923"/>
      <c r="R27" s="923"/>
    </row>
    <row r="28">
      <c r="I28" s="930" t="s">
        <v>651</v>
      </c>
      <c r="J28" s="918"/>
      <c r="K28" s="922" t="s">
        <v>652</v>
      </c>
      <c r="L28" s="2"/>
      <c r="M28" s="917">
        <f>M27*J20-(8.7*L25*6)+K21*J34*J20*30</f>
        <v>1453422.717</v>
      </c>
      <c r="N28" s="923"/>
      <c r="O28" s="931" t="s">
        <v>653</v>
      </c>
      <c r="P28" s="918"/>
      <c r="Q28" s="923"/>
      <c r="R28" s="932"/>
    </row>
    <row r="29">
      <c r="I29" s="930" t="s">
        <v>654</v>
      </c>
      <c r="J29" s="918"/>
      <c r="K29" s="922" t="s">
        <v>655</v>
      </c>
      <c r="L29" s="2"/>
      <c r="M29" s="907" t="s">
        <v>394</v>
      </c>
      <c r="N29" s="907" t="s">
        <v>372</v>
      </c>
      <c r="O29" s="931" t="s">
        <v>656</v>
      </c>
      <c r="P29" s="911">
        <f>K21*J34*J20*100</f>
        <v>66030</v>
      </c>
      <c r="Q29" s="923"/>
      <c r="R29" s="923"/>
    </row>
    <row r="30">
      <c r="I30" s="925" t="s">
        <v>657</v>
      </c>
      <c r="J30" s="918"/>
      <c r="K30" s="922" t="s">
        <v>658</v>
      </c>
      <c r="L30" s="2"/>
      <c r="M30" s="921">
        <f t="shared" ref="M30:M31" si="21">J22*1.15</f>
        <v>391000</v>
      </c>
      <c r="N30" s="921">
        <v>15000.0</v>
      </c>
      <c r="O30" s="931" t="s">
        <v>659</v>
      </c>
      <c r="P30" s="911">
        <f>K21*J35*J20*200</f>
        <v>30814</v>
      </c>
      <c r="Q30" s="923"/>
      <c r="R30" s="923"/>
    </row>
    <row r="31">
      <c r="I31" s="925" t="s">
        <v>660</v>
      </c>
      <c r="J31" s="918"/>
      <c r="K31" s="922" t="s">
        <v>661</v>
      </c>
      <c r="L31" s="2"/>
      <c r="M31" s="921">
        <f t="shared" si="21"/>
        <v>241500</v>
      </c>
      <c r="N31" s="921">
        <v>15000.0</v>
      </c>
      <c r="O31" s="923"/>
      <c r="P31" s="923"/>
      <c r="Q31" s="923"/>
      <c r="R31" s="923"/>
    </row>
    <row r="32">
      <c r="I32" s="925" t="s">
        <v>662</v>
      </c>
      <c r="J32" s="918"/>
      <c r="K32" s="933" t="s">
        <v>663</v>
      </c>
      <c r="L32" s="2"/>
      <c r="M32" s="932"/>
      <c r="N32" s="932"/>
      <c r="O32" s="907" t="s">
        <v>180</v>
      </c>
      <c r="P32" s="917">
        <f>SUM(P28:P31)</f>
        <v>96844</v>
      </c>
      <c r="Q32" s="923"/>
      <c r="R32" s="934"/>
    </row>
    <row r="33">
      <c r="I33" s="925" t="s">
        <v>664</v>
      </c>
      <c r="J33" s="911">
        <v>600.0</v>
      </c>
      <c r="K33" s="922" t="s">
        <v>665</v>
      </c>
      <c r="L33" s="2"/>
      <c r="M33" s="921">
        <f>J27*J28*J29</f>
        <v>0</v>
      </c>
      <c r="N33" s="921">
        <f>J29*J33</f>
        <v>0</v>
      </c>
      <c r="O33" s="923"/>
      <c r="P33" s="923"/>
      <c r="Q33" s="923"/>
      <c r="R33" s="923"/>
    </row>
    <row r="34">
      <c r="I34" s="925" t="s">
        <v>656</v>
      </c>
      <c r="J34" s="935">
        <v>0.15</v>
      </c>
      <c r="K34" s="922" t="s">
        <v>666</v>
      </c>
      <c r="L34" s="2"/>
      <c r="M34" s="921">
        <f>J30*J31*J32</f>
        <v>0</v>
      </c>
      <c r="N34" s="921">
        <f>J32*J33</f>
        <v>0</v>
      </c>
      <c r="O34" s="923"/>
      <c r="P34" s="923"/>
      <c r="Q34" s="923"/>
      <c r="R34" s="934"/>
    </row>
    <row r="35">
      <c r="I35" s="925" t="s">
        <v>667</v>
      </c>
      <c r="J35" s="926">
        <v>0.035</v>
      </c>
      <c r="K35" s="922" t="s">
        <v>668</v>
      </c>
      <c r="L35" s="2"/>
      <c r="M35" s="921">
        <f>SUM(M30:N34)</f>
        <v>662500</v>
      </c>
      <c r="N35" s="932"/>
      <c r="O35" s="923"/>
      <c r="P35" s="923"/>
      <c r="Q35" s="923"/>
      <c r="R35" s="923"/>
    </row>
    <row r="37">
      <c r="I37" s="900" t="s">
        <v>628</v>
      </c>
      <c r="J37" s="901">
        <f>A5</f>
        <v>46113</v>
      </c>
      <c r="K37" s="900" t="str">
        <f>"①R"&amp;year(J37)-2018&amp;"_"&amp;month(J37)&amp;"集計"</f>
        <v>①R8_4集計</v>
      </c>
      <c r="N37" s="902">
        <f>R40</f>
        <v>3329190</v>
      </c>
      <c r="O37" s="902">
        <f>R43</f>
        <v>984195.25</v>
      </c>
      <c r="P37" s="903">
        <f>R44</f>
        <v>0.2956260382</v>
      </c>
      <c r="Q37" s="903">
        <f>R42</f>
        <v>0.5053766081</v>
      </c>
    </row>
    <row r="38">
      <c r="I38" s="907" t="s">
        <v>630</v>
      </c>
      <c r="J38" s="908">
        <f>DAY(EOMONTH(J37,0))</f>
        <v>30</v>
      </c>
      <c r="K38" s="909" t="s">
        <v>631</v>
      </c>
      <c r="L38" s="909" t="s">
        <v>302</v>
      </c>
      <c r="M38" s="909" t="s">
        <v>632</v>
      </c>
      <c r="N38" s="909" t="s">
        <v>633</v>
      </c>
      <c r="O38" s="910"/>
      <c r="P38" s="909" t="s">
        <v>634</v>
      </c>
      <c r="Q38" s="907" t="s">
        <v>635</v>
      </c>
      <c r="R38" s="911">
        <v>980.0</v>
      </c>
    </row>
    <row r="39">
      <c r="I39" s="907" t="s">
        <v>302</v>
      </c>
      <c r="J39" s="916">
        <f t="array" ref="J39">xlookup(K37,$B$3:$B$14,$C$3:$C$14)*100</f>
        <v>77.5</v>
      </c>
      <c r="K39" s="917">
        <f>SUM(M39:O39)</f>
        <v>142</v>
      </c>
      <c r="L39" s="917">
        <v>100.0</v>
      </c>
      <c r="M39" s="911">
        <v>142.0</v>
      </c>
      <c r="N39" s="918"/>
      <c r="O39" s="918"/>
      <c r="P39" s="917">
        <f>K39*J38</f>
        <v>4260</v>
      </c>
      <c r="Q39" s="919" t="s">
        <v>636</v>
      </c>
      <c r="R39" s="917">
        <f>P50</f>
        <v>93720</v>
      </c>
    </row>
    <row r="40">
      <c r="I40" s="907" t="s">
        <v>637</v>
      </c>
      <c r="J40" s="911">
        <v>340000.0</v>
      </c>
      <c r="K40" s="917">
        <f>K39*L40%</f>
        <v>110.05</v>
      </c>
      <c r="L40" s="921">
        <f>J39</f>
        <v>77.5</v>
      </c>
      <c r="M40" s="917">
        <f>K40*80%</f>
        <v>88.04</v>
      </c>
      <c r="N40" s="917">
        <f>K40*20%</f>
        <v>22.01</v>
      </c>
      <c r="O40" s="917">
        <f>O39*L40%</f>
        <v>0</v>
      </c>
      <c r="P40" s="917">
        <f>K40*J38</f>
        <v>3301.5</v>
      </c>
      <c r="Q40" s="907" t="s">
        <v>303</v>
      </c>
      <c r="R40" s="917">
        <f>R38*P40+R39</f>
        <v>3329190</v>
      </c>
    </row>
    <row r="41">
      <c r="I41" s="907" t="s">
        <v>638</v>
      </c>
      <c r="J41" s="911">
        <v>210000.0</v>
      </c>
      <c r="K41" s="922" t="s">
        <v>639</v>
      </c>
      <c r="L41" s="2"/>
      <c r="M41" s="911">
        <v>26.3</v>
      </c>
      <c r="N41" s="911">
        <v>21.05</v>
      </c>
      <c r="O41" s="918"/>
      <c r="P41" s="923"/>
      <c r="Q41" s="907" t="s">
        <v>640</v>
      </c>
      <c r="R41" s="917">
        <f>M46</f>
        <v>1682494.75</v>
      </c>
    </row>
    <row r="42">
      <c r="I42" s="925" t="s">
        <v>641</v>
      </c>
      <c r="J42" s="918"/>
      <c r="K42" s="922" t="s">
        <v>642</v>
      </c>
      <c r="L42" s="2"/>
      <c r="M42" s="917">
        <f t="shared" ref="M42:N42" si="22">M40/(360/M41)</f>
        <v>6.431811111</v>
      </c>
      <c r="N42" s="917">
        <f t="shared" si="22"/>
        <v>1.286973611</v>
      </c>
      <c r="O42" s="923"/>
      <c r="P42" s="917">
        <f t="shared" ref="P42:P43" si="23">M42+N42+O42</f>
        <v>7.718784722</v>
      </c>
      <c r="Q42" s="907" t="s">
        <v>301</v>
      </c>
      <c r="R42" s="926">
        <f>R41/R40</f>
        <v>0.5053766081</v>
      </c>
    </row>
    <row r="43">
      <c r="I43" s="928" t="s">
        <v>643</v>
      </c>
      <c r="J43" s="918"/>
      <c r="K43" s="909" t="s">
        <v>644</v>
      </c>
      <c r="L43" s="911">
        <v>1140.0</v>
      </c>
      <c r="M43" s="917">
        <f>M42*(L43*6)</f>
        <v>43993.588</v>
      </c>
      <c r="N43" s="917">
        <f>N42*(L43*6)</f>
        <v>8802.8995</v>
      </c>
      <c r="O43" s="923"/>
      <c r="P43" s="917">
        <f t="shared" si="23"/>
        <v>52796.4875</v>
      </c>
      <c r="Q43" s="907" t="s">
        <v>645</v>
      </c>
      <c r="R43" s="917">
        <f>R40-R41-M53</f>
        <v>984195.25</v>
      </c>
    </row>
    <row r="44">
      <c r="I44" s="907" t="s">
        <v>646</v>
      </c>
      <c r="J44" s="918"/>
      <c r="K44" s="923"/>
      <c r="L44" s="923"/>
      <c r="M44" s="923"/>
      <c r="N44" s="923"/>
      <c r="O44" s="923"/>
      <c r="P44" s="923"/>
      <c r="Q44" s="907" t="s">
        <v>300</v>
      </c>
      <c r="R44" s="926">
        <f>R43/R40</f>
        <v>0.2956260382</v>
      </c>
    </row>
    <row r="45">
      <c r="I45" s="925" t="s">
        <v>647</v>
      </c>
      <c r="J45" s="918"/>
      <c r="K45" s="922" t="s">
        <v>648</v>
      </c>
      <c r="L45" s="2"/>
      <c r="M45" s="917">
        <f>P43+(P42*J51)</f>
        <v>57427.75833</v>
      </c>
      <c r="N45" s="923"/>
      <c r="O45" s="919" t="s">
        <v>649</v>
      </c>
      <c r="P45" s="919" t="s">
        <v>650</v>
      </c>
      <c r="Q45" s="923"/>
      <c r="R45" s="923"/>
    </row>
    <row r="46">
      <c r="I46" s="930" t="s">
        <v>651</v>
      </c>
      <c r="J46" s="918"/>
      <c r="K46" s="922" t="s">
        <v>652</v>
      </c>
      <c r="L46" s="2"/>
      <c r="M46" s="917">
        <f>M45*J38-(8.7*L43*6)+K39*J52*J38*30</f>
        <v>1682494.75</v>
      </c>
      <c r="N46" s="923"/>
      <c r="O46" s="931" t="s">
        <v>653</v>
      </c>
      <c r="P46" s="918"/>
      <c r="Q46" s="923"/>
      <c r="R46" s="932"/>
    </row>
    <row r="47">
      <c r="I47" s="930" t="s">
        <v>654</v>
      </c>
      <c r="J47" s="918"/>
      <c r="K47" s="922" t="s">
        <v>655</v>
      </c>
      <c r="L47" s="2"/>
      <c r="M47" s="907" t="s">
        <v>394</v>
      </c>
      <c r="N47" s="907" t="s">
        <v>372</v>
      </c>
      <c r="O47" s="931" t="s">
        <v>656</v>
      </c>
      <c r="P47" s="911">
        <f>K39*J52*J38*100</f>
        <v>63900</v>
      </c>
      <c r="Q47" s="923"/>
      <c r="R47" s="923"/>
    </row>
    <row r="48">
      <c r="I48" s="925" t="s">
        <v>657</v>
      </c>
      <c r="J48" s="918"/>
      <c r="K48" s="922" t="s">
        <v>658</v>
      </c>
      <c r="L48" s="2"/>
      <c r="M48" s="921">
        <f t="shared" ref="M48:M49" si="24">J40*1.15</f>
        <v>391000</v>
      </c>
      <c r="N48" s="921">
        <v>15000.0</v>
      </c>
      <c r="O48" s="931" t="s">
        <v>659</v>
      </c>
      <c r="P48" s="911">
        <f>K39*J53*J38*200</f>
        <v>29820</v>
      </c>
      <c r="Q48" s="923"/>
      <c r="R48" s="923"/>
    </row>
    <row r="49">
      <c r="I49" s="925" t="s">
        <v>660</v>
      </c>
      <c r="J49" s="918"/>
      <c r="K49" s="922" t="s">
        <v>661</v>
      </c>
      <c r="L49" s="2"/>
      <c r="M49" s="921">
        <f t="shared" si="24"/>
        <v>241500</v>
      </c>
      <c r="N49" s="921">
        <v>15000.0</v>
      </c>
      <c r="O49" s="923"/>
      <c r="P49" s="923"/>
      <c r="Q49" s="923"/>
      <c r="R49" s="923"/>
    </row>
    <row r="50">
      <c r="I50" s="925" t="s">
        <v>662</v>
      </c>
      <c r="J50" s="918"/>
      <c r="K50" s="933" t="s">
        <v>663</v>
      </c>
      <c r="L50" s="2"/>
      <c r="M50" s="932"/>
      <c r="N50" s="932"/>
      <c r="O50" s="907" t="s">
        <v>180</v>
      </c>
      <c r="P50" s="917">
        <f>SUM(P46:P49)</f>
        <v>93720</v>
      </c>
      <c r="Q50" s="923"/>
      <c r="R50" s="934"/>
    </row>
    <row r="51">
      <c r="I51" s="925" t="s">
        <v>664</v>
      </c>
      <c r="J51" s="911">
        <v>600.0</v>
      </c>
      <c r="K51" s="922" t="s">
        <v>665</v>
      </c>
      <c r="L51" s="2"/>
      <c r="M51" s="921">
        <f>J45*J46*J47</f>
        <v>0</v>
      </c>
      <c r="N51" s="921">
        <f>J47*J51</f>
        <v>0</v>
      </c>
      <c r="O51" s="923"/>
      <c r="P51" s="923"/>
      <c r="Q51" s="923"/>
      <c r="R51" s="923"/>
    </row>
    <row r="52">
      <c r="I52" s="925" t="s">
        <v>656</v>
      </c>
      <c r="J52" s="935">
        <v>0.15</v>
      </c>
      <c r="K52" s="922" t="s">
        <v>666</v>
      </c>
      <c r="L52" s="2"/>
      <c r="M52" s="921">
        <f>J48*J49*J50</f>
        <v>0</v>
      </c>
      <c r="N52" s="921">
        <f>J50*J51</f>
        <v>0</v>
      </c>
      <c r="O52" s="923"/>
      <c r="P52" s="923"/>
      <c r="Q52" s="923"/>
      <c r="R52" s="934"/>
    </row>
    <row r="53">
      <c r="I53" s="925" t="s">
        <v>667</v>
      </c>
      <c r="J53" s="926">
        <v>0.035</v>
      </c>
      <c r="K53" s="922" t="s">
        <v>668</v>
      </c>
      <c r="L53" s="2"/>
      <c r="M53" s="921">
        <f>SUM(M48:N52)</f>
        <v>662500</v>
      </c>
      <c r="N53" s="932"/>
      <c r="O53" s="923"/>
      <c r="P53" s="923"/>
      <c r="Q53" s="923"/>
      <c r="R53" s="923"/>
    </row>
    <row r="55">
      <c r="I55" s="900" t="s">
        <v>628</v>
      </c>
      <c r="J55" s="901">
        <f>A6</f>
        <v>46143</v>
      </c>
      <c r="K55" s="900" t="str">
        <f>"①R"&amp;year(J55)-2018&amp;"_"&amp;month(J55)&amp;"集計"</f>
        <v>①R8_5集計</v>
      </c>
      <c r="N55" s="902">
        <f>R58</f>
        <v>96844</v>
      </c>
      <c r="O55" s="902">
        <f>R61</f>
        <v>-525957</v>
      </c>
      <c r="P55" s="903">
        <f>R62</f>
        <v>-5.430971459</v>
      </c>
      <c r="Q55" s="903">
        <f>R60</f>
        <v>-0.4099273058</v>
      </c>
    </row>
    <row r="56">
      <c r="I56" s="907" t="s">
        <v>630</v>
      </c>
      <c r="J56" s="908">
        <f>DAY(EOMONTH(J55,0))</f>
        <v>31</v>
      </c>
      <c r="K56" s="909" t="s">
        <v>631</v>
      </c>
      <c r="L56" s="909" t="s">
        <v>302</v>
      </c>
      <c r="M56" s="909" t="s">
        <v>632</v>
      </c>
      <c r="N56" s="909" t="s">
        <v>633</v>
      </c>
      <c r="O56" s="910"/>
      <c r="P56" s="909" t="s">
        <v>634</v>
      </c>
      <c r="Q56" s="907" t="s">
        <v>635</v>
      </c>
      <c r="R56" s="911">
        <v>980.0</v>
      </c>
    </row>
    <row r="57">
      <c r="I57" s="907" t="s">
        <v>302</v>
      </c>
      <c r="J57" s="916">
        <f t="array" ref="J57">xlookup(K55,$B$3:$B$14,$C$3:$C$14)*100</f>
        <v>0</v>
      </c>
      <c r="K57" s="917">
        <f>SUM(M57:O57)</f>
        <v>142</v>
      </c>
      <c r="L57" s="917">
        <v>100.0</v>
      </c>
      <c r="M57" s="911">
        <v>142.0</v>
      </c>
      <c r="N57" s="918"/>
      <c r="O57" s="918"/>
      <c r="P57" s="917">
        <f>K57*J56</f>
        <v>4402</v>
      </c>
      <c r="Q57" s="919" t="s">
        <v>636</v>
      </c>
      <c r="R57" s="917">
        <f>P68</f>
        <v>96844</v>
      </c>
    </row>
    <row r="58">
      <c r="I58" s="907" t="s">
        <v>637</v>
      </c>
      <c r="J58" s="911">
        <v>340000.0</v>
      </c>
      <c r="K58" s="917">
        <f>K57*L58%</f>
        <v>0</v>
      </c>
      <c r="L58" s="921">
        <f>J57</f>
        <v>0</v>
      </c>
      <c r="M58" s="917">
        <f>K58*80%</f>
        <v>0</v>
      </c>
      <c r="N58" s="917">
        <f>K58*20%</f>
        <v>0</v>
      </c>
      <c r="O58" s="917">
        <f>O57*L58%</f>
        <v>0</v>
      </c>
      <c r="P58" s="917">
        <f>K58*J56</f>
        <v>0</v>
      </c>
      <c r="Q58" s="907" t="s">
        <v>303</v>
      </c>
      <c r="R58" s="917">
        <f>R56*P58+R57</f>
        <v>96844</v>
      </c>
    </row>
    <row r="59">
      <c r="I59" s="907" t="s">
        <v>638</v>
      </c>
      <c r="J59" s="911">
        <v>210000.0</v>
      </c>
      <c r="K59" s="922" t="s">
        <v>639</v>
      </c>
      <c r="L59" s="2"/>
      <c r="M59" s="911">
        <v>26.3</v>
      </c>
      <c r="N59" s="911">
        <v>21.05</v>
      </c>
      <c r="O59" s="918"/>
      <c r="P59" s="923"/>
      <c r="Q59" s="907" t="s">
        <v>640</v>
      </c>
      <c r="R59" s="917">
        <f>M64</f>
        <v>-39699</v>
      </c>
    </row>
    <row r="60">
      <c r="I60" s="925" t="s">
        <v>641</v>
      </c>
      <c r="J60" s="918"/>
      <c r="K60" s="922" t="s">
        <v>642</v>
      </c>
      <c r="L60" s="2"/>
      <c r="M60" s="917">
        <f t="shared" ref="M60:N60" si="25">M58/(360/M59)</f>
        <v>0</v>
      </c>
      <c r="N60" s="917">
        <f t="shared" si="25"/>
        <v>0</v>
      </c>
      <c r="O60" s="923"/>
      <c r="P60" s="917">
        <f t="shared" ref="P60:P61" si="26">M60+N60+O60</f>
        <v>0</v>
      </c>
      <c r="Q60" s="907" t="s">
        <v>301</v>
      </c>
      <c r="R60" s="926">
        <f>R59/R58</f>
        <v>-0.4099273058</v>
      </c>
    </row>
    <row r="61">
      <c r="I61" s="928" t="s">
        <v>643</v>
      </c>
      <c r="J61" s="918"/>
      <c r="K61" s="909" t="s">
        <v>644</v>
      </c>
      <c r="L61" s="911">
        <v>1140.0</v>
      </c>
      <c r="M61" s="917">
        <f>M60*(L61*6)</f>
        <v>0</v>
      </c>
      <c r="N61" s="917">
        <f>N60*(L61*6)</f>
        <v>0</v>
      </c>
      <c r="O61" s="923"/>
      <c r="P61" s="917">
        <f t="shared" si="26"/>
        <v>0</v>
      </c>
      <c r="Q61" s="907" t="s">
        <v>645</v>
      </c>
      <c r="R61" s="917">
        <f>R58-R59-M71</f>
        <v>-525957</v>
      </c>
    </row>
    <row r="62">
      <c r="I62" s="907" t="s">
        <v>646</v>
      </c>
      <c r="J62" s="918"/>
      <c r="K62" s="923"/>
      <c r="L62" s="923"/>
      <c r="M62" s="923"/>
      <c r="N62" s="923"/>
      <c r="O62" s="923"/>
      <c r="P62" s="923"/>
      <c r="Q62" s="907" t="s">
        <v>300</v>
      </c>
      <c r="R62" s="926">
        <f>R61/R58</f>
        <v>-5.430971459</v>
      </c>
    </row>
    <row r="63">
      <c r="I63" s="925" t="s">
        <v>647</v>
      </c>
      <c r="J63" s="918"/>
      <c r="K63" s="922" t="s">
        <v>648</v>
      </c>
      <c r="L63" s="2"/>
      <c r="M63" s="917">
        <f>P61+(P60*J69)</f>
        <v>0</v>
      </c>
      <c r="N63" s="923"/>
      <c r="O63" s="919" t="s">
        <v>649</v>
      </c>
      <c r="P63" s="919" t="s">
        <v>650</v>
      </c>
      <c r="Q63" s="923"/>
      <c r="R63" s="923"/>
    </row>
    <row r="64">
      <c r="I64" s="930" t="s">
        <v>651</v>
      </c>
      <c r="J64" s="918"/>
      <c r="K64" s="922" t="s">
        <v>652</v>
      </c>
      <c r="L64" s="2"/>
      <c r="M64" s="917">
        <f>M63*J56-(8.7*L61*6)+K57*J70*J56*30</f>
        <v>-39699</v>
      </c>
      <c r="N64" s="923"/>
      <c r="O64" s="931" t="s">
        <v>653</v>
      </c>
      <c r="P64" s="918"/>
      <c r="Q64" s="923"/>
      <c r="R64" s="932"/>
    </row>
    <row r="65">
      <c r="I65" s="930" t="s">
        <v>654</v>
      </c>
      <c r="J65" s="918"/>
      <c r="K65" s="922" t="s">
        <v>655</v>
      </c>
      <c r="L65" s="2"/>
      <c r="M65" s="907" t="s">
        <v>394</v>
      </c>
      <c r="N65" s="907" t="s">
        <v>372</v>
      </c>
      <c r="O65" s="931" t="s">
        <v>656</v>
      </c>
      <c r="P65" s="911">
        <f>K57*J70*J56*100</f>
        <v>66030</v>
      </c>
      <c r="Q65" s="923"/>
      <c r="R65" s="923"/>
    </row>
    <row r="66">
      <c r="I66" s="925" t="s">
        <v>657</v>
      </c>
      <c r="J66" s="918"/>
      <c r="K66" s="922" t="s">
        <v>658</v>
      </c>
      <c r="L66" s="2"/>
      <c r="M66" s="921">
        <f t="shared" ref="M66:M67" si="27">J58*1.15</f>
        <v>391000</v>
      </c>
      <c r="N66" s="921">
        <v>15000.0</v>
      </c>
      <c r="O66" s="931" t="s">
        <v>659</v>
      </c>
      <c r="P66" s="911">
        <f>K57*J71*J56*200</f>
        <v>30814</v>
      </c>
      <c r="Q66" s="923"/>
      <c r="R66" s="923"/>
    </row>
    <row r="67">
      <c r="I67" s="925" t="s">
        <v>660</v>
      </c>
      <c r="J67" s="918"/>
      <c r="K67" s="922" t="s">
        <v>661</v>
      </c>
      <c r="L67" s="2"/>
      <c r="M67" s="921">
        <f t="shared" si="27"/>
        <v>241500</v>
      </c>
      <c r="N67" s="921">
        <v>15000.0</v>
      </c>
      <c r="O67" s="923"/>
      <c r="P67" s="923"/>
      <c r="Q67" s="923"/>
      <c r="R67" s="923"/>
    </row>
    <row r="68">
      <c r="I68" s="925" t="s">
        <v>662</v>
      </c>
      <c r="J68" s="918"/>
      <c r="K68" s="933" t="s">
        <v>663</v>
      </c>
      <c r="L68" s="2"/>
      <c r="M68" s="932"/>
      <c r="N68" s="932"/>
      <c r="O68" s="907" t="s">
        <v>180</v>
      </c>
      <c r="P68" s="917">
        <f>SUM(P64:P67)</f>
        <v>96844</v>
      </c>
      <c r="Q68" s="923"/>
      <c r="R68" s="934"/>
    </row>
    <row r="69">
      <c r="I69" s="925" t="s">
        <v>664</v>
      </c>
      <c r="J69" s="911">
        <v>600.0</v>
      </c>
      <c r="K69" s="922" t="s">
        <v>665</v>
      </c>
      <c r="L69" s="2"/>
      <c r="M69" s="921">
        <f>J63*J64*J65</f>
        <v>0</v>
      </c>
      <c r="N69" s="921">
        <f>J65*J69</f>
        <v>0</v>
      </c>
      <c r="O69" s="923"/>
      <c r="P69" s="923"/>
      <c r="Q69" s="923"/>
      <c r="R69" s="923"/>
    </row>
    <row r="70">
      <c r="I70" s="925" t="s">
        <v>656</v>
      </c>
      <c r="J70" s="935">
        <v>0.15</v>
      </c>
      <c r="K70" s="922" t="s">
        <v>666</v>
      </c>
      <c r="L70" s="2"/>
      <c r="M70" s="921">
        <f>J66*J67*J68</f>
        <v>0</v>
      </c>
      <c r="N70" s="921">
        <f>J68*J69</f>
        <v>0</v>
      </c>
      <c r="O70" s="923"/>
      <c r="P70" s="923"/>
      <c r="Q70" s="923"/>
      <c r="R70" s="934"/>
    </row>
    <row r="71">
      <c r="I71" s="925" t="s">
        <v>667</v>
      </c>
      <c r="J71" s="926">
        <v>0.035</v>
      </c>
      <c r="K71" s="922" t="s">
        <v>668</v>
      </c>
      <c r="L71" s="2"/>
      <c r="M71" s="921">
        <f>SUM(M66:N70)</f>
        <v>662500</v>
      </c>
      <c r="N71" s="932"/>
      <c r="O71" s="923"/>
      <c r="P71" s="923"/>
      <c r="Q71" s="923"/>
      <c r="R71" s="923"/>
    </row>
    <row r="73">
      <c r="I73" s="900" t="s">
        <v>628</v>
      </c>
      <c r="J73" s="901">
        <f>A7</f>
        <v>46174</v>
      </c>
      <c r="K73" s="900" t="str">
        <f>"①R"&amp;year(J73)-2018&amp;"_"&amp;month(J73)&amp;"集計"</f>
        <v>①R8_6集計</v>
      </c>
      <c r="N73" s="902">
        <f>R76</f>
        <v>93720</v>
      </c>
      <c r="O73" s="902">
        <f>R79</f>
        <v>-528442</v>
      </c>
      <c r="P73" s="903">
        <f>R80</f>
        <v>-5.638518993</v>
      </c>
      <c r="Q73" s="903">
        <f>R78</f>
        <v>-0.4304097311</v>
      </c>
    </row>
    <row r="74">
      <c r="I74" s="907" t="s">
        <v>630</v>
      </c>
      <c r="J74" s="908">
        <f>DAY(EOMONTH(J73,0))</f>
        <v>30</v>
      </c>
      <c r="K74" s="909" t="s">
        <v>631</v>
      </c>
      <c r="L74" s="909" t="s">
        <v>302</v>
      </c>
      <c r="M74" s="909" t="s">
        <v>632</v>
      </c>
      <c r="N74" s="909" t="s">
        <v>633</v>
      </c>
      <c r="O74" s="910"/>
      <c r="P74" s="909" t="s">
        <v>634</v>
      </c>
      <c r="Q74" s="907" t="s">
        <v>635</v>
      </c>
      <c r="R74" s="911">
        <v>980.0</v>
      </c>
    </row>
    <row r="75">
      <c r="I75" s="907" t="s">
        <v>302</v>
      </c>
      <c r="J75" s="916">
        <f t="array" ref="J75">xlookup(K73,$B$3:$B$14,$C$3:$C$14)*100</f>
        <v>0</v>
      </c>
      <c r="K75" s="917">
        <f>SUM(M75:O75)</f>
        <v>142</v>
      </c>
      <c r="L75" s="917">
        <v>100.0</v>
      </c>
      <c r="M75" s="911">
        <v>142.0</v>
      </c>
      <c r="N75" s="918"/>
      <c r="O75" s="918"/>
      <c r="P75" s="917">
        <f>K75*J74</f>
        <v>4260</v>
      </c>
      <c r="Q75" s="919" t="s">
        <v>636</v>
      </c>
      <c r="R75" s="917">
        <f>P86</f>
        <v>93720</v>
      </c>
    </row>
    <row r="76">
      <c r="I76" s="907" t="s">
        <v>637</v>
      </c>
      <c r="J76" s="911">
        <v>340000.0</v>
      </c>
      <c r="K76" s="917">
        <f>K75*L76%</f>
        <v>0</v>
      </c>
      <c r="L76" s="921">
        <f>J75</f>
        <v>0</v>
      </c>
      <c r="M76" s="917">
        <f>K76*80%</f>
        <v>0</v>
      </c>
      <c r="N76" s="917">
        <f>K76*20%</f>
        <v>0</v>
      </c>
      <c r="O76" s="917">
        <f>O75*L76%</f>
        <v>0</v>
      </c>
      <c r="P76" s="917">
        <f>K76*J74</f>
        <v>0</v>
      </c>
      <c r="Q76" s="907" t="s">
        <v>303</v>
      </c>
      <c r="R76" s="917">
        <f>R74*P76+R75</f>
        <v>93720</v>
      </c>
    </row>
    <row r="77">
      <c r="I77" s="907" t="s">
        <v>638</v>
      </c>
      <c r="J77" s="911">
        <v>210000.0</v>
      </c>
      <c r="K77" s="922" t="s">
        <v>639</v>
      </c>
      <c r="L77" s="2"/>
      <c r="M77" s="911">
        <v>26.3</v>
      </c>
      <c r="N77" s="911">
        <v>21.05</v>
      </c>
      <c r="O77" s="918"/>
      <c r="P77" s="923"/>
      <c r="Q77" s="907" t="s">
        <v>640</v>
      </c>
      <c r="R77" s="917">
        <f>M82</f>
        <v>-40338</v>
      </c>
    </row>
    <row r="78">
      <c r="I78" s="925" t="s">
        <v>641</v>
      </c>
      <c r="J78" s="918"/>
      <c r="K78" s="922" t="s">
        <v>642</v>
      </c>
      <c r="L78" s="2"/>
      <c r="M78" s="917">
        <f t="shared" ref="M78:N78" si="28">M76/(360/M77)</f>
        <v>0</v>
      </c>
      <c r="N78" s="917">
        <f t="shared" si="28"/>
        <v>0</v>
      </c>
      <c r="O78" s="923"/>
      <c r="P78" s="917">
        <f t="shared" ref="P78:P79" si="29">M78+N78+O78</f>
        <v>0</v>
      </c>
      <c r="Q78" s="907" t="s">
        <v>301</v>
      </c>
      <c r="R78" s="926">
        <f>R77/R76</f>
        <v>-0.4304097311</v>
      </c>
    </row>
    <row r="79">
      <c r="I79" s="928" t="s">
        <v>643</v>
      </c>
      <c r="J79" s="918"/>
      <c r="K79" s="909" t="s">
        <v>644</v>
      </c>
      <c r="L79" s="911">
        <v>1140.0</v>
      </c>
      <c r="M79" s="917">
        <f>M78*(L79*6)</f>
        <v>0</v>
      </c>
      <c r="N79" s="917">
        <f>N78*(L79*6)</f>
        <v>0</v>
      </c>
      <c r="O79" s="923"/>
      <c r="P79" s="917">
        <f t="shared" si="29"/>
        <v>0</v>
      </c>
      <c r="Q79" s="907" t="s">
        <v>645</v>
      </c>
      <c r="R79" s="917">
        <f>R76-R77-M89</f>
        <v>-528442</v>
      </c>
    </row>
    <row r="80">
      <c r="I80" s="907" t="s">
        <v>646</v>
      </c>
      <c r="J80" s="918"/>
      <c r="K80" s="923"/>
      <c r="L80" s="923"/>
      <c r="M80" s="923"/>
      <c r="N80" s="923"/>
      <c r="O80" s="923"/>
      <c r="P80" s="923"/>
      <c r="Q80" s="907" t="s">
        <v>300</v>
      </c>
      <c r="R80" s="926">
        <f>R79/R76</f>
        <v>-5.638518993</v>
      </c>
    </row>
    <row r="81">
      <c r="I81" s="925" t="s">
        <v>647</v>
      </c>
      <c r="J81" s="918"/>
      <c r="K81" s="922" t="s">
        <v>648</v>
      </c>
      <c r="L81" s="2"/>
      <c r="M81" s="917">
        <f>P79+(P78*J87)</f>
        <v>0</v>
      </c>
      <c r="N81" s="923"/>
      <c r="O81" s="919" t="s">
        <v>649</v>
      </c>
      <c r="P81" s="919" t="s">
        <v>650</v>
      </c>
      <c r="Q81" s="923"/>
      <c r="R81" s="923"/>
    </row>
    <row r="82">
      <c r="I82" s="930" t="s">
        <v>651</v>
      </c>
      <c r="J82" s="918"/>
      <c r="K82" s="922" t="s">
        <v>652</v>
      </c>
      <c r="L82" s="2"/>
      <c r="M82" s="917">
        <f>M81*J74-(8.7*L79*6)+K75*J88*J74*30</f>
        <v>-40338</v>
      </c>
      <c r="N82" s="923"/>
      <c r="O82" s="931" t="s">
        <v>653</v>
      </c>
      <c r="P82" s="918"/>
      <c r="Q82" s="923"/>
      <c r="R82" s="932"/>
    </row>
    <row r="83">
      <c r="I83" s="930" t="s">
        <v>654</v>
      </c>
      <c r="J83" s="918"/>
      <c r="K83" s="922" t="s">
        <v>655</v>
      </c>
      <c r="L83" s="2"/>
      <c r="M83" s="907" t="s">
        <v>394</v>
      </c>
      <c r="N83" s="907" t="s">
        <v>372</v>
      </c>
      <c r="O83" s="931" t="s">
        <v>656</v>
      </c>
      <c r="P83" s="911">
        <f>K75*J88*J74*100</f>
        <v>63900</v>
      </c>
      <c r="Q83" s="923"/>
      <c r="R83" s="923"/>
    </row>
    <row r="84">
      <c r="I84" s="925" t="s">
        <v>657</v>
      </c>
      <c r="J84" s="918"/>
      <c r="K84" s="922" t="s">
        <v>658</v>
      </c>
      <c r="L84" s="2"/>
      <c r="M84" s="921">
        <f t="shared" ref="M84:M85" si="30">J76*1.15</f>
        <v>391000</v>
      </c>
      <c r="N84" s="921">
        <v>15000.0</v>
      </c>
      <c r="O84" s="931" t="s">
        <v>659</v>
      </c>
      <c r="P84" s="911">
        <f>K75*J89*J74*200</f>
        <v>29820</v>
      </c>
      <c r="Q84" s="923"/>
      <c r="R84" s="923"/>
    </row>
    <row r="85">
      <c r="I85" s="925" t="s">
        <v>660</v>
      </c>
      <c r="J85" s="918"/>
      <c r="K85" s="922" t="s">
        <v>661</v>
      </c>
      <c r="L85" s="2"/>
      <c r="M85" s="921">
        <f t="shared" si="30"/>
        <v>241500</v>
      </c>
      <c r="N85" s="921">
        <v>15000.0</v>
      </c>
      <c r="O85" s="923"/>
      <c r="P85" s="923"/>
      <c r="Q85" s="923"/>
      <c r="R85" s="923"/>
    </row>
    <row r="86">
      <c r="I86" s="925" t="s">
        <v>662</v>
      </c>
      <c r="J86" s="918"/>
      <c r="K86" s="933" t="s">
        <v>663</v>
      </c>
      <c r="L86" s="2"/>
      <c r="M86" s="932"/>
      <c r="N86" s="932"/>
      <c r="O86" s="907" t="s">
        <v>180</v>
      </c>
      <c r="P86" s="917">
        <f>SUM(P82:P85)</f>
        <v>93720</v>
      </c>
      <c r="Q86" s="923"/>
      <c r="R86" s="934"/>
    </row>
    <row r="87">
      <c r="I87" s="925" t="s">
        <v>664</v>
      </c>
      <c r="J87" s="911">
        <v>600.0</v>
      </c>
      <c r="K87" s="922" t="s">
        <v>665</v>
      </c>
      <c r="L87" s="2"/>
      <c r="M87" s="921">
        <f>J81*J82*J83</f>
        <v>0</v>
      </c>
      <c r="N87" s="921">
        <f>J83*J87</f>
        <v>0</v>
      </c>
      <c r="O87" s="923"/>
      <c r="P87" s="923"/>
      <c r="Q87" s="923"/>
      <c r="R87" s="923"/>
    </row>
    <row r="88">
      <c r="I88" s="925" t="s">
        <v>656</v>
      </c>
      <c r="J88" s="935">
        <v>0.15</v>
      </c>
      <c r="K88" s="922" t="s">
        <v>666</v>
      </c>
      <c r="L88" s="2"/>
      <c r="M88" s="921">
        <f>J84*J85*J86</f>
        <v>0</v>
      </c>
      <c r="N88" s="921">
        <f>J86*J87</f>
        <v>0</v>
      </c>
      <c r="O88" s="923"/>
      <c r="P88" s="923"/>
      <c r="Q88" s="923"/>
      <c r="R88" s="934"/>
    </row>
    <row r="89">
      <c r="I89" s="925" t="s">
        <v>667</v>
      </c>
      <c r="J89" s="926">
        <v>0.035</v>
      </c>
      <c r="K89" s="922" t="s">
        <v>668</v>
      </c>
      <c r="L89" s="2"/>
      <c r="M89" s="921">
        <f>SUM(M84:N88)</f>
        <v>662500</v>
      </c>
      <c r="N89" s="932"/>
      <c r="O89" s="923"/>
      <c r="P89" s="923"/>
      <c r="Q89" s="923"/>
      <c r="R89" s="923"/>
    </row>
    <row r="91">
      <c r="I91" s="900" t="s">
        <v>628</v>
      </c>
      <c r="J91" s="901">
        <f>A8</f>
        <v>46204</v>
      </c>
      <c r="K91" s="900" t="str">
        <f>"①R"&amp;year(J91)-2018&amp;"_"&amp;month(J91)&amp;"集計"</f>
        <v>①R8_7集計</v>
      </c>
      <c r="N91" s="902">
        <f>R94</f>
        <v>96844</v>
      </c>
      <c r="O91" s="902">
        <f>R97</f>
        <v>-525957</v>
      </c>
      <c r="P91" s="903">
        <f>R98</f>
        <v>-5.430971459</v>
      </c>
      <c r="Q91" s="903">
        <f>R96</f>
        <v>-0.4099273058</v>
      </c>
    </row>
    <row r="92">
      <c r="I92" s="907" t="s">
        <v>630</v>
      </c>
      <c r="J92" s="908">
        <f>DAY(EOMONTH(J91,0))</f>
        <v>31</v>
      </c>
      <c r="K92" s="909" t="s">
        <v>631</v>
      </c>
      <c r="L92" s="909" t="s">
        <v>302</v>
      </c>
      <c r="M92" s="909" t="s">
        <v>632</v>
      </c>
      <c r="N92" s="909" t="s">
        <v>633</v>
      </c>
      <c r="O92" s="910"/>
      <c r="P92" s="909" t="s">
        <v>634</v>
      </c>
      <c r="Q92" s="907" t="s">
        <v>635</v>
      </c>
      <c r="R92" s="911">
        <v>980.0</v>
      </c>
    </row>
    <row r="93">
      <c r="I93" s="907" t="s">
        <v>302</v>
      </c>
      <c r="J93" s="916">
        <f t="array" ref="J93">xlookup(K91,$B$3:$B$14,$C$3:$C$14)*100</f>
        <v>0</v>
      </c>
      <c r="K93" s="917">
        <f>SUM(M93:O93)</f>
        <v>142</v>
      </c>
      <c r="L93" s="917">
        <v>100.0</v>
      </c>
      <c r="M93" s="911">
        <v>142.0</v>
      </c>
      <c r="N93" s="918"/>
      <c r="O93" s="918"/>
      <c r="P93" s="917">
        <f>K93*J92</f>
        <v>4402</v>
      </c>
      <c r="Q93" s="919" t="s">
        <v>636</v>
      </c>
      <c r="R93" s="917">
        <f>P104</f>
        <v>96844</v>
      </c>
    </row>
    <row r="94">
      <c r="I94" s="907" t="s">
        <v>637</v>
      </c>
      <c r="J94" s="911">
        <v>340000.0</v>
      </c>
      <c r="K94" s="917">
        <f>K93*L94%</f>
        <v>0</v>
      </c>
      <c r="L94" s="921">
        <f>J93</f>
        <v>0</v>
      </c>
      <c r="M94" s="917">
        <f>K94*80%</f>
        <v>0</v>
      </c>
      <c r="N94" s="917">
        <f>K94*20%</f>
        <v>0</v>
      </c>
      <c r="O94" s="917">
        <f>O93*L94%</f>
        <v>0</v>
      </c>
      <c r="P94" s="917">
        <f>K94*J92</f>
        <v>0</v>
      </c>
      <c r="Q94" s="907" t="s">
        <v>303</v>
      </c>
      <c r="R94" s="917">
        <f>R92*P94+R93</f>
        <v>96844</v>
      </c>
    </row>
    <row r="95">
      <c r="I95" s="907" t="s">
        <v>638</v>
      </c>
      <c r="J95" s="911">
        <v>210000.0</v>
      </c>
      <c r="K95" s="922" t="s">
        <v>639</v>
      </c>
      <c r="L95" s="2"/>
      <c r="M95" s="911">
        <v>26.3</v>
      </c>
      <c r="N95" s="911">
        <v>21.05</v>
      </c>
      <c r="O95" s="918"/>
      <c r="P95" s="923"/>
      <c r="Q95" s="907" t="s">
        <v>640</v>
      </c>
      <c r="R95" s="917">
        <f>M100</f>
        <v>-39699</v>
      </c>
    </row>
    <row r="96">
      <c r="I96" s="925" t="s">
        <v>641</v>
      </c>
      <c r="J96" s="918"/>
      <c r="K96" s="922" t="s">
        <v>642</v>
      </c>
      <c r="L96" s="2"/>
      <c r="M96" s="917">
        <f t="shared" ref="M96:N96" si="31">M94/(360/M95)</f>
        <v>0</v>
      </c>
      <c r="N96" s="917">
        <f t="shared" si="31"/>
        <v>0</v>
      </c>
      <c r="O96" s="923"/>
      <c r="P96" s="917">
        <f t="shared" ref="P96:P97" si="32">M96+N96+O96</f>
        <v>0</v>
      </c>
      <c r="Q96" s="907" t="s">
        <v>301</v>
      </c>
      <c r="R96" s="926">
        <f>R95/R94</f>
        <v>-0.4099273058</v>
      </c>
    </row>
    <row r="97">
      <c r="I97" s="928" t="s">
        <v>643</v>
      </c>
      <c r="J97" s="918"/>
      <c r="K97" s="909" t="s">
        <v>644</v>
      </c>
      <c r="L97" s="911">
        <v>1140.0</v>
      </c>
      <c r="M97" s="917">
        <f>M96*(L97*6)</f>
        <v>0</v>
      </c>
      <c r="N97" s="917">
        <f>N96*(L97*6)</f>
        <v>0</v>
      </c>
      <c r="O97" s="923"/>
      <c r="P97" s="917">
        <f t="shared" si="32"/>
        <v>0</v>
      </c>
      <c r="Q97" s="907" t="s">
        <v>645</v>
      </c>
      <c r="R97" s="917">
        <f>R94-R95-M107</f>
        <v>-525957</v>
      </c>
    </row>
    <row r="98">
      <c r="I98" s="907" t="s">
        <v>646</v>
      </c>
      <c r="J98" s="918"/>
      <c r="K98" s="923"/>
      <c r="L98" s="923"/>
      <c r="M98" s="923"/>
      <c r="N98" s="923"/>
      <c r="O98" s="923"/>
      <c r="P98" s="923"/>
      <c r="Q98" s="907" t="s">
        <v>300</v>
      </c>
      <c r="R98" s="926">
        <f>R97/R94</f>
        <v>-5.430971459</v>
      </c>
    </row>
    <row r="99">
      <c r="I99" s="925" t="s">
        <v>647</v>
      </c>
      <c r="J99" s="918"/>
      <c r="K99" s="922" t="s">
        <v>648</v>
      </c>
      <c r="L99" s="2"/>
      <c r="M99" s="917">
        <f>P97+(P96*J105)</f>
        <v>0</v>
      </c>
      <c r="N99" s="923"/>
      <c r="O99" s="919" t="s">
        <v>649</v>
      </c>
      <c r="P99" s="919" t="s">
        <v>650</v>
      </c>
      <c r="Q99" s="923"/>
      <c r="R99" s="923"/>
    </row>
    <row r="100">
      <c r="I100" s="930" t="s">
        <v>651</v>
      </c>
      <c r="J100" s="918"/>
      <c r="K100" s="922" t="s">
        <v>652</v>
      </c>
      <c r="L100" s="2"/>
      <c r="M100" s="917">
        <f>M99*J92-(8.7*L97*6)+K93*J106*J92*30</f>
        <v>-39699</v>
      </c>
      <c r="N100" s="923"/>
      <c r="O100" s="931" t="s">
        <v>653</v>
      </c>
      <c r="P100" s="918"/>
      <c r="Q100" s="923"/>
      <c r="R100" s="932"/>
    </row>
    <row r="101">
      <c r="I101" s="930" t="s">
        <v>654</v>
      </c>
      <c r="J101" s="918"/>
      <c r="K101" s="922" t="s">
        <v>655</v>
      </c>
      <c r="L101" s="2"/>
      <c r="M101" s="907" t="s">
        <v>394</v>
      </c>
      <c r="N101" s="907" t="s">
        <v>372</v>
      </c>
      <c r="O101" s="931" t="s">
        <v>656</v>
      </c>
      <c r="P101" s="911">
        <f>K93*J106*J92*100</f>
        <v>66030</v>
      </c>
      <c r="Q101" s="923"/>
      <c r="R101" s="923"/>
    </row>
    <row r="102">
      <c r="I102" s="925" t="s">
        <v>657</v>
      </c>
      <c r="J102" s="918"/>
      <c r="K102" s="922" t="s">
        <v>658</v>
      </c>
      <c r="L102" s="2"/>
      <c r="M102" s="921">
        <f t="shared" ref="M102:M103" si="33">J94*1.15</f>
        <v>391000</v>
      </c>
      <c r="N102" s="921">
        <v>15000.0</v>
      </c>
      <c r="O102" s="931" t="s">
        <v>659</v>
      </c>
      <c r="P102" s="911">
        <f>K93*J107*J92*200</f>
        <v>30814</v>
      </c>
      <c r="Q102" s="923"/>
      <c r="R102" s="923"/>
    </row>
    <row r="103">
      <c r="I103" s="925" t="s">
        <v>660</v>
      </c>
      <c r="J103" s="918"/>
      <c r="K103" s="922" t="s">
        <v>661</v>
      </c>
      <c r="L103" s="2"/>
      <c r="M103" s="921">
        <f t="shared" si="33"/>
        <v>241500</v>
      </c>
      <c r="N103" s="921">
        <v>15000.0</v>
      </c>
      <c r="O103" s="923"/>
      <c r="P103" s="923"/>
      <c r="Q103" s="923"/>
      <c r="R103" s="923"/>
    </row>
    <row r="104">
      <c r="I104" s="925" t="s">
        <v>662</v>
      </c>
      <c r="J104" s="918"/>
      <c r="K104" s="933" t="s">
        <v>663</v>
      </c>
      <c r="L104" s="2"/>
      <c r="M104" s="932"/>
      <c r="N104" s="932"/>
      <c r="O104" s="907" t="s">
        <v>180</v>
      </c>
      <c r="P104" s="917">
        <f>SUM(P100:P103)</f>
        <v>96844</v>
      </c>
      <c r="Q104" s="923"/>
      <c r="R104" s="934"/>
    </row>
    <row r="105">
      <c r="I105" s="925" t="s">
        <v>664</v>
      </c>
      <c r="J105" s="911">
        <v>600.0</v>
      </c>
      <c r="K105" s="922" t="s">
        <v>665</v>
      </c>
      <c r="L105" s="2"/>
      <c r="M105" s="921">
        <f>J99*J100*J101</f>
        <v>0</v>
      </c>
      <c r="N105" s="921">
        <f>J101*J105</f>
        <v>0</v>
      </c>
      <c r="O105" s="923"/>
      <c r="P105" s="923"/>
      <c r="Q105" s="923"/>
      <c r="R105" s="923"/>
    </row>
    <row r="106">
      <c r="I106" s="925" t="s">
        <v>656</v>
      </c>
      <c r="J106" s="935">
        <v>0.15</v>
      </c>
      <c r="K106" s="922" t="s">
        <v>666</v>
      </c>
      <c r="L106" s="2"/>
      <c r="M106" s="921">
        <f>J102*J103*J104</f>
        <v>0</v>
      </c>
      <c r="N106" s="921">
        <f>J104*J105</f>
        <v>0</v>
      </c>
      <c r="O106" s="923"/>
      <c r="P106" s="923"/>
      <c r="Q106" s="923"/>
      <c r="R106" s="934"/>
    </row>
    <row r="107">
      <c r="I107" s="925" t="s">
        <v>667</v>
      </c>
      <c r="J107" s="926">
        <v>0.035</v>
      </c>
      <c r="K107" s="922" t="s">
        <v>668</v>
      </c>
      <c r="L107" s="2"/>
      <c r="M107" s="921">
        <f>SUM(M102:N106)</f>
        <v>662500</v>
      </c>
      <c r="N107" s="932"/>
      <c r="O107" s="923"/>
      <c r="P107" s="923"/>
      <c r="Q107" s="923"/>
      <c r="R107" s="923"/>
    </row>
    <row r="109">
      <c r="I109" s="900" t="s">
        <v>628</v>
      </c>
      <c r="J109" s="901">
        <f>A9</f>
        <v>46235</v>
      </c>
      <c r="K109" s="900" t="str">
        <f>"①R"&amp;year(J109)-2018&amp;"_"&amp;month(J109)&amp;"集計"</f>
        <v>①R8_8集計</v>
      </c>
      <c r="N109" s="902">
        <f>R112</f>
        <v>96844</v>
      </c>
      <c r="O109" s="902">
        <f>R115</f>
        <v>-525957</v>
      </c>
      <c r="P109" s="903">
        <f>R116</f>
        <v>-5.430971459</v>
      </c>
      <c r="Q109" s="903">
        <f>R114</f>
        <v>-0.4099273058</v>
      </c>
    </row>
    <row r="110">
      <c r="I110" s="907" t="s">
        <v>630</v>
      </c>
      <c r="J110" s="908">
        <f>DAY(EOMONTH(J109,0))</f>
        <v>31</v>
      </c>
      <c r="K110" s="909" t="s">
        <v>631</v>
      </c>
      <c r="L110" s="909" t="s">
        <v>302</v>
      </c>
      <c r="M110" s="909" t="s">
        <v>632</v>
      </c>
      <c r="N110" s="909" t="s">
        <v>633</v>
      </c>
      <c r="O110" s="910"/>
      <c r="P110" s="909" t="s">
        <v>634</v>
      </c>
      <c r="Q110" s="907" t="s">
        <v>635</v>
      </c>
      <c r="R110" s="911">
        <v>980.0</v>
      </c>
    </row>
    <row r="111">
      <c r="I111" s="907" t="s">
        <v>302</v>
      </c>
      <c r="J111" s="916">
        <f t="array" ref="J111">xlookup(K109,$B$3:$B$14,$C$3:$C$14)*100</f>
        <v>0</v>
      </c>
      <c r="K111" s="917">
        <f>SUM(M111:O111)</f>
        <v>142</v>
      </c>
      <c r="L111" s="917">
        <v>100.0</v>
      </c>
      <c r="M111" s="911">
        <v>142.0</v>
      </c>
      <c r="N111" s="918"/>
      <c r="O111" s="918"/>
      <c r="P111" s="917">
        <f>K111*J110</f>
        <v>4402</v>
      </c>
      <c r="Q111" s="919" t="s">
        <v>636</v>
      </c>
      <c r="R111" s="917">
        <f>P122</f>
        <v>96844</v>
      </c>
    </row>
    <row r="112">
      <c r="I112" s="907" t="s">
        <v>637</v>
      </c>
      <c r="J112" s="911">
        <v>340000.0</v>
      </c>
      <c r="K112" s="917">
        <f>K111*L112%</f>
        <v>0</v>
      </c>
      <c r="L112" s="921">
        <f>J111</f>
        <v>0</v>
      </c>
      <c r="M112" s="917">
        <f>K112*80%</f>
        <v>0</v>
      </c>
      <c r="N112" s="917">
        <f>K112*20%</f>
        <v>0</v>
      </c>
      <c r="O112" s="917">
        <f>O111*L112%</f>
        <v>0</v>
      </c>
      <c r="P112" s="917">
        <f>K112*J110</f>
        <v>0</v>
      </c>
      <c r="Q112" s="907" t="s">
        <v>303</v>
      </c>
      <c r="R112" s="917">
        <f>R110*P112+R111</f>
        <v>96844</v>
      </c>
    </row>
    <row r="113">
      <c r="I113" s="907" t="s">
        <v>638</v>
      </c>
      <c r="J113" s="911">
        <v>210000.0</v>
      </c>
      <c r="K113" s="922" t="s">
        <v>639</v>
      </c>
      <c r="L113" s="2"/>
      <c r="M113" s="911">
        <v>26.3</v>
      </c>
      <c r="N113" s="911">
        <v>21.05</v>
      </c>
      <c r="O113" s="918"/>
      <c r="P113" s="923"/>
      <c r="Q113" s="907" t="s">
        <v>640</v>
      </c>
      <c r="R113" s="917">
        <f>M118</f>
        <v>-39699</v>
      </c>
    </row>
    <row r="114">
      <c r="I114" s="925" t="s">
        <v>641</v>
      </c>
      <c r="J114" s="918"/>
      <c r="K114" s="922" t="s">
        <v>642</v>
      </c>
      <c r="L114" s="2"/>
      <c r="M114" s="917">
        <f t="shared" ref="M114:N114" si="34">M112/(360/M113)</f>
        <v>0</v>
      </c>
      <c r="N114" s="917">
        <f t="shared" si="34"/>
        <v>0</v>
      </c>
      <c r="O114" s="923"/>
      <c r="P114" s="917">
        <f t="shared" ref="P114:P115" si="35">M114+N114+O114</f>
        <v>0</v>
      </c>
      <c r="Q114" s="907" t="s">
        <v>301</v>
      </c>
      <c r="R114" s="926">
        <f>R113/R112</f>
        <v>-0.4099273058</v>
      </c>
    </row>
    <row r="115">
      <c r="I115" s="928" t="s">
        <v>643</v>
      </c>
      <c r="J115" s="918"/>
      <c r="K115" s="909" t="s">
        <v>644</v>
      </c>
      <c r="L115" s="911">
        <v>1140.0</v>
      </c>
      <c r="M115" s="917">
        <f>M114*(L115*6)</f>
        <v>0</v>
      </c>
      <c r="N115" s="917">
        <f>N114*(L115*6)</f>
        <v>0</v>
      </c>
      <c r="O115" s="923"/>
      <c r="P115" s="917">
        <f t="shared" si="35"/>
        <v>0</v>
      </c>
      <c r="Q115" s="907" t="s">
        <v>645</v>
      </c>
      <c r="R115" s="917">
        <f>R112-R113-M125</f>
        <v>-525957</v>
      </c>
    </row>
    <row r="116">
      <c r="I116" s="907" t="s">
        <v>646</v>
      </c>
      <c r="J116" s="918"/>
      <c r="K116" s="923"/>
      <c r="L116" s="923"/>
      <c r="M116" s="923"/>
      <c r="N116" s="923"/>
      <c r="O116" s="923"/>
      <c r="P116" s="923"/>
      <c r="Q116" s="907" t="s">
        <v>300</v>
      </c>
      <c r="R116" s="926">
        <f>R115/R112</f>
        <v>-5.430971459</v>
      </c>
    </row>
    <row r="117">
      <c r="I117" s="925" t="s">
        <v>647</v>
      </c>
      <c r="J117" s="918"/>
      <c r="K117" s="922" t="s">
        <v>648</v>
      </c>
      <c r="L117" s="2"/>
      <c r="M117" s="917">
        <f>P115+(P114*J123)</f>
        <v>0</v>
      </c>
      <c r="N117" s="923"/>
      <c r="O117" s="919" t="s">
        <v>649</v>
      </c>
      <c r="P117" s="919" t="s">
        <v>650</v>
      </c>
      <c r="Q117" s="923"/>
      <c r="R117" s="923"/>
    </row>
    <row r="118">
      <c r="I118" s="930" t="s">
        <v>651</v>
      </c>
      <c r="J118" s="918"/>
      <c r="K118" s="922" t="s">
        <v>652</v>
      </c>
      <c r="L118" s="2"/>
      <c r="M118" s="917">
        <f>M117*J110-(8.7*L115*6)+K111*J124*J110*30</f>
        <v>-39699</v>
      </c>
      <c r="N118" s="923"/>
      <c r="O118" s="931" t="s">
        <v>653</v>
      </c>
      <c r="P118" s="918"/>
      <c r="Q118" s="923"/>
      <c r="R118" s="932"/>
    </row>
    <row r="119">
      <c r="I119" s="930" t="s">
        <v>654</v>
      </c>
      <c r="J119" s="918"/>
      <c r="K119" s="922" t="s">
        <v>655</v>
      </c>
      <c r="L119" s="2"/>
      <c r="M119" s="907" t="s">
        <v>394</v>
      </c>
      <c r="N119" s="907" t="s">
        <v>372</v>
      </c>
      <c r="O119" s="931" t="s">
        <v>656</v>
      </c>
      <c r="P119" s="911">
        <f>K111*J124*J110*100</f>
        <v>66030</v>
      </c>
      <c r="Q119" s="923"/>
      <c r="R119" s="923"/>
    </row>
    <row r="120">
      <c r="I120" s="925" t="s">
        <v>657</v>
      </c>
      <c r="J120" s="918"/>
      <c r="K120" s="922" t="s">
        <v>658</v>
      </c>
      <c r="L120" s="2"/>
      <c r="M120" s="921">
        <f t="shared" ref="M120:M121" si="36">J112*1.15</f>
        <v>391000</v>
      </c>
      <c r="N120" s="921">
        <v>15000.0</v>
      </c>
      <c r="O120" s="931" t="s">
        <v>659</v>
      </c>
      <c r="P120" s="911">
        <f>K111*J125*J110*200</f>
        <v>30814</v>
      </c>
      <c r="Q120" s="923"/>
      <c r="R120" s="923"/>
    </row>
    <row r="121">
      <c r="I121" s="925" t="s">
        <v>660</v>
      </c>
      <c r="J121" s="918"/>
      <c r="K121" s="922" t="s">
        <v>661</v>
      </c>
      <c r="L121" s="2"/>
      <c r="M121" s="921">
        <f t="shared" si="36"/>
        <v>241500</v>
      </c>
      <c r="N121" s="921">
        <v>15000.0</v>
      </c>
      <c r="O121" s="923"/>
      <c r="P121" s="923"/>
      <c r="Q121" s="923"/>
      <c r="R121" s="923"/>
    </row>
    <row r="122">
      <c r="I122" s="925" t="s">
        <v>662</v>
      </c>
      <c r="J122" s="918"/>
      <c r="K122" s="933" t="s">
        <v>663</v>
      </c>
      <c r="L122" s="2"/>
      <c r="M122" s="932"/>
      <c r="N122" s="932"/>
      <c r="O122" s="907" t="s">
        <v>180</v>
      </c>
      <c r="P122" s="917">
        <f>SUM(P118:P121)</f>
        <v>96844</v>
      </c>
      <c r="Q122" s="923"/>
      <c r="R122" s="934"/>
    </row>
    <row r="123">
      <c r="I123" s="925" t="s">
        <v>664</v>
      </c>
      <c r="J123" s="911">
        <v>600.0</v>
      </c>
      <c r="K123" s="922" t="s">
        <v>665</v>
      </c>
      <c r="L123" s="2"/>
      <c r="M123" s="921">
        <f>J117*J118*J119</f>
        <v>0</v>
      </c>
      <c r="N123" s="921">
        <f>J119*J123</f>
        <v>0</v>
      </c>
      <c r="O123" s="923"/>
      <c r="P123" s="923"/>
      <c r="Q123" s="923"/>
      <c r="R123" s="923"/>
    </row>
    <row r="124">
      <c r="I124" s="925" t="s">
        <v>656</v>
      </c>
      <c r="J124" s="935">
        <v>0.15</v>
      </c>
      <c r="K124" s="922" t="s">
        <v>666</v>
      </c>
      <c r="L124" s="2"/>
      <c r="M124" s="921">
        <f>J120*J121*J122</f>
        <v>0</v>
      </c>
      <c r="N124" s="921">
        <f>J122*J123</f>
        <v>0</v>
      </c>
      <c r="O124" s="923"/>
      <c r="P124" s="923"/>
      <c r="Q124" s="923"/>
      <c r="R124" s="934"/>
    </row>
    <row r="125">
      <c r="I125" s="925" t="s">
        <v>667</v>
      </c>
      <c r="J125" s="926">
        <v>0.035</v>
      </c>
      <c r="K125" s="922" t="s">
        <v>668</v>
      </c>
      <c r="L125" s="2"/>
      <c r="M125" s="921">
        <f>SUM(M120:N124)</f>
        <v>662500</v>
      </c>
      <c r="N125" s="932"/>
      <c r="O125" s="923"/>
      <c r="P125" s="923"/>
      <c r="Q125" s="923"/>
      <c r="R125" s="923"/>
    </row>
    <row r="127">
      <c r="I127" s="900" t="s">
        <v>628</v>
      </c>
      <c r="J127" s="901">
        <f>A10</f>
        <v>46266</v>
      </c>
      <c r="K127" s="900" t="str">
        <f>"①R"&amp;year(J127)-2018&amp;"_"&amp;month(J127)&amp;"集計"</f>
        <v>①R8_9集計</v>
      </c>
      <c r="N127" s="902">
        <f>R130</f>
        <v>93720</v>
      </c>
      <c r="O127" s="902">
        <f>R133</f>
        <v>-528442</v>
      </c>
      <c r="P127" s="903">
        <f>R134</f>
        <v>-5.638518993</v>
      </c>
      <c r="Q127" s="903">
        <f>R132</f>
        <v>-0.4304097311</v>
      </c>
    </row>
    <row r="128">
      <c r="I128" s="907" t="s">
        <v>630</v>
      </c>
      <c r="J128" s="908">
        <f>DAY(EOMONTH(J127,0))</f>
        <v>30</v>
      </c>
      <c r="K128" s="909" t="s">
        <v>631</v>
      </c>
      <c r="L128" s="909" t="s">
        <v>302</v>
      </c>
      <c r="M128" s="909" t="s">
        <v>632</v>
      </c>
      <c r="N128" s="909" t="s">
        <v>633</v>
      </c>
      <c r="O128" s="910"/>
      <c r="P128" s="909" t="s">
        <v>634</v>
      </c>
      <c r="Q128" s="907" t="s">
        <v>635</v>
      </c>
      <c r="R128" s="911">
        <v>980.0</v>
      </c>
    </row>
    <row r="129">
      <c r="I129" s="907" t="s">
        <v>302</v>
      </c>
      <c r="J129" s="916">
        <f t="array" ref="J129">xlookup(K127,$B$3:$B$14,$C$3:$C$14)*100</f>
        <v>0</v>
      </c>
      <c r="K129" s="917">
        <f>SUM(M129:O129)</f>
        <v>142</v>
      </c>
      <c r="L129" s="917">
        <v>100.0</v>
      </c>
      <c r="M129" s="911">
        <v>142.0</v>
      </c>
      <c r="N129" s="918"/>
      <c r="O129" s="918"/>
      <c r="P129" s="917">
        <f>K129*J128</f>
        <v>4260</v>
      </c>
      <c r="Q129" s="919" t="s">
        <v>636</v>
      </c>
      <c r="R129" s="917">
        <f>P140</f>
        <v>93720</v>
      </c>
    </row>
    <row r="130">
      <c r="I130" s="907" t="s">
        <v>637</v>
      </c>
      <c r="J130" s="911">
        <v>340000.0</v>
      </c>
      <c r="K130" s="917">
        <f>K129*L130%</f>
        <v>0</v>
      </c>
      <c r="L130" s="921">
        <f>J129</f>
        <v>0</v>
      </c>
      <c r="M130" s="917">
        <f>K130*80%</f>
        <v>0</v>
      </c>
      <c r="N130" s="917">
        <f>K130*20%</f>
        <v>0</v>
      </c>
      <c r="O130" s="917">
        <f>O129*L130%</f>
        <v>0</v>
      </c>
      <c r="P130" s="917">
        <f>K130*J128</f>
        <v>0</v>
      </c>
      <c r="Q130" s="907" t="s">
        <v>303</v>
      </c>
      <c r="R130" s="917">
        <f>R128*P130+R129</f>
        <v>93720</v>
      </c>
    </row>
    <row r="131">
      <c r="I131" s="907" t="s">
        <v>638</v>
      </c>
      <c r="J131" s="911">
        <v>210000.0</v>
      </c>
      <c r="K131" s="922" t="s">
        <v>639</v>
      </c>
      <c r="L131" s="2"/>
      <c r="M131" s="911">
        <v>26.3</v>
      </c>
      <c r="N131" s="911">
        <v>21.05</v>
      </c>
      <c r="O131" s="918"/>
      <c r="P131" s="923"/>
      <c r="Q131" s="907" t="s">
        <v>640</v>
      </c>
      <c r="R131" s="917">
        <f>M136</f>
        <v>-40338</v>
      </c>
    </row>
    <row r="132">
      <c r="I132" s="925" t="s">
        <v>641</v>
      </c>
      <c r="J132" s="918"/>
      <c r="K132" s="922" t="s">
        <v>642</v>
      </c>
      <c r="L132" s="2"/>
      <c r="M132" s="917">
        <f t="shared" ref="M132:N132" si="37">M130/(360/M131)</f>
        <v>0</v>
      </c>
      <c r="N132" s="917">
        <f t="shared" si="37"/>
        <v>0</v>
      </c>
      <c r="O132" s="923"/>
      <c r="P132" s="917">
        <f t="shared" ref="P132:P133" si="38">M132+N132+O132</f>
        <v>0</v>
      </c>
      <c r="Q132" s="907" t="s">
        <v>301</v>
      </c>
      <c r="R132" s="926">
        <f>R131/R130</f>
        <v>-0.4304097311</v>
      </c>
    </row>
    <row r="133">
      <c r="I133" s="928" t="s">
        <v>643</v>
      </c>
      <c r="J133" s="918"/>
      <c r="K133" s="909" t="s">
        <v>644</v>
      </c>
      <c r="L133" s="911">
        <v>1140.0</v>
      </c>
      <c r="M133" s="917">
        <f>M132*(L133*6)</f>
        <v>0</v>
      </c>
      <c r="N133" s="917">
        <f>N132*(L133*6)</f>
        <v>0</v>
      </c>
      <c r="O133" s="923"/>
      <c r="P133" s="917">
        <f t="shared" si="38"/>
        <v>0</v>
      </c>
      <c r="Q133" s="907" t="s">
        <v>645</v>
      </c>
      <c r="R133" s="917">
        <f>R130-R131-M143</f>
        <v>-528442</v>
      </c>
    </row>
    <row r="134">
      <c r="I134" s="907" t="s">
        <v>646</v>
      </c>
      <c r="J134" s="918"/>
      <c r="K134" s="923"/>
      <c r="L134" s="923"/>
      <c r="M134" s="923"/>
      <c r="N134" s="923"/>
      <c r="O134" s="923"/>
      <c r="P134" s="923"/>
      <c r="Q134" s="907" t="s">
        <v>300</v>
      </c>
      <c r="R134" s="926">
        <f>R133/R130</f>
        <v>-5.638518993</v>
      </c>
    </row>
    <row r="135">
      <c r="I135" s="925" t="s">
        <v>647</v>
      </c>
      <c r="J135" s="918"/>
      <c r="K135" s="922" t="s">
        <v>648</v>
      </c>
      <c r="L135" s="2"/>
      <c r="M135" s="917">
        <f>P133+(P132*J141)</f>
        <v>0</v>
      </c>
      <c r="N135" s="923"/>
      <c r="O135" s="919" t="s">
        <v>649</v>
      </c>
      <c r="P135" s="919" t="s">
        <v>650</v>
      </c>
      <c r="Q135" s="923"/>
      <c r="R135" s="923"/>
    </row>
    <row r="136">
      <c r="I136" s="930" t="s">
        <v>651</v>
      </c>
      <c r="J136" s="918"/>
      <c r="K136" s="922" t="s">
        <v>652</v>
      </c>
      <c r="L136" s="2"/>
      <c r="M136" s="917">
        <f>M135*J128-(8.7*L133*6)+K129*J142*J128*30</f>
        <v>-40338</v>
      </c>
      <c r="N136" s="923"/>
      <c r="O136" s="931" t="s">
        <v>653</v>
      </c>
      <c r="P136" s="918"/>
      <c r="Q136" s="923"/>
      <c r="R136" s="932"/>
    </row>
    <row r="137">
      <c r="I137" s="930" t="s">
        <v>654</v>
      </c>
      <c r="J137" s="918"/>
      <c r="K137" s="922" t="s">
        <v>655</v>
      </c>
      <c r="L137" s="2"/>
      <c r="M137" s="907" t="s">
        <v>394</v>
      </c>
      <c r="N137" s="907" t="s">
        <v>372</v>
      </c>
      <c r="O137" s="931" t="s">
        <v>656</v>
      </c>
      <c r="P137" s="911">
        <f>K129*J142*J128*100</f>
        <v>63900</v>
      </c>
      <c r="Q137" s="923"/>
      <c r="R137" s="923"/>
    </row>
    <row r="138">
      <c r="I138" s="925" t="s">
        <v>657</v>
      </c>
      <c r="J138" s="918"/>
      <c r="K138" s="922" t="s">
        <v>658</v>
      </c>
      <c r="L138" s="2"/>
      <c r="M138" s="921">
        <f t="shared" ref="M138:M139" si="39">J130*1.15</f>
        <v>391000</v>
      </c>
      <c r="N138" s="921">
        <v>15000.0</v>
      </c>
      <c r="O138" s="931" t="s">
        <v>659</v>
      </c>
      <c r="P138" s="911">
        <f>K129*J143*J128*200</f>
        <v>29820</v>
      </c>
      <c r="Q138" s="923"/>
      <c r="R138" s="923"/>
    </row>
    <row r="139">
      <c r="I139" s="925" t="s">
        <v>660</v>
      </c>
      <c r="J139" s="918"/>
      <c r="K139" s="922" t="s">
        <v>661</v>
      </c>
      <c r="L139" s="2"/>
      <c r="M139" s="921">
        <f t="shared" si="39"/>
        <v>241500</v>
      </c>
      <c r="N139" s="921">
        <v>15000.0</v>
      </c>
      <c r="O139" s="923"/>
      <c r="P139" s="923"/>
      <c r="Q139" s="923"/>
      <c r="R139" s="923"/>
    </row>
    <row r="140">
      <c r="I140" s="925" t="s">
        <v>662</v>
      </c>
      <c r="J140" s="918"/>
      <c r="K140" s="933" t="s">
        <v>663</v>
      </c>
      <c r="L140" s="2"/>
      <c r="M140" s="932"/>
      <c r="N140" s="932"/>
      <c r="O140" s="907" t="s">
        <v>180</v>
      </c>
      <c r="P140" s="917">
        <f>SUM(P136:P139)</f>
        <v>93720</v>
      </c>
      <c r="Q140" s="923"/>
      <c r="R140" s="934"/>
    </row>
    <row r="141">
      <c r="I141" s="925" t="s">
        <v>664</v>
      </c>
      <c r="J141" s="911">
        <v>600.0</v>
      </c>
      <c r="K141" s="922" t="s">
        <v>665</v>
      </c>
      <c r="L141" s="2"/>
      <c r="M141" s="921">
        <f>J135*J136*J137</f>
        <v>0</v>
      </c>
      <c r="N141" s="921">
        <f>J137*J141</f>
        <v>0</v>
      </c>
      <c r="O141" s="923"/>
      <c r="P141" s="923"/>
      <c r="Q141" s="923"/>
      <c r="R141" s="923"/>
    </row>
    <row r="142">
      <c r="I142" s="925" t="s">
        <v>656</v>
      </c>
      <c r="J142" s="935">
        <v>0.15</v>
      </c>
      <c r="K142" s="922" t="s">
        <v>666</v>
      </c>
      <c r="L142" s="2"/>
      <c r="M142" s="921">
        <f>J138*J139*J140</f>
        <v>0</v>
      </c>
      <c r="N142" s="921">
        <f>J140*J141</f>
        <v>0</v>
      </c>
      <c r="O142" s="923"/>
      <c r="P142" s="923"/>
      <c r="Q142" s="923"/>
      <c r="R142" s="934"/>
    </row>
    <row r="143">
      <c r="I143" s="925" t="s">
        <v>667</v>
      </c>
      <c r="J143" s="926">
        <v>0.035</v>
      </c>
      <c r="K143" s="922" t="s">
        <v>668</v>
      </c>
      <c r="L143" s="2"/>
      <c r="M143" s="921">
        <f>SUM(M138:N142)</f>
        <v>662500</v>
      </c>
      <c r="N143" s="932"/>
      <c r="O143" s="923"/>
      <c r="P143" s="923"/>
      <c r="Q143" s="923"/>
      <c r="R143" s="923"/>
    </row>
    <row r="145">
      <c r="I145" s="900" t="s">
        <v>628</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630</v>
      </c>
      <c r="J146" s="908">
        <f>DAY(EOMONTH(J145,0))</f>
        <v>31</v>
      </c>
      <c r="K146" s="909" t="s">
        <v>631</v>
      </c>
      <c r="L146" s="909" t="s">
        <v>302</v>
      </c>
      <c r="M146" s="909" t="s">
        <v>632</v>
      </c>
      <c r="N146" s="909" t="s">
        <v>633</v>
      </c>
      <c r="O146" s="910"/>
      <c r="P146" s="909" t="s">
        <v>634</v>
      </c>
      <c r="Q146" s="907" t="s">
        <v>635</v>
      </c>
      <c r="R146" s="911">
        <v>980.0</v>
      </c>
    </row>
    <row r="147">
      <c r="I147" s="907" t="s">
        <v>302</v>
      </c>
      <c r="J147" s="916">
        <f t="array" ref="J147">xlookup(K145,$B$3:$B$14,$C$3:$C$14)*100</f>
        <v>0</v>
      </c>
      <c r="K147" s="917">
        <f>SUM(M147:O147)</f>
        <v>142</v>
      </c>
      <c r="L147" s="917">
        <v>100.0</v>
      </c>
      <c r="M147" s="911">
        <v>142.0</v>
      </c>
      <c r="N147" s="918"/>
      <c r="O147" s="918"/>
      <c r="P147" s="917">
        <f>K147*J146</f>
        <v>4402</v>
      </c>
      <c r="Q147" s="919" t="s">
        <v>636</v>
      </c>
      <c r="R147" s="917">
        <f>P158</f>
        <v>96844</v>
      </c>
    </row>
    <row r="148">
      <c r="I148" s="907" t="s">
        <v>637</v>
      </c>
      <c r="J148" s="911">
        <v>340000.0</v>
      </c>
      <c r="K148" s="917">
        <f>K147*L148%</f>
        <v>0</v>
      </c>
      <c r="L148" s="921">
        <f>J147</f>
        <v>0</v>
      </c>
      <c r="M148" s="917">
        <f>K148*80%</f>
        <v>0</v>
      </c>
      <c r="N148" s="917">
        <f>K148*20%</f>
        <v>0</v>
      </c>
      <c r="O148" s="917">
        <f>O147*L148%</f>
        <v>0</v>
      </c>
      <c r="P148" s="917">
        <f>K148*J146</f>
        <v>0</v>
      </c>
      <c r="Q148" s="907" t="s">
        <v>303</v>
      </c>
      <c r="R148" s="917">
        <f>R146*P148+R147</f>
        <v>96844</v>
      </c>
    </row>
    <row r="149">
      <c r="I149" s="907" t="s">
        <v>638</v>
      </c>
      <c r="J149" s="911">
        <v>210000.0</v>
      </c>
      <c r="K149" s="922" t="s">
        <v>639</v>
      </c>
      <c r="L149" s="2"/>
      <c r="M149" s="911">
        <v>26.3</v>
      </c>
      <c r="N149" s="911">
        <v>21.05</v>
      </c>
      <c r="O149" s="918"/>
      <c r="P149" s="923"/>
      <c r="Q149" s="907" t="s">
        <v>640</v>
      </c>
      <c r="R149" s="917">
        <f>M154</f>
        <v>-39699</v>
      </c>
    </row>
    <row r="150">
      <c r="I150" s="925" t="s">
        <v>641</v>
      </c>
      <c r="J150" s="918"/>
      <c r="K150" s="922" t="s">
        <v>642</v>
      </c>
      <c r="L150" s="2"/>
      <c r="M150" s="917">
        <f t="shared" ref="M150:N150" si="40">M148/(360/M149)</f>
        <v>0</v>
      </c>
      <c r="N150" s="917">
        <f t="shared" si="40"/>
        <v>0</v>
      </c>
      <c r="O150" s="923"/>
      <c r="P150" s="917">
        <f t="shared" ref="P150:P151" si="41">M150+N150+O150</f>
        <v>0</v>
      </c>
      <c r="Q150" s="907" t="s">
        <v>301</v>
      </c>
      <c r="R150" s="926">
        <f>R149/R148</f>
        <v>-0.4099273058</v>
      </c>
    </row>
    <row r="151">
      <c r="I151" s="928" t="s">
        <v>643</v>
      </c>
      <c r="J151" s="918"/>
      <c r="K151" s="909" t="s">
        <v>644</v>
      </c>
      <c r="L151" s="911">
        <v>1140.0</v>
      </c>
      <c r="M151" s="917">
        <f>M150*(L151*6)</f>
        <v>0</v>
      </c>
      <c r="N151" s="917">
        <f>N150*(L151*6)</f>
        <v>0</v>
      </c>
      <c r="O151" s="923"/>
      <c r="P151" s="917">
        <f t="shared" si="41"/>
        <v>0</v>
      </c>
      <c r="Q151" s="907" t="s">
        <v>645</v>
      </c>
      <c r="R151" s="917">
        <f>R148-R149-M161</f>
        <v>-525957</v>
      </c>
    </row>
    <row r="152">
      <c r="I152" s="907" t="s">
        <v>646</v>
      </c>
      <c r="J152" s="918"/>
      <c r="K152" s="923"/>
      <c r="L152" s="923"/>
      <c r="M152" s="923"/>
      <c r="N152" s="923"/>
      <c r="O152" s="923"/>
      <c r="P152" s="923"/>
      <c r="Q152" s="907" t="s">
        <v>300</v>
      </c>
      <c r="R152" s="926">
        <f>R151/R148</f>
        <v>-5.430971459</v>
      </c>
    </row>
    <row r="153">
      <c r="I153" s="925" t="s">
        <v>647</v>
      </c>
      <c r="J153" s="918"/>
      <c r="K153" s="922" t="s">
        <v>648</v>
      </c>
      <c r="L153" s="2"/>
      <c r="M153" s="917">
        <f>P151+(P150*J159)</f>
        <v>0</v>
      </c>
      <c r="N153" s="923"/>
      <c r="O153" s="919" t="s">
        <v>649</v>
      </c>
      <c r="P153" s="919" t="s">
        <v>650</v>
      </c>
      <c r="Q153" s="923"/>
      <c r="R153" s="923"/>
    </row>
    <row r="154">
      <c r="I154" s="930" t="s">
        <v>651</v>
      </c>
      <c r="J154" s="918"/>
      <c r="K154" s="922" t="s">
        <v>652</v>
      </c>
      <c r="L154" s="2"/>
      <c r="M154" s="917">
        <f>M153*J146-(8.7*L151*6)+K147*J160*J146*30</f>
        <v>-39699</v>
      </c>
      <c r="N154" s="923"/>
      <c r="O154" s="931" t="s">
        <v>653</v>
      </c>
      <c r="P154" s="918"/>
      <c r="Q154" s="923"/>
      <c r="R154" s="932"/>
    </row>
    <row r="155">
      <c r="I155" s="930" t="s">
        <v>654</v>
      </c>
      <c r="J155" s="918"/>
      <c r="K155" s="922" t="s">
        <v>655</v>
      </c>
      <c r="L155" s="2"/>
      <c r="M155" s="907" t="s">
        <v>394</v>
      </c>
      <c r="N155" s="907" t="s">
        <v>372</v>
      </c>
      <c r="O155" s="931" t="s">
        <v>656</v>
      </c>
      <c r="P155" s="911">
        <f>K147*J160*J146*100</f>
        <v>66030</v>
      </c>
      <c r="Q155" s="923"/>
      <c r="R155" s="923"/>
    </row>
    <row r="156">
      <c r="I156" s="925" t="s">
        <v>657</v>
      </c>
      <c r="J156" s="918"/>
      <c r="K156" s="922" t="s">
        <v>658</v>
      </c>
      <c r="L156" s="2"/>
      <c r="M156" s="921">
        <f t="shared" ref="M156:M157" si="42">J148*1.15</f>
        <v>391000</v>
      </c>
      <c r="N156" s="921">
        <v>15000.0</v>
      </c>
      <c r="O156" s="931" t="s">
        <v>659</v>
      </c>
      <c r="P156" s="911">
        <f>K147*J161*J146*200</f>
        <v>30814</v>
      </c>
      <c r="Q156" s="923"/>
      <c r="R156" s="923"/>
    </row>
    <row r="157">
      <c r="I157" s="925" t="s">
        <v>660</v>
      </c>
      <c r="J157" s="918"/>
      <c r="K157" s="922" t="s">
        <v>661</v>
      </c>
      <c r="L157" s="2"/>
      <c r="M157" s="921">
        <f t="shared" si="42"/>
        <v>241500</v>
      </c>
      <c r="N157" s="921">
        <v>15000.0</v>
      </c>
      <c r="O157" s="923"/>
      <c r="P157" s="923"/>
      <c r="Q157" s="923"/>
      <c r="R157" s="923"/>
    </row>
    <row r="158">
      <c r="I158" s="925" t="s">
        <v>662</v>
      </c>
      <c r="J158" s="918"/>
      <c r="K158" s="933" t="s">
        <v>663</v>
      </c>
      <c r="L158" s="2"/>
      <c r="M158" s="932"/>
      <c r="N158" s="932"/>
      <c r="O158" s="907" t="s">
        <v>180</v>
      </c>
      <c r="P158" s="917">
        <f>SUM(P154:P157)</f>
        <v>96844</v>
      </c>
      <c r="Q158" s="923"/>
      <c r="R158" s="934"/>
    </row>
    <row r="159">
      <c r="I159" s="925" t="s">
        <v>664</v>
      </c>
      <c r="J159" s="911">
        <v>600.0</v>
      </c>
      <c r="K159" s="922" t="s">
        <v>665</v>
      </c>
      <c r="L159" s="2"/>
      <c r="M159" s="921">
        <f>J153*J154*J155</f>
        <v>0</v>
      </c>
      <c r="N159" s="921">
        <f>J155*J159</f>
        <v>0</v>
      </c>
      <c r="O159" s="923"/>
      <c r="P159" s="923"/>
      <c r="Q159" s="923"/>
      <c r="R159" s="923"/>
    </row>
    <row r="160">
      <c r="I160" s="925" t="s">
        <v>656</v>
      </c>
      <c r="J160" s="935">
        <v>0.15</v>
      </c>
      <c r="K160" s="922" t="s">
        <v>666</v>
      </c>
      <c r="L160" s="2"/>
      <c r="M160" s="921">
        <f>J156*J157*J158</f>
        <v>0</v>
      </c>
      <c r="N160" s="921">
        <f>J158*J159</f>
        <v>0</v>
      </c>
      <c r="O160" s="923"/>
      <c r="P160" s="923"/>
      <c r="Q160" s="923"/>
      <c r="R160" s="934"/>
    </row>
    <row r="161">
      <c r="I161" s="925" t="s">
        <v>667</v>
      </c>
      <c r="J161" s="926">
        <v>0.035</v>
      </c>
      <c r="K161" s="922" t="s">
        <v>668</v>
      </c>
      <c r="L161" s="2"/>
      <c r="M161" s="921">
        <f>SUM(M156:N160)</f>
        <v>662500</v>
      </c>
      <c r="N161" s="932"/>
      <c r="O161" s="923"/>
      <c r="P161" s="923"/>
      <c r="Q161" s="923"/>
      <c r="R161" s="923"/>
    </row>
    <row r="163">
      <c r="I163" s="900" t="s">
        <v>628</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630</v>
      </c>
      <c r="J164" s="908">
        <f>DAY(EOMONTH(J163,0))</f>
        <v>30</v>
      </c>
      <c r="K164" s="909" t="s">
        <v>631</v>
      </c>
      <c r="L164" s="909" t="s">
        <v>302</v>
      </c>
      <c r="M164" s="909" t="s">
        <v>632</v>
      </c>
      <c r="N164" s="909" t="s">
        <v>633</v>
      </c>
      <c r="O164" s="910"/>
      <c r="P164" s="909" t="s">
        <v>634</v>
      </c>
      <c r="Q164" s="907" t="s">
        <v>635</v>
      </c>
      <c r="R164" s="911">
        <v>980.0</v>
      </c>
    </row>
    <row r="165">
      <c r="I165" s="907" t="s">
        <v>302</v>
      </c>
      <c r="J165" s="916">
        <f t="array" ref="J165">xlookup(K163,$B$3:$B$14,$C$3:$C$14)*100</f>
        <v>0</v>
      </c>
      <c r="K165" s="917">
        <f>SUM(M165:O165)</f>
        <v>142</v>
      </c>
      <c r="L165" s="917">
        <v>100.0</v>
      </c>
      <c r="M165" s="911">
        <v>142.0</v>
      </c>
      <c r="N165" s="918"/>
      <c r="O165" s="918"/>
      <c r="P165" s="917">
        <f>K165*J164</f>
        <v>4260</v>
      </c>
      <c r="Q165" s="919" t="s">
        <v>636</v>
      </c>
      <c r="R165" s="917">
        <f>P176</f>
        <v>93720</v>
      </c>
    </row>
    <row r="166">
      <c r="I166" s="907" t="s">
        <v>637</v>
      </c>
      <c r="J166" s="911">
        <v>340000.0</v>
      </c>
      <c r="K166" s="917">
        <f>K165*L166%</f>
        <v>0</v>
      </c>
      <c r="L166" s="921">
        <f>J165</f>
        <v>0</v>
      </c>
      <c r="M166" s="917">
        <f>K166*80%</f>
        <v>0</v>
      </c>
      <c r="N166" s="917">
        <f>K166*20%</f>
        <v>0</v>
      </c>
      <c r="O166" s="917">
        <f>O165*L166%</f>
        <v>0</v>
      </c>
      <c r="P166" s="917">
        <f>K166*J164</f>
        <v>0</v>
      </c>
      <c r="Q166" s="907" t="s">
        <v>303</v>
      </c>
      <c r="R166" s="917">
        <f>R164*P166+R165</f>
        <v>93720</v>
      </c>
    </row>
    <row r="167">
      <c r="I167" s="907" t="s">
        <v>638</v>
      </c>
      <c r="J167" s="911">
        <v>210000.0</v>
      </c>
      <c r="K167" s="922" t="s">
        <v>639</v>
      </c>
      <c r="L167" s="2"/>
      <c r="M167" s="911">
        <v>26.3</v>
      </c>
      <c r="N167" s="911">
        <v>21.05</v>
      </c>
      <c r="O167" s="918"/>
      <c r="P167" s="923"/>
      <c r="Q167" s="907" t="s">
        <v>640</v>
      </c>
      <c r="R167" s="917">
        <f>M172</f>
        <v>-40338</v>
      </c>
    </row>
    <row r="168">
      <c r="I168" s="925" t="s">
        <v>641</v>
      </c>
      <c r="J168" s="918"/>
      <c r="K168" s="922" t="s">
        <v>642</v>
      </c>
      <c r="L168" s="2"/>
      <c r="M168" s="917">
        <f t="shared" ref="M168:N168" si="43">M166/(360/M167)</f>
        <v>0</v>
      </c>
      <c r="N168" s="917">
        <f t="shared" si="43"/>
        <v>0</v>
      </c>
      <c r="O168" s="923"/>
      <c r="P168" s="917">
        <f t="shared" ref="P168:P169" si="44">M168+N168+O168</f>
        <v>0</v>
      </c>
      <c r="Q168" s="907" t="s">
        <v>301</v>
      </c>
      <c r="R168" s="926">
        <f>R167/R166</f>
        <v>-0.4304097311</v>
      </c>
    </row>
    <row r="169">
      <c r="I169" s="928" t="s">
        <v>643</v>
      </c>
      <c r="J169" s="918"/>
      <c r="K169" s="909" t="s">
        <v>644</v>
      </c>
      <c r="L169" s="911">
        <v>1140.0</v>
      </c>
      <c r="M169" s="917">
        <f>M168*(L169*6)</f>
        <v>0</v>
      </c>
      <c r="N169" s="917">
        <f>N168*(L169*6)</f>
        <v>0</v>
      </c>
      <c r="O169" s="923"/>
      <c r="P169" s="917">
        <f t="shared" si="44"/>
        <v>0</v>
      </c>
      <c r="Q169" s="907" t="s">
        <v>645</v>
      </c>
      <c r="R169" s="917">
        <f>R166-R167-M179</f>
        <v>-528442</v>
      </c>
    </row>
    <row r="170">
      <c r="I170" s="907" t="s">
        <v>646</v>
      </c>
      <c r="J170" s="918"/>
      <c r="K170" s="923"/>
      <c r="L170" s="923"/>
      <c r="M170" s="923"/>
      <c r="N170" s="923"/>
      <c r="O170" s="923"/>
      <c r="P170" s="923"/>
      <c r="Q170" s="907" t="s">
        <v>300</v>
      </c>
      <c r="R170" s="926">
        <f>R169/R166</f>
        <v>-5.638518993</v>
      </c>
    </row>
    <row r="171">
      <c r="I171" s="925" t="s">
        <v>647</v>
      </c>
      <c r="J171" s="918"/>
      <c r="K171" s="922" t="s">
        <v>648</v>
      </c>
      <c r="L171" s="2"/>
      <c r="M171" s="917">
        <f>P169+(P168*J177)</f>
        <v>0</v>
      </c>
      <c r="N171" s="923"/>
      <c r="O171" s="919" t="s">
        <v>649</v>
      </c>
      <c r="P171" s="919" t="s">
        <v>650</v>
      </c>
      <c r="Q171" s="923"/>
      <c r="R171" s="923"/>
    </row>
    <row r="172">
      <c r="I172" s="930" t="s">
        <v>651</v>
      </c>
      <c r="J172" s="918"/>
      <c r="K172" s="922" t="s">
        <v>652</v>
      </c>
      <c r="L172" s="2"/>
      <c r="M172" s="917">
        <f>M171*J164-(8.7*L169*6)+K165*J178*J164*30</f>
        <v>-40338</v>
      </c>
      <c r="N172" s="923"/>
      <c r="O172" s="931" t="s">
        <v>653</v>
      </c>
      <c r="P172" s="918"/>
      <c r="Q172" s="923"/>
      <c r="R172" s="932"/>
    </row>
    <row r="173">
      <c r="I173" s="930" t="s">
        <v>654</v>
      </c>
      <c r="J173" s="918"/>
      <c r="K173" s="922" t="s">
        <v>655</v>
      </c>
      <c r="L173" s="2"/>
      <c r="M173" s="907" t="s">
        <v>394</v>
      </c>
      <c r="N173" s="907" t="s">
        <v>372</v>
      </c>
      <c r="O173" s="931" t="s">
        <v>656</v>
      </c>
      <c r="P173" s="911">
        <f>K165*J178*J164*100</f>
        <v>63900</v>
      </c>
      <c r="Q173" s="923"/>
      <c r="R173" s="923"/>
    </row>
    <row r="174">
      <c r="I174" s="925" t="s">
        <v>657</v>
      </c>
      <c r="J174" s="918"/>
      <c r="K174" s="922" t="s">
        <v>658</v>
      </c>
      <c r="L174" s="2"/>
      <c r="M174" s="921">
        <f t="shared" ref="M174:M175" si="45">J166*1.15</f>
        <v>391000</v>
      </c>
      <c r="N174" s="921">
        <v>15000.0</v>
      </c>
      <c r="O174" s="931" t="s">
        <v>659</v>
      </c>
      <c r="P174" s="911">
        <f>K165*J179*J164*200</f>
        <v>29820</v>
      </c>
      <c r="Q174" s="923"/>
      <c r="R174" s="923"/>
    </row>
    <row r="175">
      <c r="I175" s="925" t="s">
        <v>660</v>
      </c>
      <c r="J175" s="918"/>
      <c r="K175" s="922" t="s">
        <v>661</v>
      </c>
      <c r="L175" s="2"/>
      <c r="M175" s="921">
        <f t="shared" si="45"/>
        <v>241500</v>
      </c>
      <c r="N175" s="921">
        <v>15000.0</v>
      </c>
      <c r="O175" s="923"/>
      <c r="P175" s="923"/>
      <c r="Q175" s="923"/>
      <c r="R175" s="923"/>
    </row>
    <row r="176">
      <c r="I176" s="925" t="s">
        <v>662</v>
      </c>
      <c r="J176" s="918"/>
      <c r="K176" s="933" t="s">
        <v>663</v>
      </c>
      <c r="L176" s="2"/>
      <c r="M176" s="932"/>
      <c r="N176" s="932"/>
      <c r="O176" s="907" t="s">
        <v>180</v>
      </c>
      <c r="P176" s="917">
        <f>SUM(P172:P175)</f>
        <v>93720</v>
      </c>
      <c r="Q176" s="923"/>
      <c r="R176" s="934"/>
    </row>
    <row r="177">
      <c r="I177" s="925" t="s">
        <v>664</v>
      </c>
      <c r="J177" s="911">
        <v>600.0</v>
      </c>
      <c r="K177" s="922" t="s">
        <v>665</v>
      </c>
      <c r="L177" s="2"/>
      <c r="M177" s="921">
        <f>J171*J172*J173</f>
        <v>0</v>
      </c>
      <c r="N177" s="921">
        <f>J173*J177</f>
        <v>0</v>
      </c>
      <c r="O177" s="923"/>
      <c r="P177" s="923"/>
      <c r="Q177" s="923"/>
      <c r="R177" s="923"/>
    </row>
    <row r="178">
      <c r="I178" s="925" t="s">
        <v>656</v>
      </c>
      <c r="J178" s="935">
        <v>0.15</v>
      </c>
      <c r="K178" s="922" t="s">
        <v>666</v>
      </c>
      <c r="L178" s="2"/>
      <c r="M178" s="921">
        <f>J174*J175*J176</f>
        <v>0</v>
      </c>
      <c r="N178" s="921">
        <f>J176*J177</f>
        <v>0</v>
      </c>
      <c r="O178" s="923"/>
      <c r="P178" s="923"/>
      <c r="Q178" s="923"/>
      <c r="R178" s="934"/>
    </row>
    <row r="179">
      <c r="I179" s="925" t="s">
        <v>667</v>
      </c>
      <c r="J179" s="926">
        <v>0.035</v>
      </c>
      <c r="K179" s="922" t="s">
        <v>668</v>
      </c>
      <c r="L179" s="2"/>
      <c r="M179" s="921">
        <f>SUM(M174:N178)</f>
        <v>662500</v>
      </c>
      <c r="N179" s="932"/>
      <c r="O179" s="923"/>
      <c r="P179" s="923"/>
      <c r="Q179" s="923"/>
      <c r="R179" s="923"/>
    </row>
    <row r="181">
      <c r="I181" s="900" t="s">
        <v>628</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630</v>
      </c>
      <c r="J182" s="908">
        <f>DAY(EOMONTH(J181,0))</f>
        <v>31</v>
      </c>
      <c r="K182" s="909" t="s">
        <v>631</v>
      </c>
      <c r="L182" s="909" t="s">
        <v>302</v>
      </c>
      <c r="M182" s="909" t="s">
        <v>632</v>
      </c>
      <c r="N182" s="909" t="s">
        <v>633</v>
      </c>
      <c r="O182" s="910"/>
      <c r="P182" s="909" t="s">
        <v>634</v>
      </c>
      <c r="Q182" s="907" t="s">
        <v>635</v>
      </c>
      <c r="R182" s="911">
        <v>980.0</v>
      </c>
    </row>
    <row r="183">
      <c r="I183" s="907" t="s">
        <v>302</v>
      </c>
      <c r="J183" s="916">
        <f t="array" ref="J183">xlookup(K181,$B$3:$B$14,$C$3:$C$14)*100</f>
        <v>0</v>
      </c>
      <c r="K183" s="917">
        <f>SUM(M183:O183)</f>
        <v>142</v>
      </c>
      <c r="L183" s="917">
        <v>100.0</v>
      </c>
      <c r="M183" s="911">
        <v>142.0</v>
      </c>
      <c r="N183" s="918"/>
      <c r="O183" s="918"/>
      <c r="P183" s="917">
        <f>K183*J182</f>
        <v>4402</v>
      </c>
      <c r="Q183" s="919" t="s">
        <v>636</v>
      </c>
      <c r="R183" s="917">
        <f>P194</f>
        <v>96844</v>
      </c>
    </row>
    <row r="184">
      <c r="I184" s="907" t="s">
        <v>637</v>
      </c>
      <c r="J184" s="911">
        <v>340000.0</v>
      </c>
      <c r="K184" s="917">
        <f>K183*L184%</f>
        <v>0</v>
      </c>
      <c r="L184" s="921">
        <f>J183</f>
        <v>0</v>
      </c>
      <c r="M184" s="917">
        <f>K184*80%</f>
        <v>0</v>
      </c>
      <c r="N184" s="917">
        <f>K184*20%</f>
        <v>0</v>
      </c>
      <c r="O184" s="917">
        <f>O183*L184%</f>
        <v>0</v>
      </c>
      <c r="P184" s="917">
        <f>K184*J182</f>
        <v>0</v>
      </c>
      <c r="Q184" s="907" t="s">
        <v>303</v>
      </c>
      <c r="R184" s="917">
        <f>R182*P184+R183</f>
        <v>96844</v>
      </c>
    </row>
    <row r="185">
      <c r="I185" s="907" t="s">
        <v>638</v>
      </c>
      <c r="J185" s="911">
        <v>210000.0</v>
      </c>
      <c r="K185" s="922" t="s">
        <v>639</v>
      </c>
      <c r="L185" s="2"/>
      <c r="M185" s="911">
        <v>26.3</v>
      </c>
      <c r="N185" s="911">
        <v>21.05</v>
      </c>
      <c r="O185" s="918"/>
      <c r="P185" s="923"/>
      <c r="Q185" s="907" t="s">
        <v>640</v>
      </c>
      <c r="R185" s="917">
        <f>M190</f>
        <v>-39699</v>
      </c>
    </row>
    <row r="186">
      <c r="I186" s="925" t="s">
        <v>641</v>
      </c>
      <c r="J186" s="918"/>
      <c r="K186" s="922" t="s">
        <v>642</v>
      </c>
      <c r="L186" s="2"/>
      <c r="M186" s="917">
        <f t="shared" ref="M186:N186" si="46">M184/(360/M185)</f>
        <v>0</v>
      </c>
      <c r="N186" s="917">
        <f t="shared" si="46"/>
        <v>0</v>
      </c>
      <c r="O186" s="923"/>
      <c r="P186" s="917">
        <f t="shared" ref="P186:P187" si="47">M186+N186+O186</f>
        <v>0</v>
      </c>
      <c r="Q186" s="907" t="s">
        <v>301</v>
      </c>
      <c r="R186" s="926">
        <f>R185/R184</f>
        <v>-0.4099273058</v>
      </c>
    </row>
    <row r="187">
      <c r="I187" s="928" t="s">
        <v>643</v>
      </c>
      <c r="J187" s="918"/>
      <c r="K187" s="909" t="s">
        <v>644</v>
      </c>
      <c r="L187" s="911">
        <v>1140.0</v>
      </c>
      <c r="M187" s="917">
        <f>M186*(L187*6)</f>
        <v>0</v>
      </c>
      <c r="N187" s="917">
        <f>N186*(L187*6)</f>
        <v>0</v>
      </c>
      <c r="O187" s="923"/>
      <c r="P187" s="917">
        <f t="shared" si="47"/>
        <v>0</v>
      </c>
      <c r="Q187" s="907" t="s">
        <v>645</v>
      </c>
      <c r="R187" s="917">
        <f>R184-R185-M197</f>
        <v>-525957</v>
      </c>
    </row>
    <row r="188">
      <c r="I188" s="907" t="s">
        <v>646</v>
      </c>
      <c r="J188" s="918"/>
      <c r="K188" s="923"/>
      <c r="L188" s="923"/>
      <c r="M188" s="923"/>
      <c r="N188" s="923"/>
      <c r="O188" s="923"/>
      <c r="P188" s="923"/>
      <c r="Q188" s="907" t="s">
        <v>300</v>
      </c>
      <c r="R188" s="926">
        <f>R187/R184</f>
        <v>-5.430971459</v>
      </c>
    </row>
    <row r="189">
      <c r="I189" s="925" t="s">
        <v>647</v>
      </c>
      <c r="J189" s="918"/>
      <c r="K189" s="922" t="s">
        <v>648</v>
      </c>
      <c r="L189" s="2"/>
      <c r="M189" s="917">
        <f>P187+(P186*J195)</f>
        <v>0</v>
      </c>
      <c r="N189" s="923"/>
      <c r="O189" s="919" t="s">
        <v>649</v>
      </c>
      <c r="P189" s="919" t="s">
        <v>650</v>
      </c>
      <c r="Q189" s="923"/>
      <c r="R189" s="923"/>
    </row>
    <row r="190">
      <c r="I190" s="930" t="s">
        <v>651</v>
      </c>
      <c r="J190" s="918"/>
      <c r="K190" s="922" t="s">
        <v>652</v>
      </c>
      <c r="L190" s="2"/>
      <c r="M190" s="917">
        <f>M189*J182-(8.7*L187*6)+K183*J196*J182*30</f>
        <v>-39699</v>
      </c>
      <c r="N190" s="923"/>
      <c r="O190" s="931" t="s">
        <v>653</v>
      </c>
      <c r="P190" s="918"/>
      <c r="Q190" s="923"/>
      <c r="R190" s="932"/>
    </row>
    <row r="191">
      <c r="I191" s="930" t="s">
        <v>654</v>
      </c>
      <c r="J191" s="918"/>
      <c r="K191" s="922" t="s">
        <v>655</v>
      </c>
      <c r="L191" s="2"/>
      <c r="M191" s="907" t="s">
        <v>394</v>
      </c>
      <c r="N191" s="907" t="s">
        <v>372</v>
      </c>
      <c r="O191" s="931" t="s">
        <v>656</v>
      </c>
      <c r="P191" s="911">
        <f>K183*J196*J182*100</f>
        <v>66030</v>
      </c>
      <c r="Q191" s="923"/>
      <c r="R191" s="923"/>
    </row>
    <row r="192">
      <c r="I192" s="925" t="s">
        <v>657</v>
      </c>
      <c r="J192" s="918"/>
      <c r="K192" s="922" t="s">
        <v>658</v>
      </c>
      <c r="L192" s="2"/>
      <c r="M192" s="921">
        <f t="shared" ref="M192:M193" si="48">J184*1.15</f>
        <v>391000</v>
      </c>
      <c r="N192" s="921">
        <v>15000.0</v>
      </c>
      <c r="O192" s="931" t="s">
        <v>659</v>
      </c>
      <c r="P192" s="911">
        <f>K183*J197*J182*200</f>
        <v>30814</v>
      </c>
      <c r="Q192" s="923"/>
      <c r="R192" s="923"/>
    </row>
    <row r="193">
      <c r="I193" s="925" t="s">
        <v>660</v>
      </c>
      <c r="J193" s="918"/>
      <c r="K193" s="922" t="s">
        <v>661</v>
      </c>
      <c r="L193" s="2"/>
      <c r="M193" s="921">
        <f t="shared" si="48"/>
        <v>241500</v>
      </c>
      <c r="N193" s="921">
        <v>15000.0</v>
      </c>
      <c r="O193" s="923"/>
      <c r="P193" s="923"/>
      <c r="Q193" s="923"/>
      <c r="R193" s="923"/>
    </row>
    <row r="194">
      <c r="I194" s="925" t="s">
        <v>662</v>
      </c>
      <c r="J194" s="918"/>
      <c r="K194" s="933" t="s">
        <v>663</v>
      </c>
      <c r="L194" s="2"/>
      <c r="M194" s="932"/>
      <c r="N194" s="932"/>
      <c r="O194" s="907" t="s">
        <v>180</v>
      </c>
      <c r="P194" s="917">
        <f>SUM(P190:P193)</f>
        <v>96844</v>
      </c>
      <c r="Q194" s="923"/>
      <c r="R194" s="934"/>
    </row>
    <row r="195">
      <c r="I195" s="925" t="s">
        <v>664</v>
      </c>
      <c r="J195" s="911">
        <v>600.0</v>
      </c>
      <c r="K195" s="922" t="s">
        <v>665</v>
      </c>
      <c r="L195" s="2"/>
      <c r="M195" s="921">
        <f>J189*J190*J191</f>
        <v>0</v>
      </c>
      <c r="N195" s="921">
        <f>J191*J195</f>
        <v>0</v>
      </c>
      <c r="O195" s="923"/>
      <c r="P195" s="923"/>
      <c r="Q195" s="923"/>
      <c r="R195" s="923"/>
    </row>
    <row r="196">
      <c r="I196" s="925" t="s">
        <v>656</v>
      </c>
      <c r="J196" s="935">
        <v>0.15</v>
      </c>
      <c r="K196" s="922" t="s">
        <v>666</v>
      </c>
      <c r="L196" s="2"/>
      <c r="M196" s="921">
        <f>J192*J193*J194</f>
        <v>0</v>
      </c>
      <c r="N196" s="921">
        <f>J194*J195</f>
        <v>0</v>
      </c>
      <c r="O196" s="923"/>
      <c r="P196" s="923"/>
      <c r="Q196" s="923"/>
      <c r="R196" s="934"/>
    </row>
    <row r="197">
      <c r="I197" s="925" t="s">
        <v>667</v>
      </c>
      <c r="J197" s="926">
        <v>0.035</v>
      </c>
      <c r="K197" s="922" t="s">
        <v>668</v>
      </c>
      <c r="L197" s="2"/>
      <c r="M197" s="921">
        <f>SUM(M192:N196)</f>
        <v>662500</v>
      </c>
      <c r="N197" s="932"/>
      <c r="O197" s="923"/>
      <c r="P197" s="923"/>
      <c r="Q197" s="923"/>
      <c r="R197" s="923"/>
    </row>
    <row r="199">
      <c r="I199" s="900" t="s">
        <v>628</v>
      </c>
      <c r="J199" s="901">
        <f>A14</f>
        <v>46388</v>
      </c>
      <c r="K199" s="900" t="str">
        <f>"①R"&amp;year(J199)-2018&amp;"_"&amp;month(J199)&amp;"集計"</f>
        <v>①R9_1集計</v>
      </c>
      <c r="N199" s="902">
        <f>R202</f>
        <v>96844</v>
      </c>
      <c r="O199" s="902">
        <f>R205</f>
        <v>-525957</v>
      </c>
      <c r="P199" s="903">
        <f>R206</f>
        <v>-5.430971459</v>
      </c>
      <c r="Q199" s="903">
        <f>R204</f>
        <v>-0.4099273058</v>
      </c>
    </row>
    <row r="200">
      <c r="I200" s="907" t="s">
        <v>630</v>
      </c>
      <c r="J200" s="908">
        <f>DAY(EOMONTH(J199,0))</f>
        <v>31</v>
      </c>
      <c r="K200" s="909" t="s">
        <v>631</v>
      </c>
      <c r="L200" s="909" t="s">
        <v>302</v>
      </c>
      <c r="M200" s="909" t="s">
        <v>632</v>
      </c>
      <c r="N200" s="909" t="s">
        <v>633</v>
      </c>
      <c r="O200" s="910"/>
      <c r="P200" s="909" t="s">
        <v>634</v>
      </c>
      <c r="Q200" s="907" t="s">
        <v>635</v>
      </c>
      <c r="R200" s="911">
        <v>980.0</v>
      </c>
    </row>
    <row r="201">
      <c r="I201" s="907" t="s">
        <v>302</v>
      </c>
      <c r="J201" s="916">
        <f t="array" ref="J201">xlookup(K199,$B$3:$B$14,$C$3:$C$14)*100</f>
        <v>0</v>
      </c>
      <c r="K201" s="917">
        <f>SUM(M201:O201)</f>
        <v>142</v>
      </c>
      <c r="L201" s="917">
        <v>100.0</v>
      </c>
      <c r="M201" s="911">
        <v>142.0</v>
      </c>
      <c r="N201" s="918"/>
      <c r="O201" s="918"/>
      <c r="P201" s="917">
        <f>K201*J200</f>
        <v>4402</v>
      </c>
      <c r="Q201" s="919" t="s">
        <v>636</v>
      </c>
      <c r="R201" s="917">
        <f>P212</f>
        <v>96844</v>
      </c>
    </row>
    <row r="202">
      <c r="I202" s="907" t="s">
        <v>637</v>
      </c>
      <c r="J202" s="911">
        <v>340000.0</v>
      </c>
      <c r="K202" s="917">
        <f>K201*L202%</f>
        <v>0</v>
      </c>
      <c r="L202" s="921">
        <f>J201</f>
        <v>0</v>
      </c>
      <c r="M202" s="917">
        <f>K202*80%</f>
        <v>0</v>
      </c>
      <c r="N202" s="917">
        <f>K202*20%</f>
        <v>0</v>
      </c>
      <c r="O202" s="917">
        <f>O201*L202%</f>
        <v>0</v>
      </c>
      <c r="P202" s="917">
        <f>K202*J200</f>
        <v>0</v>
      </c>
      <c r="Q202" s="907" t="s">
        <v>303</v>
      </c>
      <c r="R202" s="917">
        <f>R200*P202+R201</f>
        <v>96844</v>
      </c>
    </row>
    <row r="203">
      <c r="I203" s="907" t="s">
        <v>638</v>
      </c>
      <c r="J203" s="911">
        <v>210000.0</v>
      </c>
      <c r="K203" s="922" t="s">
        <v>639</v>
      </c>
      <c r="L203" s="2"/>
      <c r="M203" s="911">
        <v>26.3</v>
      </c>
      <c r="N203" s="911">
        <v>21.05</v>
      </c>
      <c r="O203" s="918"/>
      <c r="P203" s="923"/>
      <c r="Q203" s="907" t="s">
        <v>640</v>
      </c>
      <c r="R203" s="917">
        <f>M208</f>
        <v>-39699</v>
      </c>
    </row>
    <row r="204">
      <c r="I204" s="925" t="s">
        <v>641</v>
      </c>
      <c r="J204" s="918"/>
      <c r="K204" s="922" t="s">
        <v>642</v>
      </c>
      <c r="L204" s="2"/>
      <c r="M204" s="917">
        <f t="shared" ref="M204:N204" si="49">M202/(360/M203)</f>
        <v>0</v>
      </c>
      <c r="N204" s="917">
        <f t="shared" si="49"/>
        <v>0</v>
      </c>
      <c r="O204" s="923"/>
      <c r="P204" s="917">
        <f t="shared" ref="P204:P205" si="50">M204+N204+O204</f>
        <v>0</v>
      </c>
      <c r="Q204" s="907" t="s">
        <v>301</v>
      </c>
      <c r="R204" s="926">
        <f>R203/R202</f>
        <v>-0.4099273058</v>
      </c>
    </row>
    <row r="205">
      <c r="I205" s="928" t="s">
        <v>643</v>
      </c>
      <c r="J205" s="918"/>
      <c r="K205" s="909" t="s">
        <v>644</v>
      </c>
      <c r="L205" s="911">
        <v>1140.0</v>
      </c>
      <c r="M205" s="917">
        <f>M204*(L205*6)</f>
        <v>0</v>
      </c>
      <c r="N205" s="917">
        <f>N204*(L205*6)</f>
        <v>0</v>
      </c>
      <c r="O205" s="923"/>
      <c r="P205" s="917">
        <f t="shared" si="50"/>
        <v>0</v>
      </c>
      <c r="Q205" s="907" t="s">
        <v>645</v>
      </c>
      <c r="R205" s="917">
        <f>R202-R203-M215</f>
        <v>-525957</v>
      </c>
    </row>
    <row r="206">
      <c r="I206" s="907" t="s">
        <v>646</v>
      </c>
      <c r="J206" s="918"/>
      <c r="K206" s="923"/>
      <c r="L206" s="923"/>
      <c r="M206" s="923"/>
      <c r="N206" s="923"/>
      <c r="O206" s="923"/>
      <c r="P206" s="923"/>
      <c r="Q206" s="907" t="s">
        <v>300</v>
      </c>
      <c r="R206" s="926">
        <f>R205/R202</f>
        <v>-5.430971459</v>
      </c>
    </row>
    <row r="207">
      <c r="I207" s="925" t="s">
        <v>647</v>
      </c>
      <c r="J207" s="918"/>
      <c r="K207" s="922" t="s">
        <v>648</v>
      </c>
      <c r="L207" s="2"/>
      <c r="M207" s="917">
        <f>P205+(P204*J213)</f>
        <v>0</v>
      </c>
      <c r="N207" s="923"/>
      <c r="O207" s="919" t="s">
        <v>649</v>
      </c>
      <c r="P207" s="919" t="s">
        <v>650</v>
      </c>
      <c r="Q207" s="923"/>
      <c r="R207" s="923"/>
    </row>
    <row r="208">
      <c r="I208" s="930" t="s">
        <v>651</v>
      </c>
      <c r="J208" s="918"/>
      <c r="K208" s="922" t="s">
        <v>652</v>
      </c>
      <c r="L208" s="2"/>
      <c r="M208" s="917">
        <f>M207*J200-(8.7*L205*6)+K201*J214*J200*30</f>
        <v>-39699</v>
      </c>
      <c r="N208" s="923"/>
      <c r="O208" s="931" t="s">
        <v>653</v>
      </c>
      <c r="P208" s="918"/>
      <c r="Q208" s="923"/>
      <c r="R208" s="932"/>
    </row>
    <row r="209">
      <c r="I209" s="930" t="s">
        <v>654</v>
      </c>
      <c r="J209" s="918"/>
      <c r="K209" s="922" t="s">
        <v>655</v>
      </c>
      <c r="L209" s="2"/>
      <c r="M209" s="907" t="s">
        <v>394</v>
      </c>
      <c r="N209" s="907" t="s">
        <v>372</v>
      </c>
      <c r="O209" s="931" t="s">
        <v>656</v>
      </c>
      <c r="P209" s="911">
        <f>K201*J214*J200*100</f>
        <v>66030</v>
      </c>
      <c r="Q209" s="923"/>
      <c r="R209" s="923"/>
    </row>
    <row r="210">
      <c r="I210" s="925" t="s">
        <v>657</v>
      </c>
      <c r="J210" s="918"/>
      <c r="K210" s="922" t="s">
        <v>658</v>
      </c>
      <c r="L210" s="2"/>
      <c r="M210" s="921">
        <f t="shared" ref="M210:M211" si="51">J202*1.15</f>
        <v>391000</v>
      </c>
      <c r="N210" s="921">
        <v>15000.0</v>
      </c>
      <c r="O210" s="931" t="s">
        <v>659</v>
      </c>
      <c r="P210" s="911">
        <f>K201*J215*J200*200</f>
        <v>30814</v>
      </c>
      <c r="Q210" s="923"/>
      <c r="R210" s="923"/>
    </row>
    <row r="211">
      <c r="I211" s="925" t="s">
        <v>660</v>
      </c>
      <c r="J211" s="918"/>
      <c r="K211" s="922" t="s">
        <v>661</v>
      </c>
      <c r="L211" s="2"/>
      <c r="M211" s="921">
        <f t="shared" si="51"/>
        <v>241500</v>
      </c>
      <c r="N211" s="921">
        <v>15000.0</v>
      </c>
      <c r="O211" s="923"/>
      <c r="P211" s="923"/>
      <c r="Q211" s="923"/>
      <c r="R211" s="923"/>
    </row>
    <row r="212">
      <c r="I212" s="925" t="s">
        <v>662</v>
      </c>
      <c r="J212" s="918"/>
      <c r="K212" s="933" t="s">
        <v>663</v>
      </c>
      <c r="L212" s="2"/>
      <c r="M212" s="932"/>
      <c r="N212" s="932"/>
      <c r="O212" s="907" t="s">
        <v>180</v>
      </c>
      <c r="P212" s="917">
        <f>SUM(P208:P211)</f>
        <v>96844</v>
      </c>
      <c r="Q212" s="923"/>
      <c r="R212" s="934"/>
    </row>
    <row r="213">
      <c r="I213" s="925" t="s">
        <v>664</v>
      </c>
      <c r="J213" s="911">
        <v>600.0</v>
      </c>
      <c r="K213" s="922" t="s">
        <v>665</v>
      </c>
      <c r="L213" s="2"/>
      <c r="M213" s="921">
        <f>J207*J208*J209</f>
        <v>0</v>
      </c>
      <c r="N213" s="921">
        <f>J209*J213</f>
        <v>0</v>
      </c>
      <c r="O213" s="923"/>
      <c r="P213" s="923"/>
      <c r="Q213" s="923"/>
      <c r="R213" s="923"/>
    </row>
    <row r="214">
      <c r="I214" s="925" t="s">
        <v>656</v>
      </c>
      <c r="J214" s="935">
        <v>0.15</v>
      </c>
      <c r="K214" s="922" t="s">
        <v>666</v>
      </c>
      <c r="L214" s="2"/>
      <c r="M214" s="921">
        <f>J210*J211*J212</f>
        <v>0</v>
      </c>
      <c r="N214" s="921">
        <f>J212*J213</f>
        <v>0</v>
      </c>
      <c r="O214" s="923"/>
      <c r="P214" s="923"/>
      <c r="Q214" s="923"/>
      <c r="R214" s="934"/>
    </row>
    <row r="215">
      <c r="I215" s="925" t="s">
        <v>667</v>
      </c>
      <c r="J215" s="926">
        <v>0.035</v>
      </c>
      <c r="K215" s="922" t="s">
        <v>668</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669</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670</v>
      </c>
      <c r="C2" s="186"/>
      <c r="D2" s="186"/>
      <c r="E2" s="186"/>
      <c r="F2" s="208"/>
      <c r="G2" s="186"/>
      <c r="H2" s="186"/>
      <c r="I2" s="186"/>
      <c r="J2" s="186"/>
      <c r="K2" s="186"/>
      <c r="L2" s="186"/>
      <c r="M2" s="186"/>
      <c r="N2" s="186"/>
      <c r="O2" s="938"/>
      <c r="P2" s="946">
        <f>month(P3)</f>
        <v>2</v>
      </c>
      <c r="Q2" s="947" t="s">
        <v>671</v>
      </c>
      <c r="R2" s="948" t="s">
        <v>672</v>
      </c>
      <c r="S2" s="949" t="s">
        <v>673</v>
      </c>
      <c r="T2" s="949" t="s">
        <v>674</v>
      </c>
      <c r="U2" s="949" t="s">
        <v>675</v>
      </c>
      <c r="V2" s="950" t="s">
        <v>676</v>
      </c>
      <c r="W2" s="949" t="s">
        <v>677</v>
      </c>
      <c r="X2" s="949" t="s">
        <v>678</v>
      </c>
      <c r="Y2" s="946"/>
      <c r="Z2" s="946">
        <f>month(Z3)</f>
        <v>3</v>
      </c>
      <c r="AA2" s="947" t="s">
        <v>671</v>
      </c>
      <c r="AB2" s="948" t="s">
        <v>672</v>
      </c>
      <c r="AC2" s="949" t="s">
        <v>673</v>
      </c>
      <c r="AD2" s="949" t="s">
        <v>674</v>
      </c>
      <c r="AE2" s="949" t="s">
        <v>675</v>
      </c>
      <c r="AF2" s="950" t="s">
        <v>679</v>
      </c>
      <c r="AG2" s="949" t="s">
        <v>677</v>
      </c>
      <c r="AH2" s="949" t="s">
        <v>678</v>
      </c>
      <c r="AI2" s="946"/>
      <c r="AJ2" s="946">
        <f>month(AJ3)</f>
        <v>4</v>
      </c>
      <c r="AK2" s="947" t="s">
        <v>671</v>
      </c>
      <c r="AL2" s="948" t="s">
        <v>672</v>
      </c>
      <c r="AM2" s="949" t="s">
        <v>673</v>
      </c>
      <c r="AN2" s="949" t="s">
        <v>674</v>
      </c>
      <c r="AO2" s="949" t="s">
        <v>675</v>
      </c>
      <c r="AP2" s="950" t="s">
        <v>680</v>
      </c>
      <c r="AQ2" s="949" t="s">
        <v>677</v>
      </c>
      <c r="AR2" s="949" t="s">
        <v>678</v>
      </c>
      <c r="AS2" s="949"/>
      <c r="AT2" s="946">
        <f>month(AT3)</f>
        <v>5</v>
      </c>
      <c r="AU2" s="951" t="s">
        <v>671</v>
      </c>
      <c r="AV2" s="952" t="s">
        <v>672</v>
      </c>
      <c r="AW2" s="953" t="s">
        <v>673</v>
      </c>
      <c r="AX2" s="953" t="s">
        <v>674</v>
      </c>
      <c r="AY2" s="953" t="s">
        <v>675</v>
      </c>
      <c r="AZ2" s="954" t="s">
        <v>681</v>
      </c>
      <c r="BA2" s="953" t="s">
        <v>677</v>
      </c>
      <c r="BB2" s="953" t="s">
        <v>678</v>
      </c>
      <c r="BC2" s="946"/>
      <c r="BD2" s="946">
        <f>month(BD3)</f>
        <v>6</v>
      </c>
      <c r="BE2" s="947" t="s">
        <v>671</v>
      </c>
      <c r="BF2" s="948" t="s">
        <v>672</v>
      </c>
      <c r="BG2" s="949" t="s">
        <v>673</v>
      </c>
      <c r="BH2" s="949" t="s">
        <v>674</v>
      </c>
      <c r="BI2" s="949" t="s">
        <v>675</v>
      </c>
      <c r="BJ2" s="950" t="s">
        <v>682</v>
      </c>
      <c r="BK2" s="949" t="s">
        <v>677</v>
      </c>
      <c r="BL2" s="949" t="s">
        <v>678</v>
      </c>
      <c r="BM2" s="946"/>
      <c r="BN2" s="946">
        <f>month(BN3)</f>
        <v>7</v>
      </c>
      <c r="BO2" s="947" t="s">
        <v>671</v>
      </c>
      <c r="BP2" s="948" t="s">
        <v>672</v>
      </c>
      <c r="BQ2" s="949" t="s">
        <v>673</v>
      </c>
      <c r="BR2" s="949" t="s">
        <v>674</v>
      </c>
      <c r="BS2" s="949" t="s">
        <v>675</v>
      </c>
      <c r="BT2" s="950" t="s">
        <v>683</v>
      </c>
      <c r="BU2" s="949" t="s">
        <v>677</v>
      </c>
      <c r="BV2" s="949" t="s">
        <v>678</v>
      </c>
      <c r="BW2" s="949"/>
      <c r="BX2" s="946">
        <f>month(BX3)</f>
        <v>8</v>
      </c>
      <c r="BY2" s="947" t="s">
        <v>671</v>
      </c>
      <c r="BZ2" s="948" t="s">
        <v>672</v>
      </c>
      <c r="CA2" s="949" t="s">
        <v>673</v>
      </c>
      <c r="CB2" s="949" t="s">
        <v>674</v>
      </c>
      <c r="CC2" s="949" t="s">
        <v>675</v>
      </c>
      <c r="CD2" s="950" t="s">
        <v>684</v>
      </c>
      <c r="CE2" s="949" t="s">
        <v>677</v>
      </c>
      <c r="CF2" s="949" t="s">
        <v>678</v>
      </c>
      <c r="CG2" s="946"/>
      <c r="CH2" s="946">
        <f>month(CH3)</f>
        <v>9</v>
      </c>
      <c r="CI2" s="947" t="s">
        <v>671</v>
      </c>
      <c r="CJ2" s="948" t="s">
        <v>672</v>
      </c>
      <c r="CK2" s="949" t="s">
        <v>673</v>
      </c>
      <c r="CL2" s="949" t="s">
        <v>674</v>
      </c>
      <c r="CM2" s="949" t="s">
        <v>675</v>
      </c>
      <c r="CN2" s="950" t="s">
        <v>685</v>
      </c>
      <c r="CO2" s="949" t="s">
        <v>677</v>
      </c>
      <c r="CP2" s="949" t="s">
        <v>678</v>
      </c>
      <c r="CQ2" s="946"/>
      <c r="CR2" s="946">
        <f>month(CR3)</f>
        <v>10</v>
      </c>
      <c r="CS2" s="947" t="s">
        <v>671</v>
      </c>
      <c r="CT2" s="948" t="s">
        <v>672</v>
      </c>
      <c r="CU2" s="949" t="s">
        <v>673</v>
      </c>
      <c r="CV2" s="949" t="s">
        <v>674</v>
      </c>
      <c r="CW2" s="949" t="s">
        <v>675</v>
      </c>
      <c r="CX2" s="950" t="s">
        <v>686</v>
      </c>
      <c r="CY2" s="949" t="s">
        <v>677</v>
      </c>
      <c r="CZ2" s="949" t="s">
        <v>678</v>
      </c>
      <c r="DA2" s="949"/>
      <c r="DB2" s="946">
        <f>month(DB3)</f>
        <v>11</v>
      </c>
      <c r="DC2" s="947" t="s">
        <v>671</v>
      </c>
      <c r="DD2" s="948" t="s">
        <v>672</v>
      </c>
      <c r="DE2" s="949" t="s">
        <v>673</v>
      </c>
      <c r="DF2" s="949" t="s">
        <v>674</v>
      </c>
      <c r="DG2" s="949" t="s">
        <v>675</v>
      </c>
      <c r="DH2" s="950" t="s">
        <v>687</v>
      </c>
      <c r="DI2" s="949" t="s">
        <v>677</v>
      </c>
      <c r="DJ2" s="949" t="s">
        <v>678</v>
      </c>
      <c r="DK2" s="946"/>
      <c r="DL2" s="946">
        <f>month(DL3)</f>
        <v>12</v>
      </c>
      <c r="DM2" s="947" t="s">
        <v>671</v>
      </c>
      <c r="DN2" s="948" t="s">
        <v>672</v>
      </c>
      <c r="DO2" s="949" t="s">
        <v>673</v>
      </c>
      <c r="DP2" s="949" t="s">
        <v>674</v>
      </c>
      <c r="DQ2" s="949" t="s">
        <v>675</v>
      </c>
      <c r="DR2" s="950" t="s">
        <v>688</v>
      </c>
      <c r="DS2" s="949" t="s">
        <v>677</v>
      </c>
      <c r="DT2" s="949" t="s">
        <v>678</v>
      </c>
      <c r="DU2" s="946"/>
      <c r="DV2" s="946">
        <f>month(DV3)</f>
        <v>1</v>
      </c>
      <c r="DW2" s="947" t="s">
        <v>671</v>
      </c>
      <c r="DX2" s="948" t="s">
        <v>672</v>
      </c>
      <c r="DY2" s="949" t="s">
        <v>673</v>
      </c>
      <c r="DZ2" s="949" t="s">
        <v>674</v>
      </c>
      <c r="EA2" s="949" t="s">
        <v>675</v>
      </c>
      <c r="EB2" s="950" t="s">
        <v>689</v>
      </c>
      <c r="EC2" s="949" t="s">
        <v>677</v>
      </c>
      <c r="ED2" s="949" t="s">
        <v>678</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690</v>
      </c>
      <c r="D3" s="959" t="s">
        <v>479</v>
      </c>
      <c r="E3" s="959" t="s">
        <v>691</v>
      </c>
      <c r="F3" s="960" t="s">
        <v>692</v>
      </c>
      <c r="G3" s="961" t="s">
        <v>693</v>
      </c>
      <c r="H3" s="962" t="s">
        <v>694</v>
      </c>
      <c r="I3" s="959" t="s">
        <v>695</v>
      </c>
      <c r="J3" s="959" t="s">
        <v>696</v>
      </c>
      <c r="K3" s="186"/>
      <c r="L3" s="963" t="s">
        <v>95</v>
      </c>
      <c r="M3" s="963" t="s">
        <v>448</v>
      </c>
      <c r="N3" s="186"/>
      <c r="O3" s="938"/>
      <c r="P3" s="964">
        <v>46054.0</v>
      </c>
      <c r="Q3" s="965" t="s">
        <v>79</v>
      </c>
      <c r="R3" s="966" t="s">
        <v>690</v>
      </c>
      <c r="S3" s="965" t="s">
        <v>479</v>
      </c>
      <c r="T3" s="965" t="s">
        <v>697</v>
      </c>
      <c r="U3" s="965" t="s">
        <v>698</v>
      </c>
      <c r="V3" s="965" t="s">
        <v>699</v>
      </c>
      <c r="W3" s="965" t="s">
        <v>700</v>
      </c>
      <c r="X3" s="965" t="s">
        <v>701</v>
      </c>
      <c r="Y3" s="967"/>
      <c r="Z3" s="964">
        <v>46082.0</v>
      </c>
      <c r="AA3" s="965" t="s">
        <v>79</v>
      </c>
      <c r="AB3" s="966" t="s">
        <v>690</v>
      </c>
      <c r="AC3" s="965" t="s">
        <v>479</v>
      </c>
      <c r="AD3" s="965" t="s">
        <v>697</v>
      </c>
      <c r="AE3" s="965" t="s">
        <v>698</v>
      </c>
      <c r="AF3" s="965" t="s">
        <v>699</v>
      </c>
      <c r="AG3" s="965" t="s">
        <v>700</v>
      </c>
      <c r="AH3" s="965" t="s">
        <v>701</v>
      </c>
      <c r="AI3" s="968"/>
      <c r="AJ3" s="969">
        <v>46113.0</v>
      </c>
      <c r="AK3" s="965" t="s">
        <v>79</v>
      </c>
      <c r="AL3" s="966" t="s">
        <v>690</v>
      </c>
      <c r="AM3" s="965" t="s">
        <v>479</v>
      </c>
      <c r="AN3" s="965" t="s">
        <v>697</v>
      </c>
      <c r="AO3" s="965" t="s">
        <v>698</v>
      </c>
      <c r="AP3" s="965" t="s">
        <v>699</v>
      </c>
      <c r="AQ3" s="965" t="s">
        <v>700</v>
      </c>
      <c r="AR3" s="965" t="s">
        <v>701</v>
      </c>
      <c r="AS3" s="967"/>
      <c r="AT3" s="969">
        <v>46143.0</v>
      </c>
      <c r="AU3" s="970" t="s">
        <v>79</v>
      </c>
      <c r="AV3" s="971" t="s">
        <v>690</v>
      </c>
      <c r="AW3" s="970" t="s">
        <v>479</v>
      </c>
      <c r="AX3" s="970" t="s">
        <v>697</v>
      </c>
      <c r="AY3" s="970" t="s">
        <v>698</v>
      </c>
      <c r="AZ3" s="970" t="s">
        <v>699</v>
      </c>
      <c r="BA3" s="970" t="s">
        <v>700</v>
      </c>
      <c r="BB3" s="970" t="s">
        <v>701</v>
      </c>
      <c r="BC3" s="967"/>
      <c r="BD3" s="969">
        <v>46174.0</v>
      </c>
      <c r="BE3" s="965" t="s">
        <v>79</v>
      </c>
      <c r="BF3" s="966" t="s">
        <v>690</v>
      </c>
      <c r="BG3" s="965" t="s">
        <v>479</v>
      </c>
      <c r="BH3" s="965" t="s">
        <v>697</v>
      </c>
      <c r="BI3" s="965" t="s">
        <v>698</v>
      </c>
      <c r="BJ3" s="965" t="s">
        <v>699</v>
      </c>
      <c r="BK3" s="965" t="s">
        <v>700</v>
      </c>
      <c r="BL3" s="965" t="s">
        <v>701</v>
      </c>
      <c r="BM3" s="968"/>
      <c r="BN3" s="969">
        <v>46205.0</v>
      </c>
      <c r="BO3" s="965" t="s">
        <v>79</v>
      </c>
      <c r="BP3" s="966" t="s">
        <v>690</v>
      </c>
      <c r="BQ3" s="965" t="s">
        <v>479</v>
      </c>
      <c r="BR3" s="965" t="s">
        <v>697</v>
      </c>
      <c r="BS3" s="965" t="s">
        <v>698</v>
      </c>
      <c r="BT3" s="965" t="s">
        <v>699</v>
      </c>
      <c r="BU3" s="965" t="s">
        <v>700</v>
      </c>
      <c r="BV3" s="965" t="s">
        <v>701</v>
      </c>
      <c r="BW3" s="967"/>
      <c r="BX3" s="969">
        <v>46235.0</v>
      </c>
      <c r="BY3" s="965" t="s">
        <v>79</v>
      </c>
      <c r="BZ3" s="966" t="s">
        <v>690</v>
      </c>
      <c r="CA3" s="965" t="s">
        <v>479</v>
      </c>
      <c r="CB3" s="965" t="s">
        <v>697</v>
      </c>
      <c r="CC3" s="965" t="s">
        <v>698</v>
      </c>
      <c r="CD3" s="965" t="s">
        <v>699</v>
      </c>
      <c r="CE3" s="965" t="s">
        <v>700</v>
      </c>
      <c r="CF3" s="965" t="s">
        <v>701</v>
      </c>
      <c r="CG3" s="967"/>
      <c r="CH3" s="969">
        <v>46266.0</v>
      </c>
      <c r="CI3" s="965" t="s">
        <v>79</v>
      </c>
      <c r="CJ3" s="966" t="s">
        <v>690</v>
      </c>
      <c r="CK3" s="965" t="s">
        <v>479</v>
      </c>
      <c r="CL3" s="965" t="s">
        <v>697</v>
      </c>
      <c r="CM3" s="965" t="s">
        <v>698</v>
      </c>
      <c r="CN3" s="965" t="s">
        <v>699</v>
      </c>
      <c r="CO3" s="965" t="s">
        <v>700</v>
      </c>
      <c r="CP3" s="965" t="s">
        <v>701</v>
      </c>
      <c r="CQ3" s="968"/>
      <c r="CR3" s="969">
        <v>46296.0</v>
      </c>
      <c r="CS3" s="965" t="s">
        <v>79</v>
      </c>
      <c r="CT3" s="966" t="s">
        <v>690</v>
      </c>
      <c r="CU3" s="965" t="s">
        <v>479</v>
      </c>
      <c r="CV3" s="965" t="s">
        <v>697</v>
      </c>
      <c r="CW3" s="965" t="s">
        <v>698</v>
      </c>
      <c r="CX3" s="965" t="s">
        <v>699</v>
      </c>
      <c r="CY3" s="965" t="s">
        <v>700</v>
      </c>
      <c r="CZ3" s="965" t="s">
        <v>701</v>
      </c>
      <c r="DA3" s="967"/>
      <c r="DB3" s="969">
        <v>46327.0</v>
      </c>
      <c r="DC3" s="965" t="s">
        <v>79</v>
      </c>
      <c r="DD3" s="966" t="s">
        <v>690</v>
      </c>
      <c r="DE3" s="965" t="s">
        <v>479</v>
      </c>
      <c r="DF3" s="965" t="s">
        <v>697</v>
      </c>
      <c r="DG3" s="965" t="s">
        <v>698</v>
      </c>
      <c r="DH3" s="965" t="s">
        <v>699</v>
      </c>
      <c r="DI3" s="965" t="s">
        <v>700</v>
      </c>
      <c r="DJ3" s="965" t="s">
        <v>701</v>
      </c>
      <c r="DK3" s="967"/>
      <c r="DL3" s="969">
        <v>46357.0</v>
      </c>
      <c r="DM3" s="965" t="s">
        <v>79</v>
      </c>
      <c r="DN3" s="966" t="s">
        <v>690</v>
      </c>
      <c r="DO3" s="965" t="s">
        <v>479</v>
      </c>
      <c r="DP3" s="965" t="s">
        <v>697</v>
      </c>
      <c r="DQ3" s="965" t="s">
        <v>698</v>
      </c>
      <c r="DR3" s="965" t="s">
        <v>699</v>
      </c>
      <c r="DS3" s="965" t="s">
        <v>700</v>
      </c>
      <c r="DT3" s="965" t="s">
        <v>701</v>
      </c>
      <c r="DU3" s="967"/>
      <c r="DV3" s="969">
        <v>46388.0</v>
      </c>
      <c r="DW3" s="965" t="s">
        <v>79</v>
      </c>
      <c r="DX3" s="966" t="s">
        <v>690</v>
      </c>
      <c r="DY3" s="965" t="s">
        <v>479</v>
      </c>
      <c r="DZ3" s="965" t="s">
        <v>697</v>
      </c>
      <c r="EA3" s="965" t="s">
        <v>698</v>
      </c>
      <c r="EB3" s="965" t="s">
        <v>699</v>
      </c>
      <c r="EC3" s="965" t="s">
        <v>700</v>
      </c>
      <c r="ED3" s="965" t="s">
        <v>701</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36</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234.4166667</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702</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IFERROR(__xludf.DUMMYFUNCTION("IMPORTRANGE($P$7,$P$4&amp;AO$2)"),14.0)</f>
        <v>14</v>
      </c>
      <c r="AP4" s="213">
        <f t="shared" ref="AP4:AP299" si="7">COUNTIF(INDIRECT(AP$2 &amp; "L9:L"), AL4)</f>
        <v>0</v>
      </c>
      <c r="AQ4" s="985">
        <f>IFERROR(__xludf.DUMMYFUNCTION("IMPORTRANGE($P$7,$P$4&amp;AQ$2)"),97.0)</f>
        <v>97</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9"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9"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9"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9"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9"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9"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9"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9"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255</v>
      </c>
      <c r="D5" s="975" t="s">
        <v>89</v>
      </c>
      <c r="E5" s="975" t="s">
        <v>644</v>
      </c>
      <c r="F5" s="976">
        <f t="shared" si="2"/>
        <v>35</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187.4</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703</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IFERROR(__xludf.DUMMYFUNCTION("""COMPUTED_VALUE"""),8.0)</f>
        <v>8</v>
      </c>
      <c r="AP5" s="213">
        <f t="shared" si="7"/>
        <v>0</v>
      </c>
      <c r="AQ5" s="985">
        <f>IFERROR(__xludf.DUMMYFUNCTION("""COMPUTED_VALUE"""),48.416666666666664)</f>
        <v>48.41666667</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254</v>
      </c>
      <c r="D6" s="975" t="s">
        <v>89</v>
      </c>
      <c r="E6" s="975" t="s">
        <v>644</v>
      </c>
      <c r="F6" s="976">
        <f t="shared" si="2"/>
        <v>31</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165.8333333</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704</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IFERROR(__xludf.DUMMYFUNCTION("""COMPUTED_VALUE"""),9.0)</f>
        <v>9</v>
      </c>
      <c r="AP6" s="213">
        <f t="shared" si="7"/>
        <v>0</v>
      </c>
      <c r="AQ6" s="985">
        <f>IFERROR(__xludf.DUMMYFUNCTION("""COMPUTED_VALUE"""),54.05)</f>
        <v>54.05</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251</v>
      </c>
      <c r="D7" s="975" t="s">
        <v>89</v>
      </c>
      <c r="E7" s="975" t="s">
        <v>644</v>
      </c>
      <c r="F7" s="976">
        <f t="shared" si="2"/>
        <v>36</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187.2333333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705</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IFERROR(__xludf.DUMMYFUNCTION("""COMPUTED_VALUE"""),8.0)</f>
        <v>8</v>
      </c>
      <c r="AP7" s="213">
        <f t="shared" si="7"/>
        <v>0</v>
      </c>
      <c r="AQ7" s="985">
        <f>IFERROR(__xludf.DUMMYFUNCTION("""COMPUTED_VALUE"""),44.666666666666664)</f>
        <v>44.66666667</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266</v>
      </c>
      <c r="D8" s="975" t="s">
        <v>89</v>
      </c>
      <c r="E8" s="975" t="s">
        <v>644</v>
      </c>
      <c r="F8" s="976">
        <f t="shared" si="2"/>
        <v>42</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235.2833333</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IFERROR(__xludf.DUMMYFUNCTION("""COMPUTED_VALUE"""),11.0)</f>
        <v>11</v>
      </c>
      <c r="AP8" s="213">
        <f t="shared" si="7"/>
        <v>0</v>
      </c>
      <c r="AQ8" s="985">
        <f>IFERROR(__xludf.DUMMYFUNCTION("""COMPUTED_VALUE"""),69.16666666666667)</f>
        <v>69.16666667</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260</v>
      </c>
      <c r="D9" s="975" t="s">
        <v>89</v>
      </c>
      <c r="E9" s="975" t="s">
        <v>706</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247</v>
      </c>
      <c r="D10" s="975" t="s">
        <v>89</v>
      </c>
      <c r="E10" s="975" t="s">
        <v>707</v>
      </c>
      <c r="F10" s="976">
        <f t="shared" si="2"/>
        <v>54</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237.8833333</v>
      </c>
      <c r="J10" s="979">
        <f t="shared" si="21"/>
        <v>73</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IFERROR(__xludf.DUMMYFUNCTION("""COMPUTED_VALUE"""),15.0)</f>
        <v>15</v>
      </c>
      <c r="AP10" s="213">
        <f t="shared" si="7"/>
        <v>0</v>
      </c>
      <c r="AQ10" s="985">
        <f>IFERROR(__xludf.DUMMYFUNCTION("""COMPUTED_VALUE"""),69.93333333333334)</f>
        <v>69.93333333</v>
      </c>
      <c r="AR10" s="213">
        <f>IFERROR(__xludf.DUMMYFUNCTION("""COMPUTED_VALUE"""),32.0)</f>
        <v>32</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263</v>
      </c>
      <c r="D11" s="975" t="s">
        <v>89</v>
      </c>
      <c r="E11" s="975" t="s">
        <v>707</v>
      </c>
      <c r="F11" s="976">
        <f t="shared" si="2"/>
        <v>26</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113.2833333</v>
      </c>
      <c r="J11" s="979">
        <f t="shared" si="22"/>
        <v>237</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IFERROR(__xludf.DUMMYFUNCTION("""COMPUTED_VALUE"""),7.0)</f>
        <v>7</v>
      </c>
      <c r="AP11" s="213">
        <f t="shared" si="7"/>
        <v>0</v>
      </c>
      <c r="AQ11" s="985">
        <f>IFERROR(__xludf.DUMMYFUNCTION("""COMPUTED_VALUE"""),29.4)</f>
        <v>29.4</v>
      </c>
      <c r="AR11" s="213">
        <f>IFERROR(__xludf.DUMMYFUNCTION("""COMPUTED_VALUE"""),62.0)</f>
        <v>62</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424</v>
      </c>
      <c r="D12" s="975" t="s">
        <v>89</v>
      </c>
      <c r="E12" s="975" t="s">
        <v>706</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261</v>
      </c>
      <c r="D13" s="975" t="s">
        <v>89</v>
      </c>
      <c r="E13" s="975" t="s">
        <v>707</v>
      </c>
      <c r="F13" s="976">
        <f t="shared" si="2"/>
        <v>29</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110.2</v>
      </c>
      <c r="J13" s="979">
        <f t="shared" si="24"/>
        <v>49</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IFERROR(__xludf.DUMMYFUNCTION("""COMPUTED_VALUE"""),8.0)</f>
        <v>8</v>
      </c>
      <c r="AP13" s="213">
        <f t="shared" si="7"/>
        <v>0</v>
      </c>
      <c r="AQ13" s="985">
        <f>IFERROR(__xludf.DUMMYFUNCTION("""COMPUTED_VALUE"""),33.516666666666666)</f>
        <v>33.51666667</v>
      </c>
      <c r="AR13" s="213">
        <f>IFERROR(__xludf.DUMMYFUNCTION("""COMPUTED_VALUE"""),33.0)</f>
        <v>33</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267</v>
      </c>
      <c r="D14" s="975" t="s">
        <v>89</v>
      </c>
      <c r="E14" s="975" t="s">
        <v>707</v>
      </c>
      <c r="F14" s="976">
        <f t="shared" si="2"/>
        <v>24</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84.06666667</v>
      </c>
      <c r="J14" s="979">
        <f t="shared" si="25"/>
        <v>20</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IFERROR(__xludf.DUMMYFUNCTION("""COMPUTED_VALUE"""),5.0)</f>
        <v>5</v>
      </c>
      <c r="AP14" s="213">
        <f t="shared" si="7"/>
        <v>0</v>
      </c>
      <c r="AQ14" s="985">
        <f>IFERROR(__xludf.DUMMYFUNCTION("""COMPUTED_VALUE"""),14.4)</f>
        <v>14.4</v>
      </c>
      <c r="AR14" s="213">
        <f>IFERROR(__xludf.DUMMYFUNCTION("""COMPUTED_VALUE"""),8.0)</f>
        <v>8</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270</v>
      </c>
      <c r="D15" s="975" t="s">
        <v>89</v>
      </c>
      <c r="E15" s="975" t="s">
        <v>707</v>
      </c>
      <c r="F15" s="976">
        <f t="shared" si="2"/>
        <v>60</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206.1666667</v>
      </c>
      <c r="J15" s="979">
        <f t="shared" si="26"/>
        <v>178</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IFERROR(__xludf.DUMMYFUNCTION("""COMPUTED_VALUE"""),15.0)</f>
        <v>15</v>
      </c>
      <c r="AP15" s="213">
        <f t="shared" si="7"/>
        <v>0</v>
      </c>
      <c r="AQ15" s="985">
        <f>IFERROR(__xludf.DUMMYFUNCTION("""COMPUTED_VALUE"""),54.38333333333333)</f>
        <v>54.38333333</v>
      </c>
      <c r="AR15" s="213">
        <f>IFERROR(__xludf.DUMMYFUNCTION("""COMPUTED_VALUE"""),47.0)</f>
        <v>47</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285</v>
      </c>
      <c r="D16" s="975" t="s">
        <v>89</v>
      </c>
      <c r="E16" s="975" t="s">
        <v>707</v>
      </c>
      <c r="F16" s="976">
        <f t="shared" si="2"/>
        <v>69</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302.6666667</v>
      </c>
      <c r="J16" s="979">
        <f t="shared" si="27"/>
        <v>364</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IFERROR(__xludf.DUMMYFUNCTION("""COMPUTED_VALUE"""),18.0)</f>
        <v>18</v>
      </c>
      <c r="AP16" s="213">
        <f t="shared" si="7"/>
        <v>0</v>
      </c>
      <c r="AQ16" s="985">
        <f>IFERROR(__xludf.DUMMYFUNCTION("""COMPUTED_VALUE"""),75.23333333333333)</f>
        <v>75.23333333</v>
      </c>
      <c r="AR16" s="213">
        <f>IFERROR(__xludf.DUMMYFUNCTION("""COMPUTED_VALUE"""),72.0)</f>
        <v>72</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2375.0</v>
      </c>
      <c r="C17" s="1000" t="s">
        <v>268</v>
      </c>
      <c r="D17" s="975" t="s">
        <v>89</v>
      </c>
      <c r="E17" s="975" t="s">
        <v>707</v>
      </c>
      <c r="F17" s="976">
        <f t="shared" si="2"/>
        <v>31</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39.65</v>
      </c>
      <c r="J17" s="979">
        <f t="shared" si="28"/>
        <v>75</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IFERROR(__xludf.DUMMYFUNCTION("""COMPUTED_VALUE"""),2375.0)</f>
        <v>2375</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IFERROR(__xludf.DUMMYFUNCTION("""COMPUTED_VALUE"""),10.0)</f>
        <v>10</v>
      </c>
      <c r="AP17" s="213">
        <f t="shared" si="7"/>
        <v>0</v>
      </c>
      <c r="AQ17" s="985">
        <f>IFERROR(__xludf.DUMMYFUNCTION("""COMPUTED_VALUE"""),39.65)</f>
        <v>39.65</v>
      </c>
      <c r="AR17" s="213">
        <f>IFERROR(__xludf.DUMMYFUNCTION("""COMPUTED_VALUE"""),29.0)</f>
        <v>29</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426</v>
      </c>
      <c r="D18" s="975" t="s">
        <v>89</v>
      </c>
      <c r="E18" s="975" t="s">
        <v>707</v>
      </c>
      <c r="F18" s="976">
        <f t="shared" si="2"/>
        <v>18</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103.5666667</v>
      </c>
      <c r="J18" s="979">
        <f t="shared" si="29"/>
        <v>54</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IFERROR(__xludf.DUMMYFUNCTION("""COMPUTED_VALUE"""),"歩合")</f>
        <v>歩合</v>
      </c>
      <c r="AO18" s="984">
        <f>IFERROR(__xludf.DUMMYFUNCTION("""COMPUTED_VALUE"""),6.0)</f>
        <v>6</v>
      </c>
      <c r="AP18" s="213">
        <f t="shared" si="7"/>
        <v>0</v>
      </c>
      <c r="AQ18" s="985">
        <f>IFERROR(__xludf.DUMMYFUNCTION("""COMPUTED_VALUE"""),41.0)</f>
        <v>41</v>
      </c>
      <c r="AR18" s="213">
        <f>IFERROR(__xludf.DUMMYFUNCTION("""COMPUTED_VALUE"""),36.0)</f>
        <v>36</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256</v>
      </c>
      <c r="D19" s="975" t="s">
        <v>89</v>
      </c>
      <c r="E19" s="975" t="s">
        <v>707</v>
      </c>
      <c r="F19" s="976">
        <f t="shared" si="2"/>
        <v>35</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111.15</v>
      </c>
      <c r="J19" s="979">
        <f t="shared" si="30"/>
        <v>58</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IFERROR(__xludf.DUMMYFUNCTION("""COMPUTED_VALUE"""),13.0)</f>
        <v>13</v>
      </c>
      <c r="AP19" s="213">
        <f t="shared" si="7"/>
        <v>0</v>
      </c>
      <c r="AQ19" s="985">
        <f>IFERROR(__xludf.DUMMYFUNCTION("""COMPUTED_VALUE"""),43.766666666666666)</f>
        <v>43.76666667</v>
      </c>
      <c r="AR19" s="213">
        <f>IFERROR(__xludf.DUMMYFUNCTION("""COMPUTED_VALUE"""),22.0)</f>
        <v>22</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258</v>
      </c>
      <c r="D20" s="975" t="s">
        <v>89</v>
      </c>
      <c r="E20" s="975" t="s">
        <v>707</v>
      </c>
      <c r="F20" s="976">
        <f t="shared" si="2"/>
        <v>19</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101.2166667</v>
      </c>
      <c r="J20" s="979">
        <f t="shared" si="31"/>
        <v>76</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IFERROR(__xludf.DUMMYFUNCTION("""COMPUTED_VALUE"""),2375.0)</f>
        <v>2375</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IFERROR(__xludf.DUMMYFUNCTION("""COMPUTED_VALUE"""),"歩合")</f>
        <v>歩合</v>
      </c>
      <c r="AO20" s="984">
        <f>IFERROR(__xludf.DUMMYFUNCTION("""COMPUTED_VALUE"""),6.0)</f>
        <v>6</v>
      </c>
      <c r="AP20" s="213">
        <f t="shared" si="7"/>
        <v>0</v>
      </c>
      <c r="AQ20" s="985">
        <f>IFERROR(__xludf.DUMMYFUNCTION("""COMPUTED_VALUE"""),38.6)</f>
        <v>38.6</v>
      </c>
      <c r="AR20" s="213">
        <f>IFERROR(__xludf.DUMMYFUNCTION("""COMPUTED_VALUE"""),25.0)</f>
        <v>25</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2429.0</v>
      </c>
      <c r="C21" s="1000" t="s">
        <v>427</v>
      </c>
      <c r="D21" s="975" t="s">
        <v>89</v>
      </c>
      <c r="E21" s="975" t="s">
        <v>644</v>
      </c>
      <c r="F21" s="976">
        <f t="shared" si="2"/>
        <v>3</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19.46666667</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IFERROR(__xludf.DUMMYFUNCTION("""COMPUTED_VALUE"""),2429.0)</f>
        <v>2429</v>
      </c>
      <c r="AL21" s="1003" t="str">
        <f>IFERROR(__xludf.DUMMYFUNCTION("""COMPUTED_VALUE"""),"プラギヤ")</f>
        <v>プラギヤ</v>
      </c>
      <c r="AM21" s="213" t="str">
        <f>IFERROR(__xludf.DUMMYFUNCTION("""COMPUTED_VALUE"""),"メイド")</f>
        <v>メイド</v>
      </c>
      <c r="AN21" s="213" t="str">
        <f>IFERROR(__xludf.DUMMYFUNCTION("""COMPUTED_VALUE"""),"時給")</f>
        <v>時給</v>
      </c>
      <c r="AO21" s="984">
        <f>IFERROR(__xludf.DUMMYFUNCTION("""COMPUTED_VALUE"""),3.0)</f>
        <v>3</v>
      </c>
      <c r="AP21" s="213">
        <f t="shared" si="7"/>
        <v>0</v>
      </c>
      <c r="AQ21" s="985">
        <f>IFERROR(__xludf.DUMMYFUNCTION("""COMPUTED_VALUE"""),19.466666666666665)</f>
        <v>19.46666667</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v>2422.0</v>
      </c>
      <c r="C22" s="1000" t="s">
        <v>273</v>
      </c>
      <c r="D22" s="975" t="s">
        <v>89</v>
      </c>
      <c r="E22" s="975" t="s">
        <v>644</v>
      </c>
      <c r="F22" s="976">
        <f t="shared" si="2"/>
        <v>14</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74.26666667</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f>IFERROR(__xludf.DUMMYFUNCTION("""COMPUTED_VALUE"""),2422.0)</f>
        <v>2422</v>
      </c>
      <c r="AL22" s="1003" t="str">
        <f>IFERROR(__xludf.DUMMYFUNCTION("""COMPUTED_VALUE"""),"シャロン")</f>
        <v>シャロン</v>
      </c>
      <c r="AM22" s="213" t="str">
        <f>IFERROR(__xludf.DUMMYFUNCTION("""COMPUTED_VALUE"""),"メイド")</f>
        <v>メイド</v>
      </c>
      <c r="AN22" s="213" t="str">
        <f>IFERROR(__xludf.DUMMYFUNCTION("""COMPUTED_VALUE"""),"時給")</f>
        <v>時給</v>
      </c>
      <c r="AO22" s="984">
        <f>IFERROR(__xludf.DUMMYFUNCTION("""COMPUTED_VALUE"""),12.0)</f>
        <v>12</v>
      </c>
      <c r="AP22" s="213">
        <f t="shared" si="7"/>
        <v>0</v>
      </c>
      <c r="AQ22" s="985">
        <f>IFERROR(__xludf.DUMMYFUNCTION("""COMPUTED_VALUE"""),64.25)</f>
        <v>64.25</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706</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706</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f>IFERROR(__xludf.DUMMYFUNCTION("""COMPUTED_VALUE"""),2356.0)</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706</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f>IFERROR(__xludf.DUMMYFUNCTION("""COMPUTED_VALUE"""),2422.0)</f>
        <v>2422</v>
      </c>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706</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706</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706</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706</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706</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706</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706</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706</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706</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706</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706</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706</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706</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706</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706</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706</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706</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706</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706</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706</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706</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706</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706</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706</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706</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706</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706</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706</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706</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706</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706</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706</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706</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706</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706</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706</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706</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706</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706</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706</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706</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706</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706</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706</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706</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706</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706</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706</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706</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706</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706</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706</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706</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706</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706</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706</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706</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706</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706</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706</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706</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706</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706</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706</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706</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706</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706</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IFERROR(__xludf.DUMMYFUNCTION("""COMPUTED_VALUE"""),366.0)</f>
        <v>366</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706</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706</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706</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706</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706</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706</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292</v>
      </c>
    </row>
    <row r="2" ht="19.5" customHeight="1">
      <c r="B2" s="1011" t="s">
        <v>708</v>
      </c>
      <c r="D2" s="5"/>
      <c r="I2" s="1010" t="s">
        <v>292</v>
      </c>
    </row>
    <row r="3" ht="8.25" customHeight="1">
      <c r="B3" s="1012"/>
      <c r="D3" s="5"/>
    </row>
    <row r="4">
      <c r="B4" s="1013" t="s">
        <v>709</v>
      </c>
      <c r="C4" s="1014" t="s">
        <v>710</v>
      </c>
      <c r="D4" s="217"/>
      <c r="E4" s="217"/>
      <c r="F4" s="217"/>
      <c r="G4" s="217"/>
      <c r="H4" s="2"/>
      <c r="I4" s="1015" t="s">
        <v>711</v>
      </c>
      <c r="J4" s="217"/>
      <c r="K4" s="217"/>
      <c r="L4" s="217"/>
      <c r="M4" s="2"/>
      <c r="N4" s="1016" t="s">
        <v>224</v>
      </c>
      <c r="O4" s="230"/>
      <c r="P4" s="232"/>
      <c r="R4" s="201" t="s">
        <v>95</v>
      </c>
      <c r="S4" s="201" t="s">
        <v>96</v>
      </c>
    </row>
    <row r="5">
      <c r="B5" s="344"/>
      <c r="C5" s="1017" t="s">
        <v>466</v>
      </c>
      <c r="D5" s="1018" t="s">
        <v>712</v>
      </c>
      <c r="E5" s="1019" t="s">
        <v>713</v>
      </c>
      <c r="F5" s="1019" t="s">
        <v>714</v>
      </c>
      <c r="G5" s="1019" t="s">
        <v>392</v>
      </c>
      <c r="H5" s="1020" t="s">
        <v>715</v>
      </c>
      <c r="I5" s="1021" t="s">
        <v>466</v>
      </c>
      <c r="J5" s="1022" t="s">
        <v>716</v>
      </c>
      <c r="K5" s="1023"/>
      <c r="L5" s="1022" t="s">
        <v>717</v>
      </c>
      <c r="M5" s="204"/>
      <c r="N5" s="221"/>
      <c r="O5" s="221"/>
      <c r="P5" s="107"/>
      <c r="R5" s="207"/>
      <c r="S5" s="207"/>
    </row>
    <row r="6">
      <c r="B6" s="1024"/>
      <c r="C6" s="1025" t="s">
        <v>718</v>
      </c>
      <c r="D6" s="1026" t="s">
        <v>719</v>
      </c>
      <c r="E6" s="1027" t="s">
        <v>720</v>
      </c>
      <c r="F6" s="1027" t="s">
        <v>721</v>
      </c>
      <c r="G6" s="1027" t="s">
        <v>722</v>
      </c>
      <c r="H6" s="1028" t="s">
        <v>723</v>
      </c>
      <c r="I6" s="1029" t="s">
        <v>724</v>
      </c>
      <c r="J6" s="1030" t="s">
        <v>725</v>
      </c>
      <c r="K6" s="1031"/>
      <c r="L6" s="1030" t="s">
        <v>726</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727</v>
      </c>
    </row>
    <row r="3">
      <c r="A3" s="902">
        <v>2.0</v>
      </c>
      <c r="B3" s="1067">
        <f>IFERROR(__xludf.DUMMYFUNCTION("iferror(IMPORTRANGE('①R8_2集計'!$AT$9, ""日別集計!D5:AH5""),""ファイルなし"")"),39445.0)</f>
        <v>39445</v>
      </c>
      <c r="C3" s="20">
        <f>IFERROR(__xludf.DUMMYFUNCTION("""COMPUTED_VALUE"""),33120.0)</f>
        <v>33120</v>
      </c>
      <c r="D3" s="20">
        <f>IFERROR(__xludf.DUMMYFUNCTION("""COMPUTED_VALUE"""),43580.0)</f>
        <v>43580</v>
      </c>
      <c r="E3" s="20">
        <f>IFERROR(__xludf.DUMMYFUNCTION("""COMPUTED_VALUE"""),37751.0)</f>
        <v>37751</v>
      </c>
      <c r="F3" s="20">
        <f>IFERROR(__xludf.DUMMYFUNCTION("""COMPUTED_VALUE"""),40728.0)</f>
        <v>40728</v>
      </c>
      <c r="G3" s="20">
        <f>IFERROR(__xludf.DUMMYFUNCTION("""COMPUTED_VALUE"""),49126.0)</f>
        <v>49126</v>
      </c>
      <c r="H3" s="20">
        <f>IFERROR(__xludf.DUMMYFUNCTION("""COMPUTED_VALUE"""),54173.0)</f>
        <v>54173</v>
      </c>
      <c r="I3" s="20">
        <f>IFERROR(__xludf.DUMMYFUNCTION("""COMPUTED_VALUE"""),56460.0)</f>
        <v>56460</v>
      </c>
      <c r="J3" s="20">
        <f>IFERROR(__xludf.DUMMYFUNCTION("""COMPUTED_VALUE"""),46498.0)</f>
        <v>46498</v>
      </c>
      <c r="K3" s="20">
        <f>IFERROR(__xludf.DUMMYFUNCTION("""COMPUTED_VALUE"""),50328.0)</f>
        <v>50328</v>
      </c>
      <c r="L3" s="20">
        <f>IFERROR(__xludf.DUMMYFUNCTION("""COMPUTED_VALUE"""),38854.0)</f>
        <v>38854</v>
      </c>
      <c r="M3" s="20">
        <f>IFERROR(__xludf.DUMMYFUNCTION("""COMPUTED_VALUE"""),37023.0)</f>
        <v>37023</v>
      </c>
      <c r="N3" s="20">
        <f>IFERROR(__xludf.DUMMYFUNCTION("""COMPUTED_VALUE"""),57742.0)</f>
        <v>57742</v>
      </c>
      <c r="O3" s="20">
        <f>IFERROR(__xludf.DUMMYFUNCTION("""COMPUTED_VALUE"""),39418.0)</f>
        <v>39418</v>
      </c>
      <c r="P3" s="20">
        <f>IFERROR(__xludf.DUMMYFUNCTION("""COMPUTED_VALUE"""),43850.0)</f>
        <v>43850</v>
      </c>
      <c r="Q3" s="20">
        <f>IFERROR(__xludf.DUMMYFUNCTION("""COMPUTED_VALUE"""),38274.0)</f>
        <v>38274</v>
      </c>
      <c r="R3" s="20">
        <f>IFERROR(__xludf.DUMMYFUNCTION("""COMPUTED_VALUE"""),49519.0)</f>
        <v>49519</v>
      </c>
      <c r="S3" s="20">
        <f>IFERROR(__xludf.DUMMYFUNCTION("""COMPUTED_VALUE"""),53680.0)</f>
        <v>53680</v>
      </c>
      <c r="T3" s="20">
        <f>IFERROR(__xludf.DUMMYFUNCTION("""COMPUTED_VALUE"""),62336.0)</f>
        <v>62336</v>
      </c>
      <c r="U3" s="20">
        <f>IFERROR(__xludf.DUMMYFUNCTION("""COMPUTED_VALUE"""),67750.0)</f>
        <v>67750</v>
      </c>
      <c r="V3" s="20">
        <f>IFERROR(__xludf.DUMMYFUNCTION("""COMPUTED_VALUE"""),42134.0)</f>
        <v>42134</v>
      </c>
      <c r="W3" s="20">
        <f>IFERROR(__xludf.DUMMYFUNCTION("""COMPUTED_VALUE"""),55382.0)</f>
        <v>55382</v>
      </c>
      <c r="X3" s="20">
        <f>IFERROR(__xludf.DUMMYFUNCTION("""COMPUTED_VALUE"""),61923.0)</f>
        <v>61923</v>
      </c>
      <c r="Y3" s="20">
        <f>IFERROR(__xludf.DUMMYFUNCTION("""COMPUTED_VALUE"""),45798.0)</f>
        <v>45798</v>
      </c>
      <c r="Z3" s="20">
        <f>IFERROR(__xludf.DUMMYFUNCTION("""COMPUTED_VALUE"""),42703.0)</f>
        <v>42703</v>
      </c>
      <c r="AA3" s="20">
        <f>IFERROR(__xludf.DUMMYFUNCTION("""COMPUTED_VALUE"""),37530.0)</f>
        <v>37530</v>
      </c>
      <c r="AB3" s="20">
        <f>IFERROR(__xludf.DUMMYFUNCTION("""COMPUTED_VALUE"""),44050.0)</f>
        <v>44050</v>
      </c>
      <c r="AC3" s="20">
        <f>IFERROR(__xludf.DUMMYFUNCTION("""COMPUTED_VALUE"""),38184.0)</f>
        <v>38184</v>
      </c>
      <c r="AD3" s="20">
        <f>IFERROR(__xludf.DUMMYFUNCTION("""COMPUTED_VALUE"""),0.0)</f>
        <v>0</v>
      </c>
      <c r="AE3" s="20">
        <f>IFERROR(__xludf.DUMMYFUNCTION("""COMPUTED_VALUE"""),0.0)</f>
        <v>0</v>
      </c>
      <c r="AF3" s="20">
        <f>IFERROR(__xludf.DUMMYFUNCTION("""COMPUTED_VALUE"""),0.0)</f>
        <v>0</v>
      </c>
      <c r="AG3" s="1068"/>
      <c r="AH3" s="1068"/>
    </row>
    <row r="4">
      <c r="A4" s="902">
        <v>3.0</v>
      </c>
      <c r="B4" s="1069">
        <f>IFERROR(__xludf.DUMMYFUNCTION("iferror(IMPORTRANGE('①R8_3集計'!$AT$9, ""日別集計!D5:AH5""),""ファイルなし"")"),43970.0)</f>
        <v>43970</v>
      </c>
      <c r="C4" s="20">
        <f>IFERROR(__xludf.DUMMYFUNCTION("""COMPUTED_VALUE"""),40663.0)</f>
        <v>40663</v>
      </c>
      <c r="D4" s="20">
        <f>IFERROR(__xludf.DUMMYFUNCTION("""COMPUTED_VALUE"""),38993.0)</f>
        <v>38993</v>
      </c>
      <c r="E4" s="20">
        <f>IFERROR(__xludf.DUMMYFUNCTION("""COMPUTED_VALUE"""),45739.0)</f>
        <v>45739</v>
      </c>
      <c r="F4" s="20">
        <f>IFERROR(__xludf.DUMMYFUNCTION("""COMPUTED_VALUE"""),42039.0)</f>
        <v>42039</v>
      </c>
      <c r="G4" s="20">
        <f>IFERROR(__xludf.DUMMYFUNCTION("""COMPUTED_VALUE"""),58124.0)</f>
        <v>58124</v>
      </c>
      <c r="H4" s="20">
        <f>IFERROR(__xludf.DUMMYFUNCTION("""COMPUTED_VALUE"""),40391.0)</f>
        <v>40391</v>
      </c>
      <c r="I4" s="20">
        <f>IFERROR(__xludf.DUMMYFUNCTION("""COMPUTED_VALUE"""),62620.0)</f>
        <v>62620</v>
      </c>
      <c r="J4" s="20">
        <f>IFERROR(__xludf.DUMMYFUNCTION("""COMPUTED_VALUE"""),41579.0)</f>
        <v>41579</v>
      </c>
      <c r="K4" s="20">
        <f>IFERROR(__xludf.DUMMYFUNCTION("""COMPUTED_VALUE"""),41142.0)</f>
        <v>41142</v>
      </c>
      <c r="L4" s="20">
        <f>IFERROR(__xludf.DUMMYFUNCTION("""COMPUTED_VALUE"""),51377.0)</f>
        <v>51377</v>
      </c>
      <c r="M4" s="20">
        <f>IFERROR(__xludf.DUMMYFUNCTION("""COMPUTED_VALUE"""),41926.0)</f>
        <v>41926</v>
      </c>
      <c r="N4" s="20">
        <f>IFERROR(__xludf.DUMMYFUNCTION("""COMPUTED_VALUE"""),48335.0)</f>
        <v>48335</v>
      </c>
      <c r="O4" s="20">
        <f>IFERROR(__xludf.DUMMYFUNCTION("""COMPUTED_VALUE"""),54493.0)</f>
        <v>54493</v>
      </c>
      <c r="P4" s="20">
        <f>IFERROR(__xludf.DUMMYFUNCTION("""COMPUTED_VALUE"""),68165.0)</f>
        <v>68165</v>
      </c>
      <c r="Q4" s="20">
        <f>IFERROR(__xludf.DUMMYFUNCTION("""COMPUTED_VALUE"""),35431.0)</f>
        <v>35431</v>
      </c>
      <c r="R4" s="20">
        <f>IFERROR(__xludf.DUMMYFUNCTION("""COMPUTED_VALUE"""),49321.0)</f>
        <v>49321</v>
      </c>
      <c r="S4" s="20">
        <f>IFERROR(__xludf.DUMMYFUNCTION("""COMPUTED_VALUE"""),57610.0)</f>
        <v>57610</v>
      </c>
      <c r="T4" s="20">
        <f>IFERROR(__xludf.DUMMYFUNCTION("""COMPUTED_VALUE"""),48312.0)</f>
        <v>48312</v>
      </c>
      <c r="U4" s="20">
        <f>IFERROR(__xludf.DUMMYFUNCTION("""COMPUTED_VALUE"""),38713.0)</f>
        <v>38713</v>
      </c>
      <c r="V4" s="20">
        <f>IFERROR(__xludf.DUMMYFUNCTION("""COMPUTED_VALUE"""),52061.0)</f>
        <v>52061</v>
      </c>
      <c r="W4" s="20">
        <f>IFERROR(__xludf.DUMMYFUNCTION("""COMPUTED_VALUE"""),55824.0)</f>
        <v>55824</v>
      </c>
      <c r="X4" s="20">
        <f>IFERROR(__xludf.DUMMYFUNCTION("""COMPUTED_VALUE"""),36776.0)</f>
        <v>36776</v>
      </c>
      <c r="Y4" s="20">
        <f>IFERROR(__xludf.DUMMYFUNCTION("""COMPUTED_VALUE"""),42773.0)</f>
        <v>42773</v>
      </c>
      <c r="Z4" s="20">
        <f>IFERROR(__xludf.DUMMYFUNCTION("""COMPUTED_VALUE"""),46023.0)</f>
        <v>46023</v>
      </c>
      <c r="AA4" s="20">
        <f>IFERROR(__xludf.DUMMYFUNCTION("""COMPUTED_VALUE"""),45727.0)</f>
        <v>45727</v>
      </c>
      <c r="AB4" s="20">
        <f>IFERROR(__xludf.DUMMYFUNCTION("""COMPUTED_VALUE"""),60018.0)</f>
        <v>60018</v>
      </c>
      <c r="AC4" s="20">
        <f>IFERROR(__xludf.DUMMYFUNCTION("""COMPUTED_VALUE"""),54828.0)</f>
        <v>54828</v>
      </c>
      <c r="AD4" s="20">
        <f>IFERROR(__xludf.DUMMYFUNCTION("""COMPUTED_VALUE"""),62507.0)</f>
        <v>62507</v>
      </c>
      <c r="AE4" s="20">
        <f>IFERROR(__xludf.DUMMYFUNCTION("""COMPUTED_VALUE"""),45441.0)</f>
        <v>45441</v>
      </c>
      <c r="AF4" s="20">
        <f>IFERROR(__xludf.DUMMYFUNCTION("""COMPUTED_VALUE"""),49848.0)</f>
        <v>49848</v>
      </c>
    </row>
    <row r="5">
      <c r="A5" s="902">
        <v>4.0</v>
      </c>
      <c r="B5" s="1069">
        <f>IFERROR(__xludf.DUMMYFUNCTION("iferror(IMPORTRANGE('①R8_4集計'!$AT$9, ""日別集計!D5:AH5""),""ファイルなし"")"),54184.0)</f>
        <v>54184</v>
      </c>
      <c r="C5" s="20">
        <f>IFERROR(__xludf.DUMMYFUNCTION("""COMPUTED_VALUE"""),50353.0)</f>
        <v>50353</v>
      </c>
      <c r="D5" s="20">
        <f>IFERROR(__xludf.DUMMYFUNCTION("""COMPUTED_VALUE"""),49470.0)</f>
        <v>49470</v>
      </c>
      <c r="E5" s="20">
        <f>IFERROR(__xludf.DUMMYFUNCTION("""COMPUTED_VALUE"""),53166.0)</f>
        <v>53166</v>
      </c>
      <c r="F5" s="20">
        <f>IFERROR(__xludf.DUMMYFUNCTION("""COMPUTED_VALUE"""),54730.0)</f>
        <v>54730</v>
      </c>
      <c r="G5" s="20">
        <f>IFERROR(__xludf.DUMMYFUNCTION("""COMPUTED_VALUE"""),52647.0)</f>
        <v>52647</v>
      </c>
      <c r="H5" s="20">
        <f>IFERROR(__xludf.DUMMYFUNCTION("""COMPUTED_VALUE"""),39627.0)</f>
        <v>39627</v>
      </c>
      <c r="I5" s="20">
        <f>IFERROR(__xludf.DUMMYFUNCTION("""COMPUTED_VALUE"""),59585.0)</f>
        <v>59585</v>
      </c>
      <c r="J5" s="20">
        <f>IFERROR(__xludf.DUMMYFUNCTION("""COMPUTED_VALUE"""),51082.0)</f>
        <v>51082</v>
      </c>
      <c r="K5" s="20">
        <f>IFERROR(__xludf.DUMMYFUNCTION("""COMPUTED_VALUE"""),60635.0)</f>
        <v>60635</v>
      </c>
      <c r="L5" s="20">
        <f>IFERROR(__xludf.DUMMYFUNCTION("""COMPUTED_VALUE"""),60697.0)</f>
        <v>60697</v>
      </c>
      <c r="M5" s="20">
        <f>IFERROR(__xludf.DUMMYFUNCTION("""COMPUTED_VALUE"""),58130.0)</f>
        <v>58130</v>
      </c>
      <c r="N5" s="20">
        <f>IFERROR(__xludf.DUMMYFUNCTION("""COMPUTED_VALUE"""),52170.0)</f>
        <v>52170</v>
      </c>
      <c r="O5" s="20">
        <f>IFERROR(__xludf.DUMMYFUNCTION("""COMPUTED_VALUE"""),48750.0)</f>
        <v>48750</v>
      </c>
      <c r="P5" s="20">
        <f>IFERROR(__xludf.DUMMYFUNCTION("""COMPUTED_VALUE"""),50917.0)</f>
        <v>50917</v>
      </c>
      <c r="Q5" s="20">
        <f>IFERROR(__xludf.DUMMYFUNCTION("""COMPUTED_VALUE"""),53346.0)</f>
        <v>53346</v>
      </c>
      <c r="R5" s="20">
        <f>IFERROR(__xludf.DUMMYFUNCTION("""COMPUTED_VALUE"""),62676.0)</f>
        <v>62676</v>
      </c>
      <c r="S5" s="20">
        <f>IFERROR(__xludf.DUMMYFUNCTION("""COMPUTED_VALUE"""),57084.0)</f>
        <v>57084</v>
      </c>
      <c r="T5" s="20">
        <f>IFERROR(__xludf.DUMMYFUNCTION("""COMPUTED_VALUE"""),68748.0)</f>
        <v>68748</v>
      </c>
      <c r="U5" s="20">
        <f>IFERROR(__xludf.DUMMYFUNCTION("""COMPUTED_VALUE"""),7182.0)</f>
        <v>7182</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295"/>
    </row>
    <row r="30">
      <c r="B30" s="1071" t="s">
        <v>728</v>
      </c>
      <c r="C30" s="230"/>
      <c r="D30" s="230"/>
      <c r="E30" s="230"/>
      <c r="F30" s="232"/>
      <c r="I30" s="295"/>
    </row>
    <row r="31">
      <c r="B31" s="1072" t="s">
        <v>729</v>
      </c>
      <c r="C31" s="1073" t="s">
        <v>302</v>
      </c>
      <c r="D31" s="1074" t="s">
        <v>303</v>
      </c>
      <c r="E31" s="1074" t="s">
        <v>645</v>
      </c>
      <c r="F31" s="1075" t="s">
        <v>300</v>
      </c>
      <c r="I31" s="295"/>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295"/>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730</v>
      </c>
      <c r="E44" s="1010" t="s">
        <v>730</v>
      </c>
      <c r="F44" s="1010" t="s">
        <v>730</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5" t="s">
        <v>290</v>
      </c>
      <c r="C1" s="406">
        <f>BB30</f>
        <v>0</v>
      </c>
      <c r="D1" s="406">
        <f>AZ20</f>
        <v>0</v>
      </c>
      <c r="E1" s="406">
        <f>BG23</f>
        <v>1448290</v>
      </c>
      <c r="F1" s="406">
        <f>BB23+BG40</f>
        <v>0</v>
      </c>
      <c r="G1" s="406">
        <f t="shared" ref="G1:H1" si="1">I8</f>
        <v>0</v>
      </c>
      <c r="H1" s="406">
        <f t="shared" si="1"/>
        <v>0</v>
      </c>
      <c r="I1" s="407" t="str">
        <f>G8</f>
        <v>#DIV/0!</v>
      </c>
      <c r="J1" s="407" t="str">
        <f>AT7</f>
        <v>#DIV/0!</v>
      </c>
      <c r="K1" s="408">
        <f>AV44</f>
        <v>0</v>
      </c>
      <c r="L1" s="409">
        <f>F44</f>
        <v>0</v>
      </c>
      <c r="M1" s="410" t="str">
        <f>if(C7&lt;C8,"達成","未達成")</f>
        <v>#DIV/0!</v>
      </c>
      <c r="N1" s="411"/>
      <c r="O1" s="411"/>
      <c r="P1" s="411"/>
      <c r="Q1" s="411"/>
      <c r="R1" s="411"/>
      <c r="S1" s="411"/>
      <c r="T1" s="411"/>
      <c r="U1" s="411"/>
      <c r="V1" s="411"/>
      <c r="W1" s="411"/>
      <c r="X1" s="411"/>
      <c r="Y1" s="411"/>
      <c r="Z1" s="411"/>
      <c r="AA1" s="411"/>
      <c r="AB1" s="411"/>
      <c r="AC1" s="411"/>
      <c r="AD1" s="411"/>
      <c r="AE1" s="411"/>
      <c r="AF1" s="411"/>
      <c r="AG1" s="411"/>
      <c r="AH1" s="411"/>
      <c r="AI1" s="411"/>
      <c r="AJ1" s="411"/>
      <c r="AK1" s="411"/>
      <c r="AL1" s="411"/>
      <c r="AM1" s="411"/>
      <c r="AN1" s="411"/>
      <c r="AO1" s="411"/>
      <c r="AP1" s="411"/>
      <c r="AQ1" s="411"/>
      <c r="AR1" s="411"/>
      <c r="AS1" s="411"/>
      <c r="AT1" s="411"/>
      <c r="AU1" s="411"/>
      <c r="AV1" s="411"/>
      <c r="AW1" s="411"/>
      <c r="AX1" s="411"/>
      <c r="AY1" s="411"/>
      <c r="AZ1" s="412"/>
      <c r="BA1" s="413"/>
      <c r="BB1" s="412"/>
      <c r="BC1" s="408"/>
      <c r="BD1" s="411"/>
      <c r="BE1" s="411"/>
      <c r="BF1" s="411"/>
      <c r="BG1" s="411"/>
      <c r="BH1" s="411"/>
      <c r="BI1" s="411"/>
      <c r="BJ1" s="411"/>
      <c r="BK1" s="411"/>
      <c r="BL1" s="414"/>
      <c r="BM1" s="411"/>
      <c r="BN1" s="411"/>
      <c r="BO1" s="411"/>
      <c r="BP1" s="411"/>
      <c r="BQ1" s="411"/>
      <c r="BR1" s="411"/>
      <c r="BS1" s="411"/>
      <c r="BT1" s="411"/>
      <c r="BU1" s="411"/>
      <c r="BV1" s="411"/>
      <c r="BW1" s="411"/>
      <c r="BX1" s="411"/>
      <c r="BY1" s="411"/>
      <c r="BZ1" s="411"/>
      <c r="CA1" s="411"/>
    </row>
    <row r="2" ht="15.75" customHeight="1" collapsed="1">
      <c r="A2" s="415"/>
      <c r="B2" s="416"/>
      <c r="C2" s="416"/>
      <c r="D2" s="416"/>
      <c r="E2" s="416"/>
      <c r="F2" s="416"/>
      <c r="G2" s="416"/>
      <c r="H2" s="416"/>
      <c r="I2" s="416"/>
      <c r="J2" s="416"/>
      <c r="K2" s="416"/>
      <c r="L2" s="416"/>
      <c r="M2" s="416"/>
      <c r="N2" s="416"/>
      <c r="O2" s="416"/>
      <c r="P2" s="416"/>
      <c r="Q2" s="416"/>
      <c r="R2" s="416"/>
      <c r="S2" s="416"/>
      <c r="T2" s="416"/>
      <c r="U2" s="416"/>
      <c r="V2" s="416"/>
      <c r="W2" s="416"/>
      <c r="X2" s="416"/>
      <c r="Y2" s="416"/>
      <c r="Z2" s="416"/>
      <c r="AA2" s="416"/>
      <c r="AB2" s="416"/>
      <c r="AC2" s="416"/>
      <c r="AD2" s="416"/>
      <c r="AE2" s="416"/>
      <c r="AF2" s="416"/>
      <c r="AG2" s="416"/>
      <c r="AH2" s="416"/>
      <c r="AI2" s="416"/>
      <c r="AJ2" s="416"/>
      <c r="AK2" s="416"/>
      <c r="AL2" s="416"/>
      <c r="AM2" s="416"/>
      <c r="AN2" s="416"/>
      <c r="AO2" s="416"/>
      <c r="AP2" s="416"/>
      <c r="AQ2" s="416"/>
      <c r="AR2" s="416"/>
      <c r="AS2" s="416"/>
      <c r="AX2" s="416"/>
      <c r="AY2" s="416"/>
      <c r="AZ2" s="416"/>
      <c r="BA2" s="416"/>
      <c r="BB2" s="416"/>
      <c r="BC2" s="416"/>
      <c r="BD2" s="416"/>
      <c r="BE2" s="416"/>
      <c r="BF2" s="416"/>
      <c r="BG2" s="416"/>
      <c r="BH2" s="416"/>
      <c r="BI2" s="416"/>
      <c r="BJ2" s="416"/>
      <c r="BK2" s="416"/>
      <c r="BL2" s="417"/>
      <c r="BM2" s="416"/>
      <c r="BN2" s="416"/>
      <c r="BO2" s="416"/>
      <c r="BP2" s="416"/>
      <c r="BQ2" s="416"/>
      <c r="BR2" s="416"/>
      <c r="BS2" s="416"/>
      <c r="BT2" s="416"/>
      <c r="BU2" s="416"/>
      <c r="BV2" s="416"/>
      <c r="BW2" s="416"/>
      <c r="BX2" s="416"/>
      <c r="BY2" s="416"/>
      <c r="BZ2" s="416"/>
      <c r="CA2" s="416"/>
    </row>
    <row r="3" ht="22.5" customHeight="1">
      <c r="B3" s="418" t="s">
        <v>291</v>
      </c>
      <c r="C3" s="419"/>
      <c r="D3" s="419"/>
      <c r="E3" s="419"/>
      <c r="F3" s="419"/>
      <c r="G3" s="419"/>
      <c r="H3" s="419"/>
      <c r="N3" s="420"/>
      <c r="O3" s="420"/>
      <c r="P3" s="420"/>
      <c r="Q3" s="420"/>
      <c r="R3" s="420"/>
      <c r="S3" s="420"/>
      <c r="T3" s="420"/>
      <c r="U3" s="420"/>
      <c r="V3" s="420"/>
      <c r="W3" s="420"/>
      <c r="X3" s="420"/>
      <c r="Y3" s="420"/>
      <c r="Z3" s="420"/>
      <c r="AA3" s="420"/>
      <c r="AB3" s="420"/>
      <c r="AC3" s="420"/>
      <c r="AD3" s="420"/>
      <c r="AE3" s="420"/>
      <c r="AF3" s="420"/>
      <c r="AG3" s="420"/>
      <c r="AH3" s="420"/>
      <c r="AI3" s="420"/>
      <c r="AJ3" s="420"/>
      <c r="AK3" s="420"/>
      <c r="AL3" s="420"/>
      <c r="AM3" s="420"/>
      <c r="AN3" s="420"/>
      <c r="AO3" s="420"/>
      <c r="AP3" s="420"/>
      <c r="AQ3" s="420"/>
      <c r="AR3" s="420"/>
      <c r="AS3" s="420"/>
      <c r="AX3" s="416"/>
      <c r="AY3" s="415" t="s">
        <v>292</v>
      </c>
      <c r="AZ3" s="416"/>
      <c r="BA3" s="416"/>
      <c r="BB3" s="416"/>
      <c r="BC3" s="416"/>
      <c r="BD3" s="416"/>
      <c r="BE3" s="416"/>
      <c r="BF3" s="416"/>
      <c r="BG3" s="416"/>
      <c r="BH3" s="416"/>
      <c r="BI3" s="416"/>
      <c r="BJ3" s="416"/>
      <c r="BK3" s="416"/>
      <c r="BL3" s="417"/>
      <c r="BM3" s="416"/>
      <c r="BN3" s="416"/>
      <c r="BO3" s="416"/>
      <c r="BP3" s="416"/>
      <c r="BQ3" s="416"/>
      <c r="BR3" s="416"/>
      <c r="BS3" s="416"/>
      <c r="BT3" s="416"/>
      <c r="BU3" s="416"/>
      <c r="BV3" s="416"/>
      <c r="BW3" s="416"/>
      <c r="BX3" s="416"/>
      <c r="BY3" s="416"/>
      <c r="BZ3" s="416"/>
      <c r="CA3" s="416"/>
    </row>
    <row r="4" ht="13.5" customHeight="1">
      <c r="A4" s="416"/>
      <c r="B4" s="419"/>
      <c r="C4" s="419"/>
      <c r="D4" s="419"/>
      <c r="E4" s="419"/>
      <c r="F4" s="419"/>
      <c r="G4" s="419"/>
      <c r="H4" s="419"/>
      <c r="N4" s="420"/>
      <c r="O4" s="420"/>
      <c r="P4" s="420"/>
      <c r="Q4" s="420"/>
      <c r="R4" s="420"/>
      <c r="S4" s="420"/>
      <c r="T4" s="420"/>
      <c r="U4" s="420"/>
      <c r="V4" s="420"/>
      <c r="W4" s="420"/>
      <c r="X4" s="420"/>
      <c r="Y4" s="420"/>
      <c r="Z4" s="420"/>
      <c r="AA4" s="420"/>
      <c r="AB4" s="420"/>
      <c r="AC4" s="420"/>
      <c r="AD4" s="420"/>
      <c r="AE4" s="420"/>
      <c r="AF4" s="420"/>
      <c r="AG4" s="420"/>
      <c r="AH4" s="420"/>
      <c r="AI4" s="420"/>
      <c r="AJ4" s="420"/>
      <c r="AK4" s="420"/>
      <c r="AL4" s="420"/>
      <c r="AM4" s="420"/>
      <c r="AN4" s="420"/>
      <c r="AO4" s="420"/>
      <c r="AP4" s="420"/>
      <c r="AQ4" s="420"/>
      <c r="AR4" s="420"/>
      <c r="AS4" s="420"/>
      <c r="AX4" s="416"/>
      <c r="AY4" s="415" t="s">
        <v>292</v>
      </c>
      <c r="AZ4" s="416"/>
      <c r="BA4" s="416"/>
      <c r="BB4" s="416"/>
      <c r="BC4" s="416"/>
      <c r="BD4" s="416"/>
      <c r="BE4" s="416"/>
      <c r="BF4" s="416"/>
      <c r="BG4" s="416"/>
      <c r="BH4" s="416"/>
      <c r="BI4" s="416"/>
      <c r="BJ4" s="416"/>
      <c r="BK4" s="416"/>
      <c r="BL4" s="417"/>
      <c r="BM4" s="416"/>
      <c r="BN4" s="416"/>
      <c r="BO4" s="416"/>
      <c r="BP4" s="416"/>
      <c r="BQ4" s="416"/>
      <c r="BR4" s="416"/>
      <c r="BS4" s="416"/>
      <c r="BT4" s="416"/>
      <c r="BU4" s="416"/>
      <c r="BV4" s="416"/>
      <c r="BW4" s="416"/>
      <c r="BX4" s="416"/>
      <c r="BY4" s="416"/>
      <c r="BZ4" s="416"/>
      <c r="CA4" s="416"/>
    </row>
    <row r="5" ht="15.75" customHeight="1" outlineLevel="1">
      <c r="A5" s="416"/>
      <c r="B5" s="421" t="s">
        <v>293</v>
      </c>
      <c r="C5" s="71"/>
      <c r="D5" s="422">
        <v>46054.0</v>
      </c>
      <c r="E5" s="71"/>
      <c r="F5" s="423" t="s">
        <v>294</v>
      </c>
      <c r="G5" s="424">
        <f>DAY(EOMONTH(D5,0))</f>
        <v>28</v>
      </c>
      <c r="H5" s="425" t="s">
        <v>295</v>
      </c>
      <c r="I5" s="423" t="s">
        <v>296</v>
      </c>
      <c r="J5" s="426" t="b">
        <v>0</v>
      </c>
      <c r="K5" s="423" t="s">
        <v>297</v>
      </c>
      <c r="L5" s="427" t="b">
        <v>0</v>
      </c>
      <c r="M5" s="428" t="s">
        <v>298</v>
      </c>
      <c r="N5" s="429" t="str">
        <f>BJ13</f>
        <v>💭口コミ</v>
      </c>
      <c r="O5" s="430"/>
      <c r="P5" s="416"/>
      <c r="Q5" s="416"/>
      <c r="R5" s="416"/>
      <c r="S5" s="416"/>
      <c r="T5" s="416"/>
      <c r="U5" s="416"/>
      <c r="V5" s="416"/>
      <c r="W5" s="416"/>
      <c r="X5" s="416"/>
      <c r="Y5" s="416"/>
      <c r="Z5" s="416"/>
      <c r="AA5" s="416"/>
      <c r="AB5" s="416"/>
      <c r="AC5" s="416"/>
      <c r="AD5" s="416"/>
      <c r="AE5" s="416"/>
      <c r="AF5" s="416"/>
      <c r="AG5" s="416"/>
      <c r="AH5" s="416"/>
      <c r="AI5" s="416"/>
      <c r="AJ5" s="416"/>
      <c r="AK5" s="416"/>
      <c r="AL5" s="416"/>
      <c r="AM5" s="416"/>
      <c r="AN5" s="416"/>
      <c r="AO5" s="416"/>
      <c r="AP5" s="416"/>
      <c r="AQ5" s="416"/>
      <c r="AR5" s="416"/>
      <c r="AS5" s="416"/>
      <c r="AX5" s="416"/>
      <c r="BC5" s="416"/>
      <c r="BH5" s="416"/>
      <c r="BI5" s="416"/>
      <c r="BJ5" s="416"/>
      <c r="BK5" s="416"/>
      <c r="BL5" s="417"/>
      <c r="BM5" s="416"/>
      <c r="BN5" s="416"/>
      <c r="BO5" s="416"/>
      <c r="BP5" s="416"/>
      <c r="BQ5" s="416"/>
      <c r="BR5" s="416"/>
      <c r="BS5" s="416"/>
      <c r="BT5" s="416"/>
      <c r="BU5" s="416"/>
      <c r="BV5" s="416"/>
      <c r="BW5" s="416"/>
      <c r="BX5" s="416"/>
      <c r="BY5" s="416"/>
      <c r="BZ5" s="416"/>
      <c r="CA5" s="416"/>
    </row>
    <row r="6" ht="15.75" customHeight="1" outlineLevel="1">
      <c r="B6" s="431" t="s">
        <v>299</v>
      </c>
      <c r="C6" s="432" t="s">
        <v>300</v>
      </c>
      <c r="D6" s="87"/>
      <c r="E6" s="433" t="s">
        <v>301</v>
      </c>
      <c r="F6" s="71"/>
      <c r="G6" s="434" t="s">
        <v>302</v>
      </c>
      <c r="H6" s="434" t="s">
        <v>303</v>
      </c>
      <c r="I6" s="434" t="s">
        <v>304</v>
      </c>
      <c r="J6" s="434" t="s">
        <v>305</v>
      </c>
      <c r="K6" s="432" t="s">
        <v>306</v>
      </c>
      <c r="L6" s="435" t="s">
        <v>307</v>
      </c>
      <c r="M6" s="436" t="s">
        <v>308</v>
      </c>
      <c r="N6" s="437"/>
      <c r="O6" s="438"/>
      <c r="P6" s="416"/>
      <c r="Q6" s="416"/>
      <c r="R6" s="416"/>
      <c r="S6" s="416"/>
      <c r="T6" s="416"/>
      <c r="U6" s="416"/>
      <c r="V6" s="416"/>
      <c r="W6" s="416"/>
      <c r="X6" s="416"/>
      <c r="Y6" s="416"/>
      <c r="Z6" s="416"/>
      <c r="AA6" s="416"/>
      <c r="AB6" s="416"/>
      <c r="AC6" s="416"/>
      <c r="AD6" s="416"/>
      <c r="AE6" s="416"/>
      <c r="AF6" s="416"/>
      <c r="AG6" s="416"/>
      <c r="AH6" s="416"/>
      <c r="AI6" s="416"/>
      <c r="AJ6" s="416"/>
      <c r="AK6" s="416"/>
      <c r="AL6" s="416"/>
      <c r="AM6" s="416"/>
      <c r="AN6" s="416"/>
      <c r="AO6" s="416"/>
      <c r="AP6" s="416"/>
      <c r="AQ6" s="416"/>
      <c r="AR6" s="416"/>
      <c r="AS6" s="416"/>
      <c r="AT6" s="439" t="s">
        <v>34</v>
      </c>
      <c r="AU6" s="71"/>
      <c r="AV6" s="439" t="s">
        <v>309</v>
      </c>
      <c r="AW6" s="71"/>
      <c r="AX6" s="440"/>
      <c r="AY6" s="441" t="s">
        <v>310</v>
      </c>
      <c r="AZ6" s="442"/>
      <c r="BA6" s="442"/>
      <c r="BB6" s="442"/>
      <c r="BC6" s="442"/>
      <c r="BD6" s="443"/>
      <c r="BE6" s="74"/>
      <c r="BF6" s="74"/>
      <c r="BG6" s="71"/>
      <c r="BL6" s="444"/>
    </row>
    <row r="7" ht="15.75" customHeight="1" outlineLevel="1">
      <c r="B7" s="445" t="s">
        <v>35</v>
      </c>
      <c r="C7" s="446">
        <f t="array" ref="C7">xlookup($D$5,'🌟目標数値'!$A$3:$A$14,'🌟目標数値'!F$3:F14)</f>
        <v>0.2483313894</v>
      </c>
      <c r="D7" s="71"/>
      <c r="E7" s="447">
        <f>AU12</f>
        <v>0.4988237722</v>
      </c>
      <c r="F7" s="71"/>
      <c r="G7" s="448" t="s">
        <v>311</v>
      </c>
      <c r="H7" s="449">
        <f t="array" ref="H7">xlookup($D$5,'🌟目標数値'!$A$3:$A$14,'🌟目標数値'!D$3:D14)</f>
        <v>2620184</v>
      </c>
      <c r="I7" s="449" t="s">
        <v>311</v>
      </c>
      <c r="J7" s="450" t="s">
        <v>311</v>
      </c>
      <c r="K7" s="451" t="s">
        <v>311</v>
      </c>
      <c r="L7" s="451" t="s">
        <v>311</v>
      </c>
      <c r="M7" s="452">
        <f t="array" ref="M7">xlookup($D$5,'🌟目標数値'!$A$3:$A$14,'🌟目標数値'!E$3:E14)</f>
        <v>650673.9333</v>
      </c>
      <c r="N7" s="74"/>
      <c r="O7" s="71"/>
      <c r="P7" s="416"/>
      <c r="Q7" s="416"/>
      <c r="R7" s="416"/>
      <c r="S7" s="416"/>
      <c r="T7" s="416"/>
      <c r="U7" s="416"/>
      <c r="V7" s="416"/>
      <c r="W7" s="416"/>
      <c r="X7" s="416"/>
      <c r="Y7" s="416"/>
      <c r="Z7" s="416"/>
      <c r="AA7" s="416"/>
      <c r="AB7" s="416"/>
      <c r="AC7" s="416"/>
      <c r="AD7" s="416"/>
      <c r="AE7" s="416"/>
      <c r="AF7" s="416"/>
      <c r="AG7" s="416"/>
      <c r="AH7" s="416"/>
      <c r="AI7" s="416"/>
      <c r="AJ7" s="416"/>
      <c r="AK7" s="416"/>
      <c r="AL7" s="416"/>
      <c r="AM7" s="416"/>
      <c r="AN7" s="416"/>
      <c r="AO7" s="416"/>
      <c r="AP7" s="416"/>
      <c r="AQ7" s="416"/>
      <c r="AR7" s="416"/>
      <c r="AS7" s="416"/>
      <c r="AT7" s="453" t="str">
        <f>AV44/E44</f>
        <v>#DIV/0!</v>
      </c>
      <c r="AU7" s="71"/>
      <c r="AV7" s="454">
        <f>IFERROR(__xludf.DUMMYFUNCTION("IMPORTRANGE(AT9,""日別集計!AI4"")"),23.0)</f>
        <v>23</v>
      </c>
      <c r="AW7" s="71"/>
      <c r="AX7" s="440"/>
      <c r="AY7" s="455" t="s">
        <v>731</v>
      </c>
      <c r="BG7" s="456"/>
      <c r="BL7" s="444"/>
    </row>
    <row r="8" ht="15.75" customHeight="1" outlineLevel="1">
      <c r="B8" s="457" t="s">
        <v>313</v>
      </c>
      <c r="C8" s="458" t="str">
        <f>M8/H8</f>
        <v>#DIV/0!</v>
      </c>
      <c r="D8" s="71"/>
      <c r="E8" s="459" t="str">
        <f>(BB23+BG23-BE24)/H8</f>
        <v>#DIV/0!</v>
      </c>
      <c r="F8" s="71"/>
      <c r="G8" s="460" t="str">
        <f>G47</f>
        <v>#DIV/0!</v>
      </c>
      <c r="H8" s="461">
        <f>BB30</f>
        <v>0</v>
      </c>
      <c r="I8" s="462">
        <f>IFERROR(__xludf.DUMMYFUNCTION("IMPORTRANGE(""https://docs.google.com/spreadsheets/d/1QbHfX9wvC_RRupa4CCe_ZxA6O4e2Ap9vqX5hrZPeQRg/edit"",""date2_1!P18"")/G5*COUNTIFS($E$13:$E$43,""&gt;0"")"),0.0)</f>
        <v>0</v>
      </c>
      <c r="J8" s="463">
        <f>IFERROR(__xludf.DUMMYFUNCTION("IMPORTRANGE(""https://docs.google.com/spreadsheets/d/1PIAlDmsTatDNi42y_Nu-aVFqvVCXfe6jiDJFQImKjZ0/edit#gid=630612029"",""R8_2!J18"")"),0.0)</f>
        <v>0</v>
      </c>
      <c r="K8" s="464">
        <f>BE24</f>
        <v>3461</v>
      </c>
      <c r="L8" s="464">
        <f>BB30-BB23-AZ20-BG45-BG23+BE24</f>
        <v>-1444829</v>
      </c>
      <c r="M8" s="465">
        <f>L8-I8</f>
        <v>-1444829</v>
      </c>
      <c r="N8" s="74"/>
      <c r="O8" s="71"/>
      <c r="P8" s="416"/>
      <c r="Q8" s="416"/>
      <c r="R8" s="416"/>
      <c r="S8" s="416"/>
      <c r="T8" s="416"/>
      <c r="U8" s="416"/>
      <c r="V8" s="416"/>
      <c r="W8" s="416"/>
      <c r="X8" s="416"/>
      <c r="Y8" s="416"/>
      <c r="Z8" s="416"/>
      <c r="AA8" s="416"/>
      <c r="AB8" s="416"/>
      <c r="AC8" s="466"/>
      <c r="AD8" s="416"/>
      <c r="AE8" s="416"/>
      <c r="AF8" s="416"/>
      <c r="AG8" s="416"/>
      <c r="AH8" s="416"/>
      <c r="AI8" s="416"/>
      <c r="AJ8" s="416"/>
      <c r="AK8" s="416"/>
      <c r="AL8" s="416"/>
      <c r="AM8" s="416"/>
      <c r="AN8" s="416"/>
      <c r="AO8" s="416"/>
      <c r="AP8" s="416"/>
      <c r="AQ8" s="416"/>
      <c r="AR8" s="416"/>
      <c r="AS8" s="467"/>
      <c r="AT8" s="468" t="str">
        <f>month(D5)&amp;"月分アルバイト給料スプレットシート"</f>
        <v>2月分アルバイト給料スプレットシート</v>
      </c>
      <c r="AU8" s="469"/>
      <c r="AV8" s="469"/>
      <c r="AW8" s="469"/>
      <c r="AX8" s="440"/>
      <c r="AY8" s="470"/>
      <c r="BG8" s="456"/>
      <c r="BL8" s="444"/>
    </row>
    <row r="9" ht="15.75" customHeight="1" outlineLevel="1">
      <c r="B9" s="471" t="s">
        <v>314</v>
      </c>
      <c r="C9" s="472" t="s">
        <v>311</v>
      </c>
      <c r="D9" s="71"/>
      <c r="E9" s="473" t="s">
        <v>311</v>
      </c>
      <c r="F9" s="71"/>
      <c r="G9" s="474" t="s">
        <v>311</v>
      </c>
      <c r="H9" s="475">
        <f>H7/G5*COUNTIFS($E$11:$E$41,"&gt;0")</f>
        <v>0</v>
      </c>
      <c r="I9" s="475" t="s">
        <v>311</v>
      </c>
      <c r="J9" s="476" t="s">
        <v>311</v>
      </c>
      <c r="K9" s="477" t="s">
        <v>311</v>
      </c>
      <c r="L9" s="477" t="s">
        <v>311</v>
      </c>
      <c r="M9" s="478">
        <f>M7/G5*COUNTIFS($E$11:$E$41,"&gt;0")</f>
        <v>0</v>
      </c>
      <c r="N9" s="74"/>
      <c r="O9" s="71"/>
      <c r="P9" s="416"/>
      <c r="Q9" s="416"/>
      <c r="R9" s="416"/>
      <c r="S9" s="416"/>
      <c r="T9" s="416"/>
      <c r="U9" s="416"/>
      <c r="V9" s="416"/>
      <c r="W9" s="416"/>
      <c r="X9" s="416"/>
      <c r="Y9" s="416"/>
      <c r="Z9" s="416"/>
      <c r="AA9" s="416"/>
      <c r="AB9" s="416"/>
      <c r="AC9" s="466"/>
      <c r="AD9" s="416"/>
      <c r="AE9" s="416"/>
      <c r="AF9" s="416"/>
      <c r="AG9" s="416"/>
      <c r="AH9" s="416"/>
      <c r="AI9" s="416"/>
      <c r="AJ9" s="416"/>
      <c r="AK9" s="416"/>
      <c r="AL9" s="416"/>
      <c r="AM9" s="416"/>
      <c r="AN9" s="416"/>
      <c r="AO9" s="416"/>
      <c r="AP9" s="416"/>
      <c r="AQ9" s="416"/>
      <c r="AR9" s="416"/>
      <c r="AS9" s="467"/>
      <c r="AT9" s="479" t="str">
        <f>IFERROR(__xludf.DUMMYFUNCTION("IFERROR(INDEX(FILTER($BM$13:$BM$30, $BL$13:$BL$30=$D$5), 1), """")"),"R802_コンフォートホテル成田_アルバイト給料")</f>
        <v>R802_コンフォートホテル成田_アルバイト給料</v>
      </c>
      <c r="AU9" s="74"/>
      <c r="AV9" s="74"/>
      <c r="AW9" s="71"/>
      <c r="AX9" s="440"/>
      <c r="AY9" s="480"/>
      <c r="AZ9" s="437"/>
      <c r="BA9" s="437"/>
      <c r="BB9" s="437"/>
      <c r="BC9" s="437"/>
      <c r="BD9" s="437"/>
      <c r="BE9" s="437"/>
      <c r="BF9" s="437"/>
      <c r="BG9" s="438"/>
      <c r="BL9" s="444"/>
    </row>
    <row r="10" ht="15.75" customHeight="1" outlineLevel="1">
      <c r="A10" s="481"/>
      <c r="P10" s="416"/>
      <c r="Q10" s="416"/>
      <c r="R10" s="416"/>
      <c r="S10" s="416"/>
      <c r="T10" s="416"/>
      <c r="U10" s="416"/>
      <c r="V10" s="416"/>
      <c r="W10" s="416"/>
      <c r="X10" s="416"/>
      <c r="Y10" s="416"/>
      <c r="Z10" s="416"/>
      <c r="AA10" s="416"/>
      <c r="AB10" s="416"/>
      <c r="AC10" s="466" t="s">
        <v>315</v>
      </c>
      <c r="AD10" s="416"/>
      <c r="AE10" s="416"/>
      <c r="AF10" s="416"/>
      <c r="AG10" s="416"/>
      <c r="AH10" s="416"/>
      <c r="AI10" s="416"/>
      <c r="AJ10" s="416"/>
      <c r="AK10" s="416"/>
      <c r="AL10" s="416"/>
      <c r="AM10" s="416"/>
      <c r="AN10" s="416"/>
      <c r="AO10" s="416"/>
      <c r="AP10" s="416"/>
      <c r="AQ10" s="416"/>
      <c r="AR10" s="416"/>
      <c r="AS10" s="467"/>
      <c r="AT10" s="416"/>
      <c r="AU10" s="416"/>
      <c r="AV10" s="482"/>
      <c r="AW10" s="482"/>
      <c r="AX10" s="440"/>
      <c r="AY10" s="483"/>
      <c r="AZ10" s="484"/>
      <c r="BA10" s="484"/>
      <c r="BB10" s="416"/>
      <c r="BC10" s="416"/>
      <c r="BD10" s="416"/>
      <c r="BE10" s="416"/>
      <c r="BF10" s="416"/>
      <c r="BG10" s="416"/>
      <c r="BL10" s="444"/>
    </row>
    <row r="11" ht="15.75" customHeight="1">
      <c r="A11" s="416"/>
      <c r="B11" s="485" t="s">
        <v>316</v>
      </c>
      <c r="C11" s="486" t="s">
        <v>317</v>
      </c>
      <c r="D11" s="487" t="s">
        <v>225</v>
      </c>
      <c r="E11" s="487" t="s">
        <v>318</v>
      </c>
      <c r="F11" s="485" t="s">
        <v>319</v>
      </c>
      <c r="G11" s="487" t="s">
        <v>320</v>
      </c>
      <c r="H11" s="488" t="s">
        <v>321</v>
      </c>
      <c r="I11" s="489" t="s">
        <v>322</v>
      </c>
      <c r="J11" s="2"/>
      <c r="K11" s="490" t="s">
        <v>323</v>
      </c>
      <c r="L11" s="490" t="s">
        <v>324</v>
      </c>
      <c r="M11" s="488" t="s">
        <v>325</v>
      </c>
      <c r="N11" s="485" t="s">
        <v>326</v>
      </c>
      <c r="O11" s="491" t="s">
        <v>327</v>
      </c>
      <c r="P11" s="485" t="s">
        <v>328</v>
      </c>
      <c r="Q11" s="485" t="s">
        <v>329</v>
      </c>
      <c r="R11" s="485" t="s">
        <v>330</v>
      </c>
      <c r="S11" s="485" t="s">
        <v>331</v>
      </c>
      <c r="T11" s="485" t="s">
        <v>332</v>
      </c>
      <c r="U11" s="485" t="s">
        <v>333</v>
      </c>
      <c r="V11" s="485" t="s">
        <v>334</v>
      </c>
      <c r="W11" s="485" t="s">
        <v>335</v>
      </c>
      <c r="X11" s="485" t="s">
        <v>336</v>
      </c>
      <c r="Y11" s="485" t="s">
        <v>337</v>
      </c>
      <c r="Z11" s="485" t="s">
        <v>338</v>
      </c>
      <c r="AA11" s="485" t="s">
        <v>339</v>
      </c>
      <c r="AB11" s="485" t="s">
        <v>340</v>
      </c>
      <c r="AC11" s="492" t="s">
        <v>341</v>
      </c>
      <c r="AD11" s="493" t="s">
        <v>342</v>
      </c>
      <c r="AE11" s="493" t="s">
        <v>343</v>
      </c>
      <c r="AF11" s="493" t="s">
        <v>344</v>
      </c>
      <c r="AG11" s="492" t="s">
        <v>345</v>
      </c>
      <c r="AH11" s="493" t="s">
        <v>346</v>
      </c>
      <c r="AI11" s="493" t="s">
        <v>347</v>
      </c>
      <c r="AJ11" s="493" t="s">
        <v>348</v>
      </c>
      <c r="AK11" s="493" t="s">
        <v>349</v>
      </c>
      <c r="AL11" s="493" t="s">
        <v>350</v>
      </c>
      <c r="AM11" s="493" t="s">
        <v>351</v>
      </c>
      <c r="AN11" s="493" t="s">
        <v>352</v>
      </c>
      <c r="AO11" s="493" t="s">
        <v>353</v>
      </c>
      <c r="AP11" s="493" t="s">
        <v>354</v>
      </c>
      <c r="AQ11" s="493" t="s">
        <v>355</v>
      </c>
      <c r="AR11" s="493" t="s">
        <v>356</v>
      </c>
      <c r="AS11" s="485" t="s">
        <v>357</v>
      </c>
      <c r="AT11" s="487" t="s">
        <v>358</v>
      </c>
      <c r="AU11" s="494" t="s">
        <v>359</v>
      </c>
      <c r="AV11" s="485" t="s">
        <v>36</v>
      </c>
      <c r="AW11" s="495" t="s">
        <v>360</v>
      </c>
      <c r="AX11" s="496"/>
      <c r="AY11" s="497">
        <f>$D$5</f>
        <v>46054</v>
      </c>
      <c r="BI11" s="201" t="s">
        <v>95</v>
      </c>
      <c r="BJ11" s="201" t="s">
        <v>96</v>
      </c>
      <c r="BL11" s="498" t="s">
        <v>95</v>
      </c>
      <c r="BM11" s="498" t="s">
        <v>361</v>
      </c>
    </row>
    <row r="12" ht="16.5" customHeight="1">
      <c r="A12" s="416"/>
      <c r="B12" s="499"/>
      <c r="C12" s="499"/>
      <c r="D12" s="499"/>
      <c r="E12" s="499"/>
      <c r="F12" s="499"/>
      <c r="G12" s="499"/>
      <c r="H12" s="107"/>
      <c r="I12" s="500" t="s">
        <v>362</v>
      </c>
      <c r="J12" s="501" t="s">
        <v>363</v>
      </c>
      <c r="K12" s="38"/>
      <c r="L12" s="38"/>
      <c r="M12" s="107"/>
      <c r="N12" s="499"/>
      <c r="O12" s="502"/>
      <c r="P12" s="499"/>
      <c r="Q12" s="499"/>
      <c r="R12" s="499"/>
      <c r="S12" s="499"/>
      <c r="T12" s="499"/>
      <c r="U12" s="499"/>
      <c r="V12" s="499"/>
      <c r="W12" s="499"/>
      <c r="X12" s="499"/>
      <c r="Y12" s="499"/>
      <c r="Z12" s="499"/>
      <c r="AA12" s="499"/>
      <c r="AB12" s="499"/>
      <c r="AC12" s="502"/>
      <c r="AD12" s="499"/>
      <c r="AE12" s="499"/>
      <c r="AF12" s="499"/>
      <c r="AG12" s="502"/>
      <c r="AH12" s="499"/>
      <c r="AI12" s="499"/>
      <c r="AJ12" s="499"/>
      <c r="AK12" s="499"/>
      <c r="AL12" s="499"/>
      <c r="AM12" s="499"/>
      <c r="AN12" s="499"/>
      <c r="AO12" s="499"/>
      <c r="AP12" s="499"/>
      <c r="AQ12" s="499"/>
      <c r="AR12" s="499"/>
      <c r="AS12" s="499"/>
      <c r="AT12" s="499"/>
      <c r="AU12" s="503">
        <f t="array" ref="AU12">xlookup($D$5,'🌟目標数値'!$A$3:$A$14,'🌟目標数値'!G$3:G$14)</f>
        <v>0.4988237722</v>
      </c>
      <c r="AV12" s="499"/>
      <c r="AW12" s="499"/>
      <c r="AX12" s="416"/>
      <c r="AY12" s="504" t="s">
        <v>364</v>
      </c>
      <c r="BI12" s="207"/>
      <c r="BJ12" s="207"/>
      <c r="BL12" s="207"/>
      <c r="BM12" s="207"/>
    </row>
    <row r="13" ht="15.75" customHeight="1">
      <c r="A13" s="416"/>
      <c r="B13" s="505" t="b">
        <v>0</v>
      </c>
      <c r="C13" s="506">
        <f>D5</f>
        <v>46054</v>
      </c>
      <c r="D13" s="507" t="str">
        <f t="shared" ref="D13:D43" si="2">TEXT(C13,"ddd")</f>
        <v>日</v>
      </c>
      <c r="E13" s="507" t="str">
        <f t="shared" ref="E13:E43" si="3">if(F13="","",142)</f>
        <v/>
      </c>
      <c r="F13" s="507" t="str">
        <f t="shared" ref="F13:F43" si="4">if(G13="","",sum(G13,H13))</f>
        <v/>
      </c>
      <c r="G13" s="508"/>
      <c r="H13" s="509"/>
      <c r="I13" s="509"/>
      <c r="J13" s="509"/>
      <c r="K13" s="509"/>
      <c r="L13" s="509"/>
      <c r="M13" s="509"/>
      <c r="N13" s="510"/>
      <c r="O13" s="510"/>
      <c r="P13" s="511"/>
      <c r="Q13" s="511"/>
      <c r="R13" s="511"/>
      <c r="S13" s="511"/>
      <c r="T13" s="511"/>
      <c r="U13" s="511"/>
      <c r="V13" s="511"/>
      <c r="W13" s="511"/>
      <c r="X13" s="511"/>
      <c r="Y13" s="511"/>
      <c r="Z13" s="511"/>
      <c r="AA13" s="511"/>
      <c r="AB13" s="511"/>
      <c r="AC13" s="512"/>
      <c r="AD13" s="512"/>
      <c r="AE13" s="512"/>
      <c r="AF13" s="512"/>
      <c r="AG13" s="513"/>
      <c r="AH13" s="513"/>
      <c r="AI13" s="513"/>
      <c r="AJ13" s="513"/>
      <c r="AK13" s="513"/>
      <c r="AL13" s="513"/>
      <c r="AM13" s="513"/>
      <c r="AN13" s="513"/>
      <c r="AO13" s="513"/>
      <c r="AP13" s="513"/>
      <c r="AQ13" s="513"/>
      <c r="AR13" s="514">
        <f t="shared" ref="AR13:AR43" si="5">SUMPRODUCT(AC13:AI13,AC$45:AI$45)</f>
        <v>0</v>
      </c>
      <c r="AS13" s="515">
        <f t="shared" ref="AS13:AS43" si="6">SUMPRODUCT(G13:AB13, G$45:AB$45)</f>
        <v>0</v>
      </c>
      <c r="AT13" s="515">
        <f>IFERROR(__xludf.DUMMYFUNCTION("FLATTEN('⚙️抽出用'!B3:AF3)"),39445.0)</f>
        <v>39445</v>
      </c>
      <c r="AU13" s="516" t="str">
        <f t="shared" ref="AU13:AU43" si="7">if(E13="","",iferror((AT13+AR13+$BF$23/day(today()))/(AS13+(sum($BA$31:$BA$32)/$G$5)),""))</f>
        <v/>
      </c>
      <c r="AV13" s="507">
        <f>countifs('🔵クレーム'!$C:$C,MONTH($D$5)&amp;"月",'🔵クレーム'!$D:$D,day(C13)&amp;"日",'🔵クレーム'!$I:$I,"&lt;&gt;")</f>
        <v>0</v>
      </c>
      <c r="AW13" s="517"/>
      <c r="AX13" s="416"/>
      <c r="AY13" s="518" t="s">
        <v>365</v>
      </c>
      <c r="AZ13" s="519" t="s">
        <v>366</v>
      </c>
      <c r="BA13" s="519" t="s">
        <v>367</v>
      </c>
      <c r="BB13" s="519" t="s">
        <v>224</v>
      </c>
      <c r="BC13" s="430"/>
      <c r="BD13" s="518" t="s">
        <v>89</v>
      </c>
      <c r="BE13" s="519" t="s">
        <v>368</v>
      </c>
      <c r="BF13" s="519" t="s">
        <v>367</v>
      </c>
      <c r="BG13" s="519" t="s">
        <v>224</v>
      </c>
      <c r="BH13" s="416"/>
      <c r="BI13" s="213" t="str">
        <f t="array" ref="BI13">IFERROR(INDEX('💻シート作成'!$D$6:$D162, MATCH(BJ13, '💻シート作成'!$E$6:$E162, 0)), "")</f>
        <v/>
      </c>
      <c r="BJ13" s="166" t="str">
        <f>IFERROR(__xludf.DUMMYFUNCTION("filter('💻シート作成'!E6:E162,'💻シート作成'!E6:E162&lt;&gt;"""")"),"💭口コミ")</f>
        <v>💭口コミ</v>
      </c>
      <c r="BK13" s="520"/>
      <c r="BL13" s="521">
        <v>46054.0</v>
      </c>
      <c r="BM13" s="522" t="str">
        <f>'🏆皆勤アワード'!P5</f>
        <v>R802_コンフォートホテル成田_アルバイト給料</v>
      </c>
      <c r="BN13" s="520"/>
      <c r="BO13" s="520"/>
      <c r="BP13" s="520"/>
      <c r="BQ13" s="520"/>
      <c r="BR13" s="520"/>
      <c r="BS13" s="520"/>
      <c r="BT13" s="520"/>
      <c r="BU13" s="520"/>
      <c r="BV13" s="520"/>
      <c r="BW13" s="520"/>
      <c r="BX13" s="520"/>
      <c r="BY13" s="520"/>
      <c r="BZ13" s="520"/>
      <c r="CA13" s="520"/>
    </row>
    <row r="14" ht="15.75" customHeight="1">
      <c r="A14" s="416"/>
      <c r="B14" s="523" t="b">
        <v>0</v>
      </c>
      <c r="C14" s="506">
        <f t="shared" ref="C14:C43" si="8">IF(C13="","",IF(DAY(C13+1)=1,"",C13+1))</f>
        <v>46055</v>
      </c>
      <c r="D14" s="507" t="str">
        <f t="shared" si="2"/>
        <v>月</v>
      </c>
      <c r="E14" s="507" t="str">
        <f t="shared" si="3"/>
        <v/>
      </c>
      <c r="F14" s="507" t="str">
        <f t="shared" si="4"/>
        <v/>
      </c>
      <c r="G14" s="508"/>
      <c r="H14" s="524"/>
      <c r="I14" s="524"/>
      <c r="J14" s="524"/>
      <c r="K14" s="524"/>
      <c r="L14" s="524"/>
      <c r="M14" s="524"/>
      <c r="N14" s="525"/>
      <c r="O14" s="525"/>
      <c r="P14" s="526"/>
      <c r="Q14" s="526"/>
      <c r="R14" s="526"/>
      <c r="S14" s="526"/>
      <c r="T14" s="526"/>
      <c r="U14" s="526"/>
      <c r="V14" s="526"/>
      <c r="W14" s="526"/>
      <c r="X14" s="526"/>
      <c r="Y14" s="526"/>
      <c r="Z14" s="526"/>
      <c r="AA14" s="526"/>
      <c r="AB14" s="526"/>
      <c r="AC14" s="527"/>
      <c r="AD14" s="527"/>
      <c r="AE14" s="527"/>
      <c r="AF14" s="527"/>
      <c r="AG14" s="527"/>
      <c r="AH14" s="527"/>
      <c r="AI14" s="527"/>
      <c r="AJ14" s="527"/>
      <c r="AK14" s="527"/>
      <c r="AL14" s="527"/>
      <c r="AM14" s="527"/>
      <c r="AN14" s="527"/>
      <c r="AO14" s="527"/>
      <c r="AP14" s="527"/>
      <c r="AQ14" s="527"/>
      <c r="AR14" s="514">
        <f t="shared" si="5"/>
        <v>0</v>
      </c>
      <c r="AS14" s="515">
        <f t="shared" si="6"/>
        <v>0</v>
      </c>
      <c r="AT14" s="515">
        <f>IFERROR(__xludf.DUMMYFUNCTION("""COMPUTED_VALUE"""),33120.0)</f>
        <v>33120</v>
      </c>
      <c r="AU14" s="516" t="str">
        <f t="shared" si="7"/>
        <v/>
      </c>
      <c r="AV14" s="507">
        <f>countifs('🔵クレーム'!$C:$C,MONTH($D$5)&amp;"月",'🔵クレーム'!$D:$D,day(C14)&amp;"日",'🔵クレーム'!$I:$I,"&lt;&gt;")</f>
        <v>0</v>
      </c>
      <c r="AW14" s="517"/>
      <c r="AX14" s="416"/>
      <c r="AY14" s="528" t="s">
        <v>98</v>
      </c>
      <c r="AZ14" s="529"/>
      <c r="BA14" s="529"/>
      <c r="BB14" s="530"/>
      <c r="BC14" s="416"/>
      <c r="BD14" s="531"/>
      <c r="BE14" s="529"/>
      <c r="BF14" s="529"/>
      <c r="BG14" s="530"/>
      <c r="BH14" s="416"/>
      <c r="BI14" s="213" t="str">
        <f t="array" ref="BI14">IFERROR(INDEX('💻シート作成'!$D$6:$D162, MATCH(BJ14, '💻シート作成'!$E$6:$E162, 0)), "")</f>
        <v/>
      </c>
      <c r="BJ14" s="166" t="str">
        <f>IFERROR(__xludf.DUMMYFUNCTION("""COMPUTED_VALUE"""),"🔵クレーム")</f>
        <v>🔵クレーム</v>
      </c>
      <c r="BK14" s="520"/>
      <c r="BL14" s="521">
        <v>46082.0</v>
      </c>
      <c r="BM14" s="522" t="str">
        <f>'🏆皆勤アワード'!P6</f>
        <v>R803_コンフォートホテル成田_アルバイト給料</v>
      </c>
      <c r="BN14" s="520"/>
      <c r="BO14" s="520"/>
      <c r="BP14" s="520"/>
      <c r="BQ14" s="520"/>
      <c r="BR14" s="520"/>
      <c r="BS14" s="520"/>
      <c r="BT14" s="520"/>
      <c r="BU14" s="520"/>
      <c r="BV14" s="520"/>
      <c r="BW14" s="520"/>
      <c r="BX14" s="520"/>
      <c r="BY14" s="520"/>
      <c r="BZ14" s="520"/>
      <c r="CA14" s="520"/>
    </row>
    <row r="15" ht="15.75" customHeight="1">
      <c r="A15" s="416"/>
      <c r="B15" s="505" t="b">
        <v>0</v>
      </c>
      <c r="C15" s="506">
        <f t="shared" si="8"/>
        <v>46056</v>
      </c>
      <c r="D15" s="507" t="str">
        <f t="shared" si="2"/>
        <v>火</v>
      </c>
      <c r="E15" s="507" t="str">
        <f t="shared" si="3"/>
        <v/>
      </c>
      <c r="F15" s="507" t="str">
        <f t="shared" si="4"/>
        <v/>
      </c>
      <c r="G15" s="508"/>
      <c r="H15" s="532"/>
      <c r="I15" s="532"/>
      <c r="J15" s="532"/>
      <c r="K15" s="532"/>
      <c r="L15" s="532"/>
      <c r="M15" s="532"/>
      <c r="N15" s="505"/>
      <c r="O15" s="505"/>
      <c r="P15" s="511"/>
      <c r="Q15" s="511"/>
      <c r="R15" s="511"/>
      <c r="S15" s="511"/>
      <c r="T15" s="511"/>
      <c r="U15" s="511"/>
      <c r="V15" s="511"/>
      <c r="W15" s="511"/>
      <c r="X15" s="511"/>
      <c r="Y15" s="511"/>
      <c r="Z15" s="511"/>
      <c r="AA15" s="511"/>
      <c r="AB15" s="511"/>
      <c r="AC15" s="513"/>
      <c r="AD15" s="513"/>
      <c r="AE15" s="513"/>
      <c r="AF15" s="513"/>
      <c r="AG15" s="513"/>
      <c r="AH15" s="513"/>
      <c r="AI15" s="513"/>
      <c r="AJ15" s="513"/>
      <c r="AK15" s="513"/>
      <c r="AL15" s="513"/>
      <c r="AM15" s="513"/>
      <c r="AN15" s="513"/>
      <c r="AO15" s="513"/>
      <c r="AP15" s="513"/>
      <c r="AQ15" s="513"/>
      <c r="AR15" s="514">
        <f t="shared" si="5"/>
        <v>0</v>
      </c>
      <c r="AS15" s="515">
        <f t="shared" si="6"/>
        <v>0</v>
      </c>
      <c r="AT15" s="515">
        <f>IFERROR(__xludf.DUMMYFUNCTION("""COMPUTED_VALUE"""),43580.0)</f>
        <v>43580</v>
      </c>
      <c r="AU15" s="516" t="str">
        <f t="shared" si="7"/>
        <v/>
      </c>
      <c r="AV15" s="507">
        <f>countifs('🔵クレーム'!$C:$C,MONTH($D$5)&amp;"月",'🔵クレーム'!$D:$D,day(C15)&amp;"日",'🔵クレーム'!$I:$I,"&lt;&gt;")</f>
        <v>0</v>
      </c>
      <c r="AW15" s="517"/>
      <c r="AX15" s="416"/>
      <c r="AY15" s="531"/>
      <c r="AZ15" s="529"/>
      <c r="BA15" s="529"/>
      <c r="BB15" s="530"/>
      <c r="BC15" s="416"/>
      <c r="BD15" s="531"/>
      <c r="BE15" s="529"/>
      <c r="BF15" s="529"/>
      <c r="BG15" s="530"/>
      <c r="BH15" s="416"/>
      <c r="BI15" s="213" t="str">
        <f t="array" ref="BI15">IFERROR(INDEX('💻シート作成'!$D$6:$D162, MATCH(BJ15, '💻シート作成'!$E$6:$E162, 0)), "")</f>
        <v/>
      </c>
      <c r="BJ15" s="166" t="str">
        <f>IFERROR(__xludf.DUMMYFUNCTION("""COMPUTED_VALUE"""),"✅安全チェック")</f>
        <v>✅安全チェック</v>
      </c>
      <c r="BK15" s="520"/>
      <c r="BL15" s="521">
        <v>46113.0</v>
      </c>
      <c r="BM15" s="522" t="str">
        <f>'🏆皆勤アワード'!P7</f>
        <v>R804_コンフォートホテル成田_アルバイト給料</v>
      </c>
      <c r="BN15" s="520"/>
      <c r="BO15" s="520"/>
      <c r="BP15" s="520"/>
      <c r="BQ15" s="520"/>
      <c r="BR15" s="520"/>
      <c r="BS15" s="520"/>
      <c r="BT15" s="520"/>
      <c r="BU15" s="520"/>
      <c r="BV15" s="520"/>
      <c r="BW15" s="520"/>
      <c r="BX15" s="520"/>
      <c r="BY15" s="520"/>
      <c r="BZ15" s="520"/>
      <c r="CA15" s="520"/>
    </row>
    <row r="16" ht="15.75" customHeight="1">
      <c r="A16" s="416"/>
      <c r="B16" s="523" t="b">
        <v>0</v>
      </c>
      <c r="C16" s="506">
        <f t="shared" si="8"/>
        <v>46057</v>
      </c>
      <c r="D16" s="507" t="str">
        <f t="shared" si="2"/>
        <v>水</v>
      </c>
      <c r="E16" s="507" t="str">
        <f t="shared" si="3"/>
        <v/>
      </c>
      <c r="F16" s="507" t="str">
        <f t="shared" si="4"/>
        <v/>
      </c>
      <c r="G16" s="508"/>
      <c r="H16" s="524"/>
      <c r="I16" s="524"/>
      <c r="J16" s="524"/>
      <c r="K16" s="524"/>
      <c r="L16" s="524"/>
      <c r="M16" s="524"/>
      <c r="N16" s="525"/>
      <c r="O16" s="525"/>
      <c r="P16" s="526"/>
      <c r="Q16" s="526"/>
      <c r="R16" s="526"/>
      <c r="S16" s="526"/>
      <c r="T16" s="526"/>
      <c r="U16" s="526"/>
      <c r="V16" s="526"/>
      <c r="W16" s="526"/>
      <c r="X16" s="526"/>
      <c r="Y16" s="526"/>
      <c r="Z16" s="526"/>
      <c r="AA16" s="526"/>
      <c r="AB16" s="526"/>
      <c r="AC16" s="527"/>
      <c r="AD16" s="527"/>
      <c r="AE16" s="527"/>
      <c r="AF16" s="527"/>
      <c r="AG16" s="527"/>
      <c r="AH16" s="527"/>
      <c r="AI16" s="527"/>
      <c r="AJ16" s="527"/>
      <c r="AK16" s="527"/>
      <c r="AL16" s="527"/>
      <c r="AM16" s="527"/>
      <c r="AN16" s="527"/>
      <c r="AO16" s="527"/>
      <c r="AP16" s="527"/>
      <c r="AQ16" s="527"/>
      <c r="AR16" s="514">
        <f t="shared" si="5"/>
        <v>0</v>
      </c>
      <c r="AS16" s="515">
        <f t="shared" si="6"/>
        <v>0</v>
      </c>
      <c r="AT16" s="515">
        <f>IFERROR(__xludf.DUMMYFUNCTION("""COMPUTED_VALUE"""),37751.0)</f>
        <v>37751</v>
      </c>
      <c r="AU16" s="516" t="str">
        <f t="shared" si="7"/>
        <v/>
      </c>
      <c r="AV16" s="507">
        <f>countifs('🔵クレーム'!$C:$C,MONTH($D$5)&amp;"月",'🔵クレーム'!$D:$D,day(C16)&amp;"日",'🔵クレーム'!$I:$I,"&lt;&gt;")</f>
        <v>0</v>
      </c>
      <c r="AW16" s="517"/>
      <c r="AX16" s="416"/>
      <c r="AY16" s="531"/>
      <c r="AZ16" s="529"/>
      <c r="BA16" s="529"/>
      <c r="BB16" s="530"/>
      <c r="BC16" s="416"/>
      <c r="BD16" s="531"/>
      <c r="BE16" s="529"/>
      <c r="BF16" s="529"/>
      <c r="BG16" s="530"/>
      <c r="BH16" s="416"/>
      <c r="BI16" s="213" t="str">
        <f t="array" ref="BI16">IFERROR(INDEX('💻シート作成'!$D$6:$D162, MATCH(BJ16, '💻シート作成'!$E$6:$E162, 0)), "")</f>
        <v>2月</v>
      </c>
      <c r="BJ16" s="166" t="str">
        <f>IFERROR(__xludf.DUMMYFUNCTION("""COMPUTED_VALUE"""),"①R8_2集計")</f>
        <v>①R8_2集計</v>
      </c>
      <c r="BK16" s="520"/>
      <c r="BL16" s="521">
        <v>46143.0</v>
      </c>
      <c r="BM16" s="168" t="str">
        <f>'🏆皆勤アワード'!P8</f>
        <v/>
      </c>
      <c r="BN16" s="520"/>
      <c r="BO16" s="520"/>
      <c r="BP16" s="520"/>
      <c r="BQ16" s="520"/>
      <c r="BR16" s="520"/>
      <c r="BS16" s="520"/>
      <c r="BT16" s="520"/>
      <c r="BU16" s="520"/>
      <c r="BV16" s="520"/>
      <c r="BW16" s="520"/>
      <c r="BX16" s="520"/>
      <c r="BY16" s="520"/>
      <c r="BZ16" s="520"/>
      <c r="CA16" s="520"/>
    </row>
    <row r="17" ht="15.75" customHeight="1">
      <c r="A17" s="416"/>
      <c r="B17" s="505" t="b">
        <v>0</v>
      </c>
      <c r="C17" s="506">
        <f t="shared" si="8"/>
        <v>46058</v>
      </c>
      <c r="D17" s="507" t="str">
        <f t="shared" si="2"/>
        <v>木</v>
      </c>
      <c r="E17" s="507" t="str">
        <f t="shared" si="3"/>
        <v/>
      </c>
      <c r="F17" s="507" t="str">
        <f t="shared" si="4"/>
        <v/>
      </c>
      <c r="G17" s="508"/>
      <c r="H17" s="532"/>
      <c r="I17" s="532"/>
      <c r="J17" s="532"/>
      <c r="K17" s="532"/>
      <c r="L17" s="532"/>
      <c r="M17" s="532"/>
      <c r="N17" s="505"/>
      <c r="O17" s="505"/>
      <c r="P17" s="511"/>
      <c r="Q17" s="511"/>
      <c r="R17" s="511"/>
      <c r="S17" s="511"/>
      <c r="T17" s="511"/>
      <c r="U17" s="511"/>
      <c r="V17" s="511"/>
      <c r="W17" s="511"/>
      <c r="X17" s="511"/>
      <c r="Y17" s="511"/>
      <c r="Z17" s="511"/>
      <c r="AA17" s="511"/>
      <c r="AB17" s="511"/>
      <c r="AC17" s="513"/>
      <c r="AD17" s="513"/>
      <c r="AE17" s="513"/>
      <c r="AF17" s="513"/>
      <c r="AG17" s="513"/>
      <c r="AH17" s="513"/>
      <c r="AI17" s="513"/>
      <c r="AJ17" s="513"/>
      <c r="AK17" s="513"/>
      <c r="AL17" s="513"/>
      <c r="AM17" s="513"/>
      <c r="AN17" s="513"/>
      <c r="AO17" s="513"/>
      <c r="AP17" s="513"/>
      <c r="AQ17" s="513"/>
      <c r="AR17" s="514">
        <f t="shared" si="5"/>
        <v>0</v>
      </c>
      <c r="AS17" s="515">
        <f t="shared" si="6"/>
        <v>0</v>
      </c>
      <c r="AT17" s="515">
        <f>IFERROR(__xludf.DUMMYFUNCTION("""COMPUTED_VALUE"""),40728.0)</f>
        <v>40728</v>
      </c>
      <c r="AU17" s="516" t="str">
        <f t="shared" si="7"/>
        <v/>
      </c>
      <c r="AV17" s="507">
        <f>countifs('🔵クレーム'!$C:$C,MONTH($D$5)&amp;"月",'🔵クレーム'!$D:$D,day(C17)&amp;"日",'🔵クレーム'!$I:$I,"&lt;&gt;")</f>
        <v>0</v>
      </c>
      <c r="AW17" s="517"/>
      <c r="AX17" s="416"/>
      <c r="AY17" s="531"/>
      <c r="AZ17" s="529"/>
      <c r="BA17" s="529"/>
      <c r="BB17" s="530"/>
      <c r="BC17" s="416"/>
      <c r="BD17" s="531"/>
      <c r="BE17" s="529"/>
      <c r="BF17" s="529"/>
      <c r="BG17" s="530"/>
      <c r="BH17" s="416"/>
      <c r="BI17" s="213" t="str">
        <f t="array" ref="BI17">IFERROR(INDEX('💻シート作成'!$D$6:$D162, MATCH(BJ17, '💻シート作成'!$E$6:$E162, 0)), "")</f>
        <v>2月</v>
      </c>
      <c r="BJ17" s="166" t="str">
        <f>IFERROR(__xludf.DUMMYFUNCTION("""COMPUTED_VALUE"""),"②R8_2シフト")</f>
        <v>②R8_2シフト</v>
      </c>
      <c r="BK17" s="520"/>
      <c r="BL17" s="521">
        <v>46174.0</v>
      </c>
      <c r="BM17" s="168" t="str">
        <f>'🏆皆勤アワード'!P9</f>
        <v/>
      </c>
      <c r="BN17" s="520"/>
      <c r="BO17" s="520"/>
      <c r="BP17" s="520"/>
      <c r="BQ17" s="520"/>
      <c r="BR17" s="520"/>
      <c r="BS17" s="520"/>
      <c r="BT17" s="520"/>
      <c r="BU17" s="520"/>
      <c r="BV17" s="520"/>
      <c r="BW17" s="520"/>
      <c r="BX17" s="520"/>
      <c r="BY17" s="520"/>
      <c r="BZ17" s="520"/>
      <c r="CA17" s="520"/>
    </row>
    <row r="18" ht="15.75" customHeight="1">
      <c r="A18" s="416"/>
      <c r="B18" s="523" t="b">
        <v>0</v>
      </c>
      <c r="C18" s="506">
        <f t="shared" si="8"/>
        <v>46059</v>
      </c>
      <c r="D18" s="507" t="str">
        <f t="shared" si="2"/>
        <v>金</v>
      </c>
      <c r="E18" s="507" t="str">
        <f t="shared" si="3"/>
        <v/>
      </c>
      <c r="F18" s="507" t="str">
        <f t="shared" si="4"/>
        <v/>
      </c>
      <c r="G18" s="508"/>
      <c r="H18" s="524"/>
      <c r="I18" s="524"/>
      <c r="J18" s="524"/>
      <c r="K18" s="524"/>
      <c r="L18" s="524"/>
      <c r="M18" s="524"/>
      <c r="N18" s="525"/>
      <c r="O18" s="525"/>
      <c r="P18" s="526"/>
      <c r="Q18" s="526"/>
      <c r="R18" s="526"/>
      <c r="S18" s="526"/>
      <c r="T18" s="526"/>
      <c r="U18" s="526"/>
      <c r="V18" s="526"/>
      <c r="W18" s="526"/>
      <c r="X18" s="526"/>
      <c r="Y18" s="526"/>
      <c r="Z18" s="526"/>
      <c r="AA18" s="526"/>
      <c r="AB18" s="526"/>
      <c r="AC18" s="527"/>
      <c r="AD18" s="527"/>
      <c r="AE18" s="527"/>
      <c r="AF18" s="527"/>
      <c r="AG18" s="527"/>
      <c r="AH18" s="527"/>
      <c r="AI18" s="527"/>
      <c r="AJ18" s="527"/>
      <c r="AK18" s="527"/>
      <c r="AL18" s="527"/>
      <c r="AM18" s="527"/>
      <c r="AN18" s="527"/>
      <c r="AO18" s="527"/>
      <c r="AP18" s="527"/>
      <c r="AQ18" s="527"/>
      <c r="AR18" s="514">
        <f t="shared" si="5"/>
        <v>0</v>
      </c>
      <c r="AS18" s="515">
        <f t="shared" si="6"/>
        <v>0</v>
      </c>
      <c r="AT18" s="515">
        <f>IFERROR(__xludf.DUMMYFUNCTION("""COMPUTED_VALUE"""),49126.0)</f>
        <v>49126</v>
      </c>
      <c r="AU18" s="516" t="str">
        <f t="shared" si="7"/>
        <v/>
      </c>
      <c r="AV18" s="507">
        <f>countifs('🔵クレーム'!$C:$C,MONTH($D$5)&amp;"月",'🔵クレーム'!$D:$D,day(C18)&amp;"日",'🔵クレーム'!$I:$I,"&lt;&gt;")</f>
        <v>0</v>
      </c>
      <c r="AW18" s="517"/>
      <c r="AX18" s="416"/>
      <c r="AY18" s="531"/>
      <c r="AZ18" s="529"/>
      <c r="BA18" s="529"/>
      <c r="BB18" s="530"/>
      <c r="BC18" s="416"/>
      <c r="BD18" s="531"/>
      <c r="BE18" s="529"/>
      <c r="BF18" s="529"/>
      <c r="BG18" s="530"/>
      <c r="BH18" s="416"/>
      <c r="BI18" s="213" t="str">
        <f t="array" ref="BI18">IFERROR(INDEX('💻シート作成'!$D$6:$D162, MATCH(BJ18, '💻シート作成'!$E$6:$E162, 0)), "")</f>
        <v>2月</v>
      </c>
      <c r="BJ18" s="166" t="str">
        <f>IFERROR(__xludf.DUMMYFUNCTION("""COMPUTED_VALUE"""),"③R8_2日報")</f>
        <v>③R8_2日報</v>
      </c>
      <c r="BK18" s="520"/>
      <c r="BL18" s="521">
        <v>46204.0</v>
      </c>
      <c r="BM18" s="168" t="str">
        <f>'🏆皆勤アワード'!P10</f>
        <v/>
      </c>
      <c r="BN18" s="520"/>
      <c r="BO18" s="520"/>
      <c r="BP18" s="520"/>
      <c r="BQ18" s="520"/>
      <c r="BR18" s="520"/>
      <c r="BS18" s="520"/>
      <c r="BT18" s="520"/>
      <c r="BU18" s="520"/>
      <c r="BV18" s="520"/>
      <c r="BW18" s="520"/>
      <c r="BX18" s="520"/>
      <c r="BY18" s="520"/>
      <c r="BZ18" s="520"/>
      <c r="CA18" s="520"/>
    </row>
    <row r="19" ht="15.75" customHeight="1">
      <c r="A19" s="416"/>
      <c r="B19" s="533" t="b">
        <v>0</v>
      </c>
      <c r="C19" s="506">
        <f t="shared" si="8"/>
        <v>46060</v>
      </c>
      <c r="D19" s="507" t="str">
        <f t="shared" si="2"/>
        <v>土</v>
      </c>
      <c r="E19" s="507" t="str">
        <f t="shared" si="3"/>
        <v/>
      </c>
      <c r="F19" s="507" t="str">
        <f t="shared" si="4"/>
        <v/>
      </c>
      <c r="G19" s="508"/>
      <c r="H19" s="532"/>
      <c r="I19" s="532"/>
      <c r="J19" s="532"/>
      <c r="K19" s="532"/>
      <c r="L19" s="532"/>
      <c r="M19" s="532"/>
      <c r="N19" s="505"/>
      <c r="O19" s="505"/>
      <c r="P19" s="511"/>
      <c r="Q19" s="511"/>
      <c r="R19" s="511"/>
      <c r="S19" s="511"/>
      <c r="T19" s="511"/>
      <c r="U19" s="511"/>
      <c r="V19" s="511"/>
      <c r="W19" s="511"/>
      <c r="X19" s="511"/>
      <c r="Y19" s="511"/>
      <c r="Z19" s="511"/>
      <c r="AA19" s="511"/>
      <c r="AB19" s="511"/>
      <c r="AC19" s="513"/>
      <c r="AD19" s="513"/>
      <c r="AE19" s="513"/>
      <c r="AF19" s="513"/>
      <c r="AG19" s="513"/>
      <c r="AH19" s="513"/>
      <c r="AI19" s="513"/>
      <c r="AJ19" s="513"/>
      <c r="AK19" s="513"/>
      <c r="AL19" s="513"/>
      <c r="AM19" s="513"/>
      <c r="AN19" s="513"/>
      <c r="AO19" s="513"/>
      <c r="AP19" s="513"/>
      <c r="AQ19" s="513"/>
      <c r="AR19" s="514">
        <f t="shared" si="5"/>
        <v>0</v>
      </c>
      <c r="AS19" s="515">
        <f t="shared" si="6"/>
        <v>0</v>
      </c>
      <c r="AT19" s="515">
        <f>IFERROR(__xludf.DUMMYFUNCTION("""COMPUTED_VALUE"""),54173.0)</f>
        <v>54173</v>
      </c>
      <c r="AU19" s="516" t="str">
        <f t="shared" si="7"/>
        <v/>
      </c>
      <c r="AV19" s="507">
        <f>countifs('🔵クレーム'!$C:$C,MONTH($D$5)&amp;"月",'🔵クレーム'!$D:$D,day(C19)&amp;"日",'🔵クレーム'!$I:$I,"&lt;&gt;")</f>
        <v>0</v>
      </c>
      <c r="AW19" s="517"/>
      <c r="AX19" s="416"/>
      <c r="AY19" s="534"/>
      <c r="AZ19" s="535"/>
      <c r="BA19" s="535"/>
      <c r="BB19" s="536"/>
      <c r="BC19" s="416"/>
      <c r="BD19" s="534"/>
      <c r="BE19" s="535"/>
      <c r="BF19" s="535"/>
      <c r="BG19" s="536"/>
      <c r="BH19" s="416"/>
      <c r="BI19" s="213" t="str">
        <f t="array" ref="BI19">IFERROR(INDEX('💻シート作成'!$D$6:$D162, MATCH(BJ19, '💻シート作成'!$E$6:$E162, 0)), "")</f>
        <v>2月</v>
      </c>
      <c r="BJ19" s="166" t="str">
        <f>IFERROR(__xludf.DUMMYFUNCTION("""COMPUTED_VALUE"""),"④R8_2月報")</f>
        <v>④R8_2月報</v>
      </c>
      <c r="BK19" s="520"/>
      <c r="BL19" s="521">
        <v>46235.0</v>
      </c>
      <c r="BM19" s="168" t="str">
        <f>'🏆皆勤アワード'!P11</f>
        <v/>
      </c>
      <c r="BN19" s="520"/>
      <c r="BO19" s="520"/>
      <c r="BP19" s="520"/>
      <c r="BQ19" s="520"/>
      <c r="BR19" s="520"/>
      <c r="BS19" s="520"/>
      <c r="BT19" s="520"/>
      <c r="BU19" s="520"/>
      <c r="BV19" s="520"/>
      <c r="BW19" s="520"/>
      <c r="BX19" s="520"/>
      <c r="BY19" s="520"/>
      <c r="BZ19" s="520"/>
      <c r="CA19" s="520"/>
    </row>
    <row r="20" ht="15.75" customHeight="1">
      <c r="A20" s="416"/>
      <c r="B20" s="537" t="b">
        <v>0</v>
      </c>
      <c r="C20" s="506">
        <f t="shared" si="8"/>
        <v>46061</v>
      </c>
      <c r="D20" s="507" t="str">
        <f t="shared" si="2"/>
        <v>日</v>
      </c>
      <c r="E20" s="507" t="str">
        <f t="shared" si="3"/>
        <v/>
      </c>
      <c r="F20" s="507" t="str">
        <f t="shared" si="4"/>
        <v/>
      </c>
      <c r="G20" s="508"/>
      <c r="H20" s="524"/>
      <c r="I20" s="524"/>
      <c r="J20" s="524"/>
      <c r="K20" s="524"/>
      <c r="L20" s="524"/>
      <c r="M20" s="524"/>
      <c r="N20" s="525"/>
      <c r="O20" s="525"/>
      <c r="P20" s="526"/>
      <c r="Q20" s="526"/>
      <c r="R20" s="526"/>
      <c r="S20" s="526"/>
      <c r="T20" s="526"/>
      <c r="U20" s="526"/>
      <c r="V20" s="526"/>
      <c r="W20" s="526"/>
      <c r="X20" s="526"/>
      <c r="Y20" s="526"/>
      <c r="Z20" s="526"/>
      <c r="AA20" s="526"/>
      <c r="AB20" s="526"/>
      <c r="AC20" s="527"/>
      <c r="AD20" s="527"/>
      <c r="AE20" s="527"/>
      <c r="AF20" s="527"/>
      <c r="AG20" s="527"/>
      <c r="AH20" s="527"/>
      <c r="AI20" s="527"/>
      <c r="AJ20" s="527"/>
      <c r="AK20" s="527"/>
      <c r="AL20" s="527"/>
      <c r="AM20" s="527"/>
      <c r="AN20" s="527"/>
      <c r="AO20" s="527"/>
      <c r="AP20" s="527"/>
      <c r="AQ20" s="527"/>
      <c r="AR20" s="514">
        <f t="shared" si="5"/>
        <v>0</v>
      </c>
      <c r="AS20" s="515">
        <f t="shared" si="6"/>
        <v>0</v>
      </c>
      <c r="AT20" s="515">
        <f>IFERROR(__xludf.DUMMYFUNCTION("""COMPUTED_VALUE"""),56460.0)</f>
        <v>56460</v>
      </c>
      <c r="AU20" s="516" t="str">
        <f t="shared" si="7"/>
        <v/>
      </c>
      <c r="AV20" s="507">
        <f>countifs('🔵クレーム'!$C:$C,MONTH($D$5)&amp;"月",'🔵クレーム'!$D:$D,day(C20)&amp;"日",'🔵クレーム'!$I:$I,"&lt;&gt;")</f>
        <v>0</v>
      </c>
      <c r="AW20" s="517"/>
      <c r="AX20" s="416"/>
      <c r="AY20" s="538" t="s">
        <v>180</v>
      </c>
      <c r="AZ20" s="539">
        <f>IFERROR(__xludf.DUMMYFUNCTION("IMPORTRANGE(""https://docs.google.com/spreadsheets/d/1QbHfX9wvC_RRupa4CCe_ZxA6O4e2Ap9vqX5hrZPeQRg/edit?gid=284905409#gid=284905409"",""date2_1!B18"")/G5*COUNTIFS($E$13:$E$43,""&gt;0"")+sum(AZ14:BA19)"),0.0)</f>
        <v>0</v>
      </c>
      <c r="BA20" s="540"/>
      <c r="BB20" s="541"/>
      <c r="BC20" s="416"/>
      <c r="BD20" s="538" t="s">
        <v>180</v>
      </c>
      <c r="BE20" s="539">
        <f>sum(BE14:BF19)</f>
        <v>0</v>
      </c>
      <c r="BF20" s="540"/>
      <c r="BG20" s="541"/>
      <c r="BH20" s="416"/>
      <c r="BI20" s="213" t="str">
        <f t="array" ref="BI20">IFERROR(INDEX('💻シート作成'!$D$6:$D162, MATCH(BJ20, '💻シート作成'!$E$6:$E162, 0)), "")</f>
        <v>3月</v>
      </c>
      <c r="BJ20" s="166" t="str">
        <f>IFERROR(__xludf.DUMMYFUNCTION("""COMPUTED_VALUE"""),"①R8_3集計")</f>
        <v>①R8_3集計</v>
      </c>
      <c r="BK20" s="520"/>
      <c r="BL20" s="521">
        <v>46266.0</v>
      </c>
      <c r="BM20" s="168" t="str">
        <f>'🏆皆勤アワード'!P12</f>
        <v/>
      </c>
      <c r="BN20" s="520"/>
      <c r="BO20" s="520"/>
      <c r="BP20" s="520"/>
      <c r="BQ20" s="520"/>
      <c r="BR20" s="520"/>
      <c r="BS20" s="520"/>
      <c r="BT20" s="520"/>
      <c r="BU20" s="520"/>
      <c r="BV20" s="520"/>
      <c r="BW20" s="520"/>
      <c r="BX20" s="520"/>
      <c r="BY20" s="520"/>
      <c r="BZ20" s="520"/>
      <c r="CA20" s="520"/>
    </row>
    <row r="21" ht="15.75" customHeight="1">
      <c r="A21" s="416"/>
      <c r="B21" s="533" t="b">
        <v>0</v>
      </c>
      <c r="C21" s="506">
        <f t="shared" si="8"/>
        <v>46062</v>
      </c>
      <c r="D21" s="507" t="str">
        <f t="shared" si="2"/>
        <v>月</v>
      </c>
      <c r="E21" s="507" t="str">
        <f t="shared" si="3"/>
        <v/>
      </c>
      <c r="F21" s="507" t="str">
        <f t="shared" si="4"/>
        <v/>
      </c>
      <c r="G21" s="508"/>
      <c r="H21" s="532"/>
      <c r="I21" s="532"/>
      <c r="J21" s="532"/>
      <c r="K21" s="532"/>
      <c r="L21" s="532"/>
      <c r="M21" s="532"/>
      <c r="N21" s="505"/>
      <c r="O21" s="505"/>
      <c r="P21" s="511"/>
      <c r="Q21" s="511"/>
      <c r="R21" s="511"/>
      <c r="S21" s="511"/>
      <c r="T21" s="511"/>
      <c r="U21" s="511"/>
      <c r="V21" s="511"/>
      <c r="W21" s="511"/>
      <c r="X21" s="511"/>
      <c r="Y21" s="511"/>
      <c r="Z21" s="511"/>
      <c r="AA21" s="511"/>
      <c r="AB21" s="511"/>
      <c r="AC21" s="513"/>
      <c r="AD21" s="513"/>
      <c r="AE21" s="513"/>
      <c r="AF21" s="513"/>
      <c r="AG21" s="513"/>
      <c r="AH21" s="513"/>
      <c r="AI21" s="513"/>
      <c r="AJ21" s="513"/>
      <c r="AK21" s="513"/>
      <c r="AL21" s="513"/>
      <c r="AM21" s="513"/>
      <c r="AN21" s="513"/>
      <c r="AO21" s="513"/>
      <c r="AP21" s="513"/>
      <c r="AQ21" s="513"/>
      <c r="AR21" s="514">
        <f t="shared" si="5"/>
        <v>0</v>
      </c>
      <c r="AS21" s="515">
        <f t="shared" si="6"/>
        <v>0</v>
      </c>
      <c r="AT21" s="515">
        <f>IFERROR(__xludf.DUMMYFUNCTION("""COMPUTED_VALUE"""),46498.0)</f>
        <v>46498</v>
      </c>
      <c r="AU21" s="516" t="str">
        <f t="shared" si="7"/>
        <v/>
      </c>
      <c r="AV21" s="507">
        <f>countifs('🔵クレーム'!$C:$C,MONTH($D$5)&amp;"月",'🔵クレーム'!$D:$D,day(C21)&amp;"日",'🔵クレーム'!$I:$I,"&lt;&gt;")</f>
        <v>0</v>
      </c>
      <c r="AW21" s="517"/>
      <c r="AX21" s="416"/>
      <c r="AY21" s="416"/>
      <c r="AZ21" s="416"/>
      <c r="BA21" s="416"/>
      <c r="BB21" s="416"/>
      <c r="BC21" s="416"/>
      <c r="BD21" s="416"/>
      <c r="BG21" s="416"/>
      <c r="BH21" s="416"/>
      <c r="BI21" s="213" t="str">
        <f t="array" ref="BI21">IFERROR(INDEX('💻シート作成'!$D$6:$D162, MATCH(BJ21, '💻シート作成'!$E$6:$E162, 0)), "")</f>
        <v>3月</v>
      </c>
      <c r="BJ21" s="166" t="str">
        <f>IFERROR(__xludf.DUMMYFUNCTION("""COMPUTED_VALUE"""),"②R8_3シフト")</f>
        <v>②R8_3シフト</v>
      </c>
      <c r="BK21" s="520"/>
      <c r="BL21" s="521">
        <v>46296.0</v>
      </c>
      <c r="BM21" s="168" t="str">
        <f>'🏆皆勤アワード'!P13</f>
        <v/>
      </c>
      <c r="BN21" s="520"/>
      <c r="BO21" s="520"/>
      <c r="BP21" s="520"/>
      <c r="BQ21" s="520"/>
      <c r="BR21" s="520"/>
      <c r="BS21" s="520"/>
      <c r="BT21" s="520"/>
      <c r="BU21" s="520"/>
      <c r="BV21" s="520"/>
      <c r="BW21" s="520"/>
      <c r="BX21" s="520"/>
      <c r="BY21" s="520"/>
      <c r="BZ21" s="520"/>
      <c r="CA21" s="520"/>
    </row>
    <row r="22" ht="15.75" customHeight="1">
      <c r="A22" s="416"/>
      <c r="B22" s="537" t="b">
        <v>0</v>
      </c>
      <c r="C22" s="506">
        <f t="shared" si="8"/>
        <v>46063</v>
      </c>
      <c r="D22" s="507" t="str">
        <f t="shared" si="2"/>
        <v>火</v>
      </c>
      <c r="E22" s="507" t="str">
        <f t="shared" si="3"/>
        <v/>
      </c>
      <c r="F22" s="507" t="str">
        <f t="shared" si="4"/>
        <v/>
      </c>
      <c r="G22" s="508"/>
      <c r="H22" s="524"/>
      <c r="I22" s="524"/>
      <c r="J22" s="524"/>
      <c r="K22" s="524"/>
      <c r="L22" s="524"/>
      <c r="M22" s="524"/>
      <c r="N22" s="525"/>
      <c r="O22" s="525"/>
      <c r="P22" s="526"/>
      <c r="Q22" s="526"/>
      <c r="R22" s="526"/>
      <c r="S22" s="526"/>
      <c r="T22" s="526"/>
      <c r="U22" s="526"/>
      <c r="V22" s="526"/>
      <c r="W22" s="526"/>
      <c r="X22" s="526"/>
      <c r="Y22" s="526"/>
      <c r="Z22" s="526"/>
      <c r="AA22" s="526"/>
      <c r="AB22" s="526"/>
      <c r="AC22" s="527"/>
      <c r="AD22" s="527"/>
      <c r="AE22" s="527"/>
      <c r="AF22" s="527"/>
      <c r="AG22" s="527"/>
      <c r="AH22" s="527"/>
      <c r="AI22" s="527"/>
      <c r="AJ22" s="527"/>
      <c r="AK22" s="527"/>
      <c r="AL22" s="527"/>
      <c r="AM22" s="527"/>
      <c r="AN22" s="527"/>
      <c r="AO22" s="527"/>
      <c r="AP22" s="527"/>
      <c r="AQ22" s="527"/>
      <c r="AR22" s="514">
        <f t="shared" si="5"/>
        <v>0</v>
      </c>
      <c r="AS22" s="515">
        <f t="shared" si="6"/>
        <v>0</v>
      </c>
      <c r="AT22" s="515">
        <f>IFERROR(__xludf.DUMMYFUNCTION("""COMPUTED_VALUE"""),50328.0)</f>
        <v>50328</v>
      </c>
      <c r="AU22" s="516" t="str">
        <f t="shared" si="7"/>
        <v/>
      </c>
      <c r="AV22" s="507">
        <f>countifs('🔵クレーム'!$C:$C,MONTH($D$5)&amp;"月",'🔵クレーム'!$D:$D,day(C22)&amp;"日",'🔵クレーム'!$I:$I,"&lt;&gt;")</f>
        <v>0</v>
      </c>
      <c r="AW22" s="517"/>
      <c r="AX22" s="416"/>
      <c r="AY22" s="542" t="s">
        <v>369</v>
      </c>
      <c r="AZ22" s="543"/>
      <c r="BA22" s="543"/>
      <c r="BB22" s="544" t="s">
        <v>370</v>
      </c>
      <c r="BC22" s="430"/>
      <c r="BD22" s="545"/>
      <c r="BE22" s="544" t="s">
        <v>371</v>
      </c>
      <c r="BF22" s="544" t="s">
        <v>372</v>
      </c>
      <c r="BG22" s="544" t="s">
        <v>180</v>
      </c>
      <c r="BH22" s="416"/>
      <c r="BI22" s="213" t="str">
        <f t="array" ref="BI22">IFERROR(INDEX('💻シート作成'!$D$6:$D162, MATCH(BJ22, '💻シート作成'!$E$6:$E162, 0)), "")</f>
        <v>3月</v>
      </c>
      <c r="BJ22" s="166" t="str">
        <f>IFERROR(__xludf.DUMMYFUNCTION("""COMPUTED_VALUE"""),"③R8_3日報")</f>
        <v>③R8_3日報</v>
      </c>
      <c r="BK22" s="520"/>
      <c r="BL22" s="521">
        <v>46327.0</v>
      </c>
      <c r="BM22" s="168" t="str">
        <f>'🏆皆勤アワード'!P14</f>
        <v/>
      </c>
      <c r="BN22" s="520"/>
      <c r="BO22" s="520"/>
      <c r="BP22" s="520"/>
      <c r="BQ22" s="520"/>
      <c r="BR22" s="520"/>
      <c r="BS22" s="520"/>
      <c r="BT22" s="520"/>
      <c r="BU22" s="520"/>
      <c r="BV22" s="520"/>
      <c r="BW22" s="520"/>
      <c r="BX22" s="520"/>
      <c r="BY22" s="520"/>
      <c r="BZ22" s="520"/>
      <c r="CA22" s="520"/>
    </row>
    <row r="23" ht="15.75" customHeight="1">
      <c r="A23" s="416"/>
      <c r="B23" s="533" t="b">
        <v>0</v>
      </c>
      <c r="C23" s="506">
        <f t="shared" si="8"/>
        <v>46064</v>
      </c>
      <c r="D23" s="507" t="str">
        <f t="shared" si="2"/>
        <v>水</v>
      </c>
      <c r="E23" s="507" t="str">
        <f t="shared" si="3"/>
        <v/>
      </c>
      <c r="F23" s="507" t="str">
        <f t="shared" si="4"/>
        <v/>
      </c>
      <c r="G23" s="508"/>
      <c r="H23" s="532"/>
      <c r="I23" s="532"/>
      <c r="J23" s="532"/>
      <c r="K23" s="532"/>
      <c r="L23" s="532"/>
      <c r="M23" s="532"/>
      <c r="N23" s="505"/>
      <c r="O23" s="505"/>
      <c r="P23" s="511"/>
      <c r="Q23" s="511"/>
      <c r="R23" s="511"/>
      <c r="S23" s="511"/>
      <c r="T23" s="511"/>
      <c r="U23" s="511"/>
      <c r="V23" s="511"/>
      <c r="W23" s="511"/>
      <c r="X23" s="511"/>
      <c r="Y23" s="511"/>
      <c r="Z23" s="511"/>
      <c r="AA23" s="511"/>
      <c r="AB23" s="511"/>
      <c r="AC23" s="513"/>
      <c r="AD23" s="513"/>
      <c r="AE23" s="513"/>
      <c r="AF23" s="513"/>
      <c r="AG23" s="513"/>
      <c r="AH23" s="513"/>
      <c r="AI23" s="513"/>
      <c r="AJ23" s="513"/>
      <c r="AK23" s="513"/>
      <c r="AL23" s="513"/>
      <c r="AM23" s="513"/>
      <c r="AN23" s="513"/>
      <c r="AO23" s="513"/>
      <c r="AP23" s="513"/>
      <c r="AQ23" s="513"/>
      <c r="AR23" s="514">
        <f t="shared" si="5"/>
        <v>0</v>
      </c>
      <c r="AS23" s="515">
        <f t="shared" si="6"/>
        <v>0</v>
      </c>
      <c r="AT23" s="515">
        <f>IFERROR(__xludf.DUMMYFUNCTION("""COMPUTED_VALUE"""),38854.0)</f>
        <v>38854</v>
      </c>
      <c r="AU23" s="516" t="str">
        <f t="shared" si="7"/>
        <v/>
      </c>
      <c r="AV23" s="507">
        <f>countifs('🔵クレーム'!$C:$C,MONTH($D$5)&amp;"月",'🔵クレーム'!$D:$D,day(C23)&amp;"日",'🔵クレーム'!$I:$I,"&lt;&gt;")</f>
        <v>0</v>
      </c>
      <c r="AW23" s="517"/>
      <c r="AX23" s="416"/>
      <c r="AY23" s="546" t="s">
        <v>373</v>
      </c>
      <c r="AZ23" s="547">
        <f>AR44</f>
        <v>0</v>
      </c>
      <c r="BA23" s="71"/>
      <c r="BB23" s="548">
        <f>AZ23-AZ24</f>
        <v>0</v>
      </c>
      <c r="BC23" s="416"/>
      <c r="BD23" s="549" t="s">
        <v>374</v>
      </c>
      <c r="BE23" s="550">
        <f>IFERROR(__xludf.DUMMYFUNCTION("IMPORTRANGE(AT9,""total!ai2"")"),1307359.0)</f>
        <v>1307359</v>
      </c>
      <c r="BF23" s="550">
        <f>IFERROR(__xludf.DUMMYFUNCTION("IMPORTRANGE(AT9,""total!an2"")"),137470.0)</f>
        <v>137470</v>
      </c>
      <c r="BG23" s="548">
        <f>sum(BE23:BF27)+BE20</f>
        <v>1448290</v>
      </c>
      <c r="BH23" s="416"/>
      <c r="BI23" s="213" t="str">
        <f t="array" ref="BI23">IFERROR(INDEX('💻シート作成'!$D$6:$D162, MATCH(BJ23, '💻シート作成'!$E$6:$E162, 0)), "")</f>
        <v>3月</v>
      </c>
      <c r="BJ23" s="166" t="str">
        <f>IFERROR(__xludf.DUMMYFUNCTION("""COMPUTED_VALUE"""),"④R8_3月報")</f>
        <v>④R8_3月報</v>
      </c>
      <c r="BK23" s="520"/>
      <c r="BL23" s="521">
        <v>46357.0</v>
      </c>
      <c r="BM23" s="168" t="str">
        <f>'🏆皆勤アワード'!P15</f>
        <v/>
      </c>
      <c r="BN23" s="520"/>
      <c r="BO23" s="520"/>
      <c r="BP23" s="520"/>
      <c r="BQ23" s="520"/>
      <c r="BR23" s="520"/>
      <c r="BS23" s="520"/>
      <c r="BT23" s="520"/>
      <c r="BU23" s="520"/>
      <c r="BV23" s="520"/>
      <c r="BW23" s="520"/>
      <c r="BX23" s="520"/>
      <c r="BY23" s="520"/>
      <c r="BZ23" s="520"/>
      <c r="CA23" s="520"/>
    </row>
    <row r="24" ht="15.75" customHeight="1">
      <c r="A24" s="416"/>
      <c r="B24" s="537" t="b">
        <v>0</v>
      </c>
      <c r="C24" s="506">
        <f t="shared" si="8"/>
        <v>46065</v>
      </c>
      <c r="D24" s="507" t="str">
        <f t="shared" si="2"/>
        <v>木</v>
      </c>
      <c r="E24" s="507" t="str">
        <f t="shared" si="3"/>
        <v/>
      </c>
      <c r="F24" s="507" t="str">
        <f t="shared" si="4"/>
        <v/>
      </c>
      <c r="G24" s="508"/>
      <c r="H24" s="524"/>
      <c r="I24" s="524"/>
      <c r="J24" s="524"/>
      <c r="K24" s="524"/>
      <c r="L24" s="524"/>
      <c r="M24" s="524"/>
      <c r="N24" s="525"/>
      <c r="O24" s="525"/>
      <c r="P24" s="526"/>
      <c r="Q24" s="526"/>
      <c r="R24" s="526"/>
      <c r="S24" s="526"/>
      <c r="T24" s="526"/>
      <c r="U24" s="526"/>
      <c r="V24" s="526"/>
      <c r="W24" s="526"/>
      <c r="X24" s="526"/>
      <c r="Y24" s="526"/>
      <c r="Z24" s="526"/>
      <c r="AA24" s="526"/>
      <c r="AB24" s="526"/>
      <c r="AC24" s="527"/>
      <c r="AD24" s="527"/>
      <c r="AE24" s="527"/>
      <c r="AF24" s="527"/>
      <c r="AG24" s="527"/>
      <c r="AH24" s="527"/>
      <c r="AI24" s="527"/>
      <c r="AJ24" s="527"/>
      <c r="AK24" s="527"/>
      <c r="AL24" s="527"/>
      <c r="AM24" s="527"/>
      <c r="AN24" s="527"/>
      <c r="AO24" s="527"/>
      <c r="AP24" s="527"/>
      <c r="AQ24" s="527"/>
      <c r="AR24" s="514">
        <f t="shared" si="5"/>
        <v>0</v>
      </c>
      <c r="AS24" s="515">
        <f t="shared" si="6"/>
        <v>0</v>
      </c>
      <c r="AT24" s="515">
        <f>IFERROR(__xludf.DUMMYFUNCTION("""COMPUTED_VALUE"""),37023.0)</f>
        <v>37023</v>
      </c>
      <c r="AU24" s="516" t="str">
        <f t="shared" si="7"/>
        <v/>
      </c>
      <c r="AV24" s="507">
        <f>countifs('🔵クレーム'!$C:$C,MONTH($D$5)&amp;"月",'🔵クレーム'!$D:$D,day(C24)&amp;"日",'🔵クレーム'!$I:$I,"&lt;&gt;")</f>
        <v>0</v>
      </c>
      <c r="AW24" s="517"/>
      <c r="AX24" s="416"/>
      <c r="AY24" s="546" t="s">
        <v>375</v>
      </c>
      <c r="AZ24" s="547">
        <f>BE36</f>
        <v>0</v>
      </c>
      <c r="BA24" s="71"/>
      <c r="BB24" s="551"/>
      <c r="BC24" s="416"/>
      <c r="BD24" s="546" t="s">
        <v>376</v>
      </c>
      <c r="BE24" s="547">
        <f>IFERROR(__xludf.DUMMYFUNCTION("IMPORTRANGE(AT9,""total!as2"")"),3461.0)</f>
        <v>3461</v>
      </c>
      <c r="BF24" s="71"/>
      <c r="BG24" s="551"/>
      <c r="BH24" s="415"/>
      <c r="BI24" s="213" t="str">
        <f t="array" ref="BI24">IFERROR(INDEX('💻シート作成'!$D$6:$D162, MATCH(BJ24, '💻シート作成'!$E$6:$E162, 0)), "")</f>
        <v>4月</v>
      </c>
      <c r="BJ24" s="166" t="str">
        <f>IFERROR(__xludf.DUMMYFUNCTION("""COMPUTED_VALUE"""),"①R8_4集計")</f>
        <v>①R8_4集計</v>
      </c>
      <c r="BK24" s="520"/>
      <c r="BL24" s="521">
        <v>46388.0</v>
      </c>
      <c r="BM24" s="168" t="str">
        <f>'🏆皆勤アワード'!P16</f>
        <v/>
      </c>
      <c r="BN24" s="520"/>
      <c r="BO24" s="520"/>
      <c r="BP24" s="520"/>
      <c r="BQ24" s="520"/>
      <c r="BR24" s="520"/>
      <c r="BS24" s="520"/>
      <c r="BT24" s="520"/>
      <c r="BU24" s="520"/>
      <c r="BV24" s="520"/>
      <c r="BW24" s="520"/>
      <c r="BX24" s="520"/>
      <c r="BY24" s="520"/>
      <c r="BZ24" s="520"/>
      <c r="CA24" s="520"/>
    </row>
    <row r="25" ht="15.75" customHeight="1">
      <c r="A25" s="416"/>
      <c r="B25" s="533" t="b">
        <v>0</v>
      </c>
      <c r="C25" s="506">
        <f t="shared" si="8"/>
        <v>46066</v>
      </c>
      <c r="D25" s="507" t="str">
        <f t="shared" si="2"/>
        <v>金</v>
      </c>
      <c r="E25" s="507" t="str">
        <f t="shared" si="3"/>
        <v/>
      </c>
      <c r="F25" s="507" t="str">
        <f t="shared" si="4"/>
        <v/>
      </c>
      <c r="G25" s="508"/>
      <c r="H25" s="532"/>
      <c r="I25" s="532"/>
      <c r="J25" s="532"/>
      <c r="K25" s="532"/>
      <c r="L25" s="532"/>
      <c r="M25" s="532"/>
      <c r="N25" s="505"/>
      <c r="O25" s="505"/>
      <c r="P25" s="511"/>
      <c r="Q25" s="511"/>
      <c r="R25" s="511"/>
      <c r="S25" s="511"/>
      <c r="T25" s="511"/>
      <c r="U25" s="511"/>
      <c r="V25" s="511"/>
      <c r="W25" s="511"/>
      <c r="X25" s="511"/>
      <c r="Y25" s="511"/>
      <c r="Z25" s="511"/>
      <c r="AA25" s="511"/>
      <c r="AB25" s="511"/>
      <c r="AC25" s="513"/>
      <c r="AD25" s="513"/>
      <c r="AE25" s="513"/>
      <c r="AF25" s="513"/>
      <c r="AG25" s="513"/>
      <c r="AH25" s="513"/>
      <c r="AI25" s="513"/>
      <c r="AJ25" s="513"/>
      <c r="AK25" s="513"/>
      <c r="AL25" s="513"/>
      <c r="AM25" s="513"/>
      <c r="AN25" s="513"/>
      <c r="AO25" s="513"/>
      <c r="AP25" s="513"/>
      <c r="AQ25" s="513"/>
      <c r="AR25" s="514">
        <f t="shared" si="5"/>
        <v>0</v>
      </c>
      <c r="AS25" s="515">
        <f t="shared" si="6"/>
        <v>0</v>
      </c>
      <c r="AT25" s="515">
        <f>IFERROR(__xludf.DUMMYFUNCTION("""COMPUTED_VALUE"""),57742.0)</f>
        <v>57742</v>
      </c>
      <c r="AU25" s="516" t="str">
        <f t="shared" si="7"/>
        <v/>
      </c>
      <c r="AV25" s="507">
        <f>countifs('🔵クレーム'!$C:$C,MONTH($D$5)&amp;"月",'🔵クレーム'!$D:$D,day(C25)&amp;"日",'🔵クレーム'!$I:$I,"&lt;&gt;")</f>
        <v>0</v>
      </c>
      <c r="AW25" s="517"/>
      <c r="AX25" s="416"/>
      <c r="AY25" s="549"/>
      <c r="AZ25" s="552"/>
      <c r="BA25" s="71"/>
      <c r="BB25" s="551"/>
      <c r="BC25" s="416"/>
      <c r="BD25" s="546" t="s">
        <v>377</v>
      </c>
      <c r="BE25" s="547"/>
      <c r="BF25" s="71"/>
      <c r="BG25" s="551"/>
      <c r="BH25" s="416"/>
      <c r="BI25" s="213" t="str">
        <f t="array" ref="BI25">IFERROR(INDEX('💻シート作成'!$D$6:$D162, MATCH(BJ25, '💻シート作成'!$E$6:$E162, 0)), "")</f>
        <v>4月</v>
      </c>
      <c r="BJ25" s="166" t="str">
        <f>IFERROR(__xludf.DUMMYFUNCTION("""COMPUTED_VALUE"""),"②R8_4シフト")</f>
        <v>②R8_4シフト</v>
      </c>
      <c r="BK25" s="520"/>
      <c r="BL25" s="521"/>
      <c r="BM25" s="168" t="str">
        <f>'🏆皆勤アワード'!P17</f>
        <v/>
      </c>
      <c r="BN25" s="520"/>
      <c r="BO25" s="520"/>
      <c r="BP25" s="520"/>
      <c r="BQ25" s="520"/>
      <c r="BR25" s="520"/>
      <c r="BS25" s="520"/>
      <c r="BT25" s="520"/>
      <c r="BU25" s="520"/>
      <c r="BV25" s="520"/>
      <c r="BW25" s="520"/>
      <c r="BX25" s="520"/>
      <c r="BY25" s="520"/>
      <c r="BZ25" s="520"/>
      <c r="CA25" s="520"/>
    </row>
    <row r="26" ht="15.75" customHeight="1">
      <c r="A26" s="416"/>
      <c r="B26" s="537" t="b">
        <v>0</v>
      </c>
      <c r="C26" s="506">
        <f t="shared" si="8"/>
        <v>46067</v>
      </c>
      <c r="D26" s="507" t="str">
        <f t="shared" si="2"/>
        <v>土</v>
      </c>
      <c r="E26" s="507" t="str">
        <f t="shared" si="3"/>
        <v/>
      </c>
      <c r="F26" s="507" t="str">
        <f t="shared" si="4"/>
        <v/>
      </c>
      <c r="G26" s="508"/>
      <c r="H26" s="524"/>
      <c r="I26" s="524"/>
      <c r="J26" s="524"/>
      <c r="K26" s="524"/>
      <c r="L26" s="524"/>
      <c r="M26" s="524"/>
      <c r="N26" s="525"/>
      <c r="O26" s="525"/>
      <c r="P26" s="526"/>
      <c r="Q26" s="526"/>
      <c r="R26" s="526"/>
      <c r="S26" s="526"/>
      <c r="T26" s="526"/>
      <c r="U26" s="526"/>
      <c r="V26" s="526"/>
      <c r="W26" s="526"/>
      <c r="X26" s="526"/>
      <c r="Y26" s="526"/>
      <c r="Z26" s="526"/>
      <c r="AA26" s="526"/>
      <c r="AB26" s="526"/>
      <c r="AC26" s="527"/>
      <c r="AD26" s="527"/>
      <c r="AE26" s="527"/>
      <c r="AF26" s="527"/>
      <c r="AG26" s="527"/>
      <c r="AH26" s="527"/>
      <c r="AI26" s="527"/>
      <c r="AJ26" s="527"/>
      <c r="AK26" s="527"/>
      <c r="AL26" s="527"/>
      <c r="AM26" s="527"/>
      <c r="AN26" s="527"/>
      <c r="AO26" s="527"/>
      <c r="AP26" s="527"/>
      <c r="AQ26" s="527"/>
      <c r="AR26" s="514">
        <f t="shared" si="5"/>
        <v>0</v>
      </c>
      <c r="AS26" s="515">
        <f t="shared" si="6"/>
        <v>0</v>
      </c>
      <c r="AT26" s="515">
        <f>IFERROR(__xludf.DUMMYFUNCTION("""COMPUTED_VALUE"""),39418.0)</f>
        <v>39418</v>
      </c>
      <c r="AU26" s="516" t="str">
        <f t="shared" si="7"/>
        <v/>
      </c>
      <c r="AV26" s="507">
        <f>countifs('🔵クレーム'!$C:$C,MONTH($D$5)&amp;"月",'🔵クレーム'!$D:$D,day(C26)&amp;"日",'🔵クレーム'!$I:$I,"&lt;&gt;")</f>
        <v>0</v>
      </c>
      <c r="AW26" s="517"/>
      <c r="AX26" s="416"/>
      <c r="AY26" s="549"/>
      <c r="AZ26" s="552"/>
      <c r="BA26" s="71"/>
      <c r="BB26" s="551"/>
      <c r="BC26" s="416"/>
      <c r="BD26" s="546"/>
      <c r="BE26" s="553"/>
      <c r="BF26" s="71"/>
      <c r="BG26" s="551"/>
      <c r="BH26" s="416"/>
      <c r="BI26" s="213" t="str">
        <f t="array" ref="BI26">IFERROR(INDEX('💻シート作成'!$D$6:$D162, MATCH(BJ26, '💻シート作成'!$E$6:$E162, 0)), "")</f>
        <v>4月</v>
      </c>
      <c r="BJ26" s="166" t="str">
        <f>IFERROR(__xludf.DUMMYFUNCTION("""COMPUTED_VALUE"""),"③R8_4日報")</f>
        <v>③R8_4日報</v>
      </c>
      <c r="BK26" s="520"/>
      <c r="BL26" s="521"/>
      <c r="BM26" s="168"/>
      <c r="BN26" s="520"/>
      <c r="BO26" s="520"/>
      <c r="BP26" s="520"/>
      <c r="BQ26" s="520"/>
      <c r="BR26" s="520"/>
      <c r="BS26" s="520"/>
      <c r="BT26" s="520"/>
      <c r="BU26" s="520"/>
      <c r="BV26" s="520"/>
      <c r="BW26" s="520"/>
      <c r="BX26" s="520"/>
      <c r="BY26" s="520"/>
      <c r="BZ26" s="520"/>
      <c r="CA26" s="520"/>
    </row>
    <row r="27" ht="15.75" customHeight="1">
      <c r="A27" s="416"/>
      <c r="B27" s="533" t="b">
        <v>0</v>
      </c>
      <c r="C27" s="506">
        <f t="shared" si="8"/>
        <v>46068</v>
      </c>
      <c r="D27" s="507" t="str">
        <f t="shared" si="2"/>
        <v>日</v>
      </c>
      <c r="E27" s="507" t="str">
        <f t="shared" si="3"/>
        <v/>
      </c>
      <c r="F27" s="507" t="str">
        <f t="shared" si="4"/>
        <v/>
      </c>
      <c r="G27" s="508"/>
      <c r="H27" s="532"/>
      <c r="I27" s="532"/>
      <c r="J27" s="532"/>
      <c r="K27" s="532"/>
      <c r="L27" s="532"/>
      <c r="M27" s="532"/>
      <c r="N27" s="505"/>
      <c r="O27" s="505"/>
      <c r="P27" s="511"/>
      <c r="Q27" s="511"/>
      <c r="R27" s="511"/>
      <c r="S27" s="511"/>
      <c r="T27" s="511"/>
      <c r="U27" s="511"/>
      <c r="V27" s="511"/>
      <c r="W27" s="511"/>
      <c r="X27" s="511"/>
      <c r="Y27" s="511"/>
      <c r="Z27" s="511"/>
      <c r="AA27" s="511"/>
      <c r="AB27" s="511"/>
      <c r="AC27" s="513"/>
      <c r="AD27" s="513"/>
      <c r="AE27" s="513"/>
      <c r="AF27" s="513"/>
      <c r="AG27" s="513"/>
      <c r="AH27" s="513"/>
      <c r="AI27" s="513"/>
      <c r="AJ27" s="513"/>
      <c r="AK27" s="513"/>
      <c r="AL27" s="513"/>
      <c r="AM27" s="513"/>
      <c r="AN27" s="513"/>
      <c r="AO27" s="513"/>
      <c r="AP27" s="513"/>
      <c r="AQ27" s="513"/>
      <c r="AR27" s="514">
        <f t="shared" si="5"/>
        <v>0</v>
      </c>
      <c r="AS27" s="515">
        <f t="shared" si="6"/>
        <v>0</v>
      </c>
      <c r="AT27" s="515">
        <f>IFERROR(__xludf.DUMMYFUNCTION("""COMPUTED_VALUE"""),43850.0)</f>
        <v>43850</v>
      </c>
      <c r="AU27" s="516" t="str">
        <f t="shared" si="7"/>
        <v/>
      </c>
      <c r="AV27" s="507">
        <f>countifs('🔵クレーム'!$C:$C,MONTH($D$5)&amp;"月",'🔵クレーム'!$D:$D,day(C27)&amp;"日",'🔵クレーム'!$I:$I,"&lt;&gt;")</f>
        <v>0</v>
      </c>
      <c r="AW27" s="517"/>
      <c r="AX27" s="416"/>
      <c r="AY27" s="549"/>
      <c r="AZ27" s="552"/>
      <c r="BA27" s="71"/>
      <c r="BB27" s="207"/>
      <c r="BC27" s="416"/>
      <c r="BD27" s="531"/>
      <c r="BE27" s="553"/>
      <c r="BF27" s="71"/>
      <c r="BG27" s="207"/>
      <c r="BH27" s="416"/>
      <c r="BI27" s="213" t="str">
        <f t="array" ref="BI27">IFERROR(INDEX('💻シート作成'!$D$6:$D162, MATCH(BJ27, '💻シート作成'!$E$6:$E162, 0)), "")</f>
        <v>4月</v>
      </c>
      <c r="BJ27" s="166" t="str">
        <f>IFERROR(__xludf.DUMMYFUNCTION("""COMPUTED_VALUE"""),"④R8_4月報")</f>
        <v>④R8_4月報</v>
      </c>
      <c r="BK27" s="520"/>
      <c r="BL27" s="521"/>
      <c r="BM27" s="168"/>
      <c r="BN27" s="520"/>
      <c r="BO27" s="520"/>
      <c r="BP27" s="520"/>
      <c r="BQ27" s="520"/>
      <c r="BR27" s="520"/>
      <c r="BS27" s="520"/>
      <c r="BT27" s="520"/>
      <c r="BU27" s="520"/>
      <c r="BV27" s="520"/>
      <c r="BW27" s="520"/>
      <c r="BX27" s="520"/>
      <c r="BY27" s="520"/>
      <c r="BZ27" s="520"/>
      <c r="CA27" s="520"/>
    </row>
    <row r="28" ht="15.75" customHeight="1">
      <c r="A28" s="416"/>
      <c r="B28" s="537" t="b">
        <v>0</v>
      </c>
      <c r="C28" s="506">
        <f t="shared" si="8"/>
        <v>46069</v>
      </c>
      <c r="D28" s="507" t="str">
        <f t="shared" si="2"/>
        <v>月</v>
      </c>
      <c r="E28" s="507" t="str">
        <f t="shared" si="3"/>
        <v/>
      </c>
      <c r="F28" s="507" t="str">
        <f t="shared" si="4"/>
        <v/>
      </c>
      <c r="G28" s="508"/>
      <c r="H28" s="524"/>
      <c r="I28" s="524"/>
      <c r="J28" s="524"/>
      <c r="K28" s="524"/>
      <c r="L28" s="524"/>
      <c r="M28" s="524"/>
      <c r="N28" s="525"/>
      <c r="O28" s="525"/>
      <c r="P28" s="526"/>
      <c r="Q28" s="526"/>
      <c r="R28" s="526"/>
      <c r="S28" s="526"/>
      <c r="T28" s="526"/>
      <c r="U28" s="526"/>
      <c r="V28" s="526"/>
      <c r="W28" s="526"/>
      <c r="X28" s="526"/>
      <c r="Y28" s="526"/>
      <c r="Z28" s="526"/>
      <c r="AA28" s="526"/>
      <c r="AB28" s="526"/>
      <c r="AC28" s="527"/>
      <c r="AD28" s="527"/>
      <c r="AE28" s="527"/>
      <c r="AF28" s="527"/>
      <c r="AG28" s="527"/>
      <c r="AH28" s="527"/>
      <c r="AI28" s="527"/>
      <c r="AJ28" s="527"/>
      <c r="AK28" s="527"/>
      <c r="AL28" s="527"/>
      <c r="AM28" s="527"/>
      <c r="AN28" s="527"/>
      <c r="AO28" s="527"/>
      <c r="AP28" s="527"/>
      <c r="AQ28" s="527"/>
      <c r="AR28" s="514">
        <f t="shared" si="5"/>
        <v>0</v>
      </c>
      <c r="AS28" s="515">
        <f t="shared" si="6"/>
        <v>0</v>
      </c>
      <c r="AT28" s="515">
        <f>IFERROR(__xludf.DUMMYFUNCTION("""COMPUTED_VALUE"""),38274.0)</f>
        <v>38274</v>
      </c>
      <c r="AU28" s="516" t="str">
        <f t="shared" si="7"/>
        <v/>
      </c>
      <c r="AV28" s="507">
        <f>countifs('🔵クレーム'!$C:$C,MONTH($D$5)&amp;"月",'🔵クレーム'!$D:$D,day(C28)&amp;"日",'🔵クレーム'!$I:$I,"&lt;&gt;")</f>
        <v>0</v>
      </c>
      <c r="AW28" s="517"/>
      <c r="AX28" s="416"/>
      <c r="AY28" s="416"/>
      <c r="AZ28" s="416"/>
      <c r="BA28" s="416"/>
      <c r="BB28" s="416"/>
      <c r="BC28" s="416"/>
      <c r="BD28" s="416"/>
      <c r="BE28" s="416"/>
      <c r="BF28" s="416"/>
      <c r="BG28" s="416"/>
      <c r="BH28" s="416"/>
      <c r="BI28" s="213" t="str">
        <f t="array" ref="BI28">IFERROR(INDEX('💻シート作成'!$D$6:$D162, MATCH(BJ28, '💻シート作成'!$E$6:$E162, 0)), "")</f>
        <v>5月</v>
      </c>
      <c r="BJ28" s="168" t="str">
        <f>IFERROR(__xludf.DUMMYFUNCTION("""COMPUTED_VALUE"""),"①R8_5集計")</f>
        <v>①R8_5集計</v>
      </c>
      <c r="BK28" s="554"/>
      <c r="BL28" s="555"/>
      <c r="BM28" s="168"/>
      <c r="BN28" s="554"/>
      <c r="BO28" s="554"/>
      <c r="BP28" s="554"/>
      <c r="BQ28" s="554"/>
      <c r="BR28" s="554"/>
      <c r="BS28" s="554"/>
      <c r="BT28" s="554"/>
      <c r="BU28" s="554"/>
      <c r="BV28" s="554"/>
      <c r="BW28" s="554"/>
      <c r="BX28" s="554"/>
      <c r="BY28" s="554"/>
      <c r="BZ28" s="554"/>
      <c r="CA28" s="554"/>
    </row>
    <row r="29" ht="15.75" customHeight="1">
      <c r="A29" s="416"/>
      <c r="B29" s="533" t="b">
        <v>0</v>
      </c>
      <c r="C29" s="506">
        <f t="shared" si="8"/>
        <v>46070</v>
      </c>
      <c r="D29" s="507" t="str">
        <f t="shared" si="2"/>
        <v>火</v>
      </c>
      <c r="E29" s="507" t="str">
        <f t="shared" si="3"/>
        <v/>
      </c>
      <c r="F29" s="507" t="str">
        <f t="shared" si="4"/>
        <v/>
      </c>
      <c r="G29" s="508"/>
      <c r="H29" s="532"/>
      <c r="I29" s="532"/>
      <c r="J29" s="532"/>
      <c r="K29" s="532"/>
      <c r="L29" s="532"/>
      <c r="M29" s="532"/>
      <c r="N29" s="505"/>
      <c r="O29" s="505"/>
      <c r="P29" s="511"/>
      <c r="Q29" s="511"/>
      <c r="R29" s="511"/>
      <c r="S29" s="511"/>
      <c r="T29" s="511"/>
      <c r="U29" s="511"/>
      <c r="V29" s="511"/>
      <c r="W29" s="511"/>
      <c r="X29" s="511"/>
      <c r="Y29" s="511"/>
      <c r="Z29" s="511"/>
      <c r="AA29" s="511"/>
      <c r="AB29" s="511"/>
      <c r="AC29" s="513"/>
      <c r="AD29" s="513"/>
      <c r="AE29" s="513"/>
      <c r="AF29" s="513"/>
      <c r="AG29" s="513"/>
      <c r="AH29" s="513"/>
      <c r="AI29" s="513"/>
      <c r="AJ29" s="513"/>
      <c r="AK29" s="513"/>
      <c r="AL29" s="513"/>
      <c r="AM29" s="513"/>
      <c r="AN29" s="513"/>
      <c r="AO29" s="513"/>
      <c r="AP29" s="513"/>
      <c r="AQ29" s="513"/>
      <c r="AR29" s="514">
        <f t="shared" si="5"/>
        <v>0</v>
      </c>
      <c r="AS29" s="515">
        <f t="shared" si="6"/>
        <v>0</v>
      </c>
      <c r="AT29" s="515">
        <f>IFERROR(__xludf.DUMMYFUNCTION("""COMPUTED_VALUE"""),49519.0)</f>
        <v>49519</v>
      </c>
      <c r="AU29" s="516" t="str">
        <f t="shared" si="7"/>
        <v/>
      </c>
      <c r="AV29" s="507">
        <f>countifs('🔵クレーム'!$C:$C,MONTH($D$5)&amp;"月",'🔵クレーム'!$D:$D,day(C29)&amp;"日",'🔵クレーム'!$I:$I,"&lt;&gt;")</f>
        <v>0</v>
      </c>
      <c r="AW29" s="517"/>
      <c r="AX29" s="416"/>
      <c r="AY29" s="556" t="s">
        <v>378</v>
      </c>
      <c r="AZ29" s="557" t="s">
        <v>303</v>
      </c>
      <c r="BA29" s="557" t="s">
        <v>379</v>
      </c>
      <c r="BB29" s="557" t="s">
        <v>380</v>
      </c>
      <c r="BC29" s="416"/>
      <c r="BD29" s="558" t="s">
        <v>381</v>
      </c>
      <c r="BE29" s="74"/>
      <c r="BF29" s="74"/>
      <c r="BG29" s="71"/>
      <c r="BH29" s="416"/>
      <c r="BI29" s="213" t="str">
        <f t="array" ref="BI29">IFERROR(INDEX('💻シート作成'!$D$6:$D162, MATCH(BJ29, '💻シート作成'!$E$6:$E162, 0)), "")</f>
        <v>5月</v>
      </c>
      <c r="BJ29" s="168" t="str">
        <f>IFERROR(__xludf.DUMMYFUNCTION("""COMPUTED_VALUE"""),"②R8_5シフト")</f>
        <v>②R8_5シフト</v>
      </c>
      <c r="BK29" s="554"/>
      <c r="BL29" s="559"/>
      <c r="BM29" s="168"/>
      <c r="BN29" s="554"/>
      <c r="BO29" s="554"/>
      <c r="BP29" s="554"/>
      <c r="BQ29" s="554"/>
      <c r="BR29" s="554"/>
      <c r="BS29" s="554"/>
      <c r="BT29" s="554"/>
      <c r="BU29" s="554"/>
      <c r="BV29" s="554"/>
      <c r="BW29" s="554"/>
      <c r="BX29" s="554"/>
      <c r="BY29" s="554"/>
      <c r="BZ29" s="554"/>
      <c r="CA29" s="554"/>
    </row>
    <row r="30" ht="15.75" customHeight="1">
      <c r="A30" s="416"/>
      <c r="B30" s="537" t="b">
        <v>0</v>
      </c>
      <c r="C30" s="506">
        <f t="shared" si="8"/>
        <v>46071</v>
      </c>
      <c r="D30" s="507" t="str">
        <f t="shared" si="2"/>
        <v>水</v>
      </c>
      <c r="E30" s="507" t="str">
        <f t="shared" si="3"/>
        <v/>
      </c>
      <c r="F30" s="507" t="str">
        <f t="shared" si="4"/>
        <v/>
      </c>
      <c r="G30" s="508"/>
      <c r="H30" s="524"/>
      <c r="I30" s="524"/>
      <c r="J30" s="524"/>
      <c r="K30" s="524"/>
      <c r="L30" s="524"/>
      <c r="M30" s="524"/>
      <c r="N30" s="526"/>
      <c r="O30" s="526"/>
      <c r="P30" s="526"/>
      <c r="Q30" s="526"/>
      <c r="R30" s="526"/>
      <c r="S30" s="526"/>
      <c r="T30" s="526"/>
      <c r="U30" s="526"/>
      <c r="V30" s="526"/>
      <c r="W30" s="526"/>
      <c r="X30" s="526"/>
      <c r="Y30" s="526"/>
      <c r="Z30" s="526"/>
      <c r="AA30" s="526"/>
      <c r="AB30" s="526"/>
      <c r="AC30" s="527"/>
      <c r="AD30" s="527"/>
      <c r="AE30" s="527"/>
      <c r="AF30" s="527"/>
      <c r="AG30" s="527"/>
      <c r="AH30" s="527"/>
      <c r="AI30" s="527"/>
      <c r="AJ30" s="527"/>
      <c r="AK30" s="527"/>
      <c r="AL30" s="527"/>
      <c r="AM30" s="527"/>
      <c r="AN30" s="527"/>
      <c r="AO30" s="527"/>
      <c r="AP30" s="527"/>
      <c r="AQ30" s="527"/>
      <c r="AR30" s="514">
        <f t="shared" si="5"/>
        <v>0</v>
      </c>
      <c r="AS30" s="515">
        <f t="shared" si="6"/>
        <v>0</v>
      </c>
      <c r="AT30" s="515">
        <f>IFERROR(__xludf.DUMMYFUNCTION("""COMPUTED_VALUE"""),53680.0)</f>
        <v>53680</v>
      </c>
      <c r="AU30" s="516" t="str">
        <f t="shared" si="7"/>
        <v/>
      </c>
      <c r="AV30" s="507">
        <f>countifs('🔵クレーム'!$C:$C,MONTH($D$5)&amp;"月",'🔵クレーム'!$D:$D,day(C30)&amp;"日",'🔵クレーム'!$I:$I,"&lt;&gt;")</f>
        <v>0</v>
      </c>
      <c r="AW30" s="517"/>
      <c r="AX30" s="416"/>
      <c r="AY30" s="560" t="s">
        <v>382</v>
      </c>
      <c r="AZ30" s="550">
        <f>AS46</f>
        <v>0</v>
      </c>
      <c r="BA30" s="561" t="s">
        <v>311</v>
      </c>
      <c r="BB30" s="548">
        <f>SUM(AZ30:AZ36)</f>
        <v>0</v>
      </c>
      <c r="BC30" s="416"/>
      <c r="BD30" s="562" t="s">
        <v>383</v>
      </c>
      <c r="BE30" s="563" t="s">
        <v>384</v>
      </c>
      <c r="BF30" s="563" t="s">
        <v>385</v>
      </c>
      <c r="BG30" s="564" t="s">
        <v>180</v>
      </c>
      <c r="BH30" s="416"/>
      <c r="BI30" s="213" t="str">
        <f t="array" ref="BI30">IFERROR(INDEX('💻シート作成'!$D$6:$D162, MATCH(BJ30, '💻シート作成'!$E$6:$E162, 0)), "")</f>
        <v>5月</v>
      </c>
      <c r="BJ30" s="168" t="str">
        <f>IFERROR(__xludf.DUMMYFUNCTION("""COMPUTED_VALUE"""),"③R8_5日報")</f>
        <v>③R8_5日報</v>
      </c>
      <c r="BK30" s="554"/>
      <c r="BL30" s="559"/>
      <c r="BM30" s="168"/>
      <c r="BN30" s="554"/>
      <c r="BO30" s="554"/>
      <c r="BP30" s="554"/>
      <c r="BQ30" s="554"/>
      <c r="BR30" s="554"/>
      <c r="BS30" s="554"/>
      <c r="BT30" s="554"/>
      <c r="BU30" s="554"/>
      <c r="BV30" s="554"/>
      <c r="BW30" s="554"/>
      <c r="BX30" s="554"/>
      <c r="BY30" s="554"/>
      <c r="BZ30" s="554"/>
      <c r="CA30" s="554"/>
    </row>
    <row r="31" ht="15.75" customHeight="1">
      <c r="A31" s="416"/>
      <c r="B31" s="533" t="b">
        <v>0</v>
      </c>
      <c r="C31" s="506">
        <f t="shared" si="8"/>
        <v>46072</v>
      </c>
      <c r="D31" s="507" t="str">
        <f t="shared" si="2"/>
        <v>木</v>
      </c>
      <c r="E31" s="507" t="str">
        <f t="shared" si="3"/>
        <v/>
      </c>
      <c r="F31" s="507" t="str">
        <f t="shared" si="4"/>
        <v/>
      </c>
      <c r="G31" s="508"/>
      <c r="H31" s="524"/>
      <c r="I31" s="532"/>
      <c r="J31" s="532"/>
      <c r="K31" s="532"/>
      <c r="L31" s="532"/>
      <c r="M31" s="532"/>
      <c r="N31" s="511"/>
      <c r="O31" s="511"/>
      <c r="P31" s="511"/>
      <c r="Q31" s="511"/>
      <c r="R31" s="511"/>
      <c r="S31" s="511"/>
      <c r="T31" s="511"/>
      <c r="U31" s="511"/>
      <c r="V31" s="511"/>
      <c r="W31" s="511"/>
      <c r="X31" s="511"/>
      <c r="Y31" s="511"/>
      <c r="Z31" s="511"/>
      <c r="AA31" s="511"/>
      <c r="AB31" s="511"/>
      <c r="AC31" s="513"/>
      <c r="AD31" s="513"/>
      <c r="AE31" s="513"/>
      <c r="AF31" s="513"/>
      <c r="AG31" s="513"/>
      <c r="AH31" s="513"/>
      <c r="AI31" s="513"/>
      <c r="AJ31" s="513"/>
      <c r="AK31" s="513"/>
      <c r="AL31" s="513"/>
      <c r="AM31" s="513"/>
      <c r="AN31" s="513"/>
      <c r="AO31" s="513"/>
      <c r="AP31" s="513"/>
      <c r="AQ31" s="513"/>
      <c r="AR31" s="514">
        <f t="shared" si="5"/>
        <v>0</v>
      </c>
      <c r="AS31" s="515">
        <f t="shared" si="6"/>
        <v>0</v>
      </c>
      <c r="AT31" s="515">
        <f>IFERROR(__xludf.DUMMYFUNCTION("""COMPUTED_VALUE"""),62336.0)</f>
        <v>62336</v>
      </c>
      <c r="AU31" s="516" t="str">
        <f t="shared" si="7"/>
        <v/>
      </c>
      <c r="AV31" s="507">
        <f>countifs('🔵クレーム'!$C:$C,MONTH($D$5)&amp;"月",'🔵クレーム'!$D:$D,day(C31)&amp;"日",'🔵クレーム'!$I:$I,"&lt;&gt;")</f>
        <v>0</v>
      </c>
      <c r="AW31" s="517"/>
      <c r="AX31" s="416"/>
      <c r="AY31" s="549"/>
      <c r="AZ31" s="550">
        <f t="shared" ref="AZ31:AZ33" si="9">BA31/$G$5*COUNTIFS($E$13:$E$43,"&gt;0")</f>
        <v>0</v>
      </c>
      <c r="BA31" s="565"/>
      <c r="BB31" s="551"/>
      <c r="BC31" s="416"/>
      <c r="BD31" s="566" t="s">
        <v>386</v>
      </c>
      <c r="BE31" s="567">
        <v>2000.0</v>
      </c>
      <c r="BF31" s="568"/>
      <c r="BG31" s="550">
        <f t="shared" ref="BG31:BG35" si="10">BF31*BE31</f>
        <v>0</v>
      </c>
      <c r="BH31" s="416"/>
      <c r="BI31" s="213" t="str">
        <f t="array" ref="BI31">IFERROR(INDEX('💻シート作成'!$D$6:$D162, MATCH(BJ31, '💻シート作成'!$E$6:$E162, 0)), "")</f>
        <v>5月</v>
      </c>
      <c r="BJ31" s="168" t="str">
        <f>IFERROR(__xludf.DUMMYFUNCTION("""COMPUTED_VALUE"""),"④R8_5月報")</f>
        <v>④R8_5月報</v>
      </c>
      <c r="BK31" s="554"/>
      <c r="BL31" s="559"/>
      <c r="BM31" s="168"/>
      <c r="BN31" s="554"/>
      <c r="BO31" s="554"/>
      <c r="BP31" s="554"/>
      <c r="BQ31" s="554"/>
      <c r="BR31" s="554"/>
      <c r="BS31" s="554"/>
      <c r="BT31" s="554"/>
      <c r="BU31" s="554"/>
      <c r="BV31" s="554"/>
      <c r="BW31" s="554"/>
      <c r="BX31" s="554"/>
      <c r="BY31" s="554"/>
      <c r="BZ31" s="554"/>
      <c r="CA31" s="554"/>
    </row>
    <row r="32" ht="15.75" customHeight="1">
      <c r="A32" s="416"/>
      <c r="B32" s="537" t="b">
        <v>0</v>
      </c>
      <c r="C32" s="506">
        <f t="shared" si="8"/>
        <v>46073</v>
      </c>
      <c r="D32" s="507" t="str">
        <f t="shared" si="2"/>
        <v>金</v>
      </c>
      <c r="E32" s="507" t="str">
        <f t="shared" si="3"/>
        <v/>
      </c>
      <c r="F32" s="507" t="str">
        <f t="shared" si="4"/>
        <v/>
      </c>
      <c r="G32" s="508"/>
      <c r="H32" s="524"/>
      <c r="I32" s="524"/>
      <c r="J32" s="524"/>
      <c r="K32" s="527"/>
      <c r="L32" s="527"/>
      <c r="M32" s="527"/>
      <c r="N32" s="525"/>
      <c r="O32" s="526"/>
      <c r="P32" s="526"/>
      <c r="Q32" s="526"/>
      <c r="R32" s="526"/>
      <c r="S32" s="526"/>
      <c r="T32" s="526"/>
      <c r="U32" s="526"/>
      <c r="V32" s="526"/>
      <c r="W32" s="526"/>
      <c r="X32" s="526"/>
      <c r="Y32" s="526"/>
      <c r="Z32" s="526"/>
      <c r="AA32" s="526"/>
      <c r="AB32" s="526"/>
      <c r="AC32" s="527"/>
      <c r="AD32" s="527"/>
      <c r="AE32" s="527"/>
      <c r="AF32" s="527"/>
      <c r="AG32" s="527"/>
      <c r="AH32" s="527"/>
      <c r="AI32" s="527"/>
      <c r="AJ32" s="527"/>
      <c r="AK32" s="527"/>
      <c r="AL32" s="527"/>
      <c r="AM32" s="527"/>
      <c r="AN32" s="527"/>
      <c r="AO32" s="527"/>
      <c r="AP32" s="527"/>
      <c r="AQ32" s="527"/>
      <c r="AR32" s="514">
        <f t="shared" si="5"/>
        <v>0</v>
      </c>
      <c r="AS32" s="515">
        <f t="shared" si="6"/>
        <v>0</v>
      </c>
      <c r="AT32" s="515">
        <f>IFERROR(__xludf.DUMMYFUNCTION("""COMPUTED_VALUE"""),67750.0)</f>
        <v>67750</v>
      </c>
      <c r="AU32" s="516" t="str">
        <f t="shared" si="7"/>
        <v/>
      </c>
      <c r="AV32" s="507">
        <f>countifs('🔵クレーム'!$C:$C,MONTH($D$5)&amp;"月",'🔵クレーム'!$D:$D,day(C32)&amp;"日",'🔵クレーム'!$I:$I,"&lt;&gt;")</f>
        <v>0</v>
      </c>
      <c r="AW32" s="517"/>
      <c r="AX32" s="416"/>
      <c r="AY32" s="549"/>
      <c r="AZ32" s="550">
        <f t="shared" si="9"/>
        <v>0</v>
      </c>
      <c r="BA32" s="565"/>
      <c r="BB32" s="551"/>
      <c r="BC32" s="416"/>
      <c r="BD32" s="566" t="s">
        <v>387</v>
      </c>
      <c r="BE32" s="567">
        <v>2500.0</v>
      </c>
      <c r="BF32" s="568"/>
      <c r="BG32" s="550">
        <f t="shared" si="10"/>
        <v>0</v>
      </c>
      <c r="BH32" s="416"/>
      <c r="BI32" s="213" t="str">
        <f t="array" ref="BI32">IFERROR(INDEX('💻シート作成'!$D$6:$D162, MATCH(BJ32, '💻シート作成'!$E$6:$E162, 0)), "")</f>
        <v>6月</v>
      </c>
      <c r="BJ32" s="168" t="str">
        <f>IFERROR(__xludf.DUMMYFUNCTION("""COMPUTED_VALUE"""),"①R8_6集計")</f>
        <v>①R8_6集計</v>
      </c>
      <c r="BK32" s="554"/>
      <c r="BL32" s="559"/>
      <c r="BM32" s="168"/>
      <c r="BN32" s="554"/>
      <c r="BO32" s="554"/>
      <c r="BP32" s="554"/>
      <c r="BQ32" s="554"/>
      <c r="BR32" s="554"/>
      <c r="BS32" s="554"/>
      <c r="BT32" s="554"/>
      <c r="BU32" s="554"/>
      <c r="BV32" s="554"/>
      <c r="BW32" s="554"/>
      <c r="BX32" s="554"/>
      <c r="BY32" s="554"/>
      <c r="BZ32" s="554"/>
      <c r="CA32" s="554"/>
    </row>
    <row r="33" ht="15.75" customHeight="1">
      <c r="A33" s="416"/>
      <c r="B33" s="533" t="b">
        <v>0</v>
      </c>
      <c r="C33" s="506">
        <f t="shared" si="8"/>
        <v>46074</v>
      </c>
      <c r="D33" s="507" t="str">
        <f t="shared" si="2"/>
        <v>土</v>
      </c>
      <c r="E33" s="507" t="str">
        <f t="shared" si="3"/>
        <v/>
      </c>
      <c r="F33" s="507" t="str">
        <f t="shared" si="4"/>
        <v/>
      </c>
      <c r="G33" s="508"/>
      <c r="H33" s="524"/>
      <c r="I33" s="532"/>
      <c r="J33" s="532"/>
      <c r="K33" s="513"/>
      <c r="L33" s="513"/>
      <c r="M33" s="513"/>
      <c r="N33" s="505"/>
      <c r="O33" s="511"/>
      <c r="P33" s="511"/>
      <c r="Q33" s="511"/>
      <c r="R33" s="511"/>
      <c r="S33" s="511"/>
      <c r="T33" s="511"/>
      <c r="U33" s="511"/>
      <c r="V33" s="511"/>
      <c r="W33" s="511"/>
      <c r="X33" s="511"/>
      <c r="Y33" s="511"/>
      <c r="Z33" s="511"/>
      <c r="AA33" s="511"/>
      <c r="AB33" s="511"/>
      <c r="AC33" s="513"/>
      <c r="AD33" s="513"/>
      <c r="AE33" s="513"/>
      <c r="AF33" s="513"/>
      <c r="AG33" s="513"/>
      <c r="AH33" s="513"/>
      <c r="AI33" s="513"/>
      <c r="AJ33" s="513"/>
      <c r="AK33" s="513"/>
      <c r="AL33" s="513"/>
      <c r="AM33" s="513"/>
      <c r="AN33" s="513"/>
      <c r="AO33" s="513"/>
      <c r="AP33" s="513"/>
      <c r="AQ33" s="513"/>
      <c r="AR33" s="514">
        <f t="shared" si="5"/>
        <v>0</v>
      </c>
      <c r="AS33" s="515">
        <f t="shared" si="6"/>
        <v>0</v>
      </c>
      <c r="AT33" s="515">
        <f>IFERROR(__xludf.DUMMYFUNCTION("""COMPUTED_VALUE"""),42134.0)</f>
        <v>42134</v>
      </c>
      <c r="AU33" s="516" t="str">
        <f t="shared" si="7"/>
        <v/>
      </c>
      <c r="AV33" s="507">
        <f>countifs('🔵クレーム'!$C:$C,MONTH($D$5)&amp;"月",'🔵クレーム'!$D:$D,day(C33)&amp;"日",'🔵クレーム'!$I:$I,"&lt;&gt;")</f>
        <v>0</v>
      </c>
      <c r="AW33" s="517"/>
      <c r="AX33" s="416"/>
      <c r="AY33" s="549"/>
      <c r="AZ33" s="550">
        <f t="shared" si="9"/>
        <v>0</v>
      </c>
      <c r="BA33" s="565"/>
      <c r="BB33" s="551"/>
      <c r="BC33" s="416"/>
      <c r="BD33" s="569" t="s">
        <v>388</v>
      </c>
      <c r="BE33" s="568"/>
      <c r="BF33" s="568"/>
      <c r="BG33" s="550">
        <f t="shared" si="10"/>
        <v>0</v>
      </c>
      <c r="BH33" s="416"/>
      <c r="BI33" s="213" t="str">
        <f t="array" ref="BI33">IFERROR(INDEX('💻シート作成'!$D$6:$D162, MATCH(BJ33, '💻シート作成'!$E$6:$E162, 0)), "")</f>
        <v>6月</v>
      </c>
      <c r="BJ33" s="168" t="str">
        <f>IFERROR(__xludf.DUMMYFUNCTION("""COMPUTED_VALUE"""),"②R8_6シフト")</f>
        <v>②R8_6シフト</v>
      </c>
      <c r="BK33" s="554"/>
      <c r="BL33" s="559"/>
      <c r="BM33" s="168"/>
      <c r="BN33" s="554"/>
      <c r="BO33" s="554"/>
      <c r="BP33" s="554"/>
      <c r="BQ33" s="554"/>
      <c r="BR33" s="554"/>
      <c r="BS33" s="554"/>
      <c r="BT33" s="554"/>
      <c r="BU33" s="554"/>
      <c r="BV33" s="554"/>
      <c r="BW33" s="554"/>
      <c r="BX33" s="554"/>
      <c r="BY33" s="554"/>
      <c r="BZ33" s="554"/>
      <c r="CA33" s="554"/>
    </row>
    <row r="34" ht="15.75" customHeight="1">
      <c r="A34" s="416"/>
      <c r="B34" s="537" t="b">
        <v>0</v>
      </c>
      <c r="C34" s="506">
        <f t="shared" si="8"/>
        <v>46075</v>
      </c>
      <c r="D34" s="507" t="str">
        <f t="shared" si="2"/>
        <v>日</v>
      </c>
      <c r="E34" s="507" t="str">
        <f t="shared" si="3"/>
        <v/>
      </c>
      <c r="F34" s="507" t="str">
        <f t="shared" si="4"/>
        <v/>
      </c>
      <c r="G34" s="508"/>
      <c r="H34" s="524"/>
      <c r="I34" s="524"/>
      <c r="J34" s="524"/>
      <c r="K34" s="527"/>
      <c r="L34" s="527"/>
      <c r="M34" s="527"/>
      <c r="N34" s="525"/>
      <c r="O34" s="526"/>
      <c r="P34" s="526"/>
      <c r="Q34" s="526"/>
      <c r="R34" s="526"/>
      <c r="S34" s="526"/>
      <c r="T34" s="526"/>
      <c r="U34" s="526"/>
      <c r="V34" s="526"/>
      <c r="W34" s="526"/>
      <c r="X34" s="526"/>
      <c r="Y34" s="526"/>
      <c r="Z34" s="526"/>
      <c r="AA34" s="526"/>
      <c r="AB34" s="526"/>
      <c r="AC34" s="527"/>
      <c r="AD34" s="527"/>
      <c r="AE34" s="527"/>
      <c r="AF34" s="527"/>
      <c r="AG34" s="527"/>
      <c r="AH34" s="527"/>
      <c r="AI34" s="527"/>
      <c r="AJ34" s="527"/>
      <c r="AK34" s="527"/>
      <c r="AL34" s="527"/>
      <c r="AM34" s="527"/>
      <c r="AN34" s="527"/>
      <c r="AO34" s="527"/>
      <c r="AP34" s="527"/>
      <c r="AQ34" s="527"/>
      <c r="AR34" s="514">
        <f t="shared" si="5"/>
        <v>0</v>
      </c>
      <c r="AS34" s="515">
        <f t="shared" si="6"/>
        <v>0</v>
      </c>
      <c r="AT34" s="515">
        <f>IFERROR(__xludf.DUMMYFUNCTION("""COMPUTED_VALUE"""),55382.0)</f>
        <v>55382</v>
      </c>
      <c r="AU34" s="516" t="str">
        <f t="shared" si="7"/>
        <v/>
      </c>
      <c r="AV34" s="507">
        <f>countifs('🔵クレーム'!$C:$C,MONTH($D$5)&amp;"月",'🔵クレーム'!$D:$D,day(C34)&amp;"日",'🔵クレーム'!$I:$I,"&lt;&gt;")</f>
        <v>0</v>
      </c>
      <c r="AW34" s="517"/>
      <c r="AX34" s="416"/>
      <c r="AY34" s="546"/>
      <c r="AZ34" s="529"/>
      <c r="BA34" s="529"/>
      <c r="BB34" s="551"/>
      <c r="BC34" s="416"/>
      <c r="BD34" s="566"/>
      <c r="BE34" s="568"/>
      <c r="BF34" s="568"/>
      <c r="BG34" s="550">
        <f t="shared" si="10"/>
        <v>0</v>
      </c>
      <c r="BH34" s="416"/>
      <c r="BI34" s="213" t="str">
        <f t="array" ref="BI34">IFERROR(INDEX('💻シート作成'!$D$6:$D162, MATCH(BJ34, '💻シート作成'!$E$6:$E162, 0)), "")</f>
        <v>6月</v>
      </c>
      <c r="BJ34" s="168" t="str">
        <f>IFERROR(__xludf.DUMMYFUNCTION("""COMPUTED_VALUE"""),"③R8_6日報")</f>
        <v>③R8_6日報</v>
      </c>
      <c r="BK34" s="416"/>
      <c r="BL34" s="559"/>
      <c r="BM34" s="168"/>
      <c r="BN34" s="416"/>
      <c r="BO34" s="416"/>
      <c r="BP34" s="416"/>
      <c r="BQ34" s="416"/>
      <c r="BR34" s="416"/>
      <c r="BS34" s="416"/>
      <c r="BT34" s="416"/>
      <c r="BU34" s="416"/>
      <c r="BV34" s="416"/>
      <c r="BW34" s="416"/>
      <c r="BX34" s="416"/>
      <c r="BY34" s="416"/>
      <c r="BZ34" s="416"/>
      <c r="CA34" s="416"/>
    </row>
    <row r="35" ht="15.75" customHeight="1">
      <c r="A35" s="416"/>
      <c r="B35" s="533" t="b">
        <v>0</v>
      </c>
      <c r="C35" s="506">
        <f t="shared" si="8"/>
        <v>46076</v>
      </c>
      <c r="D35" s="507" t="str">
        <f t="shared" si="2"/>
        <v>月</v>
      </c>
      <c r="E35" s="507" t="str">
        <f t="shared" si="3"/>
        <v/>
      </c>
      <c r="F35" s="507" t="str">
        <f t="shared" si="4"/>
        <v/>
      </c>
      <c r="G35" s="570"/>
      <c r="H35" s="505"/>
      <c r="I35" s="524"/>
      <c r="J35" s="524"/>
      <c r="K35" s="527"/>
      <c r="L35" s="524"/>
      <c r="M35" s="527"/>
      <c r="N35" s="511"/>
      <c r="O35" s="511"/>
      <c r="P35" s="511"/>
      <c r="Q35" s="511"/>
      <c r="R35" s="511"/>
      <c r="S35" s="511"/>
      <c r="T35" s="511"/>
      <c r="U35" s="511"/>
      <c r="V35" s="511"/>
      <c r="W35" s="511"/>
      <c r="X35" s="511"/>
      <c r="Y35" s="511"/>
      <c r="Z35" s="511"/>
      <c r="AA35" s="511"/>
      <c r="AB35" s="511"/>
      <c r="AC35" s="513"/>
      <c r="AD35" s="513"/>
      <c r="AE35" s="513"/>
      <c r="AF35" s="513"/>
      <c r="AG35" s="513"/>
      <c r="AH35" s="513"/>
      <c r="AI35" s="513"/>
      <c r="AJ35" s="513"/>
      <c r="AK35" s="513"/>
      <c r="AL35" s="513"/>
      <c r="AM35" s="513"/>
      <c r="AN35" s="513"/>
      <c r="AO35" s="513"/>
      <c r="AP35" s="513"/>
      <c r="AQ35" s="513"/>
      <c r="AR35" s="514">
        <f t="shared" si="5"/>
        <v>0</v>
      </c>
      <c r="AS35" s="515">
        <f t="shared" si="6"/>
        <v>0</v>
      </c>
      <c r="AT35" s="515">
        <f>IFERROR(__xludf.DUMMYFUNCTION("""COMPUTED_VALUE"""),61923.0)</f>
        <v>61923</v>
      </c>
      <c r="AU35" s="516" t="str">
        <f t="shared" si="7"/>
        <v/>
      </c>
      <c r="AV35" s="507">
        <f>countifs('🔵クレーム'!$C:$C,MONTH($D$5)&amp;"月",'🔵クレーム'!$D:$D,day(C35)&amp;"日",'🔵クレーム'!$I:$I,"&lt;&gt;")</f>
        <v>0</v>
      </c>
      <c r="AW35" s="517"/>
      <c r="AX35" s="416"/>
      <c r="AY35" s="549"/>
      <c r="AZ35" s="529"/>
      <c r="BA35" s="529"/>
      <c r="BB35" s="551"/>
      <c r="BC35" s="416"/>
      <c r="BD35" s="571"/>
      <c r="BE35" s="534"/>
      <c r="BF35" s="534"/>
      <c r="BG35" s="572">
        <f t="shared" si="10"/>
        <v>0</v>
      </c>
      <c r="BH35" s="416"/>
      <c r="BI35" s="213" t="str">
        <f t="array" ref="BI35">IFERROR(INDEX('💻シート作成'!$D$6:$D162, MATCH(BJ35, '💻シート作成'!$E$6:$E162, 0)), "")</f>
        <v>6月</v>
      </c>
      <c r="BJ35" s="168" t="str">
        <f>IFERROR(__xludf.DUMMYFUNCTION("""COMPUTED_VALUE"""),"④R8_6月報")</f>
        <v>④R8_6月報</v>
      </c>
      <c r="BK35" s="416"/>
      <c r="BL35" s="559"/>
      <c r="BM35" s="168"/>
      <c r="BN35" s="416"/>
      <c r="BO35" s="416"/>
      <c r="BP35" s="416"/>
      <c r="BQ35" s="416"/>
      <c r="BR35" s="416"/>
      <c r="BS35" s="416"/>
      <c r="BT35" s="416"/>
      <c r="BU35" s="416"/>
      <c r="BV35" s="416"/>
      <c r="BW35" s="416"/>
      <c r="BX35" s="416"/>
      <c r="BY35" s="416"/>
      <c r="BZ35" s="416"/>
      <c r="CA35" s="416"/>
    </row>
    <row r="36" ht="15.75" customHeight="1">
      <c r="A36" s="416"/>
      <c r="B36" s="537" t="b">
        <v>0</v>
      </c>
      <c r="C36" s="506">
        <f t="shared" si="8"/>
        <v>46077</v>
      </c>
      <c r="D36" s="507" t="str">
        <f t="shared" si="2"/>
        <v>火</v>
      </c>
      <c r="E36" s="507" t="str">
        <f t="shared" si="3"/>
        <v/>
      </c>
      <c r="F36" s="507" t="str">
        <f t="shared" si="4"/>
        <v/>
      </c>
      <c r="G36" s="570"/>
      <c r="H36" s="525"/>
      <c r="I36" s="524"/>
      <c r="J36" s="524"/>
      <c r="K36" s="527"/>
      <c r="L36" s="527"/>
      <c r="M36" s="527"/>
      <c r="N36" s="526"/>
      <c r="O36" s="526"/>
      <c r="P36" s="526"/>
      <c r="Q36" s="526"/>
      <c r="R36" s="526"/>
      <c r="S36" s="526"/>
      <c r="T36" s="526"/>
      <c r="U36" s="526"/>
      <c r="V36" s="526"/>
      <c r="W36" s="526"/>
      <c r="X36" s="526"/>
      <c r="Y36" s="526"/>
      <c r="Z36" s="526"/>
      <c r="AA36" s="526"/>
      <c r="AB36" s="526"/>
      <c r="AC36" s="527"/>
      <c r="AD36" s="527"/>
      <c r="AE36" s="527"/>
      <c r="AF36" s="527"/>
      <c r="AG36" s="527"/>
      <c r="AH36" s="527"/>
      <c r="AI36" s="527"/>
      <c r="AJ36" s="527"/>
      <c r="AK36" s="527"/>
      <c r="AL36" s="527"/>
      <c r="AM36" s="527"/>
      <c r="AN36" s="527"/>
      <c r="AO36" s="527"/>
      <c r="AP36" s="527"/>
      <c r="AQ36" s="527"/>
      <c r="AR36" s="514">
        <f t="shared" si="5"/>
        <v>0</v>
      </c>
      <c r="AS36" s="515">
        <f t="shared" si="6"/>
        <v>0</v>
      </c>
      <c r="AT36" s="515">
        <f>IFERROR(__xludf.DUMMYFUNCTION("""COMPUTED_VALUE"""),45798.0)</f>
        <v>45798</v>
      </c>
      <c r="AU36" s="516" t="str">
        <f t="shared" si="7"/>
        <v/>
      </c>
      <c r="AV36" s="507">
        <f>countifs('🔵クレーム'!$C:$C,MONTH($D$5)&amp;"月",'🔵クレーム'!$D:$D,day(C36)&amp;"日",'🔵クレーム'!$I:$I,"&lt;&gt;")</f>
        <v>0</v>
      </c>
      <c r="AW36" s="517"/>
      <c r="AX36" s="416"/>
      <c r="AY36" s="573" t="s">
        <v>389</v>
      </c>
      <c r="AZ36" s="529">
        <f>BB40</f>
        <v>0</v>
      </c>
      <c r="BA36" s="529"/>
      <c r="BB36" s="207"/>
      <c r="BC36" s="416"/>
      <c r="BD36" s="538" t="s">
        <v>180</v>
      </c>
      <c r="BE36" s="539">
        <f>sum(BG31:BG35)</f>
        <v>0</v>
      </c>
      <c r="BF36" s="540"/>
      <c r="BG36" s="541"/>
      <c r="BH36" s="416"/>
      <c r="BI36" s="213" t="str">
        <f t="array" ref="BI36">IFERROR(INDEX('💻シート作成'!$D$6:$D162, MATCH(BJ36, '💻シート作成'!$E$6:$E162, 0)), "")</f>
        <v>7月</v>
      </c>
      <c r="BJ36" s="168" t="str">
        <f>IFERROR(__xludf.DUMMYFUNCTION("""COMPUTED_VALUE"""),"①R8_7集計")</f>
        <v>①R8_7集計</v>
      </c>
      <c r="BK36" s="416"/>
      <c r="BL36" s="559"/>
      <c r="BM36" s="168"/>
      <c r="BN36" s="416"/>
      <c r="BO36" s="416"/>
      <c r="BP36" s="416"/>
      <c r="BQ36" s="416"/>
      <c r="BR36" s="416"/>
      <c r="BS36" s="416"/>
      <c r="BT36" s="416"/>
      <c r="BU36" s="416"/>
      <c r="BV36" s="416"/>
      <c r="BW36" s="416"/>
      <c r="BX36" s="416"/>
      <c r="BY36" s="416"/>
      <c r="BZ36" s="416"/>
      <c r="CA36" s="416"/>
    </row>
    <row r="37" ht="15.75" customHeight="1">
      <c r="A37" s="416"/>
      <c r="B37" s="533" t="b">
        <v>0</v>
      </c>
      <c r="C37" s="506">
        <f t="shared" si="8"/>
        <v>46078</v>
      </c>
      <c r="D37" s="507" t="str">
        <f t="shared" si="2"/>
        <v>水</v>
      </c>
      <c r="E37" s="507" t="str">
        <f t="shared" si="3"/>
        <v/>
      </c>
      <c r="F37" s="507" t="str">
        <f t="shared" si="4"/>
        <v/>
      </c>
      <c r="G37" s="570"/>
      <c r="H37" s="505"/>
      <c r="I37" s="524"/>
      <c r="J37" s="524"/>
      <c r="K37" s="527"/>
      <c r="L37" s="527"/>
      <c r="M37" s="527"/>
      <c r="N37" s="511"/>
      <c r="O37" s="511"/>
      <c r="P37" s="511"/>
      <c r="Q37" s="511"/>
      <c r="R37" s="511"/>
      <c r="S37" s="511"/>
      <c r="T37" s="511"/>
      <c r="U37" s="511"/>
      <c r="V37" s="511"/>
      <c r="W37" s="511"/>
      <c r="X37" s="511"/>
      <c r="Y37" s="511"/>
      <c r="Z37" s="511"/>
      <c r="AA37" s="511"/>
      <c r="AB37" s="511"/>
      <c r="AC37" s="513"/>
      <c r="AD37" s="513"/>
      <c r="AE37" s="513"/>
      <c r="AF37" s="513"/>
      <c r="AG37" s="513"/>
      <c r="AH37" s="513"/>
      <c r="AI37" s="513"/>
      <c r="AJ37" s="513"/>
      <c r="AK37" s="513"/>
      <c r="AL37" s="513"/>
      <c r="AM37" s="513"/>
      <c r="AN37" s="513"/>
      <c r="AO37" s="513"/>
      <c r="AP37" s="513"/>
      <c r="AQ37" s="513"/>
      <c r="AR37" s="514">
        <f t="shared" si="5"/>
        <v>0</v>
      </c>
      <c r="AS37" s="515">
        <f t="shared" si="6"/>
        <v>0</v>
      </c>
      <c r="AT37" s="515">
        <f>IFERROR(__xludf.DUMMYFUNCTION("""COMPUTED_VALUE"""),42703.0)</f>
        <v>42703</v>
      </c>
      <c r="AU37" s="516" t="str">
        <f t="shared" si="7"/>
        <v/>
      </c>
      <c r="AV37" s="507">
        <f>countifs('🔵クレーム'!$C:$C,MONTH($D$5)&amp;"月",'🔵クレーム'!$D:$D,day(C37)&amp;"日",'🔵クレーム'!$I:$I,"&lt;&gt;")</f>
        <v>0</v>
      </c>
      <c r="AW37" s="517"/>
      <c r="AX37" s="416"/>
      <c r="AY37" s="416"/>
      <c r="AZ37" s="416"/>
      <c r="BA37" s="416"/>
      <c r="BB37" s="416"/>
      <c r="BC37" s="416"/>
      <c r="BD37" s="416"/>
      <c r="BE37" s="416"/>
      <c r="BF37" s="416"/>
      <c r="BG37" s="416"/>
      <c r="BH37" s="416"/>
      <c r="BI37" s="213" t="str">
        <f t="array" ref="BI37">IFERROR(INDEX('💻シート作成'!$D$6:$D162, MATCH(BJ37, '💻シート作成'!$E$6:$E162, 0)), "")</f>
        <v>7月</v>
      </c>
      <c r="BJ37" s="168" t="str">
        <f>IFERROR(__xludf.DUMMYFUNCTION("""COMPUTED_VALUE"""),"②R8_7シフト")</f>
        <v>②R8_7シフト</v>
      </c>
      <c r="BK37" s="416"/>
      <c r="BL37" s="559"/>
      <c r="BM37" s="168"/>
      <c r="BN37" s="416"/>
      <c r="BO37" s="416"/>
      <c r="BP37" s="416"/>
      <c r="BQ37" s="416"/>
      <c r="BR37" s="416"/>
      <c r="BS37" s="416"/>
      <c r="BT37" s="416"/>
      <c r="BU37" s="416"/>
      <c r="BV37" s="416"/>
      <c r="BW37" s="416"/>
      <c r="BX37" s="416"/>
      <c r="BY37" s="416"/>
      <c r="BZ37" s="416"/>
      <c r="CA37" s="416"/>
    </row>
    <row r="38" ht="15.75" customHeight="1">
      <c r="A38" s="416"/>
      <c r="B38" s="537" t="b">
        <v>0</v>
      </c>
      <c r="C38" s="506">
        <f t="shared" si="8"/>
        <v>46079</v>
      </c>
      <c r="D38" s="507" t="str">
        <f t="shared" si="2"/>
        <v>木</v>
      </c>
      <c r="E38" s="507" t="str">
        <f t="shared" si="3"/>
        <v/>
      </c>
      <c r="F38" s="507" t="str">
        <f t="shared" si="4"/>
        <v/>
      </c>
      <c r="G38" s="570"/>
      <c r="H38" s="525"/>
      <c r="I38" s="524"/>
      <c r="J38" s="524"/>
      <c r="K38" s="527"/>
      <c r="L38" s="527"/>
      <c r="M38" s="527"/>
      <c r="N38" s="525"/>
      <c r="O38" s="526"/>
      <c r="P38" s="526"/>
      <c r="Q38" s="526"/>
      <c r="R38" s="526"/>
      <c r="S38" s="526"/>
      <c r="T38" s="526"/>
      <c r="U38" s="526"/>
      <c r="V38" s="526"/>
      <c r="W38" s="526"/>
      <c r="X38" s="526"/>
      <c r="Y38" s="526"/>
      <c r="Z38" s="526"/>
      <c r="AA38" s="526"/>
      <c r="AB38" s="526"/>
      <c r="AC38" s="527"/>
      <c r="AD38" s="527"/>
      <c r="AE38" s="527"/>
      <c r="AF38" s="527"/>
      <c r="AG38" s="527"/>
      <c r="AH38" s="527"/>
      <c r="AI38" s="527"/>
      <c r="AJ38" s="527"/>
      <c r="AK38" s="527"/>
      <c r="AL38" s="527"/>
      <c r="AM38" s="527"/>
      <c r="AN38" s="527"/>
      <c r="AO38" s="527"/>
      <c r="AP38" s="527"/>
      <c r="AQ38" s="527"/>
      <c r="AR38" s="514">
        <f t="shared" si="5"/>
        <v>0</v>
      </c>
      <c r="AS38" s="515">
        <f t="shared" si="6"/>
        <v>0</v>
      </c>
      <c r="AT38" s="515">
        <f>IFERROR(__xludf.DUMMYFUNCTION("""COMPUTED_VALUE"""),37530.0)</f>
        <v>37530</v>
      </c>
      <c r="AU38" s="516" t="str">
        <f t="shared" si="7"/>
        <v/>
      </c>
      <c r="AV38" s="507">
        <f>countifs('🔵クレーム'!$C:$C,MONTH($D$5)&amp;"月",'🔵クレーム'!$D:$D,day(C38)&amp;"日",'🔵クレーム'!$I:$I,"&lt;&gt;")</f>
        <v>0</v>
      </c>
      <c r="AW38" s="517"/>
      <c r="AX38" s="416"/>
      <c r="AY38" s="416" t="s">
        <v>390</v>
      </c>
      <c r="AZ38" s="574"/>
      <c r="BA38" s="416"/>
      <c r="BB38" s="496"/>
      <c r="BC38" s="416"/>
      <c r="BD38" s="416" t="s">
        <v>391</v>
      </c>
      <c r="BE38" s="416"/>
      <c r="BF38" s="416"/>
      <c r="BG38" s="416"/>
      <c r="BH38" s="416"/>
      <c r="BI38" s="213" t="str">
        <f t="array" ref="BI38">IFERROR(INDEX('💻シート作成'!$D$6:$D162, MATCH(BJ38, '💻シート作成'!$E$6:$E162, 0)), "")</f>
        <v>7月</v>
      </c>
      <c r="BJ38" s="168" t="str">
        <f>IFERROR(__xludf.DUMMYFUNCTION("""COMPUTED_VALUE"""),"③R8_7日報")</f>
        <v>③R8_7日報</v>
      </c>
      <c r="BK38" s="416"/>
      <c r="BL38" s="559"/>
      <c r="BM38" s="168"/>
      <c r="BN38" s="416"/>
      <c r="BO38" s="416"/>
      <c r="BP38" s="416"/>
      <c r="BQ38" s="416"/>
      <c r="BR38" s="416"/>
      <c r="BS38" s="416"/>
      <c r="BT38" s="416"/>
      <c r="BU38" s="416"/>
      <c r="BV38" s="416"/>
      <c r="BW38" s="416"/>
      <c r="BX38" s="416"/>
      <c r="BY38" s="416"/>
      <c r="BZ38" s="416"/>
      <c r="CA38" s="416"/>
    </row>
    <row r="39" ht="15.75" customHeight="1">
      <c r="A39" s="416"/>
      <c r="B39" s="533" t="b">
        <v>0</v>
      </c>
      <c r="C39" s="506">
        <f t="shared" si="8"/>
        <v>46080</v>
      </c>
      <c r="D39" s="507" t="str">
        <f t="shared" si="2"/>
        <v>金</v>
      </c>
      <c r="E39" s="507" t="str">
        <f t="shared" si="3"/>
        <v/>
      </c>
      <c r="F39" s="507" t="str">
        <f t="shared" si="4"/>
        <v/>
      </c>
      <c r="G39" s="570"/>
      <c r="H39" s="505"/>
      <c r="I39" s="524"/>
      <c r="J39" s="524"/>
      <c r="K39" s="527"/>
      <c r="L39" s="527"/>
      <c r="M39" s="527"/>
      <c r="N39" s="505"/>
      <c r="O39" s="511"/>
      <c r="P39" s="511"/>
      <c r="Q39" s="511"/>
      <c r="R39" s="511"/>
      <c r="S39" s="511"/>
      <c r="T39" s="511"/>
      <c r="U39" s="511"/>
      <c r="V39" s="511"/>
      <c r="W39" s="511"/>
      <c r="X39" s="511"/>
      <c r="Y39" s="511"/>
      <c r="Z39" s="511"/>
      <c r="AA39" s="511"/>
      <c r="AB39" s="511"/>
      <c r="AC39" s="513"/>
      <c r="AD39" s="513"/>
      <c r="AE39" s="513"/>
      <c r="AF39" s="513"/>
      <c r="AG39" s="513"/>
      <c r="AH39" s="513"/>
      <c r="AI39" s="513"/>
      <c r="AJ39" s="513"/>
      <c r="AK39" s="513"/>
      <c r="AL39" s="513"/>
      <c r="AM39" s="513"/>
      <c r="AN39" s="513"/>
      <c r="AO39" s="513"/>
      <c r="AP39" s="513"/>
      <c r="AQ39" s="513"/>
      <c r="AR39" s="514">
        <f t="shared" si="5"/>
        <v>0</v>
      </c>
      <c r="AS39" s="515">
        <f t="shared" si="6"/>
        <v>0</v>
      </c>
      <c r="AT39" s="515">
        <f>IFERROR(__xludf.DUMMYFUNCTION("""COMPUTED_VALUE"""),44050.0)</f>
        <v>44050</v>
      </c>
      <c r="AU39" s="516" t="str">
        <f t="shared" si="7"/>
        <v/>
      </c>
      <c r="AV39" s="507">
        <f>countifs('🔵クレーム'!$C:$C,MONTH($D$5)&amp;"月",'🔵クレーム'!$D:$D,day(C39)&amp;"日",'🔵クレーム'!$I:$I,"&lt;&gt;")</f>
        <v>0</v>
      </c>
      <c r="AW39" s="517"/>
      <c r="AX39" s="416"/>
      <c r="AY39" s="556" t="s">
        <v>378</v>
      </c>
      <c r="AZ39" s="557" t="s">
        <v>303</v>
      </c>
      <c r="BA39" s="557" t="s">
        <v>392</v>
      </c>
      <c r="BB39" s="557" t="s">
        <v>380</v>
      </c>
      <c r="BC39" s="430"/>
      <c r="BD39" s="556" t="s">
        <v>393</v>
      </c>
      <c r="BE39" s="557" t="s">
        <v>394</v>
      </c>
      <c r="BF39" s="557" t="s">
        <v>392</v>
      </c>
      <c r="BG39" s="557" t="s">
        <v>180</v>
      </c>
      <c r="BH39" s="416"/>
      <c r="BI39" s="213" t="str">
        <f t="array" ref="BI39">IFERROR(INDEX('💻シート作成'!$D$6:$D162, MATCH(BJ39, '💻シート作成'!$E$6:$E162, 0)), "")</f>
        <v>7月</v>
      </c>
      <c r="BJ39" s="168" t="str">
        <f>IFERROR(__xludf.DUMMYFUNCTION("""COMPUTED_VALUE"""),"④R8_7月報")</f>
        <v>④R8_7月報</v>
      </c>
      <c r="BK39" s="416"/>
      <c r="BL39" s="559"/>
      <c r="BM39" s="168"/>
      <c r="BN39" s="416"/>
      <c r="BO39" s="416"/>
      <c r="BP39" s="416"/>
      <c r="BQ39" s="416"/>
      <c r="BR39" s="416"/>
      <c r="BS39" s="416"/>
      <c r="BT39" s="416"/>
      <c r="BU39" s="416"/>
      <c r="BV39" s="416"/>
      <c r="BW39" s="416"/>
      <c r="BX39" s="416"/>
      <c r="BY39" s="416"/>
      <c r="BZ39" s="416"/>
      <c r="CA39" s="416"/>
    </row>
    <row r="40" ht="15.75" customHeight="1">
      <c r="A40" s="416"/>
      <c r="B40" s="537" t="b">
        <v>0</v>
      </c>
      <c r="C40" s="506">
        <f t="shared" si="8"/>
        <v>46081</v>
      </c>
      <c r="D40" s="507" t="str">
        <f t="shared" si="2"/>
        <v>土</v>
      </c>
      <c r="E40" s="507" t="str">
        <f t="shared" si="3"/>
        <v/>
      </c>
      <c r="F40" s="507" t="str">
        <f t="shared" si="4"/>
        <v/>
      </c>
      <c r="G40" s="570"/>
      <c r="H40" s="525"/>
      <c r="I40" s="524"/>
      <c r="J40" s="524"/>
      <c r="K40" s="527"/>
      <c r="L40" s="527"/>
      <c r="M40" s="527"/>
      <c r="N40" s="526"/>
      <c r="O40" s="526"/>
      <c r="P40" s="526"/>
      <c r="Q40" s="526"/>
      <c r="R40" s="526"/>
      <c r="S40" s="526"/>
      <c r="T40" s="526"/>
      <c r="U40" s="526"/>
      <c r="V40" s="526"/>
      <c r="W40" s="526"/>
      <c r="X40" s="526"/>
      <c r="Y40" s="526"/>
      <c r="Z40" s="526"/>
      <c r="AA40" s="526"/>
      <c r="AB40" s="526"/>
      <c r="AC40" s="527"/>
      <c r="AD40" s="527"/>
      <c r="AE40" s="527"/>
      <c r="AF40" s="527"/>
      <c r="AG40" s="527"/>
      <c r="AH40" s="527"/>
      <c r="AI40" s="527"/>
      <c r="AJ40" s="527"/>
      <c r="AK40" s="527"/>
      <c r="AL40" s="527"/>
      <c r="AM40" s="527"/>
      <c r="AN40" s="527"/>
      <c r="AO40" s="527"/>
      <c r="AP40" s="527"/>
      <c r="AQ40" s="527"/>
      <c r="AR40" s="514">
        <f t="shared" si="5"/>
        <v>0</v>
      </c>
      <c r="AS40" s="515">
        <f t="shared" si="6"/>
        <v>0</v>
      </c>
      <c r="AT40" s="515">
        <f>IFERROR(__xludf.DUMMYFUNCTION("""COMPUTED_VALUE"""),38184.0)</f>
        <v>38184</v>
      </c>
      <c r="AU40" s="516" t="str">
        <f t="shared" si="7"/>
        <v/>
      </c>
      <c r="AV40" s="507">
        <f>countifs('🔵クレーム'!$C:$C,MONTH($D$5)&amp;"月",'🔵クレーム'!$D:$D,day(C40)&amp;"日",'🔵クレーム'!$I:$I,"&lt;&gt;")</f>
        <v>0</v>
      </c>
      <c r="AW40" s="517"/>
      <c r="AX40" s="416"/>
      <c r="AY40" s="575"/>
      <c r="AZ40" s="550"/>
      <c r="BA40" s="576"/>
      <c r="BB40" s="548">
        <f>SUM(AZ40:AZ45)</f>
        <v>0</v>
      </c>
      <c r="BC40" s="416"/>
      <c r="BD40" s="577"/>
      <c r="BE40" s="550"/>
      <c r="BF40" s="578"/>
      <c r="BG40" s="548">
        <f>SUM(BE40:BE45)</f>
        <v>0</v>
      </c>
      <c r="BH40" s="416"/>
      <c r="BI40" s="213" t="str">
        <f t="array" ref="BI40">IFERROR(INDEX('💻シート作成'!$D$6:$D162, MATCH(BJ40, '💻シート作成'!$E$6:$E162, 0)), "")</f>
        <v>8月</v>
      </c>
      <c r="BJ40" s="168" t="str">
        <f>IFERROR(__xludf.DUMMYFUNCTION("""COMPUTED_VALUE"""),"①R8_8集計")</f>
        <v>①R8_8集計</v>
      </c>
      <c r="BK40" s="416"/>
      <c r="BL40" s="559"/>
      <c r="BM40" s="168"/>
      <c r="BN40" s="416"/>
      <c r="BO40" s="416"/>
      <c r="BP40" s="416"/>
      <c r="BQ40" s="416"/>
      <c r="BR40" s="416"/>
      <c r="BS40" s="416"/>
      <c r="BT40" s="416"/>
      <c r="BU40" s="416"/>
      <c r="BV40" s="416"/>
      <c r="BW40" s="416"/>
      <c r="BX40" s="416"/>
      <c r="BY40" s="416"/>
      <c r="BZ40" s="416"/>
      <c r="CA40" s="416"/>
    </row>
    <row r="41" ht="15.75" customHeight="1">
      <c r="A41" s="416"/>
      <c r="B41" s="579" t="b">
        <v>0</v>
      </c>
      <c r="C41" s="506" t="str">
        <f t="shared" si="8"/>
        <v/>
      </c>
      <c r="D41" s="507" t="str">
        <f t="shared" si="2"/>
        <v/>
      </c>
      <c r="E41" s="507" t="str">
        <f t="shared" si="3"/>
        <v/>
      </c>
      <c r="F41" s="507" t="str">
        <f t="shared" si="4"/>
        <v/>
      </c>
      <c r="G41" s="570"/>
      <c r="H41" s="505"/>
      <c r="I41" s="524"/>
      <c r="J41" s="524"/>
      <c r="K41" s="527"/>
      <c r="L41" s="524"/>
      <c r="M41" s="527"/>
      <c r="N41" s="511"/>
      <c r="O41" s="511"/>
      <c r="P41" s="511"/>
      <c r="Q41" s="511"/>
      <c r="R41" s="511"/>
      <c r="S41" s="511"/>
      <c r="T41" s="511"/>
      <c r="U41" s="511"/>
      <c r="V41" s="511"/>
      <c r="W41" s="511"/>
      <c r="X41" s="511"/>
      <c r="Y41" s="511"/>
      <c r="Z41" s="511"/>
      <c r="AA41" s="511"/>
      <c r="AB41" s="511"/>
      <c r="AC41" s="513"/>
      <c r="AD41" s="513"/>
      <c r="AE41" s="513"/>
      <c r="AF41" s="513"/>
      <c r="AG41" s="513"/>
      <c r="AH41" s="513"/>
      <c r="AI41" s="513"/>
      <c r="AJ41" s="513"/>
      <c r="AK41" s="513"/>
      <c r="AL41" s="513"/>
      <c r="AM41" s="513"/>
      <c r="AN41" s="513"/>
      <c r="AO41" s="513"/>
      <c r="AP41" s="513"/>
      <c r="AQ41" s="513"/>
      <c r="AR41" s="514">
        <f t="shared" si="5"/>
        <v>0</v>
      </c>
      <c r="AS41" s="515">
        <f t="shared" si="6"/>
        <v>0</v>
      </c>
      <c r="AT41" s="515">
        <f>IFERROR(__xludf.DUMMYFUNCTION("""COMPUTED_VALUE"""),0.0)</f>
        <v>0</v>
      </c>
      <c r="AU41" s="516" t="str">
        <f t="shared" si="7"/>
        <v/>
      </c>
      <c r="AV41" s="507">
        <f>countifs('🔵クレーム'!$C:$C,MONTH($D$5)&amp;"月",'🔵クレーム'!$D:$D,day(C41)&amp;"日",'🔵クレーム'!$I:$I,"&lt;&gt;")</f>
        <v>0</v>
      </c>
      <c r="AW41" s="517"/>
      <c r="AX41" s="416"/>
      <c r="AY41" s="531"/>
      <c r="AZ41" s="529"/>
      <c r="BA41" s="580"/>
      <c r="BB41" s="551"/>
      <c r="BC41" s="416"/>
      <c r="BD41" s="531"/>
      <c r="BE41" s="529"/>
      <c r="BF41" s="580"/>
      <c r="BG41" s="551"/>
      <c r="BH41" s="416"/>
      <c r="BI41" s="213" t="str">
        <f t="array" ref="BI41">IFERROR(INDEX('💻シート作成'!$D$6:$D162, MATCH(BJ41, '💻シート作成'!$E$6:$E162, 0)), "")</f>
        <v>8月</v>
      </c>
      <c r="BJ41" s="168" t="str">
        <f>IFERROR(__xludf.DUMMYFUNCTION("""COMPUTED_VALUE"""),"②R8_8シフト")</f>
        <v>②R8_8シフト</v>
      </c>
      <c r="BK41" s="416"/>
      <c r="BL41" s="559"/>
      <c r="BM41" s="168"/>
      <c r="BN41" s="416"/>
      <c r="BO41" s="416"/>
      <c r="BP41" s="416"/>
      <c r="BQ41" s="416"/>
      <c r="BR41" s="416"/>
      <c r="BS41" s="416"/>
      <c r="BT41" s="416"/>
      <c r="BU41" s="416"/>
      <c r="BV41" s="416"/>
      <c r="BW41" s="416"/>
      <c r="BX41" s="416"/>
      <c r="BY41" s="416"/>
      <c r="BZ41" s="416"/>
      <c r="CA41" s="416"/>
    </row>
    <row r="42" ht="15.75" customHeight="1">
      <c r="A42" s="416"/>
      <c r="B42" s="581" t="b">
        <v>0</v>
      </c>
      <c r="C42" s="506" t="str">
        <f t="shared" si="8"/>
        <v/>
      </c>
      <c r="D42" s="507" t="str">
        <f t="shared" si="2"/>
        <v/>
      </c>
      <c r="E42" s="507" t="str">
        <f t="shared" si="3"/>
        <v/>
      </c>
      <c r="F42" s="507" t="str">
        <f t="shared" si="4"/>
        <v/>
      </c>
      <c r="G42" s="570"/>
      <c r="H42" s="525"/>
      <c r="I42" s="527"/>
      <c r="J42" s="527"/>
      <c r="K42" s="527"/>
      <c r="L42" s="527"/>
      <c r="M42" s="527"/>
      <c r="N42" s="526"/>
      <c r="O42" s="526"/>
      <c r="P42" s="526"/>
      <c r="Q42" s="526"/>
      <c r="R42" s="526"/>
      <c r="S42" s="526"/>
      <c r="T42" s="526"/>
      <c r="U42" s="526"/>
      <c r="V42" s="526"/>
      <c r="W42" s="526"/>
      <c r="X42" s="526"/>
      <c r="Y42" s="526"/>
      <c r="Z42" s="526"/>
      <c r="AA42" s="526"/>
      <c r="AB42" s="526"/>
      <c r="AC42" s="527"/>
      <c r="AD42" s="527"/>
      <c r="AE42" s="527"/>
      <c r="AF42" s="527"/>
      <c r="AG42" s="527"/>
      <c r="AH42" s="527"/>
      <c r="AI42" s="527"/>
      <c r="AJ42" s="527"/>
      <c r="AK42" s="527"/>
      <c r="AL42" s="527"/>
      <c r="AM42" s="527"/>
      <c r="AN42" s="527"/>
      <c r="AO42" s="527"/>
      <c r="AP42" s="527"/>
      <c r="AQ42" s="527"/>
      <c r="AR42" s="514">
        <f t="shared" si="5"/>
        <v>0</v>
      </c>
      <c r="AS42" s="515">
        <f t="shared" si="6"/>
        <v>0</v>
      </c>
      <c r="AT42" s="515">
        <f>IFERROR(__xludf.DUMMYFUNCTION("""COMPUTED_VALUE"""),0.0)</f>
        <v>0</v>
      </c>
      <c r="AU42" s="516" t="str">
        <f t="shared" si="7"/>
        <v/>
      </c>
      <c r="AV42" s="507">
        <f>countifs('🔵クレーム'!$C:$C,MONTH($D$5)&amp;"月",'🔵クレーム'!$D:$D,day(C42)&amp;"日",'🔵クレーム'!$I:$I,"&lt;&gt;")</f>
        <v>0</v>
      </c>
      <c r="AW42" s="517"/>
      <c r="AX42" s="416"/>
      <c r="AY42" s="531"/>
      <c r="AZ42" s="529"/>
      <c r="BA42" s="580"/>
      <c r="BB42" s="551"/>
      <c r="BC42" s="416"/>
      <c r="BD42" s="531"/>
      <c r="BE42" s="529"/>
      <c r="BF42" s="580"/>
      <c r="BG42" s="551"/>
      <c r="BH42" s="416"/>
      <c r="BI42" s="213" t="str">
        <f t="array" ref="BI42">IFERROR(INDEX('💻シート作成'!$D$6:$D162, MATCH(BJ42, '💻シート作成'!$E$6:$E162, 0)), "")</f>
        <v>8月</v>
      </c>
      <c r="BJ42" s="168" t="str">
        <f>IFERROR(__xludf.DUMMYFUNCTION("""COMPUTED_VALUE"""),"③R8_8日報")</f>
        <v>③R8_8日報</v>
      </c>
      <c r="BK42" s="416"/>
      <c r="BL42" s="559"/>
      <c r="BM42" s="168"/>
      <c r="BN42" s="416"/>
      <c r="BO42" s="416"/>
      <c r="BP42" s="416"/>
      <c r="BQ42" s="416"/>
      <c r="BR42" s="416"/>
      <c r="BS42" s="416"/>
      <c r="BT42" s="416"/>
      <c r="BU42" s="416"/>
      <c r="BV42" s="416"/>
      <c r="BW42" s="416"/>
      <c r="BX42" s="416"/>
      <c r="BY42" s="416"/>
      <c r="BZ42" s="416"/>
      <c r="CA42" s="416"/>
    </row>
    <row r="43" ht="15.75" customHeight="1">
      <c r="A43" s="416"/>
      <c r="B43" s="579" t="b">
        <v>0</v>
      </c>
      <c r="C43" s="506" t="str">
        <f t="shared" si="8"/>
        <v/>
      </c>
      <c r="D43" s="507" t="str">
        <f t="shared" si="2"/>
        <v/>
      </c>
      <c r="E43" s="507" t="str">
        <f t="shared" si="3"/>
        <v/>
      </c>
      <c r="F43" s="507" t="str">
        <f t="shared" si="4"/>
        <v/>
      </c>
      <c r="G43" s="582"/>
      <c r="H43" s="511"/>
      <c r="I43" s="527"/>
      <c r="J43" s="527"/>
      <c r="K43" s="527"/>
      <c r="L43" s="527"/>
      <c r="M43" s="527"/>
      <c r="N43" s="511"/>
      <c r="O43" s="511"/>
      <c r="P43" s="511"/>
      <c r="Q43" s="511"/>
      <c r="R43" s="511"/>
      <c r="S43" s="511"/>
      <c r="T43" s="511"/>
      <c r="U43" s="511"/>
      <c r="V43" s="511"/>
      <c r="W43" s="511"/>
      <c r="X43" s="511"/>
      <c r="Y43" s="511"/>
      <c r="Z43" s="511"/>
      <c r="AA43" s="511"/>
      <c r="AB43" s="511"/>
      <c r="AC43" s="513"/>
      <c r="AD43" s="513"/>
      <c r="AE43" s="513"/>
      <c r="AF43" s="513"/>
      <c r="AG43" s="513"/>
      <c r="AH43" s="513"/>
      <c r="AI43" s="513"/>
      <c r="AJ43" s="513"/>
      <c r="AK43" s="513"/>
      <c r="AL43" s="513"/>
      <c r="AM43" s="513"/>
      <c r="AN43" s="513"/>
      <c r="AO43" s="513"/>
      <c r="AP43" s="513"/>
      <c r="AQ43" s="513"/>
      <c r="AR43" s="514">
        <f t="shared" si="5"/>
        <v>0</v>
      </c>
      <c r="AS43" s="515">
        <f t="shared" si="6"/>
        <v>0</v>
      </c>
      <c r="AT43" s="515">
        <f>IFERROR(__xludf.DUMMYFUNCTION("""COMPUTED_VALUE"""),0.0)</f>
        <v>0</v>
      </c>
      <c r="AU43" s="516" t="str">
        <f t="shared" si="7"/>
        <v/>
      </c>
      <c r="AV43" s="507">
        <f>countifs('🔵クレーム'!$C:$C,MONTH($D$5)&amp;"月",'🔵クレーム'!$D:$D,day(C43)&amp;"日",'🔵クレーム'!$I:$I,"&lt;&gt;")</f>
        <v>0</v>
      </c>
      <c r="AW43" s="517"/>
      <c r="AX43" s="416"/>
      <c r="AY43" s="531"/>
      <c r="AZ43" s="529"/>
      <c r="BA43" s="580"/>
      <c r="BB43" s="551"/>
      <c r="BC43" s="416"/>
      <c r="BD43" s="531"/>
      <c r="BE43" s="580"/>
      <c r="BF43" s="580"/>
      <c r="BG43" s="551"/>
      <c r="BH43" s="416"/>
      <c r="BI43" s="213" t="str">
        <f t="array" ref="BI43">IFERROR(INDEX('💻シート作成'!$D$6:$D162, MATCH(BJ43, '💻シート作成'!$E$6:$E162, 0)), "")</f>
        <v>8月</v>
      </c>
      <c r="BJ43" s="168" t="str">
        <f>IFERROR(__xludf.DUMMYFUNCTION("""COMPUTED_VALUE"""),"④R8_8月報")</f>
        <v>④R8_8月報</v>
      </c>
      <c r="BK43" s="416"/>
      <c r="BL43" s="559"/>
      <c r="BM43" s="168"/>
      <c r="BN43" s="416"/>
      <c r="BO43" s="416"/>
      <c r="BP43" s="416"/>
      <c r="BQ43" s="416"/>
      <c r="BR43" s="416"/>
      <c r="BS43" s="416"/>
      <c r="BT43" s="416"/>
      <c r="BU43" s="416"/>
      <c r="BV43" s="416"/>
      <c r="BW43" s="416"/>
      <c r="BX43" s="416"/>
      <c r="BY43" s="416"/>
      <c r="BZ43" s="416"/>
      <c r="CA43" s="416"/>
    </row>
    <row r="44" ht="15.75" customHeight="1">
      <c r="A44" s="416"/>
      <c r="B44" s="583"/>
      <c r="C44" s="584" t="s">
        <v>180</v>
      </c>
      <c r="D44" s="585"/>
      <c r="E44" s="586">
        <f>sum(E13:E43)</f>
        <v>0</v>
      </c>
      <c r="F44" s="586">
        <f t="shared" ref="F44:AB44" si="11">SUM(F13:F43)</f>
        <v>0</v>
      </c>
      <c r="G44" s="586">
        <f t="shared" si="11"/>
        <v>0</v>
      </c>
      <c r="H44" s="586">
        <f t="shared" si="11"/>
        <v>0</v>
      </c>
      <c r="I44" s="586">
        <f t="shared" si="11"/>
        <v>0</v>
      </c>
      <c r="J44" s="586">
        <f t="shared" si="11"/>
        <v>0</v>
      </c>
      <c r="K44" s="586">
        <f t="shared" si="11"/>
        <v>0</v>
      </c>
      <c r="L44" s="586">
        <f t="shared" si="11"/>
        <v>0</v>
      </c>
      <c r="M44" s="586">
        <f t="shared" si="11"/>
        <v>0</v>
      </c>
      <c r="N44" s="586">
        <f t="shared" si="11"/>
        <v>0</v>
      </c>
      <c r="O44" s="586">
        <f t="shared" si="11"/>
        <v>0</v>
      </c>
      <c r="P44" s="586">
        <f t="shared" si="11"/>
        <v>0</v>
      </c>
      <c r="Q44" s="586">
        <f t="shared" si="11"/>
        <v>0</v>
      </c>
      <c r="R44" s="586">
        <f t="shared" si="11"/>
        <v>0</v>
      </c>
      <c r="S44" s="586">
        <f t="shared" si="11"/>
        <v>0</v>
      </c>
      <c r="T44" s="586">
        <f t="shared" si="11"/>
        <v>0</v>
      </c>
      <c r="U44" s="586">
        <f t="shared" si="11"/>
        <v>0</v>
      </c>
      <c r="V44" s="586">
        <f t="shared" si="11"/>
        <v>0</v>
      </c>
      <c r="W44" s="586">
        <f t="shared" si="11"/>
        <v>0</v>
      </c>
      <c r="X44" s="586">
        <f t="shared" si="11"/>
        <v>0</v>
      </c>
      <c r="Y44" s="586">
        <f t="shared" si="11"/>
        <v>0</v>
      </c>
      <c r="Z44" s="586">
        <f t="shared" si="11"/>
        <v>0</v>
      </c>
      <c r="AA44" s="586">
        <f t="shared" si="11"/>
        <v>0</v>
      </c>
      <c r="AB44" s="586">
        <f t="shared" si="11"/>
        <v>0</v>
      </c>
      <c r="AC44" s="587"/>
      <c r="AD44" s="587"/>
      <c r="AE44" s="587"/>
      <c r="AF44" s="587"/>
      <c r="AG44" s="587"/>
      <c r="AH44" s="587"/>
      <c r="AI44" s="587"/>
      <c r="AJ44" s="587"/>
      <c r="AK44" s="587"/>
      <c r="AL44" s="587"/>
      <c r="AM44" s="587"/>
      <c r="AN44" s="587"/>
      <c r="AO44" s="587"/>
      <c r="AP44" s="587"/>
      <c r="AQ44" s="587"/>
      <c r="AR44" s="588">
        <f t="shared" ref="AR44:AT44" si="12">sum(AR13:AR43)</f>
        <v>0</v>
      </c>
      <c r="AS44" s="589">
        <f t="shared" si="12"/>
        <v>0</v>
      </c>
      <c r="AT44" s="589">
        <f t="shared" si="12"/>
        <v>1307359</v>
      </c>
      <c r="AU44" s="590" t="str">
        <f>AVERAGE(AU13:AU43)</f>
        <v>#DIV/0!</v>
      </c>
      <c r="AV44" s="586">
        <f t="shared" ref="AV44:AW44" si="13">sum(AV13:AV43)</f>
        <v>0</v>
      </c>
      <c r="AW44" s="591">
        <f t="shared" si="13"/>
        <v>0</v>
      </c>
      <c r="AX44" s="416"/>
      <c r="AY44" s="531"/>
      <c r="AZ44" s="529"/>
      <c r="BA44" s="580"/>
      <c r="BB44" s="551"/>
      <c r="BC44" s="416"/>
      <c r="BD44" s="531"/>
      <c r="BE44" s="580"/>
      <c r="BF44" s="580"/>
      <c r="BG44" s="551"/>
      <c r="BH44" s="416"/>
      <c r="BI44" s="213" t="str">
        <f t="array" ref="BI44">IFERROR(INDEX('💻シート作成'!$D$6:$D162, MATCH(BJ44, '💻シート作成'!$E$6:$E162, 0)), "")</f>
        <v>9月</v>
      </c>
      <c r="BJ44" s="168" t="str">
        <f>IFERROR(__xludf.DUMMYFUNCTION("""COMPUTED_VALUE"""),"①R8_9集計")</f>
        <v>①R8_9集計</v>
      </c>
      <c r="BK44" s="416"/>
      <c r="BL44" s="559"/>
      <c r="BM44" s="168"/>
      <c r="BN44" s="416"/>
      <c r="BO44" s="416"/>
      <c r="BP44" s="416"/>
      <c r="BQ44" s="416"/>
      <c r="BR44" s="416"/>
      <c r="BS44" s="416"/>
      <c r="BT44" s="416"/>
      <c r="BU44" s="416"/>
      <c r="BV44" s="416"/>
      <c r="BW44" s="416"/>
      <c r="BX44" s="416"/>
      <c r="BY44" s="416"/>
      <c r="BZ44" s="416"/>
      <c r="CA44" s="416"/>
    </row>
    <row r="45" ht="15.75" customHeight="1">
      <c r="A45" s="416"/>
      <c r="B45" s="592"/>
      <c r="C45" s="593"/>
      <c r="D45" s="594"/>
      <c r="E45" s="595" t="s">
        <v>384</v>
      </c>
      <c r="F45" s="596"/>
      <c r="G45" s="597">
        <v>980.0</v>
      </c>
      <c r="H45" s="597">
        <v>100.0</v>
      </c>
      <c r="I45" s="597">
        <v>100.0</v>
      </c>
      <c r="J45" s="597">
        <v>100.0</v>
      </c>
      <c r="K45" s="597">
        <v>250.0</v>
      </c>
      <c r="L45" s="597">
        <v>200.0</v>
      </c>
      <c r="M45" s="597">
        <v>300.0</v>
      </c>
      <c r="N45" s="597"/>
      <c r="O45" s="597"/>
      <c r="P45" s="598"/>
      <c r="Q45" s="598"/>
      <c r="R45" s="598"/>
      <c r="S45" s="598"/>
      <c r="T45" s="598"/>
      <c r="U45" s="598"/>
      <c r="V45" s="598"/>
      <c r="W45" s="598"/>
      <c r="X45" s="598"/>
      <c r="Y45" s="598"/>
      <c r="Z45" s="598"/>
      <c r="AA45" s="598"/>
      <c r="AB45" s="598"/>
      <c r="AC45" s="597">
        <v>100.0</v>
      </c>
      <c r="AD45" s="597">
        <v>830.0</v>
      </c>
      <c r="AE45" s="597">
        <v>150.0</v>
      </c>
      <c r="AF45" s="597">
        <v>180.0</v>
      </c>
      <c r="AG45" s="598"/>
      <c r="AH45" s="598"/>
      <c r="AI45" s="598"/>
      <c r="AJ45" s="599"/>
      <c r="AK45" s="599"/>
      <c r="AL45" s="599"/>
      <c r="AM45" s="599"/>
      <c r="AN45" s="599"/>
      <c r="AO45" s="599"/>
      <c r="AP45" s="599"/>
      <c r="AQ45" s="599"/>
      <c r="AR45" s="600"/>
      <c r="AS45" s="515"/>
      <c r="AT45" s="601"/>
      <c r="AU45" s="601"/>
      <c r="AV45" s="601"/>
      <c r="AW45" s="602"/>
      <c r="AX45" s="416"/>
      <c r="AY45" s="531"/>
      <c r="AZ45" s="529"/>
      <c r="BA45" s="580"/>
      <c r="BB45" s="207"/>
      <c r="BC45" s="416"/>
      <c r="BD45" s="531"/>
      <c r="BE45" s="529"/>
      <c r="BF45" s="580"/>
      <c r="BG45" s="207"/>
      <c r="BH45" s="416"/>
      <c r="BI45" s="213" t="str">
        <f t="array" ref="BI45">IFERROR(INDEX('💻シート作成'!$D$6:$D162, MATCH(BJ45, '💻シート作成'!$E$6:$E162, 0)), "")</f>
        <v>9月</v>
      </c>
      <c r="BJ45" s="168" t="str">
        <f>IFERROR(__xludf.DUMMYFUNCTION("""COMPUTED_VALUE"""),"②R8_9シフト")</f>
        <v>②R8_9シフト</v>
      </c>
      <c r="BK45" s="416"/>
      <c r="BL45" s="559"/>
      <c r="BM45" s="168"/>
      <c r="BN45" s="416"/>
      <c r="BO45" s="416"/>
      <c r="BP45" s="416"/>
      <c r="BQ45" s="416"/>
      <c r="BR45" s="416"/>
      <c r="BS45" s="416"/>
      <c r="BT45" s="416"/>
      <c r="BU45" s="416"/>
      <c r="BV45" s="416"/>
      <c r="BW45" s="416"/>
      <c r="BX45" s="416"/>
      <c r="BY45" s="416"/>
      <c r="BZ45" s="416"/>
      <c r="CA45" s="416"/>
    </row>
    <row r="46" ht="15.75" customHeight="1">
      <c r="A46" s="416"/>
      <c r="B46" s="603"/>
      <c r="C46" s="604"/>
      <c r="D46" s="605"/>
      <c r="E46" s="606" t="s">
        <v>395</v>
      </c>
      <c r="F46" s="596"/>
      <c r="G46" s="607">
        <f t="shared" ref="G46:AI46" si="14">G44*G45</f>
        <v>0</v>
      </c>
      <c r="H46" s="607">
        <f t="shared" si="14"/>
        <v>0</v>
      </c>
      <c r="I46" s="607">
        <f t="shared" si="14"/>
        <v>0</v>
      </c>
      <c r="J46" s="607">
        <f t="shared" si="14"/>
        <v>0</v>
      </c>
      <c r="K46" s="607">
        <f t="shared" si="14"/>
        <v>0</v>
      </c>
      <c r="L46" s="607">
        <f t="shared" si="14"/>
        <v>0</v>
      </c>
      <c r="M46" s="607">
        <f t="shared" si="14"/>
        <v>0</v>
      </c>
      <c r="N46" s="607">
        <f t="shared" si="14"/>
        <v>0</v>
      </c>
      <c r="O46" s="607">
        <f t="shared" si="14"/>
        <v>0</v>
      </c>
      <c r="P46" s="607">
        <f t="shared" si="14"/>
        <v>0</v>
      </c>
      <c r="Q46" s="607">
        <f t="shared" si="14"/>
        <v>0</v>
      </c>
      <c r="R46" s="607">
        <f t="shared" si="14"/>
        <v>0</v>
      </c>
      <c r="S46" s="607">
        <f t="shared" si="14"/>
        <v>0</v>
      </c>
      <c r="T46" s="607">
        <f t="shared" si="14"/>
        <v>0</v>
      </c>
      <c r="U46" s="607">
        <f t="shared" si="14"/>
        <v>0</v>
      </c>
      <c r="V46" s="607">
        <f t="shared" si="14"/>
        <v>0</v>
      </c>
      <c r="W46" s="607">
        <f t="shared" si="14"/>
        <v>0</v>
      </c>
      <c r="X46" s="607">
        <f t="shared" si="14"/>
        <v>0</v>
      </c>
      <c r="Y46" s="607">
        <f t="shared" si="14"/>
        <v>0</v>
      </c>
      <c r="Z46" s="607">
        <f t="shared" si="14"/>
        <v>0</v>
      </c>
      <c r="AA46" s="607">
        <f t="shared" si="14"/>
        <v>0</v>
      </c>
      <c r="AB46" s="607">
        <f t="shared" si="14"/>
        <v>0</v>
      </c>
      <c r="AC46" s="608">
        <f t="shared" si="14"/>
        <v>0</v>
      </c>
      <c r="AD46" s="608">
        <f t="shared" si="14"/>
        <v>0</v>
      </c>
      <c r="AE46" s="608">
        <f t="shared" si="14"/>
        <v>0</v>
      </c>
      <c r="AF46" s="608">
        <f t="shared" si="14"/>
        <v>0</v>
      </c>
      <c r="AG46" s="608">
        <f t="shared" si="14"/>
        <v>0</v>
      </c>
      <c r="AH46" s="608">
        <f t="shared" si="14"/>
        <v>0</v>
      </c>
      <c r="AI46" s="608">
        <f t="shared" si="14"/>
        <v>0</v>
      </c>
      <c r="AJ46" s="600"/>
      <c r="AK46" s="600"/>
      <c r="AL46" s="600"/>
      <c r="AM46" s="600"/>
      <c r="AN46" s="600"/>
      <c r="AO46" s="600"/>
      <c r="AP46" s="600"/>
      <c r="AQ46" s="600"/>
      <c r="AR46" s="600"/>
      <c r="AS46" s="609">
        <f>sum(G46:AB46)</f>
        <v>0</v>
      </c>
      <c r="AT46" s="507"/>
      <c r="AU46" s="507"/>
      <c r="AV46" s="507"/>
      <c r="AW46" s="517"/>
      <c r="AX46" s="416"/>
      <c r="AY46" s="416"/>
      <c r="AZ46" s="416"/>
      <c r="BA46" s="416"/>
      <c r="BB46" s="416"/>
      <c r="BC46" s="416"/>
      <c r="BD46" s="416"/>
      <c r="BE46" s="416"/>
      <c r="BF46" s="416"/>
      <c r="BG46" s="416"/>
      <c r="BH46" s="416"/>
      <c r="BI46" s="213" t="str">
        <f t="array" ref="BI46">IFERROR(INDEX('💻シート作成'!$D$6:$D162, MATCH(BJ46, '💻シート作成'!$E$6:$E162, 0)), "")</f>
        <v>9月</v>
      </c>
      <c r="BJ46" s="168" t="str">
        <f>IFERROR(__xludf.DUMMYFUNCTION("""COMPUTED_VALUE"""),"③R8_9日報")</f>
        <v>③R8_9日報</v>
      </c>
      <c r="BK46" s="416"/>
      <c r="BL46" s="559"/>
      <c r="BM46" s="168"/>
      <c r="BN46" s="416"/>
      <c r="BO46" s="416"/>
      <c r="BP46" s="416"/>
      <c r="BQ46" s="416"/>
      <c r="BR46" s="416"/>
      <c r="BS46" s="416"/>
      <c r="BT46" s="416"/>
      <c r="BU46" s="416"/>
      <c r="BV46" s="416"/>
      <c r="BW46" s="416"/>
      <c r="BX46" s="416"/>
      <c r="BY46" s="416"/>
      <c r="BZ46" s="416"/>
      <c r="CA46" s="416"/>
    </row>
    <row r="47" ht="15.75" customHeight="1">
      <c r="A47" s="416"/>
      <c r="B47" s="610"/>
      <c r="C47" s="611"/>
      <c r="D47" s="612"/>
      <c r="E47" s="613" t="s">
        <v>396</v>
      </c>
      <c r="F47" s="614"/>
      <c r="G47" s="615" t="str">
        <f>G44/$E$44</f>
        <v>#DIV/0!</v>
      </c>
      <c r="H47" s="615" t="str">
        <f>H44/$F$44</f>
        <v>#DIV/0!</v>
      </c>
      <c r="I47" s="615"/>
      <c r="J47" s="615"/>
      <c r="K47" s="615"/>
      <c r="L47" s="615"/>
      <c r="M47" s="615"/>
      <c r="N47" s="615"/>
      <c r="O47" s="615"/>
      <c r="P47" s="615"/>
      <c r="Q47" s="615"/>
      <c r="R47" s="615"/>
      <c r="S47" s="615"/>
      <c r="T47" s="615"/>
      <c r="U47" s="615"/>
      <c r="V47" s="615"/>
      <c r="W47" s="615"/>
      <c r="X47" s="615"/>
      <c r="Y47" s="615"/>
      <c r="Z47" s="615"/>
      <c r="AA47" s="615"/>
      <c r="AB47" s="615"/>
      <c r="AC47" s="615"/>
      <c r="AD47" s="615"/>
      <c r="AE47" s="615"/>
      <c r="AF47" s="615"/>
      <c r="AG47" s="615"/>
      <c r="AH47" s="615"/>
      <c r="AI47" s="615"/>
      <c r="AJ47" s="616"/>
      <c r="AK47" s="616"/>
      <c r="AL47" s="616"/>
      <c r="AM47" s="616"/>
      <c r="AN47" s="616"/>
      <c r="AO47" s="616"/>
      <c r="AP47" s="616"/>
      <c r="AQ47" s="616"/>
      <c r="AR47" s="617"/>
      <c r="AS47" s="618"/>
      <c r="AT47" s="619"/>
      <c r="AU47" s="619"/>
      <c r="AV47" s="619"/>
      <c r="AW47" s="620"/>
      <c r="AX47" s="416"/>
      <c r="AY47" s="621" t="s">
        <v>397</v>
      </c>
      <c r="BF47" s="416"/>
      <c r="BG47" s="416"/>
      <c r="BH47" s="416"/>
      <c r="BI47" s="213" t="str">
        <f t="array" ref="BI47">IFERROR(INDEX('💻シート作成'!$D$6:$D162, MATCH(BJ47, '💻シート作成'!$E$6:$E162, 0)), "")</f>
        <v>9月</v>
      </c>
      <c r="BJ47" s="168" t="str">
        <f>IFERROR(__xludf.DUMMYFUNCTION("""COMPUTED_VALUE"""),"④R8_9月報")</f>
        <v>④R8_9月報</v>
      </c>
      <c r="BK47" s="416"/>
      <c r="BL47" s="559"/>
      <c r="BM47" s="168"/>
      <c r="BN47" s="416"/>
      <c r="BO47" s="416"/>
      <c r="BP47" s="416"/>
      <c r="BQ47" s="416"/>
      <c r="BR47" s="416"/>
      <c r="BS47" s="416"/>
      <c r="BT47" s="416"/>
      <c r="BU47" s="416"/>
      <c r="BV47" s="416"/>
      <c r="BW47" s="416"/>
      <c r="BX47" s="416"/>
      <c r="BY47" s="416"/>
      <c r="BZ47" s="416"/>
      <c r="CA47" s="416"/>
    </row>
    <row r="48">
      <c r="A48" s="416"/>
      <c r="B48" s="416"/>
      <c r="C48" s="416"/>
      <c r="D48" s="416"/>
      <c r="E48" s="416"/>
      <c r="F48" s="416"/>
      <c r="G48" s="622"/>
      <c r="H48" s="622"/>
      <c r="I48" s="416"/>
      <c r="J48" s="416"/>
      <c r="K48" s="416"/>
      <c r="L48" s="416"/>
      <c r="M48" s="416"/>
      <c r="N48" s="416"/>
      <c r="O48" s="416"/>
      <c r="P48" s="416"/>
      <c r="Q48" s="416"/>
      <c r="R48" s="416"/>
      <c r="S48" s="416"/>
      <c r="T48" s="416"/>
      <c r="U48" s="416"/>
      <c r="V48" s="416"/>
      <c r="W48" s="416"/>
      <c r="X48" s="416"/>
      <c r="Y48" s="416"/>
      <c r="Z48" s="416"/>
      <c r="AA48" s="416"/>
      <c r="AB48" s="416"/>
      <c r="AC48" s="416"/>
      <c r="AD48" s="416"/>
      <c r="AE48" s="416"/>
      <c r="AF48" s="416"/>
      <c r="AG48" s="416"/>
      <c r="AH48" s="416"/>
      <c r="AI48" s="416"/>
      <c r="AJ48" s="416"/>
      <c r="AK48" s="416"/>
      <c r="AL48" s="416"/>
      <c r="AM48" s="416"/>
      <c r="AN48" s="416"/>
      <c r="AO48" s="416"/>
      <c r="AP48" s="416"/>
      <c r="AQ48" s="416"/>
      <c r="AR48" s="416"/>
      <c r="AS48" s="416"/>
      <c r="AT48" s="416"/>
      <c r="AU48" s="416"/>
      <c r="AV48" s="416"/>
      <c r="AW48" s="416"/>
      <c r="AX48" s="416"/>
      <c r="AY48" s="416"/>
      <c r="AZ48" s="416"/>
      <c r="BA48" s="416"/>
      <c r="BB48" s="416"/>
      <c r="BC48" s="416"/>
      <c r="BD48" s="416"/>
      <c r="BE48" s="416"/>
      <c r="BF48" s="416"/>
      <c r="BG48" s="416"/>
      <c r="BH48" s="416"/>
      <c r="BI48" s="213" t="str">
        <f t="array" ref="BI48">IFERROR(INDEX('💻シート作成'!$D$6:$D162, MATCH(BJ48, '💻シート作成'!$E$6:$E162, 0)), "")</f>
        <v>10月</v>
      </c>
      <c r="BJ48" s="168" t="str">
        <f>IFERROR(__xludf.DUMMYFUNCTION("""COMPUTED_VALUE"""),"①R8_10集計")</f>
        <v>①R8_10集計</v>
      </c>
      <c r="BK48" s="416"/>
      <c r="BL48" s="559"/>
      <c r="BM48" s="168"/>
      <c r="BN48" s="416"/>
      <c r="BO48" s="416"/>
      <c r="BP48" s="416"/>
      <c r="BQ48" s="416"/>
      <c r="BR48" s="416"/>
      <c r="BS48" s="416"/>
      <c r="BT48" s="416"/>
      <c r="BU48" s="416"/>
      <c r="BV48" s="416"/>
      <c r="BW48" s="416"/>
      <c r="BX48" s="416"/>
      <c r="BY48" s="416"/>
      <c r="BZ48" s="416"/>
      <c r="CA48" s="416"/>
    </row>
    <row r="49">
      <c r="A49" s="416"/>
      <c r="B49" s="416"/>
      <c r="C49" s="416"/>
      <c r="D49" s="416"/>
      <c r="E49" s="416"/>
      <c r="F49" s="416"/>
      <c r="G49" s="416"/>
      <c r="H49" s="416"/>
      <c r="I49" s="416"/>
      <c r="J49" s="416"/>
      <c r="K49" s="416"/>
      <c r="L49" s="416"/>
      <c r="M49" s="416"/>
      <c r="N49" s="416"/>
      <c r="O49" s="416"/>
      <c r="P49" s="416"/>
      <c r="Q49" s="416"/>
      <c r="R49" s="416"/>
      <c r="S49" s="416"/>
      <c r="T49" s="416"/>
      <c r="U49" s="416"/>
      <c r="V49" s="416"/>
      <c r="W49" s="416"/>
      <c r="X49" s="416"/>
      <c r="Y49" s="416"/>
      <c r="Z49" s="416"/>
      <c r="AA49" s="416"/>
      <c r="AB49" s="416"/>
      <c r="AC49" s="416"/>
      <c r="AD49" s="416"/>
      <c r="AE49" s="416"/>
      <c r="AF49" s="416"/>
      <c r="AG49" s="416"/>
      <c r="AH49" s="416"/>
      <c r="AI49" s="416"/>
      <c r="AJ49" s="416"/>
      <c r="AK49" s="416"/>
      <c r="AL49" s="416"/>
      <c r="AM49" s="416"/>
      <c r="AN49" s="416"/>
      <c r="AO49" s="416"/>
      <c r="AP49" s="416"/>
      <c r="AQ49" s="416"/>
      <c r="AR49" s="416"/>
      <c r="AS49" s="622"/>
      <c r="AT49" s="622"/>
      <c r="AU49" s="622"/>
      <c r="AV49" s="622"/>
      <c r="AW49" s="622"/>
      <c r="AX49" s="622"/>
      <c r="AY49" s="416"/>
      <c r="AZ49" s="416"/>
      <c r="BA49" s="416"/>
      <c r="BB49" s="416"/>
      <c r="BC49" s="416"/>
      <c r="BD49" s="416"/>
      <c r="BE49" s="416"/>
      <c r="BF49" s="416"/>
      <c r="BG49" s="416"/>
      <c r="BH49" s="416"/>
      <c r="BI49" s="213" t="str">
        <f t="array" ref="BI49">IFERROR(INDEX('💻シート作成'!$D$6:$D162, MATCH(BJ49, '💻シート作成'!$E$6:$E162, 0)), "")</f>
        <v>10月</v>
      </c>
      <c r="BJ49" s="168" t="str">
        <f>IFERROR(__xludf.DUMMYFUNCTION("""COMPUTED_VALUE"""),"②R8_10シフト")</f>
        <v>②R8_10シフト</v>
      </c>
      <c r="BK49" s="416"/>
      <c r="BL49" s="559"/>
      <c r="BM49" s="168"/>
      <c r="BN49" s="416"/>
      <c r="BO49" s="416"/>
      <c r="BP49" s="416"/>
      <c r="BQ49" s="416"/>
      <c r="BR49" s="416"/>
      <c r="BS49" s="416"/>
      <c r="BT49" s="416"/>
      <c r="BU49" s="416"/>
      <c r="BV49" s="416"/>
      <c r="BW49" s="416"/>
      <c r="BX49" s="416"/>
      <c r="BY49" s="416"/>
      <c r="BZ49" s="416"/>
      <c r="CA49" s="416"/>
    </row>
    <row r="50">
      <c r="A50" s="416"/>
      <c r="B50" s="416"/>
      <c r="C50" s="416"/>
      <c r="D50" s="416"/>
      <c r="E50" s="416"/>
      <c r="F50" s="416"/>
      <c r="G50" s="416"/>
      <c r="H50" s="416"/>
      <c r="I50" s="416"/>
      <c r="J50" s="416"/>
      <c r="K50" s="416"/>
      <c r="L50" s="416"/>
      <c r="M50" s="416"/>
      <c r="N50" s="416"/>
      <c r="O50" s="416"/>
      <c r="P50" s="416"/>
      <c r="Q50" s="416"/>
      <c r="R50" s="416"/>
      <c r="S50" s="416"/>
      <c r="T50" s="416"/>
      <c r="U50" s="416"/>
      <c r="V50" s="416"/>
      <c r="W50" s="416"/>
      <c r="X50" s="416"/>
      <c r="Y50" s="416"/>
      <c r="Z50" s="416"/>
      <c r="AA50" s="416"/>
      <c r="AB50" s="416"/>
      <c r="AC50" s="416"/>
      <c r="AD50" s="416"/>
      <c r="AE50" s="416"/>
      <c r="AF50" s="416"/>
      <c r="AG50" s="416"/>
      <c r="AH50" s="416"/>
      <c r="AI50" s="416"/>
      <c r="AJ50" s="416"/>
      <c r="AK50" s="416"/>
      <c r="AL50" s="416"/>
      <c r="AM50" s="416"/>
      <c r="AN50" s="416"/>
      <c r="AO50" s="416"/>
      <c r="AP50" s="416"/>
      <c r="AQ50" s="416"/>
      <c r="AR50" s="416"/>
      <c r="AS50" s="416"/>
      <c r="AT50" s="416"/>
      <c r="AU50" s="416"/>
      <c r="AV50" s="416"/>
      <c r="AW50" s="416"/>
      <c r="AX50" s="416"/>
      <c r="AY50" s="416"/>
      <c r="AZ50" s="416"/>
      <c r="BA50" s="416"/>
      <c r="BB50" s="416"/>
      <c r="BC50" s="416"/>
      <c r="BD50" s="416"/>
      <c r="BE50" s="416"/>
      <c r="BF50" s="416"/>
      <c r="BG50" s="416"/>
      <c r="BH50" s="416"/>
      <c r="BI50" s="213" t="str">
        <f t="array" ref="BI50">IFERROR(INDEX('💻シート作成'!$D$6:$D162, MATCH(BJ50, '💻シート作成'!$E$6:$E162, 0)), "")</f>
        <v>10月</v>
      </c>
      <c r="BJ50" s="168" t="str">
        <f>IFERROR(__xludf.DUMMYFUNCTION("""COMPUTED_VALUE"""),"③R8_10日報")</f>
        <v>③R8_10日報</v>
      </c>
      <c r="BK50" s="416"/>
      <c r="BL50" s="559"/>
      <c r="BM50" s="168"/>
      <c r="BN50" s="416"/>
      <c r="BO50" s="416"/>
      <c r="BP50" s="416"/>
      <c r="BQ50" s="416"/>
      <c r="BR50" s="416"/>
      <c r="BS50" s="416"/>
      <c r="BT50" s="416"/>
      <c r="BU50" s="416"/>
      <c r="BV50" s="416"/>
      <c r="BW50" s="416"/>
      <c r="BX50" s="416"/>
      <c r="BY50" s="416"/>
      <c r="BZ50" s="416"/>
      <c r="CA50" s="416"/>
    </row>
    <row r="51">
      <c r="A51" s="416"/>
      <c r="B51" s="416"/>
      <c r="C51" s="416"/>
      <c r="D51" s="416"/>
      <c r="E51" s="416"/>
      <c r="F51" s="416"/>
      <c r="G51" s="416"/>
      <c r="H51" s="416"/>
      <c r="I51" s="416"/>
      <c r="J51" s="416"/>
      <c r="K51" s="416"/>
      <c r="L51" s="416"/>
      <c r="M51" s="416"/>
      <c r="N51" s="416"/>
      <c r="O51" s="416"/>
      <c r="P51" s="416"/>
      <c r="Q51" s="416"/>
      <c r="R51" s="416"/>
      <c r="S51" s="416"/>
      <c r="T51" s="416"/>
      <c r="U51" s="416"/>
      <c r="V51" s="416"/>
      <c r="W51" s="416"/>
      <c r="X51" s="416"/>
      <c r="Y51" s="416"/>
      <c r="Z51" s="416"/>
      <c r="AA51" s="416"/>
      <c r="AB51" s="416"/>
      <c r="AC51" s="416"/>
      <c r="AD51" s="416"/>
      <c r="AE51" s="416"/>
      <c r="AF51" s="416"/>
      <c r="AG51" s="416"/>
      <c r="AH51" s="416"/>
      <c r="AI51" s="416"/>
      <c r="AJ51" s="416"/>
      <c r="AK51" s="416"/>
      <c r="AL51" s="416"/>
      <c r="AM51" s="416"/>
      <c r="AN51" s="416"/>
      <c r="AO51" s="416"/>
      <c r="AP51" s="416"/>
      <c r="AQ51" s="416"/>
      <c r="AR51" s="416"/>
      <c r="AS51" s="416"/>
      <c r="AT51" s="416"/>
      <c r="AU51" s="416"/>
      <c r="AV51" s="416"/>
      <c r="AW51" s="416"/>
      <c r="AX51" s="416"/>
      <c r="AY51" s="416"/>
      <c r="AZ51" s="416"/>
      <c r="BA51" s="416"/>
      <c r="BB51" s="416"/>
      <c r="BC51" s="416"/>
      <c r="BD51" s="416"/>
      <c r="BE51" s="416"/>
      <c r="BF51" s="416"/>
      <c r="BG51" s="416"/>
      <c r="BH51" s="416"/>
      <c r="BI51" s="213" t="str">
        <f t="array" ref="BI51">IFERROR(INDEX('💻シート作成'!$D$6:$D162, MATCH(BJ51, '💻シート作成'!$E$6:$E162, 0)), "")</f>
        <v>10月</v>
      </c>
      <c r="BJ51" s="168" t="str">
        <f>IFERROR(__xludf.DUMMYFUNCTION("""COMPUTED_VALUE"""),"④R8_10月報")</f>
        <v>④R8_10月報</v>
      </c>
      <c r="BK51" s="416"/>
      <c r="BL51" s="559"/>
      <c r="BM51" s="168"/>
      <c r="BN51" s="416"/>
      <c r="BO51" s="416"/>
      <c r="BP51" s="416"/>
      <c r="BQ51" s="416"/>
      <c r="BR51" s="416"/>
      <c r="BS51" s="416"/>
      <c r="BT51" s="416"/>
      <c r="BU51" s="416"/>
      <c r="BV51" s="416"/>
      <c r="BW51" s="416"/>
      <c r="BX51" s="416"/>
      <c r="BY51" s="416"/>
      <c r="BZ51" s="416"/>
      <c r="CA51" s="416"/>
    </row>
    <row r="52">
      <c r="A52" s="416"/>
      <c r="B52" s="416"/>
      <c r="C52" s="416"/>
      <c r="D52" s="416"/>
      <c r="E52" s="416"/>
      <c r="F52" s="416"/>
      <c r="G52" s="416"/>
      <c r="H52" s="416"/>
      <c r="I52" s="416"/>
      <c r="J52" s="416"/>
      <c r="K52" s="416"/>
      <c r="L52" s="416"/>
      <c r="M52" s="416"/>
      <c r="N52" s="416"/>
      <c r="O52" s="416"/>
      <c r="P52" s="416"/>
      <c r="Q52" s="416"/>
      <c r="R52" s="416"/>
      <c r="S52" s="416"/>
      <c r="T52" s="416"/>
      <c r="U52" s="416"/>
      <c r="V52" s="416"/>
      <c r="W52" s="416"/>
      <c r="X52" s="416"/>
      <c r="Y52" s="416"/>
      <c r="Z52" s="416"/>
      <c r="AA52" s="416"/>
      <c r="AB52" s="416"/>
      <c r="AC52" s="416"/>
      <c r="AD52" s="416"/>
      <c r="AE52" s="416"/>
      <c r="AF52" s="416"/>
      <c r="AG52" s="416"/>
      <c r="AH52" s="416"/>
      <c r="AI52" s="416"/>
      <c r="AJ52" s="416"/>
      <c r="AK52" s="416"/>
      <c r="AL52" s="416"/>
      <c r="AM52" s="416"/>
      <c r="AN52" s="416"/>
      <c r="AO52" s="416"/>
      <c r="AP52" s="416"/>
      <c r="AQ52" s="416"/>
      <c r="AR52" s="416"/>
      <c r="AS52" s="416"/>
      <c r="AT52" s="416"/>
      <c r="AU52" s="416"/>
      <c r="AV52" s="416"/>
      <c r="AW52" s="416"/>
      <c r="AX52" s="416"/>
      <c r="AY52" s="416"/>
      <c r="AZ52" s="416"/>
      <c r="BA52" s="416"/>
      <c r="BB52" s="416"/>
      <c r="BC52" s="416"/>
      <c r="BD52" s="416"/>
      <c r="BE52" s="416"/>
      <c r="BF52" s="416"/>
      <c r="BG52" s="416"/>
      <c r="BH52" s="416"/>
      <c r="BI52" s="213" t="str">
        <f t="array" ref="BI52">IFERROR(INDEX('💻シート作成'!$D$6:$D162, MATCH(BJ52, '💻シート作成'!$E$6:$E162, 0)), "")</f>
        <v>11月</v>
      </c>
      <c r="BJ52" s="168" t="str">
        <f>IFERROR(__xludf.DUMMYFUNCTION("""COMPUTED_VALUE"""),"①R8_11集計")</f>
        <v>①R8_11集計</v>
      </c>
      <c r="BK52" s="416"/>
      <c r="BL52" s="559"/>
      <c r="BM52" s="168"/>
      <c r="BN52" s="416"/>
      <c r="BO52" s="416"/>
      <c r="BP52" s="416"/>
      <c r="BQ52" s="416"/>
      <c r="BR52" s="416"/>
      <c r="BS52" s="416"/>
      <c r="BT52" s="416"/>
      <c r="BU52" s="416"/>
      <c r="BV52" s="416"/>
      <c r="BW52" s="416"/>
      <c r="BX52" s="416"/>
      <c r="BY52" s="416"/>
      <c r="BZ52" s="416"/>
      <c r="CA52" s="416"/>
    </row>
    <row r="53">
      <c r="A53" s="416"/>
      <c r="B53" s="416"/>
      <c r="C53" s="416"/>
      <c r="D53" s="416"/>
      <c r="E53" s="416"/>
      <c r="F53" s="416"/>
      <c r="G53" s="416"/>
      <c r="H53" s="416"/>
      <c r="I53" s="416"/>
      <c r="J53" s="416"/>
      <c r="K53" s="416"/>
      <c r="L53" s="416"/>
      <c r="M53" s="416"/>
      <c r="N53" s="416"/>
      <c r="O53" s="416"/>
      <c r="P53" s="416"/>
      <c r="Q53" s="416"/>
      <c r="R53" s="416"/>
      <c r="S53" s="416"/>
      <c r="T53" s="416"/>
      <c r="U53" s="416"/>
      <c r="V53" s="416"/>
      <c r="W53" s="416"/>
      <c r="X53" s="416"/>
      <c r="Y53" s="416"/>
      <c r="Z53" s="416"/>
      <c r="AA53" s="416"/>
      <c r="AB53" s="416"/>
      <c r="AC53" s="416"/>
      <c r="AD53" s="416"/>
      <c r="AE53" s="416"/>
      <c r="AF53" s="416"/>
      <c r="AG53" s="416"/>
      <c r="AH53" s="416"/>
      <c r="AI53" s="416"/>
      <c r="AJ53" s="416"/>
      <c r="AK53" s="416"/>
      <c r="AL53" s="416"/>
      <c r="AM53" s="416"/>
      <c r="AN53" s="416"/>
      <c r="AO53" s="416"/>
      <c r="AP53" s="416"/>
      <c r="AQ53" s="416"/>
      <c r="AR53" s="416"/>
      <c r="AS53" s="416"/>
      <c r="AT53" s="416"/>
      <c r="AU53" s="416"/>
      <c r="AV53" s="416"/>
      <c r="AW53" s="416"/>
      <c r="AX53" s="416"/>
      <c r="AY53" s="416"/>
      <c r="AZ53" s="416"/>
      <c r="BA53" s="416"/>
      <c r="BB53" s="416"/>
      <c r="BC53" s="416"/>
      <c r="BD53" s="416"/>
      <c r="BE53" s="416"/>
      <c r="BF53" s="416"/>
      <c r="BG53" s="416"/>
      <c r="BH53" s="416"/>
      <c r="BI53" s="213" t="str">
        <f t="array" ref="BI53">IFERROR(INDEX('💻シート作成'!$D$6:$D162, MATCH(BJ53, '💻シート作成'!$E$6:$E162, 0)), "")</f>
        <v>11月</v>
      </c>
      <c r="BJ53" s="168" t="str">
        <f>IFERROR(__xludf.DUMMYFUNCTION("""COMPUTED_VALUE"""),"②R8_11シフト")</f>
        <v>②R8_11シフト</v>
      </c>
      <c r="BK53" s="416"/>
      <c r="BL53" s="559"/>
      <c r="BM53" s="168"/>
      <c r="BN53" s="416"/>
      <c r="BO53" s="416"/>
      <c r="BP53" s="416"/>
      <c r="BQ53" s="416"/>
      <c r="BR53" s="416"/>
      <c r="BS53" s="416"/>
      <c r="BT53" s="416"/>
      <c r="BU53" s="416"/>
      <c r="BV53" s="416"/>
      <c r="BW53" s="416"/>
      <c r="BX53" s="416"/>
      <c r="BY53" s="416"/>
      <c r="BZ53" s="416"/>
      <c r="CA53" s="416"/>
    </row>
    <row r="54">
      <c r="A54" s="416"/>
      <c r="B54" s="416"/>
      <c r="C54" s="416"/>
      <c r="D54" s="416"/>
      <c r="E54" s="416"/>
      <c r="F54" s="416"/>
      <c r="G54" s="416"/>
      <c r="H54" s="416"/>
      <c r="I54" s="416"/>
      <c r="J54" s="416"/>
      <c r="K54" s="416"/>
      <c r="L54" s="416"/>
      <c r="M54" s="416"/>
      <c r="N54" s="416"/>
      <c r="O54" s="416"/>
      <c r="P54" s="416"/>
      <c r="Q54" s="416"/>
      <c r="R54" s="416"/>
      <c r="S54" s="416"/>
      <c r="T54" s="416"/>
      <c r="U54" s="416"/>
      <c r="V54" s="416"/>
      <c r="W54" s="416"/>
      <c r="X54" s="416"/>
      <c r="Y54" s="416"/>
      <c r="Z54" s="416"/>
      <c r="AA54" s="416"/>
      <c r="AB54" s="416"/>
      <c r="AC54" s="416"/>
      <c r="AD54" s="416"/>
      <c r="AE54" s="416"/>
      <c r="AF54" s="416"/>
      <c r="AG54" s="416"/>
      <c r="AH54" s="416"/>
      <c r="AI54" s="416"/>
      <c r="AJ54" s="416"/>
      <c r="AK54" s="416"/>
      <c r="AL54" s="416"/>
      <c r="AM54" s="416"/>
      <c r="AN54" s="416"/>
      <c r="AO54" s="416"/>
      <c r="AP54" s="416"/>
      <c r="AQ54" s="416"/>
      <c r="AR54" s="416"/>
      <c r="AS54" s="416"/>
      <c r="AT54" s="416"/>
      <c r="AU54" s="416"/>
      <c r="AV54" s="416"/>
      <c r="AW54" s="416"/>
      <c r="AX54" s="416"/>
      <c r="AY54" s="416"/>
      <c r="AZ54" s="416"/>
      <c r="BA54" s="416"/>
      <c r="BB54" s="416"/>
      <c r="BC54" s="416"/>
      <c r="BD54" s="416"/>
      <c r="BE54" s="416"/>
      <c r="BF54" s="416"/>
      <c r="BG54" s="416"/>
      <c r="BH54" s="416"/>
      <c r="BI54" s="213" t="str">
        <f t="array" ref="BI54">IFERROR(INDEX('💻シート作成'!$D$6:$D162, MATCH(BJ54, '💻シート作成'!$E$6:$E162, 0)), "")</f>
        <v>11月</v>
      </c>
      <c r="BJ54" s="168" t="str">
        <f>IFERROR(__xludf.DUMMYFUNCTION("""COMPUTED_VALUE"""),"③R8_11日報")</f>
        <v>③R8_11日報</v>
      </c>
      <c r="BK54" s="416"/>
      <c r="BL54" s="559"/>
      <c r="BM54" s="168"/>
      <c r="BN54" s="416"/>
      <c r="BO54" s="416"/>
      <c r="BP54" s="416"/>
      <c r="BQ54" s="416"/>
      <c r="BR54" s="416"/>
      <c r="BS54" s="416"/>
      <c r="BT54" s="416"/>
      <c r="BU54" s="416"/>
      <c r="BV54" s="416"/>
      <c r="BW54" s="416"/>
      <c r="BX54" s="416"/>
      <c r="BY54" s="416"/>
      <c r="BZ54" s="416"/>
      <c r="CA54" s="416"/>
    </row>
    <row r="55">
      <c r="A55" s="416"/>
      <c r="B55" s="416"/>
      <c r="C55" s="416"/>
      <c r="D55" s="416"/>
      <c r="E55" s="416"/>
      <c r="F55" s="416"/>
      <c r="G55" s="416"/>
      <c r="H55" s="416"/>
      <c r="I55" s="416"/>
      <c r="J55" s="416"/>
      <c r="K55" s="416"/>
      <c r="L55" s="416"/>
      <c r="M55" s="416"/>
      <c r="N55" s="416"/>
      <c r="O55" s="416"/>
      <c r="P55" s="416"/>
      <c r="Q55" s="416"/>
      <c r="R55" s="416"/>
      <c r="S55" s="416"/>
      <c r="T55" s="416"/>
      <c r="U55" s="416"/>
      <c r="V55" s="416"/>
      <c r="W55" s="416"/>
      <c r="X55" s="416"/>
      <c r="Y55" s="416"/>
      <c r="Z55" s="416"/>
      <c r="AA55" s="416"/>
      <c r="AB55" s="416"/>
      <c r="AC55" s="416"/>
      <c r="AD55" s="416"/>
      <c r="AE55" s="416"/>
      <c r="AF55" s="416"/>
      <c r="AG55" s="416"/>
      <c r="AH55" s="416"/>
      <c r="AI55" s="416"/>
      <c r="AJ55" s="416"/>
      <c r="AK55" s="416"/>
      <c r="AL55" s="416"/>
      <c r="AM55" s="416"/>
      <c r="AN55" s="416"/>
      <c r="AO55" s="416"/>
      <c r="AP55" s="416"/>
      <c r="AQ55" s="416"/>
      <c r="AR55" s="416"/>
      <c r="AS55" s="416"/>
      <c r="AT55" s="416"/>
      <c r="AU55" s="416"/>
      <c r="AV55" s="416"/>
      <c r="AW55" s="416"/>
      <c r="AX55" s="416"/>
      <c r="AY55" s="416"/>
      <c r="AZ55" s="416"/>
      <c r="BA55" s="416"/>
      <c r="BB55" s="416"/>
      <c r="BC55" s="416"/>
      <c r="BD55" s="416"/>
      <c r="BE55" s="416"/>
      <c r="BF55" s="416"/>
      <c r="BG55" s="416"/>
      <c r="BH55" s="416"/>
      <c r="BI55" s="213" t="str">
        <f t="array" ref="BI55">IFERROR(INDEX('💻シート作成'!$D$6:$D162, MATCH(BJ55, '💻シート作成'!$E$6:$E162, 0)), "")</f>
        <v>11月</v>
      </c>
      <c r="BJ55" s="168" t="str">
        <f>IFERROR(__xludf.DUMMYFUNCTION("""COMPUTED_VALUE"""),"④R8_11月報")</f>
        <v>④R8_11月報</v>
      </c>
      <c r="BK55" s="416"/>
      <c r="BL55" s="559"/>
      <c r="BM55" s="168"/>
      <c r="BN55" s="416"/>
      <c r="BO55" s="416"/>
      <c r="BP55" s="416"/>
      <c r="BQ55" s="416"/>
      <c r="BR55" s="416"/>
      <c r="BS55" s="416"/>
      <c r="BT55" s="416"/>
      <c r="BU55" s="416"/>
      <c r="BV55" s="416"/>
      <c r="BW55" s="416"/>
      <c r="BX55" s="416"/>
      <c r="BY55" s="416"/>
      <c r="BZ55" s="416"/>
      <c r="CA55" s="416"/>
    </row>
    <row r="56">
      <c r="A56" s="416"/>
      <c r="B56" s="416"/>
      <c r="C56" s="416"/>
      <c r="D56" s="416"/>
      <c r="E56" s="416"/>
      <c r="F56" s="416"/>
      <c r="G56" s="416"/>
      <c r="H56" s="416"/>
      <c r="I56" s="416"/>
      <c r="J56" s="416"/>
      <c r="K56" s="416"/>
      <c r="L56" s="416"/>
      <c r="M56" s="416"/>
      <c r="N56" s="416"/>
      <c r="O56" s="416"/>
      <c r="P56" s="416"/>
      <c r="Q56" s="416"/>
      <c r="R56" s="416"/>
      <c r="S56" s="416"/>
      <c r="T56" s="416"/>
      <c r="U56" s="416"/>
      <c r="V56" s="416"/>
      <c r="W56" s="416"/>
      <c r="X56" s="416"/>
      <c r="Y56" s="416"/>
      <c r="Z56" s="416"/>
      <c r="AA56" s="416"/>
      <c r="AB56" s="416"/>
      <c r="AC56" s="416"/>
      <c r="AD56" s="416"/>
      <c r="AE56" s="416"/>
      <c r="AF56" s="416"/>
      <c r="AG56" s="416"/>
      <c r="AH56" s="416"/>
      <c r="AI56" s="416"/>
      <c r="AJ56" s="416"/>
      <c r="AK56" s="416"/>
      <c r="AL56" s="416"/>
      <c r="AM56" s="416"/>
      <c r="AN56" s="416"/>
      <c r="AO56" s="416"/>
      <c r="AP56" s="416"/>
      <c r="AQ56" s="416"/>
      <c r="AR56" s="416"/>
      <c r="AS56" s="416"/>
      <c r="AT56" s="416"/>
      <c r="AU56" s="416"/>
      <c r="AV56" s="416"/>
      <c r="AW56" s="416"/>
      <c r="AX56" s="416"/>
      <c r="AY56" s="416"/>
      <c r="AZ56" s="416"/>
      <c r="BA56" s="416"/>
      <c r="BB56" s="416"/>
      <c r="BC56" s="416"/>
      <c r="BD56" s="416"/>
      <c r="BE56" s="416"/>
      <c r="BF56" s="416"/>
      <c r="BG56" s="416"/>
      <c r="BH56" s="416"/>
      <c r="BI56" s="213" t="str">
        <f t="array" ref="BI56">IFERROR(INDEX('💻シート作成'!$D$6:$D162, MATCH(BJ56, '💻シート作成'!$E$6:$E162, 0)), "")</f>
        <v>12月</v>
      </c>
      <c r="BJ56" s="168" t="str">
        <f>IFERROR(__xludf.DUMMYFUNCTION("""COMPUTED_VALUE"""),"①R8_12集計")</f>
        <v>①R8_12集計</v>
      </c>
      <c r="BK56" s="416"/>
      <c r="BL56" s="559"/>
      <c r="BM56" s="168"/>
      <c r="BN56" s="416"/>
      <c r="BO56" s="416"/>
      <c r="BP56" s="416"/>
      <c r="BQ56" s="416"/>
      <c r="BR56" s="416"/>
      <c r="BS56" s="416"/>
      <c r="BT56" s="416"/>
      <c r="BU56" s="416"/>
      <c r="BV56" s="416"/>
      <c r="BW56" s="416"/>
      <c r="BX56" s="416"/>
      <c r="BY56" s="416"/>
      <c r="BZ56" s="416"/>
      <c r="CA56" s="416"/>
    </row>
    <row r="57">
      <c r="A57" s="416"/>
      <c r="B57" s="416"/>
      <c r="C57" s="416"/>
      <c r="D57" s="416"/>
      <c r="E57" s="416"/>
      <c r="F57" s="416"/>
      <c r="G57" s="416"/>
      <c r="H57" s="416"/>
      <c r="I57" s="416"/>
      <c r="J57" s="416"/>
      <c r="K57" s="416"/>
      <c r="L57" s="416"/>
      <c r="M57" s="416"/>
      <c r="N57" s="416"/>
      <c r="O57" s="416"/>
      <c r="P57" s="416"/>
      <c r="Q57" s="416"/>
      <c r="R57" s="416"/>
      <c r="S57" s="416"/>
      <c r="T57" s="416"/>
      <c r="U57" s="416"/>
      <c r="V57" s="416"/>
      <c r="W57" s="416"/>
      <c r="X57" s="416"/>
      <c r="Y57" s="416"/>
      <c r="Z57" s="416"/>
      <c r="AA57" s="416"/>
      <c r="AB57" s="416"/>
      <c r="AC57" s="416"/>
      <c r="AD57" s="416"/>
      <c r="AE57" s="416"/>
      <c r="AF57" s="416"/>
      <c r="AG57" s="416"/>
      <c r="AH57" s="416"/>
      <c r="AI57" s="416"/>
      <c r="AJ57" s="416"/>
      <c r="AK57" s="416"/>
      <c r="AL57" s="416"/>
      <c r="AM57" s="416"/>
      <c r="AN57" s="416"/>
      <c r="AO57" s="416"/>
      <c r="AP57" s="416"/>
      <c r="AQ57" s="416"/>
      <c r="AR57" s="416"/>
      <c r="AS57" s="416"/>
      <c r="AT57" s="416"/>
      <c r="AU57" s="416"/>
      <c r="AV57" s="416"/>
      <c r="AW57" s="416"/>
      <c r="AX57" s="416"/>
      <c r="AY57" s="416"/>
      <c r="AZ57" s="416"/>
      <c r="BA57" s="416"/>
      <c r="BB57" s="416"/>
      <c r="BC57" s="416"/>
      <c r="BD57" s="416"/>
      <c r="BE57" s="416"/>
      <c r="BF57" s="416"/>
      <c r="BG57" s="416"/>
      <c r="BH57" s="416"/>
      <c r="BI57" s="213" t="str">
        <f t="array" ref="BI57">IFERROR(INDEX('💻シート作成'!$D$6:$D162, MATCH(BJ57, '💻シート作成'!$E$6:$E162, 0)), "")</f>
        <v>12月</v>
      </c>
      <c r="BJ57" s="168" t="str">
        <f>IFERROR(__xludf.DUMMYFUNCTION("""COMPUTED_VALUE"""),"②R8_12シフト")</f>
        <v>②R8_12シフト</v>
      </c>
      <c r="BK57" s="416"/>
      <c r="BL57" s="559"/>
      <c r="BM57" s="168"/>
      <c r="BN57" s="416"/>
      <c r="BO57" s="416"/>
      <c r="BP57" s="416"/>
      <c r="BQ57" s="416"/>
      <c r="BR57" s="416"/>
      <c r="BS57" s="416"/>
      <c r="BT57" s="416"/>
      <c r="BU57" s="416"/>
      <c r="BV57" s="416"/>
      <c r="BW57" s="416"/>
      <c r="BX57" s="416"/>
      <c r="BY57" s="416"/>
      <c r="BZ57" s="416"/>
      <c r="CA57" s="416"/>
    </row>
    <row r="58">
      <c r="A58" s="416"/>
      <c r="B58" s="416"/>
      <c r="C58" s="416"/>
      <c r="D58" s="416"/>
      <c r="E58" s="416"/>
      <c r="F58" s="416"/>
      <c r="G58" s="416"/>
      <c r="H58" s="416"/>
      <c r="I58" s="416"/>
      <c r="J58" s="416"/>
      <c r="K58" s="416"/>
      <c r="L58" s="416"/>
      <c r="M58" s="416"/>
      <c r="N58" s="416"/>
      <c r="O58" s="416"/>
      <c r="P58" s="416"/>
      <c r="Q58" s="416"/>
      <c r="R58" s="416"/>
      <c r="S58" s="416"/>
      <c r="T58" s="416"/>
      <c r="U58" s="416"/>
      <c r="V58" s="416"/>
      <c r="W58" s="416"/>
      <c r="X58" s="416"/>
      <c r="Y58" s="416"/>
      <c r="Z58" s="416"/>
      <c r="AA58" s="416"/>
      <c r="AB58" s="416"/>
      <c r="AC58" s="416"/>
      <c r="AD58" s="416"/>
      <c r="AE58" s="416"/>
      <c r="AF58" s="416"/>
      <c r="AG58" s="416"/>
      <c r="AH58" s="416"/>
      <c r="AI58" s="416"/>
      <c r="AJ58" s="416"/>
      <c r="AK58" s="416"/>
      <c r="AL58" s="416"/>
      <c r="AM58" s="416"/>
      <c r="AN58" s="416"/>
      <c r="AO58" s="416"/>
      <c r="AP58" s="416"/>
      <c r="AQ58" s="416"/>
      <c r="AR58" s="416"/>
      <c r="AS58" s="416"/>
      <c r="AT58" s="416"/>
      <c r="AU58" s="416"/>
      <c r="AV58" s="416"/>
      <c r="AW58" s="416"/>
      <c r="AX58" s="416"/>
      <c r="AY58" s="416"/>
      <c r="AZ58" s="416"/>
      <c r="BA58" s="416"/>
      <c r="BB58" s="416"/>
      <c r="BC58" s="416"/>
      <c r="BD58" s="416"/>
      <c r="BE58" s="416"/>
      <c r="BF58" s="416"/>
      <c r="BG58" s="416"/>
      <c r="BH58" s="416"/>
      <c r="BI58" s="213" t="str">
        <f t="array" ref="BI58">IFERROR(INDEX('💻シート作成'!$D$6:$D162, MATCH(BJ58, '💻シート作成'!$E$6:$E162, 0)), "")</f>
        <v>12月</v>
      </c>
      <c r="BJ58" s="168" t="str">
        <f>IFERROR(__xludf.DUMMYFUNCTION("""COMPUTED_VALUE"""),"③R8_12日報")</f>
        <v>③R8_12日報</v>
      </c>
      <c r="BK58" s="416"/>
      <c r="BL58" s="559"/>
      <c r="BM58" s="168"/>
      <c r="BN58" s="416"/>
      <c r="BO58" s="416"/>
      <c r="BP58" s="416"/>
      <c r="BQ58" s="416"/>
      <c r="BR58" s="416"/>
      <c r="BS58" s="416"/>
      <c r="BT58" s="416"/>
      <c r="BU58" s="416"/>
      <c r="BV58" s="416"/>
      <c r="BW58" s="416"/>
      <c r="BX58" s="416"/>
      <c r="BY58" s="416"/>
      <c r="BZ58" s="416"/>
      <c r="CA58" s="416"/>
    </row>
    <row r="59">
      <c r="A59" s="416"/>
      <c r="B59" s="416"/>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416"/>
      <c r="AR59" s="416"/>
      <c r="AS59" s="416"/>
      <c r="AT59" s="416"/>
      <c r="AU59" s="416"/>
      <c r="AV59" s="416"/>
      <c r="AW59" s="416"/>
      <c r="AX59" s="416"/>
      <c r="AY59" s="416"/>
      <c r="AZ59" s="416"/>
      <c r="BA59" s="416"/>
      <c r="BB59" s="416"/>
      <c r="BC59" s="416"/>
      <c r="BD59" s="416"/>
      <c r="BE59" s="416"/>
      <c r="BF59" s="416"/>
      <c r="BG59" s="416"/>
      <c r="BH59" s="416"/>
      <c r="BI59" s="213" t="str">
        <f t="array" ref="BI59">IFERROR(INDEX('💻シート作成'!$D$6:$D162, MATCH(BJ59, '💻シート作成'!$E$6:$E162, 0)), "")</f>
        <v>12月</v>
      </c>
      <c r="BJ59" s="168" t="str">
        <f>IFERROR(__xludf.DUMMYFUNCTION("""COMPUTED_VALUE"""),"④R8_12月報")</f>
        <v>④R8_12月報</v>
      </c>
      <c r="BK59" s="416"/>
      <c r="BL59" s="559"/>
      <c r="BM59" s="168"/>
      <c r="BN59" s="416"/>
      <c r="BO59" s="416"/>
      <c r="BP59" s="416"/>
      <c r="BQ59" s="416"/>
      <c r="BR59" s="416"/>
      <c r="BS59" s="416"/>
      <c r="BT59" s="416"/>
      <c r="BU59" s="416"/>
      <c r="BV59" s="416"/>
      <c r="BW59" s="416"/>
      <c r="BX59" s="416"/>
      <c r="BY59" s="416"/>
      <c r="BZ59" s="416"/>
      <c r="CA59" s="416"/>
    </row>
    <row r="60">
      <c r="A60" s="416"/>
      <c r="B60" s="416"/>
      <c r="C60" s="416"/>
      <c r="D60" s="416"/>
      <c r="E60" s="416"/>
      <c r="F60" s="416"/>
      <c r="G60" s="416"/>
      <c r="H60" s="416"/>
      <c r="I60" s="416"/>
      <c r="J60" s="416"/>
      <c r="K60" s="416"/>
      <c r="L60" s="416"/>
      <c r="M60" s="416"/>
      <c r="N60" s="416"/>
      <c r="O60" s="416"/>
      <c r="P60" s="416"/>
      <c r="Q60" s="416"/>
      <c r="R60" s="416"/>
      <c r="S60" s="416"/>
      <c r="T60" s="416"/>
      <c r="U60" s="416"/>
      <c r="V60" s="416"/>
      <c r="W60" s="416"/>
      <c r="X60" s="416"/>
      <c r="Y60" s="416"/>
      <c r="Z60" s="416"/>
      <c r="AA60" s="416"/>
      <c r="AB60" s="416"/>
      <c r="AC60" s="416"/>
      <c r="AD60" s="416"/>
      <c r="AE60" s="416"/>
      <c r="AF60" s="416"/>
      <c r="AG60" s="416"/>
      <c r="AH60" s="416"/>
      <c r="AI60" s="416"/>
      <c r="AJ60" s="416"/>
      <c r="AK60" s="416"/>
      <c r="AL60" s="416"/>
      <c r="AM60" s="416"/>
      <c r="AN60" s="416"/>
      <c r="AO60" s="416"/>
      <c r="AP60" s="416"/>
      <c r="AQ60" s="416"/>
      <c r="AR60" s="416"/>
      <c r="AS60" s="416"/>
      <c r="AT60" s="416"/>
      <c r="AU60" s="416"/>
      <c r="AV60" s="416"/>
      <c r="AW60" s="416"/>
      <c r="AX60" s="416"/>
      <c r="AY60" s="416"/>
      <c r="AZ60" s="416"/>
      <c r="BA60" s="416"/>
      <c r="BB60" s="416"/>
      <c r="BC60" s="416"/>
      <c r="BD60" s="416"/>
      <c r="BE60" s="416"/>
      <c r="BF60" s="416"/>
      <c r="BG60" s="416"/>
      <c r="BH60" s="416"/>
      <c r="BI60" s="213" t="str">
        <f t="array" ref="BI60">IFERROR(INDEX('💻シート作成'!$D$6:$D162, MATCH(BJ60, '💻シート作成'!$E$6:$E162, 0)), "")</f>
        <v>1月</v>
      </c>
      <c r="BJ60" s="168" t="str">
        <f>IFERROR(__xludf.DUMMYFUNCTION("""COMPUTED_VALUE"""),"①R9_1集計")</f>
        <v>①R9_1集計</v>
      </c>
      <c r="BK60" s="416"/>
      <c r="BL60" s="559"/>
      <c r="BM60" s="168"/>
      <c r="BN60" s="416"/>
      <c r="BO60" s="416"/>
      <c r="BP60" s="416"/>
      <c r="BQ60" s="416"/>
      <c r="BR60" s="416"/>
      <c r="BS60" s="416"/>
      <c r="BT60" s="416"/>
      <c r="BU60" s="416"/>
      <c r="BV60" s="416"/>
      <c r="BW60" s="416"/>
      <c r="BX60" s="416"/>
      <c r="BY60" s="416"/>
      <c r="BZ60" s="416"/>
      <c r="CA60" s="416"/>
    </row>
    <row r="61">
      <c r="A61" s="416"/>
      <c r="B61" s="416"/>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416"/>
      <c r="AR61" s="416"/>
      <c r="AS61" s="416"/>
      <c r="AT61" s="416"/>
      <c r="AU61" s="416"/>
      <c r="AV61" s="416"/>
      <c r="AW61" s="416"/>
      <c r="AX61" s="416"/>
      <c r="AY61" s="416"/>
      <c r="AZ61" s="416"/>
      <c r="BA61" s="416"/>
      <c r="BB61" s="416"/>
      <c r="BC61" s="416"/>
      <c r="BD61" s="416"/>
      <c r="BE61" s="416"/>
      <c r="BF61" s="416"/>
      <c r="BG61" s="416"/>
      <c r="BH61" s="416"/>
      <c r="BI61" s="213" t="str">
        <f t="array" ref="BI61">IFERROR(INDEX('💻シート作成'!$D$6:$D162, MATCH(BJ61, '💻シート作成'!$E$6:$E162, 0)), "")</f>
        <v>1月</v>
      </c>
      <c r="BJ61" s="168" t="str">
        <f>IFERROR(__xludf.DUMMYFUNCTION("""COMPUTED_VALUE"""),"②R9_1シフト")</f>
        <v>②R9_1シフト</v>
      </c>
      <c r="BK61" s="416"/>
      <c r="BL61" s="559"/>
      <c r="BM61" s="168"/>
      <c r="BN61" s="416"/>
      <c r="BO61" s="416"/>
      <c r="BP61" s="416"/>
      <c r="BQ61" s="416"/>
      <c r="BR61" s="416"/>
      <c r="BS61" s="416"/>
      <c r="BT61" s="416"/>
      <c r="BU61" s="416"/>
      <c r="BV61" s="416"/>
      <c r="BW61" s="416"/>
      <c r="BX61" s="416"/>
      <c r="BY61" s="416"/>
      <c r="BZ61" s="416"/>
      <c r="CA61" s="416"/>
    </row>
    <row r="62">
      <c r="A62" s="416"/>
      <c r="B62" s="416"/>
      <c r="C62" s="416"/>
      <c r="D62" s="416"/>
      <c r="E62" s="416"/>
      <c r="F62" s="416"/>
      <c r="G62" s="416"/>
      <c r="H62" s="416"/>
      <c r="I62" s="416"/>
      <c r="J62" s="416"/>
      <c r="K62" s="416"/>
      <c r="L62" s="416"/>
      <c r="M62" s="416"/>
      <c r="N62" s="416"/>
      <c r="O62" s="416"/>
      <c r="P62" s="416"/>
      <c r="Q62" s="416"/>
      <c r="R62" s="416"/>
      <c r="S62" s="416"/>
      <c r="T62" s="416"/>
      <c r="U62" s="416"/>
      <c r="V62" s="416"/>
      <c r="W62" s="416"/>
      <c r="X62" s="416"/>
      <c r="Y62" s="416"/>
      <c r="Z62" s="416"/>
      <c r="AA62" s="416"/>
      <c r="AB62" s="416"/>
      <c r="AC62" s="416"/>
      <c r="AD62" s="416"/>
      <c r="AE62" s="416"/>
      <c r="AF62" s="416"/>
      <c r="AG62" s="416"/>
      <c r="AH62" s="416"/>
      <c r="AI62" s="416"/>
      <c r="AJ62" s="416"/>
      <c r="AK62" s="416"/>
      <c r="AL62" s="416"/>
      <c r="AM62" s="416"/>
      <c r="AN62" s="416"/>
      <c r="AO62" s="416"/>
      <c r="AP62" s="416"/>
      <c r="AQ62" s="416"/>
      <c r="AR62" s="416"/>
      <c r="AS62" s="416"/>
      <c r="AT62" s="416"/>
      <c r="AU62" s="416"/>
      <c r="AV62" s="416"/>
      <c r="AW62" s="416"/>
      <c r="AX62" s="416"/>
      <c r="AY62" s="416"/>
      <c r="AZ62" s="416"/>
      <c r="BA62" s="416"/>
      <c r="BB62" s="416"/>
      <c r="BC62" s="416"/>
      <c r="BD62" s="416"/>
      <c r="BE62" s="416"/>
      <c r="BF62" s="416"/>
      <c r="BG62" s="416"/>
      <c r="BH62" s="416"/>
      <c r="BI62" s="213" t="str">
        <f t="array" ref="BI62">IFERROR(INDEX('💻シート作成'!$D$6:$D162, MATCH(BJ62, '💻シート作成'!$E$6:$E162, 0)), "")</f>
        <v>1月</v>
      </c>
      <c r="BJ62" s="168" t="str">
        <f>IFERROR(__xludf.DUMMYFUNCTION("""COMPUTED_VALUE"""),"③R9_1日報")</f>
        <v>③R9_1日報</v>
      </c>
      <c r="BK62" s="416"/>
      <c r="BL62" s="559"/>
      <c r="BM62" s="168"/>
      <c r="BN62" s="416"/>
      <c r="BO62" s="416"/>
      <c r="BP62" s="416"/>
      <c r="BQ62" s="416"/>
      <c r="BR62" s="416"/>
      <c r="BS62" s="416"/>
      <c r="BT62" s="416"/>
      <c r="BU62" s="416"/>
      <c r="BV62" s="416"/>
      <c r="BW62" s="416"/>
      <c r="BX62" s="416"/>
      <c r="BY62" s="416"/>
      <c r="BZ62" s="416"/>
      <c r="CA62" s="416"/>
    </row>
    <row r="63">
      <c r="A63" s="416"/>
      <c r="B63" s="416"/>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416"/>
      <c r="AR63" s="416"/>
      <c r="AS63" s="416"/>
      <c r="AT63" s="416"/>
      <c r="AU63" s="416"/>
      <c r="AV63" s="416"/>
      <c r="AW63" s="416"/>
      <c r="AX63" s="416"/>
      <c r="AY63" s="416"/>
      <c r="AZ63" s="416"/>
      <c r="BA63" s="416"/>
      <c r="BB63" s="416"/>
      <c r="BC63" s="416"/>
      <c r="BD63" s="416"/>
      <c r="BE63" s="416"/>
      <c r="BF63" s="416"/>
      <c r="BG63" s="416"/>
      <c r="BH63" s="416"/>
      <c r="BI63" s="213" t="str">
        <f t="array" ref="BI63">IFERROR(INDEX('💻シート作成'!$D$6:$D162, MATCH(BJ63, '💻シート作成'!$E$6:$E162, 0)), "")</f>
        <v>1月</v>
      </c>
      <c r="BJ63" s="168" t="str">
        <f>IFERROR(__xludf.DUMMYFUNCTION("""COMPUTED_VALUE"""),"④R9_1月報")</f>
        <v>④R9_1月報</v>
      </c>
      <c r="BK63" s="416"/>
      <c r="BL63" s="559"/>
      <c r="BM63" s="168"/>
      <c r="BN63" s="416"/>
      <c r="BO63" s="416"/>
      <c r="BP63" s="416"/>
      <c r="BQ63" s="416"/>
      <c r="BR63" s="416"/>
      <c r="BS63" s="416"/>
      <c r="BT63" s="416"/>
      <c r="BU63" s="416"/>
      <c r="BV63" s="416"/>
      <c r="BW63" s="416"/>
      <c r="BX63" s="416"/>
      <c r="BY63" s="416"/>
      <c r="BZ63" s="416"/>
      <c r="CA63" s="416"/>
    </row>
    <row r="64">
      <c r="A64" s="416"/>
      <c r="B64" s="416"/>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416"/>
      <c r="AR64" s="416"/>
      <c r="AS64" s="416"/>
      <c r="AT64" s="416"/>
      <c r="AU64" s="416"/>
      <c r="AV64" s="416"/>
      <c r="AW64" s="416"/>
      <c r="AX64" s="416"/>
      <c r="AY64" s="416"/>
      <c r="AZ64" s="416"/>
      <c r="BA64" s="416"/>
      <c r="BB64" s="416"/>
      <c r="BC64" s="416"/>
      <c r="BD64" s="416"/>
      <c r="BE64" s="416"/>
      <c r="BF64" s="416"/>
      <c r="BG64" s="416"/>
      <c r="BH64" s="416"/>
      <c r="BI64" s="213" t="str">
        <f t="array" ref="BI64">IFERROR(INDEX('💻シート作成'!$D$6:$D162, MATCH(BJ64, '💻シート作成'!$E$6:$E162, 0)), "")</f>
        <v/>
      </c>
      <c r="BJ64" s="166" t="str">
        <f>IFERROR(__xludf.DUMMYFUNCTION("""COMPUTED_VALUE"""),"💻シート作成")</f>
        <v>💻シート作成</v>
      </c>
      <c r="BK64" s="416"/>
      <c r="BL64" s="559"/>
      <c r="BM64" s="168"/>
      <c r="BN64" s="416"/>
      <c r="BO64" s="416"/>
      <c r="BP64" s="416"/>
      <c r="BQ64" s="416"/>
      <c r="BR64" s="416"/>
      <c r="BS64" s="416"/>
      <c r="BT64" s="416"/>
      <c r="BU64" s="416"/>
      <c r="BV64" s="416"/>
      <c r="BW64" s="416"/>
      <c r="BX64" s="416"/>
      <c r="BY64" s="416"/>
      <c r="BZ64" s="416"/>
      <c r="CA64" s="416"/>
    </row>
    <row r="65">
      <c r="A65" s="416"/>
      <c r="B65" s="416"/>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416"/>
      <c r="AR65" s="416"/>
      <c r="AS65" s="416"/>
      <c r="AT65" s="416"/>
      <c r="AU65" s="416"/>
      <c r="AV65" s="416"/>
      <c r="AW65" s="416"/>
      <c r="AX65" s="416"/>
      <c r="AY65" s="416"/>
      <c r="AZ65" s="416"/>
      <c r="BA65" s="416"/>
      <c r="BB65" s="416"/>
      <c r="BC65" s="416"/>
      <c r="BD65" s="416"/>
      <c r="BE65" s="416"/>
      <c r="BF65" s="416"/>
      <c r="BG65" s="416"/>
      <c r="BH65" s="416"/>
      <c r="BI65" s="213" t="str">
        <f t="array" ref="BI65">IFERROR(INDEX('💻シート作成'!$D$6:$D162, MATCH(BJ65, '💻シート作成'!$E$6:$E162, 0)), "")</f>
        <v/>
      </c>
      <c r="BJ65" s="166" t="str">
        <f>IFERROR(__xludf.DUMMYFUNCTION("""COMPUTED_VALUE"""),"🌟目標数値")</f>
        <v>🌟目標数値</v>
      </c>
      <c r="BK65" s="416"/>
      <c r="BL65" s="559"/>
      <c r="BM65" s="168"/>
      <c r="BN65" s="416"/>
      <c r="BO65" s="416"/>
      <c r="BP65" s="416"/>
      <c r="BQ65" s="416"/>
      <c r="BR65" s="416"/>
      <c r="BS65" s="416"/>
      <c r="BT65" s="416"/>
      <c r="BU65" s="416"/>
      <c r="BV65" s="416"/>
      <c r="BW65" s="416"/>
      <c r="BX65" s="416"/>
      <c r="BY65" s="416"/>
      <c r="BZ65" s="416"/>
      <c r="CA65" s="416"/>
    </row>
    <row r="66">
      <c r="A66" s="416"/>
      <c r="B66" s="416"/>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416"/>
      <c r="AR66" s="416"/>
      <c r="AS66" s="416"/>
      <c r="AT66" s="416"/>
      <c r="AU66" s="416"/>
      <c r="AV66" s="416"/>
      <c r="AW66" s="416"/>
      <c r="AX66" s="416"/>
      <c r="AY66" s="416"/>
      <c r="AZ66" s="416"/>
      <c r="BA66" s="416"/>
      <c r="BB66" s="416"/>
      <c r="BC66" s="416"/>
      <c r="BD66" s="416"/>
      <c r="BE66" s="416"/>
      <c r="BF66" s="416"/>
      <c r="BG66" s="416"/>
      <c r="BH66" s="416"/>
      <c r="BI66" s="213" t="str">
        <f t="array" ref="BI66">IFERROR(INDEX('💻シート作成'!$D$6:$D162, MATCH(BJ66, '💻シート作成'!$E$6:$E162, 0)), "")</f>
        <v/>
      </c>
      <c r="BJ66" s="166" t="str">
        <f>IFERROR(__xludf.DUMMYFUNCTION("""COMPUTED_VALUE"""),"🏆皆勤アワード")</f>
        <v>🏆皆勤アワード</v>
      </c>
      <c r="BK66" s="416"/>
      <c r="BL66" s="559"/>
      <c r="BM66" s="168"/>
      <c r="BN66" s="416"/>
      <c r="BO66" s="416"/>
      <c r="BP66" s="416"/>
      <c r="BQ66" s="416"/>
      <c r="BR66" s="416"/>
      <c r="BS66" s="416"/>
      <c r="BT66" s="416"/>
      <c r="BU66" s="416"/>
      <c r="BV66" s="416"/>
      <c r="BW66" s="416"/>
      <c r="BX66" s="416"/>
      <c r="BY66" s="416"/>
      <c r="BZ66" s="416"/>
      <c r="CA66" s="416"/>
    </row>
    <row r="67">
      <c r="A67" s="416"/>
      <c r="B67" s="416"/>
      <c r="C67" s="416"/>
      <c r="D67" s="416"/>
      <c r="E67" s="416"/>
      <c r="F67" s="416"/>
      <c r="G67" s="416"/>
      <c r="H67" s="416"/>
      <c r="I67" s="416"/>
      <c r="J67" s="416"/>
      <c r="K67" s="416"/>
      <c r="L67" s="416"/>
      <c r="M67" s="416"/>
      <c r="N67" s="416"/>
      <c r="O67" s="416"/>
      <c r="P67" s="416"/>
      <c r="Q67" s="416"/>
      <c r="R67" s="416"/>
      <c r="S67" s="416"/>
      <c r="T67" s="416"/>
      <c r="U67" s="416"/>
      <c r="V67" s="416"/>
      <c r="W67" s="416"/>
      <c r="X67" s="416"/>
      <c r="Y67" s="416"/>
      <c r="Z67" s="416"/>
      <c r="AA67" s="416"/>
      <c r="AB67" s="416"/>
      <c r="AC67" s="416"/>
      <c r="AD67" s="416"/>
      <c r="AE67" s="416"/>
      <c r="AF67" s="416"/>
      <c r="AG67" s="416"/>
      <c r="AH67" s="416"/>
      <c r="AI67" s="416"/>
      <c r="AJ67" s="416"/>
      <c r="AK67" s="416"/>
      <c r="AL67" s="416"/>
      <c r="AM67" s="416"/>
      <c r="AN67" s="416"/>
      <c r="AO67" s="416"/>
      <c r="AP67" s="416"/>
      <c r="AQ67" s="416"/>
      <c r="AR67" s="416"/>
      <c r="AS67" s="416"/>
      <c r="AT67" s="416"/>
      <c r="AU67" s="416"/>
      <c r="AV67" s="416"/>
      <c r="AW67" s="416"/>
      <c r="AX67" s="416"/>
      <c r="AY67" s="416"/>
      <c r="AZ67" s="416"/>
      <c r="BA67" s="416"/>
      <c r="BB67" s="416"/>
      <c r="BC67" s="416"/>
      <c r="BD67" s="416"/>
      <c r="BE67" s="416"/>
      <c r="BF67" s="416"/>
      <c r="BG67" s="416"/>
      <c r="BH67" s="416"/>
      <c r="BI67" s="213" t="str">
        <f t="array" ref="BI67">IFERROR(INDEX('💻シート作成'!$D$6:$D162, MATCH(BJ67, '💻シート作成'!$E$6:$E162, 0)), "")</f>
        <v/>
      </c>
      <c r="BJ67" s="166" t="str">
        <f>IFERROR(__xludf.DUMMYFUNCTION("""COMPUTED_VALUE"""),"🧹特別清掃")</f>
        <v>🧹特別清掃</v>
      </c>
      <c r="BK67" s="416"/>
      <c r="BL67" s="559" t="str">
        <f t="array" ref="BL67">IFERROR(INDEX('💻シート作成'!$D$6:$D162, MATCH(BM67, '💻シート作成'!$E$6:$E162, 0)), "")</f>
        <v/>
      </c>
      <c r="BM67" s="168"/>
      <c r="BN67" s="416"/>
      <c r="BO67" s="416"/>
      <c r="BP67" s="416"/>
      <c r="BQ67" s="416"/>
      <c r="BR67" s="416"/>
      <c r="BS67" s="416"/>
      <c r="BT67" s="416"/>
      <c r="BU67" s="416"/>
      <c r="BV67" s="416"/>
      <c r="BW67" s="416"/>
      <c r="BX67" s="416"/>
      <c r="BY67" s="416"/>
      <c r="BZ67" s="416"/>
      <c r="CA67" s="416"/>
    </row>
    <row r="68">
      <c r="A68" s="416"/>
      <c r="B68" s="416"/>
      <c r="C68" s="416"/>
      <c r="D68" s="416"/>
      <c r="E68" s="416"/>
      <c r="F68" s="416"/>
      <c r="G68" s="416"/>
      <c r="H68" s="416"/>
      <c r="I68" s="416"/>
      <c r="J68" s="416"/>
      <c r="K68" s="416"/>
      <c r="L68" s="416"/>
      <c r="M68" s="416"/>
      <c r="N68" s="416"/>
      <c r="O68" s="416"/>
      <c r="P68" s="416"/>
      <c r="Q68" s="416"/>
      <c r="R68" s="416"/>
      <c r="S68" s="416"/>
      <c r="T68" s="416"/>
      <c r="U68" s="416"/>
      <c r="V68" s="416"/>
      <c r="W68" s="416"/>
      <c r="X68" s="416"/>
      <c r="Y68" s="416"/>
      <c r="Z68" s="416"/>
      <c r="AA68" s="416"/>
      <c r="AB68" s="416"/>
      <c r="AC68" s="416"/>
      <c r="AD68" s="416"/>
      <c r="AE68" s="416"/>
      <c r="AF68" s="416"/>
      <c r="AG68" s="416"/>
      <c r="AH68" s="416"/>
      <c r="AI68" s="416"/>
      <c r="AJ68" s="416"/>
      <c r="AK68" s="416"/>
      <c r="AL68" s="416"/>
      <c r="AM68" s="416"/>
      <c r="AN68" s="416"/>
      <c r="AO68" s="416"/>
      <c r="AP68" s="416"/>
      <c r="AQ68" s="416"/>
      <c r="AR68" s="416"/>
      <c r="AS68" s="416"/>
      <c r="AT68" s="416"/>
      <c r="AU68" s="416"/>
      <c r="AV68" s="416"/>
      <c r="AW68" s="416"/>
      <c r="AX68" s="416"/>
      <c r="AY68" s="416"/>
      <c r="AZ68" s="416"/>
      <c r="BA68" s="416"/>
      <c r="BB68" s="416"/>
      <c r="BC68" s="416"/>
      <c r="BD68" s="416"/>
      <c r="BE68" s="416"/>
      <c r="BF68" s="416"/>
      <c r="BG68" s="416"/>
      <c r="BH68" s="416"/>
      <c r="BI68" s="213" t="str">
        <f t="array" ref="BI68">IFERROR(INDEX('💻シート作成'!$D$6:$D162, MATCH(BJ68, '💻シート作成'!$E$6:$E162, 0)), "")</f>
        <v/>
      </c>
      <c r="BJ68" s="166" t="str">
        <f>IFERROR(__xludf.DUMMYFUNCTION("""COMPUTED_VALUE"""),"⚙️抽出用")</f>
        <v>⚙️抽出用</v>
      </c>
      <c r="BK68" s="416"/>
      <c r="BL68" s="559" t="str">
        <f t="array" ref="BL68">IFERROR(INDEX('💻シート作成'!$D$6:$D162, MATCH(BM68, '💻シート作成'!$E$6:$E162, 0)), "")</f>
        <v/>
      </c>
      <c r="BM68" s="166"/>
      <c r="BN68" s="416"/>
      <c r="BO68" s="416"/>
      <c r="BP68" s="416"/>
      <c r="BQ68" s="416"/>
      <c r="BR68" s="416"/>
      <c r="BS68" s="416"/>
      <c r="BT68" s="416"/>
      <c r="BU68" s="416"/>
      <c r="BV68" s="416"/>
      <c r="BW68" s="416"/>
      <c r="BX68" s="416"/>
      <c r="BY68" s="416"/>
      <c r="BZ68" s="416"/>
      <c r="CA68" s="416"/>
    </row>
    <row r="69">
      <c r="A69" s="416"/>
      <c r="B69" s="416"/>
      <c r="C69" s="416"/>
      <c r="D69" s="416"/>
      <c r="E69" s="416"/>
      <c r="F69" s="416"/>
      <c r="G69" s="416"/>
      <c r="H69" s="416"/>
      <c r="I69" s="416"/>
      <c r="J69" s="416"/>
      <c r="K69" s="416"/>
      <c r="L69" s="416"/>
      <c r="M69" s="416"/>
      <c r="N69" s="416"/>
      <c r="O69" s="416"/>
      <c r="P69" s="416"/>
      <c r="Q69" s="416"/>
      <c r="R69" s="416"/>
      <c r="S69" s="416"/>
      <c r="T69" s="416"/>
      <c r="U69" s="416"/>
      <c r="V69" s="416"/>
      <c r="W69" s="416"/>
      <c r="X69" s="416"/>
      <c r="Y69" s="416"/>
      <c r="Z69" s="416"/>
      <c r="AA69" s="416"/>
      <c r="AB69" s="416"/>
      <c r="AC69" s="416"/>
      <c r="AD69" s="416"/>
      <c r="AE69" s="416"/>
      <c r="AF69" s="416"/>
      <c r="AG69" s="416"/>
      <c r="AH69" s="416"/>
      <c r="AI69" s="416"/>
      <c r="AJ69" s="416"/>
      <c r="AK69" s="416"/>
      <c r="AL69" s="416"/>
      <c r="AM69" s="416"/>
      <c r="AN69" s="416"/>
      <c r="AO69" s="416"/>
      <c r="AP69" s="416"/>
      <c r="AQ69" s="416"/>
      <c r="AR69" s="416"/>
      <c r="AS69" s="416"/>
      <c r="AT69" s="416"/>
      <c r="AU69" s="416"/>
      <c r="AV69" s="416"/>
      <c r="AW69" s="416"/>
      <c r="AX69" s="416"/>
      <c r="AY69" s="416"/>
      <c r="AZ69" s="416"/>
      <c r="BA69" s="416"/>
      <c r="BB69" s="416"/>
      <c r="BC69" s="416"/>
      <c r="BD69" s="416"/>
      <c r="BE69" s="416"/>
      <c r="BF69" s="416"/>
      <c r="BG69" s="416"/>
      <c r="BH69" s="416"/>
      <c r="BI69" s="213" t="str">
        <f t="array" ref="BI69">IFERROR(INDEX('💻シート作成'!$D$6:$D162, MATCH(BJ69, '💻シート作成'!$E$6:$E162, 0)), "")</f>
        <v/>
      </c>
      <c r="BJ69" s="166" t="str">
        <f>IFERROR(__xludf.DUMMYFUNCTION("""COMPUTED_VALUE"""),"①集計_原本")</f>
        <v>①集計_原本</v>
      </c>
      <c r="BK69" s="416"/>
      <c r="BL69" s="559" t="str">
        <f t="array" ref="BL69">IFERROR(INDEX('💻シート作成'!$D$6:$D162, MATCH(BM69, '💻シート作成'!$E$6:$E162, 0)), "")</f>
        <v/>
      </c>
      <c r="BM69" s="166"/>
      <c r="BN69" s="416"/>
      <c r="BO69" s="416"/>
      <c r="BP69" s="416"/>
      <c r="BQ69" s="416"/>
      <c r="BR69" s="416"/>
      <c r="BS69" s="416"/>
      <c r="BT69" s="416"/>
      <c r="BU69" s="416"/>
      <c r="BV69" s="416"/>
      <c r="BW69" s="416"/>
      <c r="BX69" s="416"/>
      <c r="BY69" s="416"/>
      <c r="BZ69" s="416"/>
      <c r="CA69" s="416"/>
    </row>
    <row r="70">
      <c r="A70" s="416"/>
      <c r="B70" s="416"/>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416"/>
      <c r="AR70" s="416"/>
      <c r="AS70" s="416"/>
      <c r="AT70" s="416"/>
      <c r="AU70" s="416"/>
      <c r="AV70" s="416"/>
      <c r="AW70" s="416"/>
      <c r="AX70" s="416"/>
      <c r="AY70" s="416"/>
      <c r="AZ70" s="416"/>
      <c r="BA70" s="416"/>
      <c r="BB70" s="416"/>
      <c r="BC70" s="416"/>
      <c r="BD70" s="416"/>
      <c r="BE70" s="416"/>
      <c r="BF70" s="416"/>
      <c r="BG70" s="416"/>
      <c r="BH70" s="416"/>
      <c r="BI70" s="213" t="str">
        <f t="array" ref="BI70">IFERROR(INDEX('💻シート作成'!$D$6:$D162, MATCH(BJ70, '💻シート作成'!$E$6:$E162, 0)), "")</f>
        <v/>
      </c>
      <c r="BJ70" s="166" t="str">
        <f>IFERROR(__xludf.DUMMYFUNCTION("""COMPUTED_VALUE"""),"②シフト_原本")</f>
        <v>②シフト_原本</v>
      </c>
      <c r="BK70" s="416"/>
      <c r="BL70" s="559" t="str">
        <f t="array" ref="BL70">IFERROR(INDEX('💻シート作成'!$D$6:$D162, MATCH(BM70, '💻シート作成'!$E$6:$E162, 0)), "")</f>
        <v/>
      </c>
      <c r="BM70" s="166"/>
      <c r="BN70" s="416"/>
      <c r="BO70" s="416"/>
      <c r="BP70" s="416"/>
      <c r="BQ70" s="416"/>
      <c r="BR70" s="416"/>
      <c r="BS70" s="416"/>
      <c r="BT70" s="416"/>
      <c r="BU70" s="416"/>
      <c r="BV70" s="416"/>
      <c r="BW70" s="416"/>
      <c r="BX70" s="416"/>
      <c r="BY70" s="416"/>
      <c r="BZ70" s="416"/>
      <c r="CA70" s="416"/>
    </row>
    <row r="71">
      <c r="A71" s="416"/>
      <c r="B71" s="416"/>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416"/>
      <c r="AR71" s="416"/>
      <c r="AS71" s="416"/>
      <c r="AT71" s="416"/>
      <c r="AU71" s="416"/>
      <c r="AV71" s="416"/>
      <c r="AW71" s="416"/>
      <c r="AX71" s="416"/>
      <c r="AY71" s="416"/>
      <c r="AZ71" s="416"/>
      <c r="BA71" s="416"/>
      <c r="BB71" s="416"/>
      <c r="BC71" s="416"/>
      <c r="BD71" s="416"/>
      <c r="BE71" s="416"/>
      <c r="BF71" s="416"/>
      <c r="BG71" s="416"/>
      <c r="BH71" s="416"/>
      <c r="BI71" s="213" t="str">
        <f t="array" ref="BI71">IFERROR(INDEX('💻シート作成'!$D$6:$D162, MATCH(BJ71, '💻シート作成'!$E$6:$E162, 0)), "")</f>
        <v/>
      </c>
      <c r="BJ71" s="166" t="str">
        <f>IFERROR(__xludf.DUMMYFUNCTION("""COMPUTED_VALUE"""),"③日報_原本")</f>
        <v>③日報_原本</v>
      </c>
      <c r="BK71" s="416"/>
      <c r="BL71" s="559" t="str">
        <f t="array" ref="BL71">IFERROR(INDEX('💻シート作成'!$D$6:$D162, MATCH(BM71, '💻シート作成'!$E$6:$E162, 0)), "")</f>
        <v/>
      </c>
      <c r="BM71" s="166"/>
      <c r="BN71" s="416"/>
      <c r="BO71" s="416"/>
      <c r="BP71" s="416"/>
      <c r="BQ71" s="416"/>
      <c r="BR71" s="416"/>
      <c r="BS71" s="416"/>
      <c r="BT71" s="416"/>
      <c r="BU71" s="416"/>
      <c r="BV71" s="416"/>
      <c r="BW71" s="416"/>
      <c r="BX71" s="416"/>
      <c r="BY71" s="416"/>
      <c r="BZ71" s="416"/>
      <c r="CA71" s="416"/>
    </row>
    <row r="72">
      <c r="A72" s="416"/>
      <c r="B72" s="416"/>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416"/>
      <c r="AR72" s="416"/>
      <c r="AS72" s="416"/>
      <c r="AT72" s="416"/>
      <c r="AU72" s="416"/>
      <c r="AV72" s="416"/>
      <c r="AW72" s="416"/>
      <c r="AX72" s="416"/>
      <c r="AY72" s="416"/>
      <c r="AZ72" s="416"/>
      <c r="BA72" s="416"/>
      <c r="BB72" s="416"/>
      <c r="BC72" s="416"/>
      <c r="BD72" s="416"/>
      <c r="BE72" s="416"/>
      <c r="BF72" s="416"/>
      <c r="BG72" s="416"/>
      <c r="BH72" s="416"/>
      <c r="BI72" s="213" t="str">
        <f t="array" ref="BI72">IFERROR(INDEX('💻シート作成'!$D$6:$D162, MATCH(BJ72, '💻シート作成'!$E$6:$E162, 0)), "")</f>
        <v/>
      </c>
      <c r="BJ72" s="166" t="str">
        <f>IFERROR(__xludf.DUMMYFUNCTION("""COMPUTED_VALUE"""),"④月報_原本")</f>
        <v>④月報_原本</v>
      </c>
      <c r="BK72" s="416"/>
      <c r="BL72" s="559" t="str">
        <f t="array" ref="BL72">IFERROR(INDEX('💻シート作成'!$D$6:$D162, MATCH(BM72, '💻シート作成'!$E$6:$E162, 0)), "")</f>
        <v/>
      </c>
      <c r="BM72" s="166"/>
      <c r="BN72" s="416"/>
      <c r="BO72" s="416"/>
      <c r="BP72" s="416"/>
      <c r="BQ72" s="416"/>
      <c r="BR72" s="416"/>
      <c r="BS72" s="416"/>
      <c r="BT72" s="416"/>
      <c r="BU72" s="416"/>
      <c r="BV72" s="416"/>
      <c r="BW72" s="416"/>
      <c r="BX72" s="416"/>
      <c r="BY72" s="416"/>
      <c r="BZ72" s="416"/>
      <c r="CA72" s="416"/>
    </row>
    <row r="73">
      <c r="A73" s="416"/>
      <c r="B73" s="416"/>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416"/>
      <c r="AR73" s="416"/>
      <c r="AS73" s="416"/>
      <c r="AT73" s="416"/>
      <c r="AU73" s="416"/>
      <c r="AV73" s="416"/>
      <c r="AW73" s="416"/>
      <c r="AX73" s="416"/>
      <c r="AY73" s="416"/>
      <c r="AZ73" s="416"/>
      <c r="BA73" s="416"/>
      <c r="BB73" s="416"/>
      <c r="BC73" s="416"/>
      <c r="BD73" s="416"/>
      <c r="BE73" s="416"/>
      <c r="BF73" s="416"/>
      <c r="BG73" s="416"/>
      <c r="BH73" s="416"/>
      <c r="BI73" s="213" t="str">
        <f t="array" ref="BI73">IFERROR(INDEX('💻シート作成'!$D$6:$D162, MATCH(BJ73, '💻シート作成'!$E$6:$E162, 0)), "")</f>
        <v/>
      </c>
      <c r="BJ73" s="168"/>
      <c r="BK73" s="416"/>
      <c r="BL73" s="559" t="str">
        <f t="array" ref="BL73">IFERROR(INDEX('💻シート作成'!$D$6:$D162, MATCH(BM73, '💻シート作成'!$E$6:$E162, 0)), "")</f>
        <v/>
      </c>
      <c r="BM73" s="166"/>
      <c r="BN73" s="416"/>
      <c r="BO73" s="416"/>
      <c r="BP73" s="416"/>
      <c r="BQ73" s="416"/>
      <c r="BR73" s="416"/>
      <c r="BS73" s="416"/>
      <c r="BT73" s="416"/>
      <c r="BU73" s="416"/>
      <c r="BV73" s="416"/>
      <c r="BW73" s="416"/>
      <c r="BX73" s="416"/>
      <c r="BY73" s="416"/>
      <c r="BZ73" s="416"/>
      <c r="CA73" s="416"/>
    </row>
    <row r="74">
      <c r="A74" s="416"/>
      <c r="B74" s="416"/>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416"/>
      <c r="AR74" s="416"/>
      <c r="AS74" s="416"/>
      <c r="AT74" s="416"/>
      <c r="AU74" s="416"/>
      <c r="AV74" s="416"/>
      <c r="AW74" s="416"/>
      <c r="AX74" s="416"/>
      <c r="AY74" s="416"/>
      <c r="AZ74" s="416"/>
      <c r="BA74" s="416"/>
      <c r="BB74" s="416"/>
      <c r="BC74" s="416"/>
      <c r="BD74" s="416"/>
      <c r="BE74" s="416"/>
      <c r="BF74" s="416"/>
      <c r="BG74" s="416"/>
      <c r="BH74" s="416"/>
      <c r="BI74" s="213" t="str">
        <f t="array" ref="BI74">IFERROR(INDEX('💻シート作成'!$D$6:$D162, MATCH(BJ74, '💻シート作成'!$E$6:$E162, 0)), "")</f>
        <v/>
      </c>
      <c r="BJ74" s="168"/>
      <c r="BK74" s="416"/>
      <c r="BL74" s="559" t="str">
        <f t="array" ref="BL74">IFERROR(INDEX('💻シート作成'!$D$6:$D162, MATCH(BM74, '💻シート作成'!$E$6:$E162, 0)), "")</f>
        <v/>
      </c>
      <c r="BM74" s="168"/>
      <c r="BN74" s="416"/>
      <c r="BO74" s="416"/>
      <c r="BP74" s="416"/>
      <c r="BQ74" s="416"/>
      <c r="BR74" s="416"/>
      <c r="BS74" s="416"/>
      <c r="BT74" s="416"/>
      <c r="BU74" s="416"/>
      <c r="BV74" s="416"/>
      <c r="BW74" s="416"/>
      <c r="BX74" s="416"/>
      <c r="BY74" s="416"/>
      <c r="BZ74" s="416"/>
      <c r="CA74" s="416"/>
    </row>
    <row r="75">
      <c r="A75" s="416"/>
      <c r="B75" s="416"/>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416"/>
      <c r="AR75" s="416"/>
      <c r="AS75" s="416"/>
      <c r="AT75" s="416"/>
      <c r="AU75" s="416"/>
      <c r="AV75" s="416"/>
      <c r="AW75" s="416"/>
      <c r="AX75" s="416"/>
      <c r="AY75" s="416"/>
      <c r="AZ75" s="416"/>
      <c r="BA75" s="416"/>
      <c r="BB75" s="416"/>
      <c r="BC75" s="416"/>
      <c r="BD75" s="416"/>
      <c r="BE75" s="416"/>
      <c r="BF75" s="416"/>
      <c r="BG75" s="416"/>
      <c r="BH75" s="416"/>
      <c r="BI75" s="213" t="str">
        <f t="array" ref="BI75">IFERROR(INDEX('💻シート作成'!$D$6:$D162, MATCH(BJ75, '💻シート作成'!$E$6:$E162, 0)), "")</f>
        <v/>
      </c>
      <c r="BJ75" s="168"/>
      <c r="BK75" s="416"/>
      <c r="BL75" s="559" t="str">
        <f t="array" ref="BL75">IFERROR(INDEX('💻シート作成'!$D$6:$D162, MATCH(BM75, '💻シート作成'!$E$6:$E162, 0)), "")</f>
        <v/>
      </c>
      <c r="BM75" s="168"/>
      <c r="BN75" s="416"/>
      <c r="BO75" s="416"/>
      <c r="BP75" s="416"/>
      <c r="BQ75" s="416"/>
      <c r="BR75" s="416"/>
      <c r="BS75" s="416"/>
      <c r="BT75" s="416"/>
      <c r="BU75" s="416"/>
      <c r="BV75" s="416"/>
      <c r="BW75" s="416"/>
      <c r="BX75" s="416"/>
      <c r="BY75" s="416"/>
      <c r="BZ75" s="416"/>
      <c r="CA75" s="416"/>
    </row>
    <row r="76">
      <c r="A76" s="416"/>
      <c r="B76" s="416"/>
      <c r="C76" s="416"/>
      <c r="D76" s="416"/>
      <c r="E76" s="416"/>
      <c r="F76" s="416"/>
      <c r="G76" s="416"/>
      <c r="H76" s="416"/>
      <c r="I76" s="416"/>
      <c r="J76" s="416"/>
      <c r="K76" s="416"/>
      <c r="L76" s="416"/>
      <c r="M76" s="416"/>
      <c r="N76" s="416"/>
      <c r="O76" s="416"/>
      <c r="P76" s="416"/>
      <c r="Q76" s="416"/>
      <c r="R76" s="416"/>
      <c r="S76" s="416"/>
      <c r="T76" s="416"/>
      <c r="U76" s="416"/>
      <c r="V76" s="416"/>
      <c r="W76" s="416"/>
      <c r="X76" s="416"/>
      <c r="Y76" s="416"/>
      <c r="Z76" s="416"/>
      <c r="AA76" s="416"/>
      <c r="AB76" s="416"/>
      <c r="AC76" s="416"/>
      <c r="AD76" s="416"/>
      <c r="AE76" s="416"/>
      <c r="AF76" s="416"/>
      <c r="AG76" s="416"/>
      <c r="AH76" s="416"/>
      <c r="AI76" s="416"/>
      <c r="AJ76" s="416"/>
      <c r="AK76" s="416"/>
      <c r="AL76" s="416"/>
      <c r="AM76" s="416"/>
      <c r="AN76" s="416"/>
      <c r="AO76" s="416"/>
      <c r="AP76" s="416"/>
      <c r="AQ76" s="416"/>
      <c r="AR76" s="416"/>
      <c r="AS76" s="416"/>
      <c r="AT76" s="416"/>
      <c r="AU76" s="416"/>
      <c r="AV76" s="416"/>
      <c r="AW76" s="416"/>
      <c r="AX76" s="416"/>
      <c r="AY76" s="416"/>
      <c r="AZ76" s="416"/>
      <c r="BA76" s="416"/>
      <c r="BB76" s="416"/>
      <c r="BC76" s="416"/>
      <c r="BD76" s="416"/>
      <c r="BE76" s="416"/>
      <c r="BF76" s="416"/>
      <c r="BG76" s="416"/>
      <c r="BH76" s="416"/>
      <c r="BI76" s="213" t="str">
        <f t="array" ref="BI76">IFERROR(INDEX('💻シート作成'!$D$6:$D162, MATCH(BJ76, '💻シート作成'!$E$6:$E162, 0)), "")</f>
        <v/>
      </c>
      <c r="BJ76" s="168"/>
      <c r="BK76" s="416"/>
      <c r="BL76" s="559" t="str">
        <f t="array" ref="BL76">IFERROR(INDEX('💻シート作成'!$D$6:$D162, MATCH(BM76, '💻シート作成'!$E$6:$E162, 0)), "")</f>
        <v/>
      </c>
      <c r="BM76" s="168"/>
      <c r="BN76" s="416"/>
      <c r="BO76" s="416"/>
      <c r="BP76" s="416"/>
      <c r="BQ76" s="416"/>
      <c r="BR76" s="416"/>
      <c r="BS76" s="416"/>
      <c r="BT76" s="416"/>
      <c r="BU76" s="416"/>
      <c r="BV76" s="416"/>
      <c r="BW76" s="416"/>
      <c r="BX76" s="416"/>
      <c r="BY76" s="416"/>
      <c r="BZ76" s="416"/>
      <c r="CA76" s="416"/>
    </row>
    <row r="77">
      <c r="A77" s="416"/>
      <c r="B77" s="416"/>
      <c r="C77" s="416"/>
      <c r="D77" s="416"/>
      <c r="E77" s="416"/>
      <c r="F77" s="416"/>
      <c r="G77" s="416"/>
      <c r="H77" s="416"/>
      <c r="I77" s="416"/>
      <c r="J77" s="416"/>
      <c r="K77" s="416"/>
      <c r="L77" s="416"/>
      <c r="M77" s="416"/>
      <c r="N77" s="416"/>
      <c r="O77" s="416"/>
      <c r="P77" s="416"/>
      <c r="Q77" s="416"/>
      <c r="R77" s="416"/>
      <c r="S77" s="416"/>
      <c r="T77" s="416"/>
      <c r="U77" s="416"/>
      <c r="V77" s="416"/>
      <c r="W77" s="416"/>
      <c r="X77" s="416"/>
      <c r="Y77" s="416"/>
      <c r="Z77" s="416"/>
      <c r="AA77" s="416"/>
      <c r="AB77" s="416"/>
      <c r="AC77" s="416"/>
      <c r="AD77" s="416"/>
      <c r="AE77" s="416"/>
      <c r="AF77" s="416"/>
      <c r="AG77" s="416"/>
      <c r="AH77" s="416"/>
      <c r="AI77" s="416"/>
      <c r="AJ77" s="416"/>
      <c r="AK77" s="416"/>
      <c r="AL77" s="416"/>
      <c r="AM77" s="416"/>
      <c r="AN77" s="416"/>
      <c r="AO77" s="416"/>
      <c r="AP77" s="416"/>
      <c r="AQ77" s="416"/>
      <c r="AR77" s="416"/>
      <c r="AS77" s="416"/>
      <c r="AT77" s="416"/>
      <c r="AU77" s="416"/>
      <c r="AV77" s="416"/>
      <c r="AW77" s="416"/>
      <c r="AX77" s="416"/>
      <c r="AY77" s="416"/>
      <c r="AZ77" s="416"/>
      <c r="BA77" s="416"/>
      <c r="BB77" s="416"/>
      <c r="BC77" s="416"/>
      <c r="BD77" s="416"/>
      <c r="BE77" s="416"/>
      <c r="BF77" s="416"/>
      <c r="BG77" s="416"/>
      <c r="BH77" s="416"/>
      <c r="BI77" s="213" t="str">
        <f t="array" ref="BI77">IFERROR(INDEX('💻シート作成'!$D$6:$D162, MATCH(BJ77, '💻シート作成'!$E$6:$E162, 0)), "")</f>
        <v/>
      </c>
      <c r="BJ77" s="168"/>
      <c r="BK77" s="416"/>
      <c r="BL77" s="559" t="str">
        <f t="array" ref="BL77">IFERROR(INDEX('💻シート作成'!$D$6:$D162, MATCH(BM77, '💻シート作成'!$E$6:$E162, 0)), "")</f>
        <v/>
      </c>
      <c r="BM77" s="168"/>
      <c r="BN77" s="416"/>
      <c r="BO77" s="416"/>
      <c r="BP77" s="416"/>
      <c r="BQ77" s="416"/>
      <c r="BR77" s="416"/>
      <c r="BS77" s="416"/>
      <c r="BT77" s="416"/>
      <c r="BU77" s="416"/>
      <c r="BV77" s="416"/>
      <c r="BW77" s="416"/>
      <c r="BX77" s="416"/>
      <c r="BY77" s="416"/>
      <c r="BZ77" s="416"/>
      <c r="CA77" s="416"/>
    </row>
    <row r="78">
      <c r="A78" s="416"/>
      <c r="B78" s="416"/>
      <c r="C78" s="416"/>
      <c r="D78" s="416"/>
      <c r="E78" s="416"/>
      <c r="F78" s="416"/>
      <c r="G78" s="416"/>
      <c r="H78" s="416"/>
      <c r="I78" s="416"/>
      <c r="J78" s="416"/>
      <c r="K78" s="416"/>
      <c r="L78" s="416"/>
      <c r="M78" s="416"/>
      <c r="N78" s="416"/>
      <c r="O78" s="416"/>
      <c r="P78" s="416"/>
      <c r="Q78" s="416"/>
      <c r="R78" s="416"/>
      <c r="S78" s="416"/>
      <c r="T78" s="416"/>
      <c r="U78" s="416"/>
      <c r="V78" s="416"/>
      <c r="W78" s="416"/>
      <c r="X78" s="416"/>
      <c r="Y78" s="416"/>
      <c r="Z78" s="416"/>
      <c r="AA78" s="416"/>
      <c r="AB78" s="416"/>
      <c r="AC78" s="416"/>
      <c r="AD78" s="416"/>
      <c r="AE78" s="416"/>
      <c r="AF78" s="416"/>
      <c r="AG78" s="416"/>
      <c r="AH78" s="416"/>
      <c r="AI78" s="416"/>
      <c r="AJ78" s="416"/>
      <c r="AK78" s="416"/>
      <c r="AL78" s="416"/>
      <c r="AM78" s="416"/>
      <c r="AN78" s="416"/>
      <c r="AO78" s="416"/>
      <c r="AP78" s="416"/>
      <c r="AQ78" s="416"/>
      <c r="AR78" s="416"/>
      <c r="AS78" s="416"/>
      <c r="AT78" s="416"/>
      <c r="AU78" s="416"/>
      <c r="AV78" s="416"/>
      <c r="AW78" s="416"/>
      <c r="AX78" s="416"/>
      <c r="AY78" s="416"/>
      <c r="AZ78" s="416"/>
      <c r="BA78" s="416"/>
      <c r="BB78" s="416"/>
      <c r="BC78" s="416"/>
      <c r="BD78" s="416"/>
      <c r="BE78" s="416"/>
      <c r="BF78" s="416"/>
      <c r="BG78" s="416"/>
      <c r="BH78" s="416"/>
      <c r="BI78" s="213" t="str">
        <f t="array" ref="BI78">IFERROR(INDEX('💻シート作成'!$D$6:$D162, MATCH(BJ78, '💻シート作成'!$E$6:$E162, 0)), "")</f>
        <v/>
      </c>
      <c r="BJ78" s="168"/>
      <c r="BK78" s="416"/>
      <c r="BL78" s="559" t="str">
        <f t="array" ref="BL78">IFERROR(INDEX('💻シート作成'!$D$6:$D162, MATCH(BM78, '💻シート作成'!$E$6:$E162, 0)), "")</f>
        <v/>
      </c>
      <c r="BM78" s="168"/>
      <c r="BN78" s="416"/>
      <c r="BO78" s="416"/>
      <c r="BP78" s="416"/>
      <c r="BQ78" s="416"/>
      <c r="BR78" s="416"/>
      <c r="BS78" s="416"/>
      <c r="BT78" s="416"/>
      <c r="BU78" s="416"/>
      <c r="BV78" s="416"/>
      <c r="BW78" s="416"/>
      <c r="BX78" s="416"/>
      <c r="BY78" s="416"/>
      <c r="BZ78" s="416"/>
      <c r="CA78" s="416"/>
    </row>
    <row r="79">
      <c r="A79" s="416"/>
      <c r="B79" s="416"/>
      <c r="C79" s="416"/>
      <c r="D79" s="416"/>
      <c r="E79" s="416"/>
      <c r="F79" s="416"/>
      <c r="G79" s="416"/>
      <c r="H79" s="416"/>
      <c r="I79" s="416"/>
      <c r="J79" s="416"/>
      <c r="K79" s="416"/>
      <c r="L79" s="416"/>
      <c r="M79" s="416"/>
      <c r="N79" s="416"/>
      <c r="O79" s="416"/>
      <c r="P79" s="416"/>
      <c r="Q79" s="416"/>
      <c r="R79" s="416"/>
      <c r="S79" s="416"/>
      <c r="T79" s="416"/>
      <c r="U79" s="416"/>
      <c r="V79" s="416"/>
      <c r="W79" s="416"/>
      <c r="X79" s="416"/>
      <c r="Y79" s="416"/>
      <c r="Z79" s="416"/>
      <c r="AA79" s="416"/>
      <c r="AB79" s="416"/>
      <c r="AC79" s="416"/>
      <c r="AD79" s="416"/>
      <c r="AE79" s="416"/>
      <c r="AF79" s="416"/>
      <c r="AG79" s="416"/>
      <c r="AH79" s="416"/>
      <c r="AI79" s="416"/>
      <c r="AJ79" s="416"/>
      <c r="AK79" s="416"/>
      <c r="AL79" s="416"/>
      <c r="AM79" s="416"/>
      <c r="AN79" s="416"/>
      <c r="AO79" s="416"/>
      <c r="AP79" s="416"/>
      <c r="AQ79" s="416"/>
      <c r="AR79" s="416"/>
      <c r="AS79" s="416"/>
      <c r="AT79" s="416"/>
      <c r="AU79" s="416"/>
      <c r="AV79" s="416"/>
      <c r="AW79" s="416"/>
      <c r="AX79" s="416"/>
      <c r="AY79" s="416"/>
      <c r="AZ79" s="416"/>
      <c r="BA79" s="416"/>
      <c r="BB79" s="416"/>
      <c r="BC79" s="416"/>
      <c r="BD79" s="416"/>
      <c r="BE79" s="416"/>
      <c r="BF79" s="416"/>
      <c r="BG79" s="416"/>
      <c r="BH79" s="416"/>
      <c r="BI79" s="213" t="str">
        <f t="array" ref="BI79">IFERROR(INDEX('💻シート作成'!$D$6:$D162, MATCH(BJ79, '💻シート作成'!$E$6:$E162, 0)), "")</f>
        <v/>
      </c>
      <c r="BJ79" s="168"/>
      <c r="BK79" s="416"/>
      <c r="BL79" s="559" t="str">
        <f t="array" ref="BL79">IFERROR(INDEX('💻シート作成'!$D$6:$D162, MATCH(BM79, '💻シート作成'!$E$6:$E162, 0)), "")</f>
        <v/>
      </c>
      <c r="BM79" s="168"/>
      <c r="BN79" s="416"/>
      <c r="BO79" s="416"/>
      <c r="BP79" s="416"/>
      <c r="BQ79" s="416"/>
      <c r="BR79" s="416"/>
      <c r="BS79" s="416"/>
      <c r="BT79" s="416"/>
      <c r="BU79" s="416"/>
      <c r="BV79" s="416"/>
      <c r="BW79" s="416"/>
      <c r="BX79" s="416"/>
      <c r="BY79" s="416"/>
      <c r="BZ79" s="416"/>
      <c r="CA79" s="416"/>
    </row>
    <row r="80">
      <c r="A80" s="416"/>
      <c r="B80" s="416"/>
      <c r="C80" s="416"/>
      <c r="D80" s="416"/>
      <c r="E80" s="416"/>
      <c r="F80" s="416"/>
      <c r="G80" s="416"/>
      <c r="H80" s="416"/>
      <c r="I80" s="416"/>
      <c r="J80" s="416"/>
      <c r="K80" s="416"/>
      <c r="L80" s="416"/>
      <c r="M80" s="416"/>
      <c r="N80" s="416"/>
      <c r="O80" s="416"/>
      <c r="P80" s="416"/>
      <c r="Q80" s="416"/>
      <c r="R80" s="416"/>
      <c r="S80" s="416"/>
      <c r="T80" s="416"/>
      <c r="U80" s="416"/>
      <c r="V80" s="416"/>
      <c r="W80" s="416"/>
      <c r="X80" s="416"/>
      <c r="Y80" s="416"/>
      <c r="Z80" s="416"/>
      <c r="AA80" s="416"/>
      <c r="AB80" s="416"/>
      <c r="AC80" s="416"/>
      <c r="AD80" s="416"/>
      <c r="AE80" s="416"/>
      <c r="AF80" s="416"/>
      <c r="AG80" s="416"/>
      <c r="AH80" s="416"/>
      <c r="AI80" s="416"/>
      <c r="AJ80" s="416"/>
      <c r="AK80" s="416"/>
      <c r="AL80" s="416"/>
      <c r="AM80" s="416"/>
      <c r="AN80" s="416"/>
      <c r="AO80" s="416"/>
      <c r="AP80" s="416"/>
      <c r="AQ80" s="416"/>
      <c r="AR80" s="416"/>
      <c r="AS80" s="416"/>
      <c r="AT80" s="416"/>
      <c r="AU80" s="416"/>
      <c r="AV80" s="416"/>
      <c r="AW80" s="416"/>
      <c r="AX80" s="416"/>
      <c r="AY80" s="416"/>
      <c r="AZ80" s="416"/>
      <c r="BA80" s="416"/>
      <c r="BB80" s="416"/>
      <c r="BC80" s="416"/>
      <c r="BD80" s="416"/>
      <c r="BE80" s="416"/>
      <c r="BF80" s="416"/>
      <c r="BG80" s="416"/>
      <c r="BH80" s="416"/>
      <c r="BI80" s="213" t="str">
        <f t="array" ref="BI80">IFERROR(INDEX('💻シート作成'!$D$6:$D162, MATCH(BJ80, '💻シート作成'!$E$6:$E162, 0)), "")</f>
        <v/>
      </c>
      <c r="BJ80" s="168"/>
      <c r="BK80" s="416"/>
      <c r="BL80" s="559" t="str">
        <f t="array" ref="BL80">IFERROR(INDEX('💻シート作成'!$D$6:$D162, MATCH(BM80, '💻シート作成'!$E$6:$E162, 0)), "")</f>
        <v/>
      </c>
      <c r="BM80" s="168"/>
      <c r="BN80" s="416"/>
      <c r="BO80" s="416"/>
      <c r="BP80" s="416"/>
      <c r="BQ80" s="416"/>
      <c r="BR80" s="416"/>
      <c r="BS80" s="416"/>
      <c r="BT80" s="416"/>
      <c r="BU80" s="416"/>
      <c r="BV80" s="416"/>
      <c r="BW80" s="416"/>
      <c r="BX80" s="416"/>
      <c r="BY80" s="416"/>
      <c r="BZ80" s="416"/>
      <c r="CA80" s="416"/>
    </row>
    <row r="81">
      <c r="A81" s="416"/>
      <c r="B81" s="416"/>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416"/>
      <c r="AR81" s="416"/>
      <c r="AS81" s="416"/>
      <c r="AT81" s="416"/>
      <c r="AU81" s="416"/>
      <c r="AV81" s="416"/>
      <c r="AW81" s="416"/>
      <c r="AX81" s="416"/>
      <c r="AY81" s="416"/>
      <c r="AZ81" s="416"/>
      <c r="BA81" s="416"/>
      <c r="BB81" s="416"/>
      <c r="BC81" s="416"/>
      <c r="BD81" s="416"/>
      <c r="BE81" s="416"/>
      <c r="BF81" s="416"/>
      <c r="BG81" s="416"/>
      <c r="BH81" s="416"/>
      <c r="BI81" s="213" t="str">
        <f t="array" ref="BI81">IFERROR(INDEX('💻シート作成'!$D$6:$D162, MATCH(BJ81, '💻シート作成'!$E$6:$E162, 0)), "")</f>
        <v/>
      </c>
      <c r="BJ81" s="168"/>
      <c r="BK81" s="416"/>
      <c r="BL81" s="559" t="str">
        <f t="array" ref="BL81">IFERROR(INDEX('💻シート作成'!$D$6:$D162, MATCH(BM81, '💻シート作成'!$E$6:$E162, 0)), "")</f>
        <v/>
      </c>
      <c r="BM81" s="168"/>
      <c r="BN81" s="416"/>
      <c r="BO81" s="416"/>
      <c r="BP81" s="416"/>
      <c r="BQ81" s="416"/>
      <c r="BR81" s="416"/>
      <c r="BS81" s="416"/>
      <c r="BT81" s="416"/>
      <c r="BU81" s="416"/>
      <c r="BV81" s="416"/>
      <c r="BW81" s="416"/>
      <c r="BX81" s="416"/>
      <c r="BY81" s="416"/>
      <c r="BZ81" s="416"/>
      <c r="CA81" s="416"/>
    </row>
    <row r="82">
      <c r="A82" s="416"/>
      <c r="B82" s="416"/>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416"/>
      <c r="AR82" s="416"/>
      <c r="AS82" s="416"/>
      <c r="AT82" s="416"/>
      <c r="AU82" s="416"/>
      <c r="AV82" s="416"/>
      <c r="AW82" s="416"/>
      <c r="AX82" s="416"/>
      <c r="AY82" s="416"/>
      <c r="AZ82" s="416"/>
      <c r="BA82" s="416"/>
      <c r="BB82" s="416"/>
      <c r="BC82" s="416"/>
      <c r="BD82" s="416"/>
      <c r="BE82" s="416"/>
      <c r="BF82" s="416"/>
      <c r="BG82" s="416"/>
      <c r="BH82" s="416"/>
      <c r="BI82" s="213" t="str">
        <f t="array" ref="BI82">IFERROR(INDEX('💻シート作成'!$D$6:$D162, MATCH(BJ82, '💻シート作成'!$E$6:$E162, 0)), "")</f>
        <v/>
      </c>
      <c r="BJ82" s="168"/>
      <c r="BK82" s="416"/>
      <c r="BL82" s="559" t="str">
        <f t="array" ref="BL82">IFERROR(INDEX('💻シート作成'!$D$6:$D162, MATCH(BM82, '💻シート作成'!$E$6:$E162, 0)), "")</f>
        <v/>
      </c>
      <c r="BM82" s="168"/>
      <c r="BN82" s="416"/>
      <c r="BO82" s="416"/>
      <c r="BP82" s="416"/>
      <c r="BQ82" s="416"/>
      <c r="BR82" s="416"/>
      <c r="BS82" s="416"/>
      <c r="BT82" s="416"/>
      <c r="BU82" s="416"/>
      <c r="BV82" s="416"/>
      <c r="BW82" s="416"/>
      <c r="BX82" s="416"/>
      <c r="BY82" s="416"/>
      <c r="BZ82" s="416"/>
      <c r="CA82" s="416"/>
    </row>
    <row r="83">
      <c r="A83" s="416"/>
      <c r="B83" s="416"/>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416"/>
      <c r="AR83" s="416"/>
      <c r="AS83" s="416"/>
      <c r="AT83" s="416"/>
      <c r="AU83" s="416"/>
      <c r="AV83" s="416"/>
      <c r="AW83" s="416"/>
      <c r="AX83" s="416"/>
      <c r="AY83" s="416"/>
      <c r="AZ83" s="416"/>
      <c r="BA83" s="416"/>
      <c r="BB83" s="416"/>
      <c r="BC83" s="416"/>
      <c r="BD83" s="416"/>
      <c r="BE83" s="416"/>
      <c r="BF83" s="416"/>
      <c r="BG83" s="416"/>
      <c r="BH83" s="416"/>
      <c r="BI83" s="213" t="str">
        <f t="array" ref="BI83">IFERROR(INDEX('💻シート作成'!$D$6:$D162, MATCH(BJ83, '💻シート作成'!$E$6:$E162, 0)), "")</f>
        <v/>
      </c>
      <c r="BJ83" s="168"/>
      <c r="BK83" s="416"/>
      <c r="BL83" s="559" t="str">
        <f t="array" ref="BL83">IFERROR(INDEX('💻シート作成'!$D$6:$D162, MATCH(BM83, '💻シート作成'!$E$6:$E162, 0)), "")</f>
        <v/>
      </c>
      <c r="BM83" s="168"/>
      <c r="BN83" s="416"/>
      <c r="BO83" s="416"/>
      <c r="BP83" s="416"/>
      <c r="BQ83" s="416"/>
      <c r="BR83" s="416"/>
      <c r="BS83" s="416"/>
      <c r="BT83" s="416"/>
      <c r="BU83" s="416"/>
      <c r="BV83" s="416"/>
      <c r="BW83" s="416"/>
      <c r="BX83" s="416"/>
      <c r="BY83" s="416"/>
      <c r="BZ83" s="416"/>
      <c r="CA83" s="416"/>
    </row>
    <row r="84">
      <c r="A84" s="416"/>
      <c r="B84" s="416"/>
      <c r="C84" s="416"/>
      <c r="D84" s="416"/>
      <c r="E84" s="416"/>
      <c r="F84" s="416"/>
      <c r="G84" s="416"/>
      <c r="H84" s="416"/>
      <c r="I84" s="416"/>
      <c r="J84" s="416"/>
      <c r="K84" s="416"/>
      <c r="L84" s="416"/>
      <c r="M84" s="416"/>
      <c r="N84" s="416"/>
      <c r="O84" s="416"/>
      <c r="P84" s="416"/>
      <c r="Q84" s="416"/>
      <c r="R84" s="416"/>
      <c r="S84" s="416"/>
      <c r="T84" s="416"/>
      <c r="U84" s="416"/>
      <c r="V84" s="416"/>
      <c r="W84" s="416"/>
      <c r="X84" s="416"/>
      <c r="Y84" s="416"/>
      <c r="Z84" s="416"/>
      <c r="AA84" s="416"/>
      <c r="AB84" s="416"/>
      <c r="AC84" s="416"/>
      <c r="AD84" s="416"/>
      <c r="AE84" s="416"/>
      <c r="AF84" s="416"/>
      <c r="AG84" s="416"/>
      <c r="AH84" s="416"/>
      <c r="AI84" s="416"/>
      <c r="AJ84" s="416"/>
      <c r="AK84" s="416"/>
      <c r="AL84" s="416"/>
      <c r="AM84" s="416"/>
      <c r="AN84" s="416"/>
      <c r="AO84" s="416"/>
      <c r="AP84" s="416"/>
      <c r="AQ84" s="416"/>
      <c r="AR84" s="416"/>
      <c r="AS84" s="416"/>
      <c r="AT84" s="416"/>
      <c r="AU84" s="416"/>
      <c r="AV84" s="416"/>
      <c r="AW84" s="416"/>
      <c r="AX84" s="416"/>
      <c r="AY84" s="416"/>
      <c r="AZ84" s="416"/>
      <c r="BA84" s="416"/>
      <c r="BB84" s="416"/>
      <c r="BC84" s="416"/>
      <c r="BD84" s="416"/>
      <c r="BE84" s="416"/>
      <c r="BF84" s="416"/>
      <c r="BG84" s="416"/>
      <c r="BH84" s="416"/>
      <c r="BI84" s="213" t="str">
        <f t="array" ref="BI84">IFERROR(INDEX('💻シート作成'!$D$6:$D162, MATCH(BJ84, '💻シート作成'!$E$6:$E162, 0)), "")</f>
        <v/>
      </c>
      <c r="BJ84" s="168"/>
      <c r="BK84" s="416"/>
      <c r="BL84" s="559" t="str">
        <f t="array" ref="BL84">IFERROR(INDEX('💻シート作成'!$D$6:$D162, MATCH(BM84, '💻シート作成'!$E$6:$E162, 0)), "")</f>
        <v/>
      </c>
      <c r="BM84" s="168"/>
      <c r="BN84" s="416"/>
      <c r="BO84" s="416"/>
      <c r="BP84" s="416"/>
      <c r="BQ84" s="416"/>
      <c r="BR84" s="416"/>
      <c r="BS84" s="416"/>
      <c r="BT84" s="416"/>
      <c r="BU84" s="416"/>
      <c r="BV84" s="416"/>
      <c r="BW84" s="416"/>
      <c r="BX84" s="416"/>
      <c r="BY84" s="416"/>
      <c r="BZ84" s="416"/>
      <c r="CA84" s="416"/>
    </row>
    <row r="85">
      <c r="A85" s="416"/>
      <c r="B85" s="416"/>
      <c r="C85" s="416"/>
      <c r="D85" s="416"/>
      <c r="E85" s="416"/>
      <c r="F85" s="416"/>
      <c r="G85" s="416"/>
      <c r="H85" s="416"/>
      <c r="I85" s="416"/>
      <c r="J85" s="416"/>
      <c r="K85" s="416"/>
      <c r="L85" s="416"/>
      <c r="M85" s="416"/>
      <c r="N85" s="416"/>
      <c r="O85" s="416"/>
      <c r="P85" s="416"/>
      <c r="Q85" s="416"/>
      <c r="R85" s="416"/>
      <c r="S85" s="416"/>
      <c r="T85" s="416"/>
      <c r="U85" s="416"/>
      <c r="V85" s="416"/>
      <c r="W85" s="416"/>
      <c r="X85" s="416"/>
      <c r="Y85" s="416"/>
      <c r="Z85" s="416"/>
      <c r="AA85" s="416"/>
      <c r="AB85" s="416"/>
      <c r="AC85" s="416"/>
      <c r="AD85" s="416"/>
      <c r="AE85" s="416"/>
      <c r="AF85" s="416"/>
      <c r="AG85" s="416"/>
      <c r="AH85" s="416"/>
      <c r="AI85" s="416"/>
      <c r="AJ85" s="416"/>
      <c r="AK85" s="416"/>
      <c r="AL85" s="416"/>
      <c r="AM85" s="416"/>
      <c r="AN85" s="416"/>
      <c r="AO85" s="416"/>
      <c r="AP85" s="416"/>
      <c r="AQ85" s="416"/>
      <c r="AR85" s="416"/>
      <c r="AS85" s="416"/>
      <c r="AT85" s="416"/>
      <c r="AU85" s="416"/>
      <c r="AV85" s="416"/>
      <c r="AW85" s="416"/>
      <c r="AX85" s="416"/>
      <c r="AY85" s="416"/>
      <c r="AZ85" s="416"/>
      <c r="BA85" s="416"/>
      <c r="BB85" s="416"/>
      <c r="BC85" s="416"/>
      <c r="BD85" s="416"/>
      <c r="BE85" s="416"/>
      <c r="BF85" s="416"/>
      <c r="BG85" s="416"/>
      <c r="BH85" s="416"/>
      <c r="BI85" s="213" t="str">
        <f t="array" ref="BI85">IFERROR(INDEX('💻シート作成'!$D$6:$D162, MATCH(BJ85, '💻シート作成'!$E$6:$E162, 0)), "")</f>
        <v/>
      </c>
      <c r="BJ85" s="168"/>
      <c r="BK85" s="416"/>
      <c r="BL85" s="559" t="str">
        <f t="array" ref="BL85">IFERROR(INDEX('💻シート作成'!$D$6:$D162, MATCH(BM85, '💻シート作成'!$E$6:$E162, 0)), "")</f>
        <v/>
      </c>
      <c r="BM85" s="168"/>
      <c r="BN85" s="416"/>
      <c r="BO85" s="416"/>
      <c r="BP85" s="416"/>
      <c r="BQ85" s="416"/>
      <c r="BR85" s="416"/>
      <c r="BS85" s="416"/>
      <c r="BT85" s="416"/>
      <c r="BU85" s="416"/>
      <c r="BV85" s="416"/>
      <c r="BW85" s="416"/>
      <c r="BX85" s="416"/>
      <c r="BY85" s="416"/>
      <c r="BZ85" s="416"/>
      <c r="CA85" s="416"/>
    </row>
    <row r="86">
      <c r="A86" s="416"/>
      <c r="B86" s="416"/>
      <c r="C86" s="416"/>
      <c r="D86" s="416"/>
      <c r="E86" s="416"/>
      <c r="F86" s="416"/>
      <c r="G86" s="416"/>
      <c r="H86" s="416"/>
      <c r="I86" s="416"/>
      <c r="J86" s="416"/>
      <c r="K86" s="416"/>
      <c r="L86" s="416"/>
      <c r="M86" s="416"/>
      <c r="N86" s="416"/>
      <c r="O86" s="416"/>
      <c r="P86" s="416"/>
      <c r="Q86" s="416"/>
      <c r="R86" s="416"/>
      <c r="S86" s="416"/>
      <c r="T86" s="416"/>
      <c r="U86" s="416"/>
      <c r="V86" s="416"/>
      <c r="W86" s="416"/>
      <c r="X86" s="416"/>
      <c r="Y86" s="416"/>
      <c r="Z86" s="416"/>
      <c r="AA86" s="416"/>
      <c r="AB86" s="416"/>
      <c r="AC86" s="416"/>
      <c r="AD86" s="416"/>
      <c r="AE86" s="416"/>
      <c r="AF86" s="416"/>
      <c r="AG86" s="416"/>
      <c r="AH86" s="416"/>
      <c r="AI86" s="416"/>
      <c r="AJ86" s="416"/>
      <c r="AK86" s="416"/>
      <c r="AL86" s="416"/>
      <c r="AM86" s="416"/>
      <c r="AN86" s="416"/>
      <c r="AO86" s="416"/>
      <c r="AP86" s="416"/>
      <c r="AQ86" s="416"/>
      <c r="AR86" s="416"/>
      <c r="AS86" s="416"/>
      <c r="AT86" s="416"/>
      <c r="AU86" s="416"/>
      <c r="AV86" s="416"/>
      <c r="AW86" s="416"/>
      <c r="AX86" s="416"/>
      <c r="AY86" s="416"/>
      <c r="AZ86" s="416"/>
      <c r="BA86" s="416"/>
      <c r="BB86" s="416"/>
      <c r="BC86" s="416"/>
      <c r="BD86" s="416"/>
      <c r="BE86" s="416"/>
      <c r="BF86" s="416"/>
      <c r="BG86" s="416"/>
      <c r="BH86" s="416"/>
      <c r="BI86" s="213" t="str">
        <f t="array" ref="BI86">IFERROR(INDEX('💻シート作成'!$D$6:$D162, MATCH(BJ86, '💻シート作成'!$E$6:$E162, 0)), "")</f>
        <v/>
      </c>
      <c r="BJ86" s="168"/>
      <c r="BK86" s="416"/>
      <c r="BL86" s="559" t="str">
        <f t="array" ref="BL86">IFERROR(INDEX('💻シート作成'!$D$6:$D162, MATCH(BM86, '💻シート作成'!$E$6:$E162, 0)), "")</f>
        <v/>
      </c>
      <c r="BM86" s="168"/>
      <c r="BN86" s="416"/>
      <c r="BO86" s="416"/>
      <c r="BP86" s="416"/>
      <c r="BQ86" s="416"/>
      <c r="BR86" s="416"/>
      <c r="BS86" s="416"/>
      <c r="BT86" s="416"/>
      <c r="BU86" s="416"/>
      <c r="BV86" s="416"/>
      <c r="BW86" s="416"/>
      <c r="BX86" s="416"/>
      <c r="BY86" s="416"/>
      <c r="BZ86" s="416"/>
      <c r="CA86" s="416"/>
    </row>
    <row r="87">
      <c r="A87" s="416"/>
      <c r="B87" s="416"/>
      <c r="C87" s="416"/>
      <c r="D87" s="416"/>
      <c r="E87" s="416"/>
      <c r="F87" s="416"/>
      <c r="G87" s="416"/>
      <c r="H87" s="416"/>
      <c r="I87" s="416"/>
      <c r="J87" s="416"/>
      <c r="K87" s="416"/>
      <c r="L87" s="416"/>
      <c r="M87" s="416"/>
      <c r="N87" s="416"/>
      <c r="O87" s="416"/>
      <c r="P87" s="416"/>
      <c r="Q87" s="416"/>
      <c r="R87" s="416"/>
      <c r="S87" s="416"/>
      <c r="T87" s="416"/>
      <c r="U87" s="416"/>
      <c r="V87" s="416"/>
      <c r="W87" s="416"/>
      <c r="X87" s="416"/>
      <c r="Y87" s="416"/>
      <c r="Z87" s="416"/>
      <c r="AA87" s="416"/>
      <c r="AB87" s="416"/>
      <c r="AC87" s="416"/>
      <c r="AD87" s="416"/>
      <c r="AE87" s="416"/>
      <c r="AF87" s="416"/>
      <c r="AG87" s="416"/>
      <c r="AH87" s="416"/>
      <c r="AI87" s="416"/>
      <c r="AJ87" s="416"/>
      <c r="AK87" s="416"/>
      <c r="AL87" s="416"/>
      <c r="AM87" s="416"/>
      <c r="AN87" s="416"/>
      <c r="AO87" s="416"/>
      <c r="AP87" s="416"/>
      <c r="AQ87" s="416"/>
      <c r="AR87" s="416"/>
      <c r="AS87" s="416"/>
      <c r="AT87" s="416"/>
      <c r="AU87" s="416"/>
      <c r="AV87" s="416"/>
      <c r="AW87" s="416"/>
      <c r="AX87" s="416"/>
      <c r="AY87" s="416"/>
      <c r="AZ87" s="416"/>
      <c r="BA87" s="416"/>
      <c r="BB87" s="416"/>
      <c r="BC87" s="416"/>
      <c r="BD87" s="416"/>
      <c r="BE87" s="416"/>
      <c r="BF87" s="416"/>
      <c r="BG87" s="416"/>
      <c r="BH87" s="416"/>
      <c r="BI87" s="213" t="str">
        <f t="array" ref="BI87">IFERROR(INDEX('💻シート作成'!$D$6:$D162, MATCH(BJ87, '💻シート作成'!$E$6:$E162, 0)), "")</f>
        <v/>
      </c>
      <c r="BJ87" s="168"/>
      <c r="BK87" s="416"/>
      <c r="BL87" s="559" t="str">
        <f t="array" ref="BL87">IFERROR(INDEX('💻シート作成'!$D$6:$D162, MATCH(BM87, '💻シート作成'!$E$6:$E162, 0)), "")</f>
        <v/>
      </c>
      <c r="BM87" s="168"/>
      <c r="BN87" s="416"/>
      <c r="BO87" s="416"/>
      <c r="BP87" s="416"/>
      <c r="BQ87" s="416"/>
      <c r="BR87" s="416"/>
      <c r="BS87" s="416"/>
      <c r="BT87" s="416"/>
      <c r="BU87" s="416"/>
      <c r="BV87" s="416"/>
      <c r="BW87" s="416"/>
      <c r="BX87" s="416"/>
      <c r="BY87" s="416"/>
      <c r="BZ87" s="416"/>
      <c r="CA87" s="416"/>
    </row>
    <row r="88">
      <c r="A88" s="416"/>
      <c r="B88" s="416"/>
      <c r="C88" s="416"/>
      <c r="D88" s="416"/>
      <c r="E88" s="416"/>
      <c r="F88" s="416"/>
      <c r="G88" s="416"/>
      <c r="H88" s="416"/>
      <c r="I88" s="416"/>
      <c r="J88" s="416"/>
      <c r="K88" s="416"/>
      <c r="L88" s="416"/>
      <c r="M88" s="416"/>
      <c r="N88" s="416"/>
      <c r="O88" s="416"/>
      <c r="P88" s="416"/>
      <c r="Q88" s="416"/>
      <c r="R88" s="416"/>
      <c r="S88" s="416"/>
      <c r="T88" s="416"/>
      <c r="U88" s="416"/>
      <c r="V88" s="416"/>
      <c r="W88" s="416"/>
      <c r="X88" s="416"/>
      <c r="Y88" s="416"/>
      <c r="Z88" s="416"/>
      <c r="AA88" s="416"/>
      <c r="AB88" s="416"/>
      <c r="AC88" s="416"/>
      <c r="AD88" s="416"/>
      <c r="AE88" s="416"/>
      <c r="AF88" s="416"/>
      <c r="AG88" s="416"/>
      <c r="AH88" s="416"/>
      <c r="AI88" s="416"/>
      <c r="AJ88" s="416"/>
      <c r="AK88" s="416"/>
      <c r="AL88" s="416"/>
      <c r="AM88" s="416"/>
      <c r="AN88" s="416"/>
      <c r="AO88" s="416"/>
      <c r="AP88" s="416"/>
      <c r="AQ88" s="416"/>
      <c r="AR88" s="416"/>
      <c r="AS88" s="416"/>
      <c r="AT88" s="416"/>
      <c r="AU88" s="416"/>
      <c r="AV88" s="416"/>
      <c r="AW88" s="416"/>
      <c r="AX88" s="416"/>
      <c r="AY88" s="416"/>
      <c r="AZ88" s="416"/>
      <c r="BA88" s="416"/>
      <c r="BB88" s="416"/>
      <c r="BC88" s="416"/>
      <c r="BD88" s="416"/>
      <c r="BE88" s="416"/>
      <c r="BF88" s="416"/>
      <c r="BG88" s="416"/>
      <c r="BH88" s="416"/>
      <c r="BI88" s="213" t="str">
        <f t="array" ref="BI88">IFERROR(INDEX('💻シート作成'!$D$6:$D162, MATCH(BJ88, '💻シート作成'!$E$6:$E162, 0)), "")</f>
        <v/>
      </c>
      <c r="BJ88" s="168"/>
      <c r="BK88" s="416"/>
      <c r="BL88" s="559" t="str">
        <f t="array" ref="BL88">IFERROR(INDEX('💻シート作成'!$D$6:$D162, MATCH(BM88, '💻シート作成'!$E$6:$E162, 0)), "")</f>
        <v/>
      </c>
      <c r="BM88" s="168"/>
      <c r="BN88" s="416"/>
      <c r="BO88" s="416"/>
      <c r="BP88" s="416"/>
      <c r="BQ88" s="416"/>
      <c r="BR88" s="416"/>
      <c r="BS88" s="416"/>
      <c r="BT88" s="416"/>
      <c r="BU88" s="416"/>
      <c r="BV88" s="416"/>
      <c r="BW88" s="416"/>
      <c r="BX88" s="416"/>
      <c r="BY88" s="416"/>
      <c r="BZ88" s="416"/>
      <c r="CA88" s="416"/>
    </row>
    <row r="89">
      <c r="A89" s="416"/>
      <c r="B89" s="416"/>
      <c r="C89" s="416"/>
      <c r="D89" s="416"/>
      <c r="E89" s="416"/>
      <c r="F89" s="416"/>
      <c r="G89" s="416"/>
      <c r="H89" s="416"/>
      <c r="I89" s="416"/>
      <c r="J89" s="416"/>
      <c r="K89" s="416"/>
      <c r="L89" s="416"/>
      <c r="M89" s="416"/>
      <c r="N89" s="416"/>
      <c r="O89" s="416"/>
      <c r="P89" s="416"/>
      <c r="Q89" s="416"/>
      <c r="R89" s="416"/>
      <c r="S89" s="416"/>
      <c r="T89" s="416"/>
      <c r="U89" s="416"/>
      <c r="V89" s="416"/>
      <c r="W89" s="416"/>
      <c r="X89" s="416"/>
      <c r="Y89" s="416"/>
      <c r="Z89" s="416"/>
      <c r="AA89" s="416"/>
      <c r="AB89" s="416"/>
      <c r="AC89" s="416"/>
      <c r="AD89" s="416"/>
      <c r="AE89" s="416"/>
      <c r="AF89" s="416"/>
      <c r="AG89" s="416"/>
      <c r="AH89" s="416"/>
      <c r="AI89" s="416"/>
      <c r="AJ89" s="416"/>
      <c r="AK89" s="416"/>
      <c r="AL89" s="416"/>
      <c r="AM89" s="416"/>
      <c r="AN89" s="416"/>
      <c r="AO89" s="416"/>
      <c r="AP89" s="416"/>
      <c r="AQ89" s="416"/>
      <c r="AR89" s="416"/>
      <c r="AS89" s="416"/>
      <c r="AT89" s="416"/>
      <c r="AU89" s="416"/>
      <c r="AV89" s="416"/>
      <c r="AW89" s="416"/>
      <c r="AX89" s="416"/>
      <c r="AY89" s="416"/>
      <c r="AZ89" s="416"/>
      <c r="BA89" s="416"/>
      <c r="BB89" s="416"/>
      <c r="BC89" s="416"/>
      <c r="BD89" s="416"/>
      <c r="BE89" s="416"/>
      <c r="BF89" s="416"/>
      <c r="BG89" s="416"/>
      <c r="BH89" s="416"/>
      <c r="BI89" s="213" t="str">
        <f t="array" ref="BI89">IFERROR(INDEX('💻シート作成'!$D$6:$D162, MATCH(BJ89, '💻シート作成'!$E$6:$E162, 0)), "")</f>
        <v/>
      </c>
      <c r="BJ89" s="168"/>
      <c r="BK89" s="416"/>
      <c r="BL89" s="559" t="str">
        <f t="array" ref="BL89">IFERROR(INDEX('💻シート作成'!$D$6:$D162, MATCH(BM89, '💻シート作成'!$E$6:$E162, 0)), "")</f>
        <v/>
      </c>
      <c r="BM89" s="168"/>
      <c r="BN89" s="416"/>
      <c r="BO89" s="416"/>
      <c r="BP89" s="416"/>
      <c r="BQ89" s="416"/>
      <c r="BR89" s="416"/>
      <c r="BS89" s="416"/>
      <c r="BT89" s="416"/>
      <c r="BU89" s="416"/>
      <c r="BV89" s="416"/>
      <c r="BW89" s="416"/>
      <c r="BX89" s="416"/>
      <c r="BY89" s="416"/>
      <c r="BZ89" s="416"/>
      <c r="CA89" s="416"/>
    </row>
    <row r="90">
      <c r="A90" s="416"/>
      <c r="B90" s="416"/>
      <c r="C90" s="416"/>
      <c r="D90" s="416"/>
      <c r="E90" s="416"/>
      <c r="F90" s="416"/>
      <c r="G90" s="416"/>
      <c r="H90" s="416"/>
      <c r="I90" s="416"/>
      <c r="J90" s="416"/>
      <c r="K90" s="416"/>
      <c r="L90" s="416"/>
      <c r="M90" s="416"/>
      <c r="N90" s="416"/>
      <c r="O90" s="416"/>
      <c r="P90" s="416"/>
      <c r="Q90" s="416"/>
      <c r="R90" s="416"/>
      <c r="S90" s="416"/>
      <c r="T90" s="416"/>
      <c r="U90" s="416"/>
      <c r="V90" s="416"/>
      <c r="W90" s="416"/>
      <c r="X90" s="416"/>
      <c r="Y90" s="416"/>
      <c r="Z90" s="416"/>
      <c r="AA90" s="416"/>
      <c r="AB90" s="416"/>
      <c r="AC90" s="416"/>
      <c r="AD90" s="416"/>
      <c r="AE90" s="416"/>
      <c r="AF90" s="416"/>
      <c r="AG90" s="416"/>
      <c r="AH90" s="416"/>
      <c r="AI90" s="416"/>
      <c r="AJ90" s="416"/>
      <c r="AK90" s="416"/>
      <c r="AL90" s="416"/>
      <c r="AM90" s="416"/>
      <c r="AN90" s="416"/>
      <c r="AO90" s="416"/>
      <c r="AP90" s="416"/>
      <c r="AQ90" s="416"/>
      <c r="AR90" s="416"/>
      <c r="AS90" s="416"/>
      <c r="AT90" s="416"/>
      <c r="AU90" s="416"/>
      <c r="AV90" s="416"/>
      <c r="AW90" s="416"/>
      <c r="AX90" s="416"/>
      <c r="AY90" s="416"/>
      <c r="AZ90" s="416"/>
      <c r="BA90" s="416"/>
      <c r="BB90" s="416"/>
      <c r="BC90" s="416"/>
      <c r="BD90" s="416"/>
      <c r="BE90" s="416"/>
      <c r="BF90" s="416"/>
      <c r="BG90" s="416"/>
      <c r="BH90" s="416"/>
      <c r="BI90" s="213" t="str">
        <f t="array" ref="BI90">IFERROR(INDEX('💻シート作成'!$D$6:$D162, MATCH(BJ90, '💻シート作成'!$E$6:$E162, 0)), "")</f>
        <v/>
      </c>
      <c r="BJ90" s="168"/>
      <c r="BK90" s="416"/>
      <c r="BL90" s="559" t="str">
        <f t="array" ref="BL90">IFERROR(INDEX('💻シート作成'!$D$6:$D162, MATCH(BM90, '💻シート作成'!$E$6:$E162, 0)), "")</f>
        <v/>
      </c>
      <c r="BM90" s="168"/>
      <c r="BN90" s="416"/>
      <c r="BO90" s="416"/>
      <c r="BP90" s="416"/>
      <c r="BQ90" s="416"/>
      <c r="BR90" s="416"/>
      <c r="BS90" s="416"/>
      <c r="BT90" s="416"/>
      <c r="BU90" s="416"/>
      <c r="BV90" s="416"/>
      <c r="BW90" s="416"/>
      <c r="BX90" s="416"/>
      <c r="BY90" s="416"/>
      <c r="BZ90" s="416"/>
      <c r="CA90" s="416"/>
    </row>
    <row r="91">
      <c r="A91" s="416"/>
      <c r="B91" s="416"/>
      <c r="C91" s="416"/>
      <c r="D91" s="416"/>
      <c r="E91" s="416"/>
      <c r="F91" s="416"/>
      <c r="G91" s="416"/>
      <c r="H91" s="416"/>
      <c r="I91" s="416"/>
      <c r="J91" s="416"/>
      <c r="K91" s="416"/>
      <c r="L91" s="416"/>
      <c r="M91" s="416"/>
      <c r="N91" s="416"/>
      <c r="O91" s="416"/>
      <c r="P91" s="416"/>
      <c r="Q91" s="416"/>
      <c r="R91" s="416"/>
      <c r="S91" s="416"/>
      <c r="T91" s="416"/>
      <c r="U91" s="416"/>
      <c r="V91" s="416"/>
      <c r="W91" s="416"/>
      <c r="X91" s="416"/>
      <c r="Y91" s="416"/>
      <c r="Z91" s="416"/>
      <c r="AA91" s="416"/>
      <c r="AB91" s="416"/>
      <c r="AC91" s="416"/>
      <c r="AD91" s="416"/>
      <c r="AE91" s="416"/>
      <c r="AF91" s="416"/>
      <c r="AG91" s="416"/>
      <c r="AH91" s="416"/>
      <c r="AI91" s="416"/>
      <c r="AJ91" s="416"/>
      <c r="AK91" s="416"/>
      <c r="AL91" s="416"/>
      <c r="AM91" s="416"/>
      <c r="AN91" s="416"/>
      <c r="AO91" s="416"/>
      <c r="AP91" s="416"/>
      <c r="AQ91" s="416"/>
      <c r="AR91" s="416"/>
      <c r="AS91" s="416"/>
      <c r="AT91" s="416"/>
      <c r="AU91" s="416"/>
      <c r="AV91" s="416"/>
      <c r="AW91" s="416"/>
      <c r="AX91" s="416"/>
      <c r="AY91" s="416"/>
      <c r="AZ91" s="416"/>
      <c r="BA91" s="416"/>
      <c r="BB91" s="416"/>
      <c r="BC91" s="416"/>
      <c r="BD91" s="416"/>
      <c r="BE91" s="416"/>
      <c r="BF91" s="416"/>
      <c r="BG91" s="416"/>
      <c r="BH91" s="416"/>
      <c r="BI91" s="213" t="str">
        <f t="array" ref="BI91">IFERROR(INDEX('💻シート作成'!$D$6:$D162, MATCH(BJ91, '💻シート作成'!$E$6:$E162, 0)), "")</f>
        <v/>
      </c>
      <c r="BJ91" s="168"/>
      <c r="BK91" s="416"/>
      <c r="BL91" s="559" t="str">
        <f t="array" ref="BL91">IFERROR(INDEX('💻シート作成'!$D$6:$D162, MATCH(BM91, '💻シート作成'!$E$6:$E162, 0)), "")</f>
        <v/>
      </c>
      <c r="BM91" s="168"/>
      <c r="BN91" s="416"/>
      <c r="BO91" s="416"/>
      <c r="BP91" s="416"/>
      <c r="BQ91" s="416"/>
      <c r="BR91" s="416"/>
      <c r="BS91" s="416"/>
      <c r="BT91" s="416"/>
      <c r="BU91" s="416"/>
      <c r="BV91" s="416"/>
      <c r="BW91" s="416"/>
      <c r="BX91" s="416"/>
      <c r="BY91" s="416"/>
      <c r="BZ91" s="416"/>
      <c r="CA91" s="416"/>
    </row>
    <row r="92">
      <c r="A92" s="416"/>
      <c r="B92" s="416"/>
      <c r="C92" s="416"/>
      <c r="D92" s="416"/>
      <c r="E92" s="416"/>
      <c r="F92" s="416"/>
      <c r="G92" s="416"/>
      <c r="H92" s="416"/>
      <c r="I92" s="416"/>
      <c r="J92" s="416"/>
      <c r="K92" s="416"/>
      <c r="L92" s="416"/>
      <c r="M92" s="416"/>
      <c r="N92" s="416"/>
      <c r="O92" s="416"/>
      <c r="P92" s="416"/>
      <c r="Q92" s="416"/>
      <c r="R92" s="416"/>
      <c r="S92" s="416"/>
      <c r="T92" s="416"/>
      <c r="U92" s="416"/>
      <c r="V92" s="416"/>
      <c r="W92" s="416"/>
      <c r="X92" s="416"/>
      <c r="Y92" s="416"/>
      <c r="Z92" s="416"/>
      <c r="AA92" s="416"/>
      <c r="AB92" s="416"/>
      <c r="AC92" s="416"/>
      <c r="AD92" s="416"/>
      <c r="AE92" s="416"/>
      <c r="AF92" s="416"/>
      <c r="AG92" s="416"/>
      <c r="AH92" s="416"/>
      <c r="AI92" s="416"/>
      <c r="AJ92" s="416"/>
      <c r="AK92" s="416"/>
      <c r="AL92" s="416"/>
      <c r="AM92" s="416"/>
      <c r="AN92" s="416"/>
      <c r="AO92" s="416"/>
      <c r="AP92" s="416"/>
      <c r="AQ92" s="416"/>
      <c r="AR92" s="416"/>
      <c r="AS92" s="416"/>
      <c r="AT92" s="416"/>
      <c r="AU92" s="416"/>
      <c r="AV92" s="416"/>
      <c r="AW92" s="416"/>
      <c r="AX92" s="416"/>
      <c r="AY92" s="416"/>
      <c r="AZ92" s="416"/>
      <c r="BA92" s="416"/>
      <c r="BB92" s="416"/>
      <c r="BC92" s="416"/>
      <c r="BD92" s="416"/>
      <c r="BE92" s="416"/>
      <c r="BF92" s="416"/>
      <c r="BG92" s="416"/>
      <c r="BH92" s="416"/>
      <c r="BI92" s="213" t="str">
        <f t="array" ref="BI92">IFERROR(INDEX('💻シート作成'!$D$6:$D162, MATCH(BJ92, '💻シート作成'!$E$6:$E162, 0)), "")</f>
        <v/>
      </c>
      <c r="BJ92" s="168"/>
      <c r="BK92" s="416"/>
      <c r="BL92" s="559" t="str">
        <f t="array" ref="BL92">IFERROR(INDEX('💻シート作成'!$D$6:$D162, MATCH(BM92, '💻シート作成'!$E$6:$E162, 0)), "")</f>
        <v/>
      </c>
      <c r="BM92" s="168"/>
      <c r="BN92" s="416"/>
      <c r="BO92" s="416"/>
      <c r="BP92" s="416"/>
      <c r="BQ92" s="416"/>
      <c r="BR92" s="416"/>
      <c r="BS92" s="416"/>
      <c r="BT92" s="416"/>
      <c r="BU92" s="416"/>
      <c r="BV92" s="416"/>
      <c r="BW92" s="416"/>
      <c r="BX92" s="416"/>
      <c r="BY92" s="416"/>
      <c r="BZ92" s="416"/>
      <c r="CA92" s="416"/>
    </row>
    <row r="93">
      <c r="A93" s="416"/>
      <c r="B93" s="416"/>
      <c r="C93" s="416"/>
      <c r="D93" s="416"/>
      <c r="E93" s="416"/>
      <c r="F93" s="416"/>
      <c r="G93" s="416"/>
      <c r="H93" s="416"/>
      <c r="I93" s="416"/>
      <c r="J93" s="416"/>
      <c r="K93" s="416"/>
      <c r="L93" s="416"/>
      <c r="M93" s="416"/>
      <c r="N93" s="416"/>
      <c r="O93" s="416"/>
      <c r="P93" s="416"/>
      <c r="Q93" s="416"/>
      <c r="R93" s="416"/>
      <c r="S93" s="416"/>
      <c r="T93" s="416"/>
      <c r="U93" s="416"/>
      <c r="V93" s="416"/>
      <c r="W93" s="416"/>
      <c r="X93" s="416"/>
      <c r="Y93" s="416"/>
      <c r="Z93" s="416"/>
      <c r="AA93" s="416"/>
      <c r="AB93" s="416"/>
      <c r="AC93" s="416"/>
      <c r="AD93" s="416"/>
      <c r="AE93" s="416"/>
      <c r="AF93" s="416"/>
      <c r="AG93" s="416"/>
      <c r="AH93" s="416"/>
      <c r="AI93" s="416"/>
      <c r="AJ93" s="416"/>
      <c r="AK93" s="416"/>
      <c r="AL93" s="416"/>
      <c r="AM93" s="416"/>
      <c r="AN93" s="416"/>
      <c r="AO93" s="416"/>
      <c r="AP93" s="416"/>
      <c r="AQ93" s="416"/>
      <c r="AR93" s="416"/>
      <c r="AS93" s="416"/>
      <c r="AT93" s="416"/>
      <c r="AU93" s="416"/>
      <c r="AV93" s="416"/>
      <c r="AW93" s="416"/>
      <c r="AX93" s="416"/>
      <c r="AY93" s="416"/>
      <c r="AZ93" s="416"/>
      <c r="BA93" s="416"/>
      <c r="BB93" s="416"/>
      <c r="BC93" s="416"/>
      <c r="BD93" s="416"/>
      <c r="BE93" s="416"/>
      <c r="BF93" s="416"/>
      <c r="BG93" s="416"/>
      <c r="BH93" s="416"/>
      <c r="BI93" s="213" t="str">
        <f t="array" ref="BI93">IFERROR(INDEX('💻シート作成'!$D$6:$D162, MATCH(BJ93, '💻シート作成'!$E$6:$E162, 0)), "")</f>
        <v/>
      </c>
      <c r="BJ93" s="168"/>
      <c r="BK93" s="416"/>
      <c r="BL93" s="559" t="str">
        <f t="array" ref="BL93">IFERROR(INDEX('💻シート作成'!$D$6:$D162, MATCH(BM93, '💻シート作成'!$E$6:$E162, 0)), "")</f>
        <v/>
      </c>
      <c r="BM93" s="168"/>
      <c r="BN93" s="416"/>
      <c r="BO93" s="416"/>
      <c r="BP93" s="416"/>
      <c r="BQ93" s="416"/>
      <c r="BR93" s="416"/>
      <c r="BS93" s="416"/>
      <c r="BT93" s="416"/>
      <c r="BU93" s="416"/>
      <c r="BV93" s="416"/>
      <c r="BW93" s="416"/>
      <c r="BX93" s="416"/>
      <c r="BY93" s="416"/>
      <c r="BZ93" s="416"/>
      <c r="CA93" s="416"/>
    </row>
    <row r="94">
      <c r="A94" s="416"/>
      <c r="B94" s="416"/>
      <c r="C94" s="416"/>
      <c r="D94" s="416"/>
      <c r="E94" s="416"/>
      <c r="F94" s="416"/>
      <c r="G94" s="416"/>
      <c r="H94" s="416"/>
      <c r="I94" s="416"/>
      <c r="J94" s="416"/>
      <c r="K94" s="416"/>
      <c r="L94" s="416"/>
      <c r="M94" s="416"/>
      <c r="N94" s="416"/>
      <c r="O94" s="416"/>
      <c r="P94" s="416"/>
      <c r="Q94" s="416"/>
      <c r="R94" s="416"/>
      <c r="S94" s="416"/>
      <c r="T94" s="416"/>
      <c r="U94" s="416"/>
      <c r="V94" s="416"/>
      <c r="W94" s="416"/>
      <c r="X94" s="416"/>
      <c r="Y94" s="416"/>
      <c r="Z94" s="416"/>
      <c r="AA94" s="416"/>
      <c r="AB94" s="416"/>
      <c r="AC94" s="416"/>
      <c r="AD94" s="416"/>
      <c r="AE94" s="416"/>
      <c r="AF94" s="416"/>
      <c r="AG94" s="416"/>
      <c r="AH94" s="416"/>
      <c r="AI94" s="416"/>
      <c r="AJ94" s="416"/>
      <c r="AK94" s="416"/>
      <c r="AL94" s="416"/>
      <c r="AM94" s="416"/>
      <c r="AN94" s="416"/>
      <c r="AO94" s="416"/>
      <c r="AP94" s="416"/>
      <c r="AQ94" s="416"/>
      <c r="AR94" s="416"/>
      <c r="AS94" s="416"/>
      <c r="AT94" s="416"/>
      <c r="AU94" s="416"/>
      <c r="AV94" s="416"/>
      <c r="AW94" s="416"/>
      <c r="AX94" s="416"/>
      <c r="AY94" s="416"/>
      <c r="AZ94" s="416"/>
      <c r="BA94" s="416"/>
      <c r="BB94" s="416"/>
      <c r="BC94" s="416"/>
      <c r="BD94" s="416"/>
      <c r="BE94" s="416"/>
      <c r="BF94" s="416"/>
      <c r="BG94" s="416"/>
      <c r="BH94" s="416"/>
      <c r="BI94" s="213" t="str">
        <f t="array" ref="BI94">IFERROR(INDEX('💻シート作成'!$D$6:$D162, MATCH(BJ94, '💻シート作成'!$E$6:$E162, 0)), "")</f>
        <v/>
      </c>
      <c r="BJ94" s="168"/>
      <c r="BK94" s="416"/>
      <c r="BL94" s="559" t="str">
        <f t="array" ref="BL94">IFERROR(INDEX('💻シート作成'!$D$6:$D162, MATCH(BM94, '💻シート作成'!$E$6:$E162, 0)), "")</f>
        <v/>
      </c>
      <c r="BM94" s="168"/>
      <c r="BN94" s="416"/>
      <c r="BO94" s="416"/>
      <c r="BP94" s="416"/>
      <c r="BQ94" s="416"/>
      <c r="BR94" s="416"/>
      <c r="BS94" s="416"/>
      <c r="BT94" s="416"/>
      <c r="BU94" s="416"/>
      <c r="BV94" s="416"/>
      <c r="BW94" s="416"/>
      <c r="BX94" s="416"/>
      <c r="BY94" s="416"/>
      <c r="BZ94" s="416"/>
      <c r="CA94" s="416"/>
    </row>
    <row r="95">
      <c r="A95" s="416"/>
      <c r="B95" s="416"/>
      <c r="C95" s="416"/>
      <c r="D95" s="416"/>
      <c r="E95" s="416"/>
      <c r="F95" s="416"/>
      <c r="G95" s="416"/>
      <c r="H95" s="416"/>
      <c r="I95" s="416"/>
      <c r="J95" s="416"/>
      <c r="K95" s="416"/>
      <c r="L95" s="416"/>
      <c r="M95" s="416"/>
      <c r="N95" s="416"/>
      <c r="O95" s="416"/>
      <c r="P95" s="416"/>
      <c r="Q95" s="416"/>
      <c r="R95" s="416"/>
      <c r="S95" s="416"/>
      <c r="T95" s="416"/>
      <c r="U95" s="416"/>
      <c r="V95" s="416"/>
      <c r="W95" s="416"/>
      <c r="X95" s="416"/>
      <c r="Y95" s="416"/>
      <c r="Z95" s="416"/>
      <c r="AA95" s="416"/>
      <c r="AB95" s="416"/>
      <c r="AC95" s="416"/>
      <c r="AD95" s="416"/>
      <c r="AE95" s="416"/>
      <c r="AF95" s="416"/>
      <c r="AG95" s="416"/>
      <c r="AH95" s="416"/>
      <c r="AI95" s="416"/>
      <c r="AJ95" s="416"/>
      <c r="AK95" s="416"/>
      <c r="AL95" s="416"/>
      <c r="AM95" s="416"/>
      <c r="AN95" s="416"/>
      <c r="AO95" s="416"/>
      <c r="AP95" s="416"/>
      <c r="AQ95" s="416"/>
      <c r="AR95" s="416"/>
      <c r="AS95" s="416"/>
      <c r="AT95" s="416"/>
      <c r="AU95" s="416"/>
      <c r="AV95" s="416"/>
      <c r="AW95" s="416"/>
      <c r="AX95" s="416"/>
      <c r="AY95" s="416"/>
      <c r="AZ95" s="416"/>
      <c r="BA95" s="416"/>
      <c r="BB95" s="416"/>
      <c r="BC95" s="416"/>
      <c r="BD95" s="416"/>
      <c r="BE95" s="416"/>
      <c r="BF95" s="416"/>
      <c r="BG95" s="416"/>
      <c r="BH95" s="416"/>
      <c r="BI95" s="213" t="str">
        <f t="array" ref="BI95">IFERROR(INDEX('💻シート作成'!$D$6:$D162, MATCH(BJ95, '💻シート作成'!$E$6:$E162, 0)), "")</f>
        <v/>
      </c>
      <c r="BJ95" s="168"/>
      <c r="BK95" s="416"/>
      <c r="BL95" s="559" t="str">
        <f t="array" ref="BL95">IFERROR(INDEX('💻シート作成'!$D$6:$D162, MATCH(BM95, '💻シート作成'!$E$6:$E162, 0)), "")</f>
        <v/>
      </c>
      <c r="BM95" s="168"/>
      <c r="BN95" s="416"/>
      <c r="BO95" s="416"/>
      <c r="BP95" s="416"/>
      <c r="BQ95" s="416"/>
      <c r="BR95" s="416"/>
      <c r="BS95" s="416"/>
      <c r="BT95" s="416"/>
      <c r="BU95" s="416"/>
      <c r="BV95" s="416"/>
      <c r="BW95" s="416"/>
      <c r="BX95" s="416"/>
      <c r="BY95" s="416"/>
      <c r="BZ95" s="416"/>
      <c r="CA95" s="416"/>
    </row>
    <row r="96">
      <c r="A96" s="416"/>
      <c r="B96" s="416"/>
      <c r="C96" s="416"/>
      <c r="D96" s="416"/>
      <c r="E96" s="416"/>
      <c r="F96" s="416"/>
      <c r="G96" s="416"/>
      <c r="H96" s="416"/>
      <c r="I96" s="416"/>
      <c r="J96" s="416"/>
      <c r="K96" s="416"/>
      <c r="L96" s="416"/>
      <c r="M96" s="416"/>
      <c r="N96" s="416"/>
      <c r="O96" s="416"/>
      <c r="P96" s="416"/>
      <c r="Q96" s="416"/>
      <c r="R96" s="416"/>
      <c r="S96" s="416"/>
      <c r="T96" s="416"/>
      <c r="U96" s="416"/>
      <c r="V96" s="416"/>
      <c r="W96" s="416"/>
      <c r="X96" s="416"/>
      <c r="Y96" s="416"/>
      <c r="Z96" s="416"/>
      <c r="AA96" s="416"/>
      <c r="AB96" s="416"/>
      <c r="AC96" s="416"/>
      <c r="AD96" s="416"/>
      <c r="AE96" s="416"/>
      <c r="AF96" s="416"/>
      <c r="AG96" s="416"/>
      <c r="AH96" s="416"/>
      <c r="AI96" s="416"/>
      <c r="AJ96" s="416"/>
      <c r="AK96" s="416"/>
      <c r="AL96" s="416"/>
      <c r="AM96" s="416"/>
      <c r="AN96" s="416"/>
      <c r="AO96" s="416"/>
      <c r="AP96" s="416"/>
      <c r="AQ96" s="416"/>
      <c r="AR96" s="416"/>
      <c r="AS96" s="416"/>
      <c r="AT96" s="416"/>
      <c r="AU96" s="416"/>
      <c r="AV96" s="416"/>
      <c r="AW96" s="416"/>
      <c r="AX96" s="416"/>
      <c r="AY96" s="416"/>
      <c r="AZ96" s="416"/>
      <c r="BA96" s="416"/>
      <c r="BB96" s="416"/>
      <c r="BC96" s="416"/>
      <c r="BD96" s="416"/>
      <c r="BE96" s="416"/>
      <c r="BF96" s="416"/>
      <c r="BG96" s="416"/>
      <c r="BH96" s="416"/>
      <c r="BI96" s="213" t="str">
        <f t="array" ref="BI96">IFERROR(INDEX('💻シート作成'!$D$6:$D162, MATCH(BJ96, '💻シート作成'!$E$6:$E162, 0)), "")</f>
        <v/>
      </c>
      <c r="BJ96" s="168"/>
      <c r="BK96" s="416"/>
      <c r="BL96" s="559" t="str">
        <f t="array" ref="BL96">IFERROR(INDEX('💻シート作成'!$D$6:$D162, MATCH(BM96, '💻シート作成'!$E$6:$E162, 0)), "")</f>
        <v/>
      </c>
      <c r="BM96" s="168"/>
      <c r="BN96" s="416"/>
      <c r="BO96" s="416"/>
      <c r="BP96" s="416"/>
      <c r="BQ96" s="416"/>
      <c r="BR96" s="416"/>
      <c r="BS96" s="416"/>
      <c r="BT96" s="416"/>
      <c r="BU96" s="416"/>
      <c r="BV96" s="416"/>
      <c r="BW96" s="416"/>
      <c r="BX96" s="416"/>
      <c r="BY96" s="416"/>
      <c r="BZ96" s="416"/>
      <c r="CA96" s="416"/>
    </row>
    <row r="97">
      <c r="A97" s="416"/>
      <c r="B97" s="416"/>
      <c r="C97" s="416"/>
      <c r="D97" s="416"/>
      <c r="E97" s="416"/>
      <c r="F97" s="416"/>
      <c r="G97" s="416"/>
      <c r="H97" s="416"/>
      <c r="I97" s="416"/>
      <c r="J97" s="416"/>
      <c r="K97" s="416"/>
      <c r="L97" s="416"/>
      <c r="M97" s="416"/>
      <c r="N97" s="416"/>
      <c r="O97" s="416"/>
      <c r="P97" s="416"/>
      <c r="Q97" s="416"/>
      <c r="R97" s="416"/>
      <c r="S97" s="416"/>
      <c r="T97" s="416"/>
      <c r="U97" s="416"/>
      <c r="V97" s="416"/>
      <c r="W97" s="416"/>
      <c r="X97" s="416"/>
      <c r="Y97" s="416"/>
      <c r="Z97" s="416"/>
      <c r="AA97" s="416"/>
      <c r="AB97" s="416"/>
      <c r="AC97" s="416"/>
      <c r="AD97" s="416"/>
      <c r="AE97" s="416"/>
      <c r="AF97" s="416"/>
      <c r="AG97" s="416"/>
      <c r="AH97" s="416"/>
      <c r="AI97" s="416"/>
      <c r="AJ97" s="416"/>
      <c r="AK97" s="416"/>
      <c r="AL97" s="416"/>
      <c r="AM97" s="416"/>
      <c r="AN97" s="416"/>
      <c r="AO97" s="416"/>
      <c r="AP97" s="416"/>
      <c r="AQ97" s="416"/>
      <c r="AR97" s="416"/>
      <c r="AS97" s="416"/>
      <c r="AT97" s="416"/>
      <c r="AU97" s="416"/>
      <c r="AV97" s="416"/>
      <c r="AW97" s="416"/>
      <c r="AX97" s="416"/>
      <c r="AY97" s="416"/>
      <c r="AZ97" s="416"/>
      <c r="BA97" s="416"/>
      <c r="BB97" s="416"/>
      <c r="BC97" s="416"/>
      <c r="BD97" s="416"/>
      <c r="BE97" s="416"/>
      <c r="BF97" s="416"/>
      <c r="BG97" s="416"/>
      <c r="BH97" s="416"/>
      <c r="BI97" s="213" t="str">
        <f t="array" ref="BI97">IFERROR(INDEX('💻シート作成'!$D$6:$D162, MATCH(BJ97, '💻シート作成'!$E$6:$E162, 0)), "")</f>
        <v/>
      </c>
      <c r="BJ97" s="168"/>
      <c r="BK97" s="416"/>
      <c r="BL97" s="559" t="str">
        <f t="array" ref="BL97">IFERROR(INDEX('💻シート作成'!$D$6:$D162, MATCH(BM97, '💻シート作成'!$E$6:$E162, 0)), "")</f>
        <v/>
      </c>
      <c r="BM97" s="168"/>
      <c r="BN97" s="416"/>
      <c r="BO97" s="416"/>
      <c r="BP97" s="416"/>
      <c r="BQ97" s="416"/>
      <c r="BR97" s="416"/>
      <c r="BS97" s="416"/>
      <c r="BT97" s="416"/>
      <c r="BU97" s="416"/>
      <c r="BV97" s="416"/>
      <c r="BW97" s="416"/>
      <c r="BX97" s="416"/>
      <c r="BY97" s="416"/>
      <c r="BZ97" s="416"/>
      <c r="CA97" s="416"/>
    </row>
    <row r="98">
      <c r="A98" s="416"/>
      <c r="B98" s="416"/>
      <c r="C98" s="416"/>
      <c r="D98" s="416"/>
      <c r="E98" s="416"/>
      <c r="F98" s="416"/>
      <c r="G98" s="416"/>
      <c r="H98" s="416"/>
      <c r="I98" s="416"/>
      <c r="J98" s="416"/>
      <c r="K98" s="416"/>
      <c r="L98" s="416"/>
      <c r="M98" s="416"/>
      <c r="N98" s="416"/>
      <c r="O98" s="416"/>
      <c r="P98" s="416"/>
      <c r="Q98" s="416"/>
      <c r="R98" s="416"/>
      <c r="S98" s="416"/>
      <c r="T98" s="416"/>
      <c r="U98" s="416"/>
      <c r="V98" s="416"/>
      <c r="W98" s="416"/>
      <c r="X98" s="416"/>
      <c r="Y98" s="416"/>
      <c r="Z98" s="416"/>
      <c r="AA98" s="416"/>
      <c r="AB98" s="416"/>
      <c r="AC98" s="416"/>
      <c r="AD98" s="416"/>
      <c r="AE98" s="416"/>
      <c r="AF98" s="416"/>
      <c r="AG98" s="416"/>
      <c r="AH98" s="416"/>
      <c r="AI98" s="416"/>
      <c r="AJ98" s="416"/>
      <c r="AK98" s="416"/>
      <c r="AL98" s="416"/>
      <c r="AM98" s="416"/>
      <c r="AN98" s="416"/>
      <c r="AO98" s="416"/>
      <c r="AP98" s="416"/>
      <c r="AQ98" s="416"/>
      <c r="AR98" s="416"/>
      <c r="AS98" s="416"/>
      <c r="AT98" s="416"/>
      <c r="AU98" s="416"/>
      <c r="AV98" s="416"/>
      <c r="AW98" s="416"/>
      <c r="AX98" s="416"/>
      <c r="AY98" s="416"/>
      <c r="AZ98" s="416"/>
      <c r="BA98" s="416"/>
      <c r="BB98" s="416"/>
      <c r="BC98" s="416"/>
      <c r="BD98" s="416"/>
      <c r="BE98" s="416"/>
      <c r="BF98" s="416"/>
      <c r="BG98" s="416"/>
      <c r="BH98" s="416"/>
      <c r="BI98" s="213" t="str">
        <f t="array" ref="BI98">IFERROR(INDEX('💻シート作成'!$D$6:$D162, MATCH(BJ98, '💻シート作成'!$E$6:$E162, 0)), "")</f>
        <v/>
      </c>
      <c r="BJ98" s="168"/>
      <c r="BK98" s="416"/>
      <c r="BL98" s="559" t="str">
        <f t="array" ref="BL98">IFERROR(INDEX('💻シート作成'!$D$6:$D162, MATCH(BM98, '💻シート作成'!$E$6:$E162, 0)), "")</f>
        <v/>
      </c>
      <c r="BM98" s="168"/>
      <c r="BN98" s="416"/>
      <c r="BO98" s="416"/>
      <c r="BP98" s="416"/>
      <c r="BQ98" s="416"/>
      <c r="BR98" s="416"/>
      <c r="BS98" s="416"/>
      <c r="BT98" s="416"/>
      <c r="BU98" s="416"/>
      <c r="BV98" s="416"/>
      <c r="BW98" s="416"/>
      <c r="BX98" s="416"/>
      <c r="BY98" s="416"/>
      <c r="BZ98" s="416"/>
      <c r="CA98" s="416"/>
    </row>
    <row r="99">
      <c r="A99" s="416"/>
      <c r="B99" s="416"/>
      <c r="C99" s="416"/>
      <c r="D99" s="416"/>
      <c r="E99" s="416"/>
      <c r="F99" s="416"/>
      <c r="G99" s="416"/>
      <c r="H99" s="416"/>
      <c r="I99" s="416"/>
      <c r="J99" s="416"/>
      <c r="K99" s="416"/>
      <c r="L99" s="416"/>
      <c r="M99" s="416"/>
      <c r="N99" s="416"/>
      <c r="O99" s="416"/>
      <c r="P99" s="416"/>
      <c r="Q99" s="416"/>
      <c r="R99" s="416"/>
      <c r="S99" s="416"/>
      <c r="T99" s="416"/>
      <c r="U99" s="416"/>
      <c r="V99" s="416"/>
      <c r="W99" s="416"/>
      <c r="X99" s="416"/>
      <c r="Y99" s="416"/>
      <c r="Z99" s="416"/>
      <c r="AA99" s="416"/>
      <c r="AB99" s="416"/>
      <c r="AC99" s="416"/>
      <c r="AD99" s="416"/>
      <c r="AE99" s="416"/>
      <c r="AF99" s="416"/>
      <c r="AG99" s="416"/>
      <c r="AH99" s="416"/>
      <c r="AI99" s="416"/>
      <c r="AJ99" s="416"/>
      <c r="AK99" s="416"/>
      <c r="AL99" s="416"/>
      <c r="AM99" s="416"/>
      <c r="AN99" s="416"/>
      <c r="AO99" s="416"/>
      <c r="AP99" s="416"/>
      <c r="AQ99" s="416"/>
      <c r="AR99" s="416"/>
      <c r="AS99" s="416"/>
      <c r="AT99" s="416"/>
      <c r="AU99" s="416"/>
      <c r="AV99" s="416"/>
      <c r="AW99" s="416"/>
      <c r="AX99" s="416"/>
      <c r="AY99" s="416"/>
      <c r="AZ99" s="416"/>
      <c r="BA99" s="416"/>
      <c r="BB99" s="416"/>
      <c r="BC99" s="416"/>
      <c r="BD99" s="416"/>
      <c r="BE99" s="416"/>
      <c r="BF99" s="416"/>
      <c r="BG99" s="416"/>
      <c r="BH99" s="416"/>
      <c r="BI99" s="213" t="str">
        <f t="array" ref="BI99">IFERROR(INDEX('💻シート作成'!$D$6:$D162, MATCH(BJ99, '💻シート作成'!$E$6:$E162, 0)), "")</f>
        <v/>
      </c>
      <c r="BJ99" s="168"/>
      <c r="BK99" s="416"/>
      <c r="BL99" s="559" t="str">
        <f t="array" ref="BL99">IFERROR(INDEX('💻シート作成'!$D$6:$D162, MATCH(BM99, '💻シート作成'!$E$6:$E162, 0)), "")</f>
        <v/>
      </c>
      <c r="BM99" s="168"/>
      <c r="BN99" s="416"/>
      <c r="BO99" s="416"/>
      <c r="BP99" s="416"/>
      <c r="BQ99" s="416"/>
      <c r="BR99" s="416"/>
      <c r="BS99" s="416"/>
      <c r="BT99" s="416"/>
      <c r="BU99" s="416"/>
      <c r="BV99" s="416"/>
      <c r="BW99" s="416"/>
      <c r="BX99" s="416"/>
      <c r="BY99" s="416"/>
      <c r="BZ99" s="416"/>
      <c r="CA99" s="416"/>
    </row>
    <row r="100">
      <c r="A100" s="416"/>
      <c r="B100" s="416"/>
      <c r="C100" s="416"/>
      <c r="D100" s="416"/>
      <c r="E100" s="416"/>
      <c r="F100" s="416"/>
      <c r="G100" s="416"/>
      <c r="H100" s="416"/>
      <c r="I100" s="416"/>
      <c r="J100" s="416"/>
      <c r="K100" s="416"/>
      <c r="L100" s="416"/>
      <c r="M100" s="416"/>
      <c r="N100" s="416"/>
      <c r="O100" s="416"/>
      <c r="P100" s="416"/>
      <c r="Q100" s="416"/>
      <c r="R100" s="416"/>
      <c r="S100" s="416"/>
      <c r="T100" s="416"/>
      <c r="U100" s="416"/>
      <c r="V100" s="416"/>
      <c r="W100" s="416"/>
      <c r="X100" s="416"/>
      <c r="Y100" s="416"/>
      <c r="Z100" s="416"/>
      <c r="AA100" s="416"/>
      <c r="AB100" s="416"/>
      <c r="AC100" s="416"/>
      <c r="AD100" s="416"/>
      <c r="AE100" s="416"/>
      <c r="AF100" s="416"/>
      <c r="AG100" s="416"/>
      <c r="AH100" s="416"/>
      <c r="AI100" s="416"/>
      <c r="AJ100" s="416"/>
      <c r="AK100" s="416"/>
      <c r="AL100" s="416"/>
      <c r="AM100" s="416"/>
      <c r="AN100" s="416"/>
      <c r="AO100" s="416"/>
      <c r="AP100" s="416"/>
      <c r="AQ100" s="416"/>
      <c r="AR100" s="416"/>
      <c r="AS100" s="416"/>
      <c r="AT100" s="416"/>
      <c r="AU100" s="416"/>
      <c r="AV100" s="416"/>
      <c r="AW100" s="416"/>
      <c r="AX100" s="416"/>
      <c r="AY100" s="416"/>
      <c r="AZ100" s="416"/>
      <c r="BA100" s="416"/>
      <c r="BB100" s="416"/>
      <c r="BC100" s="416"/>
      <c r="BD100" s="416"/>
      <c r="BE100" s="416"/>
      <c r="BF100" s="416"/>
      <c r="BG100" s="416"/>
      <c r="BH100" s="416"/>
      <c r="BI100" s="213" t="str">
        <f t="array" ref="BI100">IFERROR(INDEX('💻シート作成'!$D$6:$D162, MATCH(BJ100, '💻シート作成'!$E$6:$E162, 0)), "")</f>
        <v/>
      </c>
      <c r="BJ100" s="168"/>
      <c r="BK100" s="416"/>
      <c r="BL100" s="559" t="str">
        <f t="array" ref="BL100">IFERROR(INDEX('💻シート作成'!$D$6:$D162, MATCH(BM100, '💻シート作成'!$E$6:$E162, 0)), "")</f>
        <v/>
      </c>
      <c r="BM100" s="168"/>
      <c r="BN100" s="416"/>
      <c r="BO100" s="416"/>
      <c r="BP100" s="416"/>
      <c r="BQ100" s="416"/>
      <c r="BR100" s="416"/>
      <c r="BS100" s="416"/>
      <c r="BT100" s="416"/>
      <c r="BU100" s="416"/>
      <c r="BV100" s="416"/>
      <c r="BW100" s="416"/>
      <c r="BX100" s="416"/>
      <c r="BY100" s="416"/>
      <c r="BZ100" s="416"/>
      <c r="CA100" s="416"/>
    </row>
    <row r="101">
      <c r="A101" s="416"/>
      <c r="B101" s="416"/>
      <c r="C101" s="416"/>
      <c r="D101" s="416"/>
      <c r="E101" s="416"/>
      <c r="F101" s="416"/>
      <c r="G101" s="416"/>
      <c r="H101" s="416"/>
      <c r="I101" s="416"/>
      <c r="J101" s="416"/>
      <c r="K101" s="416"/>
      <c r="L101" s="416"/>
      <c r="M101" s="416"/>
      <c r="N101" s="416"/>
      <c r="O101" s="416"/>
      <c r="P101" s="416"/>
      <c r="Q101" s="416"/>
      <c r="R101" s="416"/>
      <c r="S101" s="416"/>
      <c r="T101" s="416"/>
      <c r="U101" s="416"/>
      <c r="V101" s="416"/>
      <c r="W101" s="416"/>
      <c r="X101" s="416"/>
      <c r="Y101" s="416"/>
      <c r="Z101" s="416"/>
      <c r="AA101" s="416"/>
      <c r="AB101" s="416"/>
      <c r="AC101" s="416"/>
      <c r="AD101" s="416"/>
      <c r="AE101" s="416"/>
      <c r="AF101" s="416"/>
      <c r="AG101" s="416"/>
      <c r="AH101" s="416"/>
      <c r="AI101" s="416"/>
      <c r="AJ101" s="416"/>
      <c r="AK101" s="416"/>
      <c r="AL101" s="416"/>
      <c r="AM101" s="416"/>
      <c r="AN101" s="416"/>
      <c r="AO101" s="416"/>
      <c r="AP101" s="416"/>
      <c r="AQ101" s="416"/>
      <c r="AR101" s="416"/>
      <c r="AS101" s="416"/>
      <c r="AT101" s="416"/>
      <c r="AU101" s="416"/>
      <c r="AV101" s="416"/>
      <c r="AW101" s="416"/>
      <c r="AX101" s="416"/>
      <c r="AY101" s="416"/>
      <c r="AZ101" s="416"/>
      <c r="BA101" s="416"/>
      <c r="BB101" s="416"/>
      <c r="BC101" s="416"/>
      <c r="BD101" s="416"/>
      <c r="BE101" s="416"/>
      <c r="BF101" s="416"/>
      <c r="BG101" s="416"/>
      <c r="BH101" s="416"/>
      <c r="BI101" s="213" t="str">
        <f t="array" ref="BI101">IFERROR(INDEX('💻シート作成'!$D$6:$D162, MATCH(BJ101, '💻シート作成'!$E$6:$E162, 0)), "")</f>
        <v/>
      </c>
      <c r="BJ101" s="168"/>
      <c r="BK101" s="416"/>
      <c r="BL101" s="559" t="str">
        <f t="array" ref="BL101">IFERROR(INDEX('💻シート作成'!$D$6:$D162, MATCH(BM101, '💻シート作成'!$E$6:$E162, 0)), "")</f>
        <v/>
      </c>
      <c r="BM101" s="168"/>
      <c r="BN101" s="416"/>
      <c r="BO101" s="416"/>
      <c r="BP101" s="416"/>
      <c r="BQ101" s="416"/>
      <c r="BR101" s="416"/>
      <c r="BS101" s="416"/>
      <c r="BT101" s="416"/>
      <c r="BU101" s="416"/>
      <c r="BV101" s="416"/>
      <c r="BW101" s="416"/>
      <c r="BX101" s="416"/>
      <c r="BY101" s="416"/>
      <c r="BZ101" s="416"/>
      <c r="CA101" s="416"/>
    </row>
    <row r="102">
      <c r="A102" s="416"/>
      <c r="B102" s="416"/>
      <c r="C102" s="416"/>
      <c r="D102" s="416"/>
      <c r="E102" s="416"/>
      <c r="F102" s="416"/>
      <c r="G102" s="416"/>
      <c r="H102" s="416"/>
      <c r="I102" s="416"/>
      <c r="J102" s="416"/>
      <c r="K102" s="416"/>
      <c r="L102" s="416"/>
      <c r="M102" s="416"/>
      <c r="N102" s="416"/>
      <c r="O102" s="416"/>
      <c r="P102" s="416"/>
      <c r="Q102" s="416"/>
      <c r="R102" s="416"/>
      <c r="S102" s="416"/>
      <c r="T102" s="416"/>
      <c r="U102" s="416"/>
      <c r="V102" s="416"/>
      <c r="W102" s="416"/>
      <c r="X102" s="416"/>
      <c r="Y102" s="416"/>
      <c r="Z102" s="416"/>
      <c r="AA102" s="416"/>
      <c r="AB102" s="416"/>
      <c r="AC102" s="416"/>
      <c r="AD102" s="416"/>
      <c r="AE102" s="416"/>
      <c r="AF102" s="416"/>
      <c r="AG102" s="416"/>
      <c r="AH102" s="416"/>
      <c r="AI102" s="416"/>
      <c r="AJ102" s="416"/>
      <c r="AK102" s="416"/>
      <c r="AL102" s="416"/>
      <c r="AM102" s="416"/>
      <c r="AN102" s="416"/>
      <c r="AO102" s="416"/>
      <c r="AP102" s="416"/>
      <c r="AQ102" s="416"/>
      <c r="AR102" s="416"/>
      <c r="AS102" s="416"/>
      <c r="AT102" s="416"/>
      <c r="AU102" s="416"/>
      <c r="AV102" s="416"/>
      <c r="AW102" s="416"/>
      <c r="AX102" s="416"/>
      <c r="AY102" s="416"/>
      <c r="AZ102" s="416"/>
      <c r="BA102" s="416"/>
      <c r="BB102" s="416"/>
      <c r="BC102" s="416"/>
      <c r="BD102" s="416"/>
      <c r="BE102" s="416"/>
      <c r="BF102" s="416"/>
      <c r="BG102" s="416"/>
      <c r="BH102" s="416"/>
      <c r="BI102" s="213" t="str">
        <f t="array" ref="BI102">IFERROR(INDEX('💻シート作成'!$D$6:$D162, MATCH(BJ102, '💻シート作成'!$E$6:$E162, 0)), "")</f>
        <v/>
      </c>
      <c r="BJ102" s="168"/>
      <c r="BK102" s="416"/>
      <c r="BL102" s="559" t="str">
        <f t="array" ref="BL102">IFERROR(INDEX('💻シート作成'!$D$6:$D162, MATCH(BM102, '💻シート作成'!$E$6:$E162, 0)), "")</f>
        <v/>
      </c>
      <c r="BM102" s="168"/>
      <c r="BN102" s="416"/>
      <c r="BO102" s="416"/>
      <c r="BP102" s="416"/>
      <c r="BQ102" s="416"/>
      <c r="BR102" s="416"/>
      <c r="BS102" s="416"/>
      <c r="BT102" s="416"/>
      <c r="BU102" s="416"/>
      <c r="BV102" s="416"/>
      <c r="BW102" s="416"/>
      <c r="BX102" s="416"/>
      <c r="BY102" s="416"/>
      <c r="BZ102" s="416"/>
      <c r="CA102" s="416"/>
    </row>
    <row r="103">
      <c r="A103" s="416"/>
      <c r="B103" s="416"/>
      <c r="C103" s="416"/>
      <c r="D103" s="416"/>
      <c r="E103" s="416"/>
      <c r="F103" s="416"/>
      <c r="G103" s="416"/>
      <c r="H103" s="416"/>
      <c r="I103" s="416"/>
      <c r="J103" s="416"/>
      <c r="K103" s="416"/>
      <c r="L103" s="416"/>
      <c r="M103" s="416"/>
      <c r="N103" s="416"/>
      <c r="O103" s="416"/>
      <c r="P103" s="416"/>
      <c r="Q103" s="416"/>
      <c r="R103" s="416"/>
      <c r="S103" s="416"/>
      <c r="T103" s="416"/>
      <c r="U103" s="416"/>
      <c r="V103" s="416"/>
      <c r="W103" s="416"/>
      <c r="X103" s="416"/>
      <c r="Y103" s="416"/>
      <c r="Z103" s="416"/>
      <c r="AA103" s="416"/>
      <c r="AB103" s="416"/>
      <c r="AC103" s="416"/>
      <c r="AD103" s="416"/>
      <c r="AE103" s="416"/>
      <c r="AF103" s="416"/>
      <c r="AG103" s="416"/>
      <c r="AH103" s="416"/>
      <c r="AI103" s="416"/>
      <c r="AJ103" s="416"/>
      <c r="AK103" s="416"/>
      <c r="AL103" s="416"/>
      <c r="AM103" s="416"/>
      <c r="AN103" s="416"/>
      <c r="AO103" s="416"/>
      <c r="AP103" s="416"/>
      <c r="AQ103" s="416"/>
      <c r="AR103" s="416"/>
      <c r="AS103" s="416"/>
      <c r="AT103" s="416"/>
      <c r="AU103" s="416"/>
      <c r="AV103" s="416"/>
      <c r="AW103" s="416"/>
      <c r="AX103" s="416"/>
      <c r="AY103" s="416"/>
      <c r="AZ103" s="416"/>
      <c r="BA103" s="416"/>
      <c r="BB103" s="416"/>
      <c r="BC103" s="416"/>
      <c r="BD103" s="416"/>
      <c r="BE103" s="416"/>
      <c r="BF103" s="416"/>
      <c r="BG103" s="416"/>
      <c r="BH103" s="416"/>
      <c r="BI103" s="213" t="str">
        <f t="array" ref="BI103">IFERROR(INDEX('💻シート作成'!$D$6:$D162, MATCH(BJ103, '💻シート作成'!$E$6:$E162, 0)), "")</f>
        <v/>
      </c>
      <c r="BJ103" s="168"/>
      <c r="BK103" s="416"/>
      <c r="BL103" s="559" t="str">
        <f t="array" ref="BL103">IFERROR(INDEX('💻シート作成'!$D$6:$D162, MATCH(BM103, '💻シート作成'!$E$6:$E162, 0)), "")</f>
        <v/>
      </c>
      <c r="BM103" s="168"/>
      <c r="BN103" s="416"/>
      <c r="BO103" s="416"/>
      <c r="BP103" s="416"/>
      <c r="BQ103" s="416"/>
      <c r="BR103" s="416"/>
      <c r="BS103" s="416"/>
      <c r="BT103" s="416"/>
      <c r="BU103" s="416"/>
      <c r="BV103" s="416"/>
      <c r="BW103" s="416"/>
      <c r="BX103" s="416"/>
      <c r="BY103" s="416"/>
      <c r="BZ103" s="416"/>
      <c r="CA103" s="416"/>
    </row>
    <row r="104">
      <c r="A104" s="416"/>
      <c r="B104" s="416"/>
      <c r="C104" s="416"/>
      <c r="D104" s="416"/>
      <c r="E104" s="416"/>
      <c r="F104" s="416"/>
      <c r="G104" s="416"/>
      <c r="H104" s="416"/>
      <c r="I104" s="416"/>
      <c r="J104" s="416"/>
      <c r="K104" s="416"/>
      <c r="L104" s="416"/>
      <c r="M104" s="416"/>
      <c r="N104" s="416"/>
      <c r="O104" s="416"/>
      <c r="P104" s="416"/>
      <c r="Q104" s="416"/>
      <c r="R104" s="416"/>
      <c r="S104" s="416"/>
      <c r="T104" s="416"/>
      <c r="U104" s="416"/>
      <c r="V104" s="416"/>
      <c r="W104" s="416"/>
      <c r="X104" s="416"/>
      <c r="Y104" s="416"/>
      <c r="Z104" s="416"/>
      <c r="AA104" s="416"/>
      <c r="AB104" s="416"/>
      <c r="AC104" s="416"/>
      <c r="AD104" s="416"/>
      <c r="AE104" s="416"/>
      <c r="AF104" s="416"/>
      <c r="AG104" s="416"/>
      <c r="AH104" s="416"/>
      <c r="AI104" s="416"/>
      <c r="AJ104" s="416"/>
      <c r="AK104" s="416"/>
      <c r="AL104" s="416"/>
      <c r="AM104" s="416"/>
      <c r="AN104" s="416"/>
      <c r="AO104" s="416"/>
      <c r="AP104" s="416"/>
      <c r="AQ104" s="416"/>
      <c r="AR104" s="416"/>
      <c r="AS104" s="416"/>
      <c r="AT104" s="416"/>
      <c r="AU104" s="416"/>
      <c r="AV104" s="416"/>
      <c r="AW104" s="416"/>
      <c r="AX104" s="416"/>
      <c r="AY104" s="416"/>
      <c r="AZ104" s="416"/>
      <c r="BA104" s="416"/>
      <c r="BB104" s="416"/>
      <c r="BC104" s="416"/>
      <c r="BD104" s="416"/>
      <c r="BE104" s="416"/>
      <c r="BF104" s="416"/>
      <c r="BG104" s="416"/>
      <c r="BH104" s="416"/>
      <c r="BI104" s="213" t="str">
        <f t="array" ref="BI104">IFERROR(INDEX('💻シート作成'!$D$6:$D162, MATCH(BJ104, '💻シート作成'!$E$6:$E162, 0)), "")</f>
        <v/>
      </c>
      <c r="BJ104" s="168"/>
      <c r="BK104" s="416"/>
      <c r="BL104" s="559" t="str">
        <f t="array" ref="BL104">IFERROR(INDEX('💻シート作成'!$D$6:$D162, MATCH(BM104, '💻シート作成'!$E$6:$E162, 0)), "")</f>
        <v/>
      </c>
      <c r="BM104" s="168"/>
      <c r="BN104" s="416"/>
      <c r="BO104" s="416"/>
      <c r="BP104" s="416"/>
      <c r="BQ104" s="416"/>
      <c r="BR104" s="416"/>
      <c r="BS104" s="416"/>
      <c r="BT104" s="416"/>
      <c r="BU104" s="416"/>
      <c r="BV104" s="416"/>
      <c r="BW104" s="416"/>
      <c r="BX104" s="416"/>
      <c r="BY104" s="416"/>
      <c r="BZ104" s="416"/>
      <c r="CA104" s="416"/>
    </row>
    <row r="105">
      <c r="A105" s="416"/>
      <c r="B105" s="416"/>
      <c r="C105" s="416"/>
      <c r="D105" s="416"/>
      <c r="E105" s="416"/>
      <c r="F105" s="416"/>
      <c r="G105" s="416"/>
      <c r="H105" s="416"/>
      <c r="I105" s="416"/>
      <c r="J105" s="416"/>
      <c r="K105" s="416"/>
      <c r="L105" s="416"/>
      <c r="M105" s="416"/>
      <c r="N105" s="416"/>
      <c r="O105" s="416"/>
      <c r="P105" s="416"/>
      <c r="Q105" s="416"/>
      <c r="R105" s="416"/>
      <c r="S105" s="416"/>
      <c r="T105" s="416"/>
      <c r="U105" s="416"/>
      <c r="V105" s="416"/>
      <c r="W105" s="416"/>
      <c r="X105" s="416"/>
      <c r="Y105" s="416"/>
      <c r="Z105" s="416"/>
      <c r="AA105" s="416"/>
      <c r="AB105" s="416"/>
      <c r="AC105" s="416"/>
      <c r="AD105" s="416"/>
      <c r="AE105" s="416"/>
      <c r="AF105" s="416"/>
      <c r="AG105" s="416"/>
      <c r="AH105" s="416"/>
      <c r="AI105" s="416"/>
      <c r="AJ105" s="416"/>
      <c r="AK105" s="416"/>
      <c r="AL105" s="416"/>
      <c r="AM105" s="416"/>
      <c r="AN105" s="416"/>
      <c r="AO105" s="416"/>
      <c r="AP105" s="416"/>
      <c r="AQ105" s="416"/>
      <c r="AR105" s="416"/>
      <c r="AS105" s="416"/>
      <c r="AT105" s="416"/>
      <c r="AU105" s="416"/>
      <c r="AV105" s="416"/>
      <c r="AW105" s="416"/>
      <c r="AX105" s="416"/>
      <c r="AY105" s="416"/>
      <c r="AZ105" s="416"/>
      <c r="BA105" s="416"/>
      <c r="BB105" s="416"/>
      <c r="BC105" s="416"/>
      <c r="BD105" s="416"/>
      <c r="BE105" s="416"/>
      <c r="BF105" s="416"/>
      <c r="BG105" s="416"/>
      <c r="BH105" s="416"/>
      <c r="BI105" s="213" t="str">
        <f t="array" ref="BI105">IFERROR(INDEX('💻シート作成'!$D$6:$D162, MATCH(BJ105, '💻シート作成'!$E$6:$E162, 0)), "")</f>
        <v/>
      </c>
      <c r="BJ105" s="168"/>
      <c r="BK105" s="416"/>
      <c r="BL105" s="559" t="str">
        <f t="array" ref="BL105">IFERROR(INDEX('💻シート作成'!$D$6:$D162, MATCH(BM105, '💻シート作成'!$E$6:$E162, 0)), "")</f>
        <v/>
      </c>
      <c r="BM105" s="168"/>
      <c r="BN105" s="416"/>
      <c r="BO105" s="416"/>
      <c r="BP105" s="416"/>
      <c r="BQ105" s="416"/>
      <c r="BR105" s="416"/>
      <c r="BS105" s="416"/>
      <c r="BT105" s="416"/>
      <c r="BU105" s="416"/>
      <c r="BV105" s="416"/>
      <c r="BW105" s="416"/>
      <c r="BX105" s="416"/>
      <c r="BY105" s="416"/>
      <c r="BZ105" s="416"/>
      <c r="CA105" s="416"/>
    </row>
    <row r="106">
      <c r="A106" s="416"/>
      <c r="B106" s="416"/>
      <c r="C106" s="416"/>
      <c r="D106" s="416"/>
      <c r="E106" s="416"/>
      <c r="F106" s="416"/>
      <c r="G106" s="416"/>
      <c r="H106" s="416"/>
      <c r="I106" s="416"/>
      <c r="J106" s="416"/>
      <c r="K106" s="416"/>
      <c r="L106" s="416"/>
      <c r="M106" s="416"/>
      <c r="N106" s="416"/>
      <c r="O106" s="416"/>
      <c r="P106" s="416"/>
      <c r="Q106" s="416"/>
      <c r="R106" s="416"/>
      <c r="S106" s="416"/>
      <c r="T106" s="416"/>
      <c r="U106" s="416"/>
      <c r="V106" s="416"/>
      <c r="W106" s="416"/>
      <c r="X106" s="416"/>
      <c r="Y106" s="416"/>
      <c r="Z106" s="416"/>
      <c r="AA106" s="416"/>
      <c r="AB106" s="416"/>
      <c r="AC106" s="416"/>
      <c r="AD106" s="416"/>
      <c r="AE106" s="416"/>
      <c r="AF106" s="416"/>
      <c r="AG106" s="416"/>
      <c r="AH106" s="416"/>
      <c r="AI106" s="416"/>
      <c r="AJ106" s="416"/>
      <c r="AK106" s="416"/>
      <c r="AL106" s="416"/>
      <c r="AM106" s="416"/>
      <c r="AN106" s="416"/>
      <c r="AO106" s="416"/>
      <c r="AP106" s="416"/>
      <c r="AQ106" s="416"/>
      <c r="AR106" s="416"/>
      <c r="AS106" s="416"/>
      <c r="AT106" s="416"/>
      <c r="AU106" s="416"/>
      <c r="AV106" s="416"/>
      <c r="AW106" s="416"/>
      <c r="AX106" s="416"/>
      <c r="AY106" s="416"/>
      <c r="AZ106" s="416"/>
      <c r="BA106" s="416"/>
      <c r="BB106" s="416"/>
      <c r="BC106" s="416"/>
      <c r="BD106" s="416"/>
      <c r="BE106" s="416"/>
      <c r="BF106" s="416"/>
      <c r="BG106" s="416"/>
      <c r="BH106" s="416"/>
      <c r="BI106" s="213" t="str">
        <f t="array" ref="BI106">IFERROR(INDEX('💻シート作成'!$D$6:$D162, MATCH(BJ106, '💻シート作成'!$E$6:$E162, 0)), "")</f>
        <v/>
      </c>
      <c r="BJ106" s="168"/>
      <c r="BK106" s="416"/>
      <c r="BL106" s="559" t="str">
        <f t="array" ref="BL106">IFERROR(INDEX('💻シート作成'!$D$6:$D162, MATCH(BM106, '💻シート作成'!$E$6:$E162, 0)), "")</f>
        <v/>
      </c>
      <c r="BM106" s="168"/>
      <c r="BN106" s="416"/>
      <c r="BO106" s="416"/>
      <c r="BP106" s="416"/>
      <c r="BQ106" s="416"/>
      <c r="BR106" s="416"/>
      <c r="BS106" s="416"/>
      <c r="BT106" s="416"/>
      <c r="BU106" s="416"/>
      <c r="BV106" s="416"/>
      <c r="BW106" s="416"/>
      <c r="BX106" s="416"/>
      <c r="BY106" s="416"/>
      <c r="BZ106" s="416"/>
      <c r="CA106" s="416"/>
    </row>
    <row r="107">
      <c r="A107" s="416"/>
      <c r="B107" s="416"/>
      <c r="C107" s="416"/>
      <c r="D107" s="416"/>
      <c r="E107" s="416"/>
      <c r="F107" s="416"/>
      <c r="G107" s="416"/>
      <c r="H107" s="416"/>
      <c r="I107" s="416"/>
      <c r="J107" s="416"/>
      <c r="K107" s="416"/>
      <c r="L107" s="416"/>
      <c r="M107" s="416"/>
      <c r="N107" s="416"/>
      <c r="O107" s="416"/>
      <c r="P107" s="416"/>
      <c r="Q107" s="416"/>
      <c r="R107" s="416"/>
      <c r="S107" s="416"/>
      <c r="T107" s="416"/>
      <c r="U107" s="416"/>
      <c r="V107" s="416"/>
      <c r="W107" s="416"/>
      <c r="X107" s="416"/>
      <c r="Y107" s="416"/>
      <c r="Z107" s="416"/>
      <c r="AA107" s="416"/>
      <c r="AB107" s="416"/>
      <c r="AC107" s="416"/>
      <c r="AD107" s="416"/>
      <c r="AE107" s="416"/>
      <c r="AF107" s="416"/>
      <c r="AG107" s="416"/>
      <c r="AH107" s="416"/>
      <c r="AI107" s="416"/>
      <c r="AJ107" s="416"/>
      <c r="AK107" s="416"/>
      <c r="AL107" s="416"/>
      <c r="AM107" s="416"/>
      <c r="AN107" s="416"/>
      <c r="AO107" s="416"/>
      <c r="AP107" s="416"/>
      <c r="AQ107" s="416"/>
      <c r="AR107" s="416"/>
      <c r="AS107" s="416"/>
      <c r="AT107" s="416"/>
      <c r="AU107" s="416"/>
      <c r="AV107" s="416"/>
      <c r="AW107" s="416"/>
      <c r="AX107" s="416"/>
      <c r="AY107" s="416"/>
      <c r="AZ107" s="416"/>
      <c r="BA107" s="416"/>
      <c r="BB107" s="416"/>
      <c r="BC107" s="416"/>
      <c r="BD107" s="416"/>
      <c r="BE107" s="416"/>
      <c r="BF107" s="416"/>
      <c r="BG107" s="416"/>
      <c r="BH107" s="416"/>
      <c r="BI107" s="213" t="str">
        <f t="array" ref="BI107">IFERROR(INDEX('💻シート作成'!$D$6:$D162, MATCH(BJ107, '💻シート作成'!$E$6:$E162, 0)), "")</f>
        <v/>
      </c>
      <c r="BJ107" s="168"/>
      <c r="BK107" s="416"/>
      <c r="BL107" s="559" t="str">
        <f t="array" ref="BL107">IFERROR(INDEX('💻シート作成'!$D$6:$D162, MATCH(BM107, '💻シート作成'!$E$6:$E162, 0)), "")</f>
        <v/>
      </c>
      <c r="BM107" s="168"/>
      <c r="BN107" s="416"/>
      <c r="BO107" s="416"/>
      <c r="BP107" s="416"/>
      <c r="BQ107" s="416"/>
      <c r="BR107" s="416"/>
      <c r="BS107" s="416"/>
      <c r="BT107" s="416"/>
      <c r="BU107" s="416"/>
      <c r="BV107" s="416"/>
      <c r="BW107" s="416"/>
      <c r="BX107" s="416"/>
      <c r="BY107" s="416"/>
      <c r="BZ107" s="416"/>
      <c r="CA107" s="416"/>
    </row>
    <row r="108">
      <c r="A108" s="416"/>
      <c r="B108" s="416"/>
      <c r="C108" s="416"/>
      <c r="D108" s="416"/>
      <c r="E108" s="416"/>
      <c r="F108" s="416"/>
      <c r="G108" s="416"/>
      <c r="H108" s="416"/>
      <c r="I108" s="416"/>
      <c r="J108" s="416"/>
      <c r="K108" s="416"/>
      <c r="L108" s="416"/>
      <c r="M108" s="416"/>
      <c r="N108" s="416"/>
      <c r="O108" s="416"/>
      <c r="P108" s="416"/>
      <c r="Q108" s="416"/>
      <c r="R108" s="416"/>
      <c r="S108" s="416"/>
      <c r="T108" s="416"/>
      <c r="U108" s="416"/>
      <c r="V108" s="416"/>
      <c r="W108" s="416"/>
      <c r="X108" s="416"/>
      <c r="Y108" s="416"/>
      <c r="Z108" s="416"/>
      <c r="AA108" s="416"/>
      <c r="AB108" s="416"/>
      <c r="AC108" s="416"/>
      <c r="AD108" s="416"/>
      <c r="AE108" s="416"/>
      <c r="AF108" s="416"/>
      <c r="AG108" s="416"/>
      <c r="AH108" s="416"/>
      <c r="AI108" s="416"/>
      <c r="AJ108" s="416"/>
      <c r="AK108" s="416"/>
      <c r="AL108" s="416"/>
      <c r="AM108" s="416"/>
      <c r="AN108" s="416"/>
      <c r="AO108" s="416"/>
      <c r="AP108" s="416"/>
      <c r="AQ108" s="416"/>
      <c r="AR108" s="416"/>
      <c r="AS108" s="416"/>
      <c r="AT108" s="416"/>
      <c r="AU108" s="416"/>
      <c r="AV108" s="416"/>
      <c r="AW108" s="416"/>
      <c r="AX108" s="416"/>
      <c r="AY108" s="416"/>
      <c r="AZ108" s="416"/>
      <c r="BA108" s="416"/>
      <c r="BB108" s="416"/>
      <c r="BC108" s="416"/>
      <c r="BD108" s="416"/>
      <c r="BE108" s="416"/>
      <c r="BF108" s="416"/>
      <c r="BG108" s="416"/>
      <c r="BH108" s="416"/>
      <c r="BI108" s="213" t="str">
        <f t="array" ref="BI108">IFERROR(INDEX('💻シート作成'!$D$6:$D162, MATCH(BJ108, '💻シート作成'!$E$6:$E162, 0)), "")</f>
        <v/>
      </c>
      <c r="BJ108" s="168"/>
      <c r="BK108" s="416"/>
      <c r="BL108" s="559" t="str">
        <f t="array" ref="BL108">IFERROR(INDEX('💻シート作成'!$D$6:$D162, MATCH(BM108, '💻シート作成'!$E$6:$E162, 0)), "")</f>
        <v/>
      </c>
      <c r="BM108" s="168"/>
      <c r="BN108" s="416"/>
      <c r="BO108" s="416"/>
      <c r="BP108" s="416"/>
      <c r="BQ108" s="416"/>
      <c r="BR108" s="416"/>
      <c r="BS108" s="416"/>
      <c r="BT108" s="416"/>
      <c r="BU108" s="416"/>
      <c r="BV108" s="416"/>
      <c r="BW108" s="416"/>
      <c r="BX108" s="416"/>
      <c r="BY108" s="416"/>
      <c r="BZ108" s="416"/>
      <c r="CA108" s="416"/>
    </row>
    <row r="109">
      <c r="A109" s="416"/>
      <c r="B109" s="416"/>
      <c r="C109" s="416"/>
      <c r="D109" s="416"/>
      <c r="E109" s="416"/>
      <c r="F109" s="416"/>
      <c r="G109" s="416"/>
      <c r="H109" s="416"/>
      <c r="I109" s="416"/>
      <c r="J109" s="416"/>
      <c r="K109" s="416"/>
      <c r="L109" s="416"/>
      <c r="M109" s="416"/>
      <c r="N109" s="416"/>
      <c r="O109" s="416"/>
      <c r="P109" s="416"/>
      <c r="Q109" s="416"/>
      <c r="R109" s="416"/>
      <c r="S109" s="416"/>
      <c r="T109" s="416"/>
      <c r="U109" s="416"/>
      <c r="V109" s="416"/>
      <c r="W109" s="416"/>
      <c r="X109" s="416"/>
      <c r="Y109" s="416"/>
      <c r="Z109" s="416"/>
      <c r="AA109" s="416"/>
      <c r="AB109" s="416"/>
      <c r="AC109" s="416"/>
      <c r="AD109" s="416"/>
      <c r="AE109" s="416"/>
      <c r="AF109" s="416"/>
      <c r="AG109" s="416"/>
      <c r="AH109" s="416"/>
      <c r="AI109" s="416"/>
      <c r="AJ109" s="416"/>
      <c r="AK109" s="416"/>
      <c r="AL109" s="416"/>
      <c r="AM109" s="416"/>
      <c r="AN109" s="416"/>
      <c r="AO109" s="416"/>
      <c r="AP109" s="416"/>
      <c r="AQ109" s="416"/>
      <c r="AR109" s="416"/>
      <c r="AS109" s="416"/>
      <c r="AT109" s="416"/>
      <c r="AU109" s="416"/>
      <c r="AV109" s="416"/>
      <c r="AW109" s="416"/>
      <c r="AX109" s="416"/>
      <c r="AY109" s="416"/>
      <c r="AZ109" s="416"/>
      <c r="BA109" s="416"/>
      <c r="BB109" s="416"/>
      <c r="BC109" s="416"/>
      <c r="BD109" s="416"/>
      <c r="BE109" s="416"/>
      <c r="BF109" s="416"/>
      <c r="BG109" s="416"/>
      <c r="BH109" s="416"/>
      <c r="BI109" s="213" t="str">
        <f t="array" ref="BI109">IFERROR(INDEX('💻シート作成'!$D$6:$D162, MATCH(BJ109, '💻シート作成'!$E$6:$E162, 0)), "")</f>
        <v/>
      </c>
      <c r="BJ109" s="168"/>
      <c r="BK109" s="416"/>
      <c r="BL109" s="559" t="str">
        <f t="array" ref="BL109">IFERROR(INDEX('💻シート作成'!$D$6:$D162, MATCH(BM109, '💻シート作成'!$E$6:$E162, 0)), "")</f>
        <v/>
      </c>
      <c r="BM109" s="168"/>
      <c r="BN109" s="416"/>
      <c r="BO109" s="416"/>
      <c r="BP109" s="416"/>
      <c r="BQ109" s="416"/>
      <c r="BR109" s="416"/>
      <c r="BS109" s="416"/>
      <c r="BT109" s="416"/>
      <c r="BU109" s="416"/>
      <c r="BV109" s="416"/>
      <c r="BW109" s="416"/>
      <c r="BX109" s="416"/>
      <c r="BY109" s="416"/>
      <c r="BZ109" s="416"/>
      <c r="CA109" s="416"/>
    </row>
    <row r="110">
      <c r="A110" s="416"/>
      <c r="B110" s="416"/>
      <c r="C110" s="416"/>
      <c r="D110" s="416"/>
      <c r="E110" s="416"/>
      <c r="F110" s="416"/>
      <c r="G110" s="416"/>
      <c r="H110" s="416"/>
      <c r="I110" s="416"/>
      <c r="J110" s="416"/>
      <c r="K110" s="416"/>
      <c r="L110" s="416"/>
      <c r="M110" s="416"/>
      <c r="N110" s="416"/>
      <c r="O110" s="416"/>
      <c r="P110" s="416"/>
      <c r="Q110" s="416"/>
      <c r="R110" s="416"/>
      <c r="S110" s="416"/>
      <c r="T110" s="416"/>
      <c r="U110" s="416"/>
      <c r="V110" s="416"/>
      <c r="W110" s="416"/>
      <c r="X110" s="416"/>
      <c r="Y110" s="416"/>
      <c r="Z110" s="416"/>
      <c r="AA110" s="416"/>
      <c r="AB110" s="416"/>
      <c r="AC110" s="416"/>
      <c r="AD110" s="416"/>
      <c r="AE110" s="416"/>
      <c r="AF110" s="416"/>
      <c r="AG110" s="416"/>
      <c r="AH110" s="416"/>
      <c r="AI110" s="416"/>
      <c r="AJ110" s="416"/>
      <c r="AK110" s="416"/>
      <c r="AL110" s="416"/>
      <c r="AM110" s="416"/>
      <c r="AN110" s="416"/>
      <c r="AO110" s="416"/>
      <c r="AP110" s="416"/>
      <c r="AQ110" s="416"/>
      <c r="AR110" s="416"/>
      <c r="AS110" s="416"/>
      <c r="AT110" s="416"/>
      <c r="AU110" s="416"/>
      <c r="AV110" s="416"/>
      <c r="AW110" s="416"/>
      <c r="AX110" s="416"/>
      <c r="AY110" s="416"/>
      <c r="AZ110" s="416"/>
      <c r="BA110" s="416"/>
      <c r="BB110" s="416"/>
      <c r="BC110" s="416"/>
      <c r="BD110" s="416"/>
      <c r="BE110" s="416"/>
      <c r="BF110" s="416"/>
      <c r="BG110" s="416"/>
      <c r="BH110" s="416"/>
      <c r="BI110" s="213" t="str">
        <f t="array" ref="BI110">IFERROR(INDEX('💻シート作成'!$D$6:$D162, MATCH(BJ110, '💻シート作成'!$E$6:$E162, 0)), "")</f>
        <v/>
      </c>
      <c r="BJ110" s="168"/>
      <c r="BK110" s="416"/>
      <c r="BL110" s="559" t="str">
        <f t="array" ref="BL110">IFERROR(INDEX('💻シート作成'!$D$6:$D162, MATCH(BM110, '💻シート作成'!$E$6:$E162, 0)), "")</f>
        <v/>
      </c>
      <c r="BM110" s="168"/>
      <c r="BN110" s="416"/>
      <c r="BO110" s="416"/>
      <c r="BP110" s="416"/>
      <c r="BQ110" s="416"/>
      <c r="BR110" s="416"/>
      <c r="BS110" s="416"/>
      <c r="BT110" s="416"/>
      <c r="BU110" s="416"/>
      <c r="BV110" s="416"/>
      <c r="BW110" s="416"/>
      <c r="BX110" s="416"/>
      <c r="BY110" s="416"/>
      <c r="BZ110" s="416"/>
      <c r="CA110" s="416"/>
    </row>
    <row r="111">
      <c r="A111" s="416"/>
      <c r="B111" s="416"/>
      <c r="C111" s="416"/>
      <c r="D111" s="416"/>
      <c r="E111" s="416"/>
      <c r="F111" s="416"/>
      <c r="G111" s="416"/>
      <c r="H111" s="416"/>
      <c r="I111" s="416"/>
      <c r="J111" s="416"/>
      <c r="K111" s="416"/>
      <c r="L111" s="416"/>
      <c r="M111" s="416"/>
      <c r="N111" s="416"/>
      <c r="O111" s="416"/>
      <c r="P111" s="416"/>
      <c r="Q111" s="416"/>
      <c r="R111" s="416"/>
      <c r="S111" s="416"/>
      <c r="T111" s="416"/>
      <c r="U111" s="416"/>
      <c r="V111" s="416"/>
      <c r="W111" s="416"/>
      <c r="X111" s="416"/>
      <c r="Y111" s="416"/>
      <c r="Z111" s="416"/>
      <c r="AA111" s="416"/>
      <c r="AB111" s="416"/>
      <c r="AC111" s="416"/>
      <c r="AD111" s="416"/>
      <c r="AE111" s="416"/>
      <c r="AF111" s="416"/>
      <c r="AG111" s="416"/>
      <c r="AH111" s="416"/>
      <c r="AI111" s="416"/>
      <c r="AJ111" s="416"/>
      <c r="AK111" s="416"/>
      <c r="AL111" s="416"/>
      <c r="AM111" s="416"/>
      <c r="AN111" s="416"/>
      <c r="AO111" s="416"/>
      <c r="AP111" s="416"/>
      <c r="AQ111" s="416"/>
      <c r="AR111" s="416"/>
      <c r="AS111" s="416"/>
      <c r="AT111" s="416"/>
      <c r="AU111" s="416"/>
      <c r="AV111" s="416"/>
      <c r="AW111" s="416"/>
      <c r="AX111" s="416"/>
      <c r="AY111" s="416"/>
      <c r="AZ111" s="416"/>
      <c r="BA111" s="416"/>
      <c r="BB111" s="416"/>
      <c r="BC111" s="416"/>
      <c r="BD111" s="416"/>
      <c r="BE111" s="416"/>
      <c r="BF111" s="416"/>
      <c r="BG111" s="416"/>
      <c r="BH111" s="416"/>
      <c r="BI111" s="213" t="str">
        <f t="array" ref="BI111">IFERROR(INDEX('💻シート作成'!$D$6:$D162, MATCH(BJ111, '💻シート作成'!$E$6:$E162, 0)), "")</f>
        <v/>
      </c>
      <c r="BJ111" s="168"/>
      <c r="BK111" s="416"/>
      <c r="BL111" s="559" t="str">
        <f t="array" ref="BL111">IFERROR(INDEX('💻シート作成'!$D$6:$D162, MATCH(BM111, '💻シート作成'!$E$6:$E162, 0)), "")</f>
        <v/>
      </c>
      <c r="BM111" s="168"/>
      <c r="BN111" s="416"/>
      <c r="BO111" s="416"/>
      <c r="BP111" s="416"/>
      <c r="BQ111" s="416"/>
      <c r="BR111" s="416"/>
      <c r="BS111" s="416"/>
      <c r="BT111" s="416"/>
      <c r="BU111" s="416"/>
      <c r="BV111" s="416"/>
      <c r="BW111" s="416"/>
      <c r="BX111" s="416"/>
      <c r="BY111" s="416"/>
      <c r="BZ111" s="416"/>
      <c r="CA111" s="416"/>
    </row>
    <row r="112">
      <c r="A112" s="416"/>
      <c r="B112" s="416"/>
      <c r="C112" s="416"/>
      <c r="D112" s="416"/>
      <c r="E112" s="416"/>
      <c r="F112" s="416"/>
      <c r="G112" s="416"/>
      <c r="H112" s="416"/>
      <c r="I112" s="416"/>
      <c r="J112" s="416"/>
      <c r="K112" s="416"/>
      <c r="L112" s="416"/>
      <c r="M112" s="416"/>
      <c r="N112" s="416"/>
      <c r="O112" s="416"/>
      <c r="P112" s="416"/>
      <c r="Q112" s="416"/>
      <c r="R112" s="416"/>
      <c r="S112" s="416"/>
      <c r="T112" s="416"/>
      <c r="U112" s="416"/>
      <c r="V112" s="416"/>
      <c r="W112" s="416"/>
      <c r="X112" s="416"/>
      <c r="Y112" s="416"/>
      <c r="Z112" s="416"/>
      <c r="AA112" s="416"/>
      <c r="AB112" s="416"/>
      <c r="AC112" s="416"/>
      <c r="AD112" s="416"/>
      <c r="AE112" s="416"/>
      <c r="AF112" s="416"/>
      <c r="AG112" s="416"/>
      <c r="AH112" s="416"/>
      <c r="AI112" s="416"/>
      <c r="AJ112" s="416"/>
      <c r="AK112" s="416"/>
      <c r="AL112" s="416"/>
      <c r="AM112" s="416"/>
      <c r="AN112" s="416"/>
      <c r="AO112" s="416"/>
      <c r="AP112" s="416"/>
      <c r="AQ112" s="416"/>
      <c r="AR112" s="416"/>
      <c r="AS112" s="416"/>
      <c r="AT112" s="416"/>
      <c r="AU112" s="416"/>
      <c r="AV112" s="416"/>
      <c r="AW112" s="416"/>
      <c r="AX112" s="416"/>
      <c r="AY112" s="416"/>
      <c r="AZ112" s="416"/>
      <c r="BA112" s="416"/>
      <c r="BB112" s="416"/>
      <c r="BC112" s="416"/>
      <c r="BD112" s="416"/>
      <c r="BE112" s="416"/>
      <c r="BF112" s="416"/>
      <c r="BG112" s="416"/>
      <c r="BH112" s="416"/>
      <c r="BI112" s="213" t="str">
        <f t="array" ref="BI112">IFERROR(INDEX('💻シート作成'!$D$6:$D162, MATCH(BJ112, '💻シート作成'!$E$6:$E162, 0)), "")</f>
        <v/>
      </c>
      <c r="BJ112" s="168"/>
      <c r="BK112" s="416"/>
      <c r="BL112" s="559" t="str">
        <f t="array" ref="BL112">IFERROR(INDEX('💻シート作成'!$D$6:$D162, MATCH(BM112, '💻シート作成'!$E$6:$E162, 0)), "")</f>
        <v/>
      </c>
      <c r="BM112" s="168"/>
      <c r="BN112" s="416"/>
      <c r="BO112" s="416"/>
      <c r="BP112" s="416"/>
      <c r="BQ112" s="416"/>
      <c r="BR112" s="416"/>
      <c r="BS112" s="416"/>
      <c r="BT112" s="416"/>
      <c r="BU112" s="416"/>
      <c r="BV112" s="416"/>
      <c r="BW112" s="416"/>
      <c r="BX112" s="416"/>
      <c r="BY112" s="416"/>
      <c r="BZ112" s="416"/>
      <c r="CA112" s="416"/>
    </row>
    <row r="113">
      <c r="A113" s="416"/>
      <c r="B113" s="416"/>
      <c r="C113" s="416"/>
      <c r="D113" s="416"/>
      <c r="E113" s="416"/>
      <c r="F113" s="416"/>
      <c r="G113" s="416"/>
      <c r="H113" s="416"/>
      <c r="I113" s="416"/>
      <c r="J113" s="416"/>
      <c r="K113" s="416"/>
      <c r="L113" s="416"/>
      <c r="M113" s="416"/>
      <c r="N113" s="416"/>
      <c r="O113" s="416"/>
      <c r="P113" s="416"/>
      <c r="Q113" s="416"/>
      <c r="R113" s="416"/>
      <c r="S113" s="416"/>
      <c r="T113" s="416"/>
      <c r="U113" s="416"/>
      <c r="V113" s="416"/>
      <c r="W113" s="416"/>
      <c r="X113" s="416"/>
      <c r="Y113" s="416"/>
      <c r="Z113" s="416"/>
      <c r="AA113" s="416"/>
      <c r="AB113" s="416"/>
      <c r="AC113" s="416"/>
      <c r="AD113" s="416"/>
      <c r="AE113" s="416"/>
      <c r="AF113" s="416"/>
      <c r="AG113" s="416"/>
      <c r="AH113" s="416"/>
      <c r="AI113" s="416"/>
      <c r="AJ113" s="416"/>
      <c r="AK113" s="416"/>
      <c r="AL113" s="416"/>
      <c r="AM113" s="416"/>
      <c r="AN113" s="416"/>
      <c r="AO113" s="416"/>
      <c r="AP113" s="416"/>
      <c r="AQ113" s="416"/>
      <c r="AR113" s="416"/>
      <c r="AS113" s="416"/>
      <c r="AT113" s="416"/>
      <c r="AU113" s="416"/>
      <c r="AV113" s="416"/>
      <c r="AW113" s="416"/>
      <c r="AX113" s="416"/>
      <c r="AY113" s="416"/>
      <c r="AZ113" s="416"/>
      <c r="BA113" s="416"/>
      <c r="BB113" s="416"/>
      <c r="BC113" s="416"/>
      <c r="BD113" s="416"/>
      <c r="BE113" s="416"/>
      <c r="BF113" s="416"/>
      <c r="BG113" s="416"/>
      <c r="BH113" s="416"/>
      <c r="BI113" s="213" t="str">
        <f t="array" ref="BI113">IFERROR(INDEX('💻シート作成'!$D$6:$D162, MATCH(BJ113, '💻シート作成'!$E$6:$E162, 0)), "")</f>
        <v/>
      </c>
      <c r="BJ113" s="170"/>
      <c r="BK113" s="416"/>
      <c r="BL113" s="559" t="str">
        <f t="array" ref="BL113">IFERROR(INDEX('💻シート作成'!$D$6:$D162, MATCH(BM113, '💻シート作成'!$E$6:$E162, 0)), "")</f>
        <v/>
      </c>
      <c r="BM113" s="170"/>
      <c r="BN113" s="416"/>
      <c r="BO113" s="416"/>
      <c r="BP113" s="416"/>
      <c r="BQ113" s="416"/>
      <c r="BR113" s="416"/>
      <c r="BS113" s="416"/>
      <c r="BT113" s="416"/>
      <c r="BU113" s="416"/>
      <c r="BV113" s="416"/>
      <c r="BW113" s="416"/>
      <c r="BX113" s="416"/>
      <c r="BY113" s="416"/>
      <c r="BZ113" s="416"/>
      <c r="CA113" s="416"/>
    </row>
    <row r="114">
      <c r="A114" s="416"/>
      <c r="B114" s="416"/>
      <c r="C114" s="416"/>
      <c r="D114" s="416"/>
      <c r="E114" s="416"/>
      <c r="F114" s="416"/>
      <c r="G114" s="416"/>
      <c r="H114" s="416"/>
      <c r="I114" s="416"/>
      <c r="J114" s="416"/>
      <c r="K114" s="416"/>
      <c r="L114" s="416"/>
      <c r="M114" s="416"/>
      <c r="N114" s="416"/>
      <c r="O114" s="416"/>
      <c r="P114" s="416"/>
      <c r="Q114" s="416"/>
      <c r="R114" s="416"/>
      <c r="S114" s="416"/>
      <c r="T114" s="416"/>
      <c r="U114" s="416"/>
      <c r="V114" s="416"/>
      <c r="W114" s="416"/>
      <c r="X114" s="416"/>
      <c r="Y114" s="416"/>
      <c r="Z114" s="416"/>
      <c r="AA114" s="416"/>
      <c r="AB114" s="416"/>
      <c r="AC114" s="416"/>
      <c r="AD114" s="416"/>
      <c r="AE114" s="416"/>
      <c r="AF114" s="416"/>
      <c r="AG114" s="416"/>
      <c r="AH114" s="416"/>
      <c r="AI114" s="416"/>
      <c r="AJ114" s="416"/>
      <c r="AK114" s="416"/>
      <c r="AL114" s="416"/>
      <c r="AM114" s="416"/>
      <c r="AN114" s="416"/>
      <c r="AO114" s="416"/>
      <c r="AP114" s="416"/>
      <c r="AQ114" s="416"/>
      <c r="AR114" s="416"/>
      <c r="AS114" s="416"/>
      <c r="AT114" s="416"/>
      <c r="AU114" s="416"/>
      <c r="AV114" s="416"/>
      <c r="AW114" s="416"/>
      <c r="AX114" s="416"/>
      <c r="AY114" s="416"/>
      <c r="AZ114" s="416"/>
      <c r="BA114" s="416"/>
      <c r="BB114" s="416"/>
      <c r="BC114" s="416"/>
      <c r="BD114" s="416"/>
      <c r="BE114" s="416"/>
      <c r="BF114" s="416"/>
      <c r="BG114" s="416"/>
      <c r="BH114" s="416"/>
      <c r="BI114" s="213" t="str">
        <f t="array" ref="BI114">IFERROR(INDEX('💻シート作成'!$D$6:$D162, MATCH(BJ114, '💻シート作成'!$E$6:$E162, 0)), "")</f>
        <v/>
      </c>
      <c r="BJ114" s="168"/>
      <c r="BK114" s="416"/>
      <c r="BL114" s="559" t="str">
        <f t="array" ref="BL114">IFERROR(INDEX('💻シート作成'!$D$6:$D162, MATCH(BM114, '💻シート作成'!$E$6:$E162, 0)), "")</f>
        <v/>
      </c>
      <c r="BM114" s="168"/>
      <c r="BN114" s="416"/>
      <c r="BO114" s="416"/>
      <c r="BP114" s="416"/>
      <c r="BQ114" s="416"/>
      <c r="BR114" s="416"/>
      <c r="BS114" s="416"/>
      <c r="BT114" s="416"/>
      <c r="BU114" s="416"/>
      <c r="BV114" s="416"/>
      <c r="BW114" s="416"/>
      <c r="BX114" s="416"/>
      <c r="BY114" s="416"/>
      <c r="BZ114" s="416"/>
      <c r="CA114" s="416"/>
    </row>
    <row r="115">
      <c r="A115" s="416"/>
      <c r="B115" s="416"/>
      <c r="C115" s="416"/>
      <c r="D115" s="416"/>
      <c r="E115" s="416"/>
      <c r="F115" s="416"/>
      <c r="G115" s="416"/>
      <c r="H115" s="416"/>
      <c r="I115" s="416"/>
      <c r="J115" s="416"/>
      <c r="K115" s="416"/>
      <c r="L115" s="416"/>
      <c r="M115" s="416"/>
      <c r="N115" s="416"/>
      <c r="O115" s="416"/>
      <c r="P115" s="416"/>
      <c r="Q115" s="416"/>
      <c r="R115" s="416"/>
      <c r="S115" s="416"/>
      <c r="T115" s="416"/>
      <c r="U115" s="416"/>
      <c r="V115" s="416"/>
      <c r="W115" s="416"/>
      <c r="X115" s="416"/>
      <c r="Y115" s="416"/>
      <c r="Z115" s="416"/>
      <c r="AA115" s="416"/>
      <c r="AB115" s="416"/>
      <c r="AC115" s="416"/>
      <c r="AD115" s="416"/>
      <c r="AE115" s="416"/>
      <c r="AF115" s="416"/>
      <c r="AG115" s="416"/>
      <c r="AH115" s="416"/>
      <c r="AI115" s="416"/>
      <c r="AJ115" s="416"/>
      <c r="AK115" s="416"/>
      <c r="AL115" s="416"/>
      <c r="AM115" s="416"/>
      <c r="AN115" s="416"/>
      <c r="AO115" s="416"/>
      <c r="AP115" s="416"/>
      <c r="AQ115" s="416"/>
      <c r="AR115" s="416"/>
      <c r="AS115" s="416"/>
      <c r="AT115" s="416"/>
      <c r="AU115" s="416"/>
      <c r="AV115" s="416"/>
      <c r="AW115" s="416"/>
      <c r="AX115" s="416"/>
      <c r="AY115" s="416"/>
      <c r="AZ115" s="416"/>
      <c r="BA115" s="416"/>
      <c r="BB115" s="416"/>
      <c r="BC115" s="416"/>
      <c r="BD115" s="416"/>
      <c r="BE115" s="416"/>
      <c r="BF115" s="416"/>
      <c r="BG115" s="416"/>
      <c r="BH115" s="416"/>
      <c r="BI115" s="213" t="str">
        <f t="array" ref="BI115">IFERROR(INDEX('💻シート作成'!$D$6:$D162, MATCH(BJ115, '💻シート作成'!$E$6:$E162, 0)), "")</f>
        <v/>
      </c>
      <c r="BJ115" s="170"/>
      <c r="BK115" s="416"/>
      <c r="BL115" s="559" t="str">
        <f t="array" ref="BL115">IFERROR(INDEX('💻シート作成'!$D$6:$D162, MATCH(BM115, '💻シート作成'!$E$6:$E162, 0)), "")</f>
        <v/>
      </c>
      <c r="BM115" s="170"/>
      <c r="BN115" s="416"/>
      <c r="BO115" s="416"/>
      <c r="BP115" s="416"/>
      <c r="BQ115" s="416"/>
      <c r="BR115" s="416"/>
      <c r="BS115" s="416"/>
      <c r="BT115" s="416"/>
      <c r="BU115" s="416"/>
      <c r="BV115" s="416"/>
      <c r="BW115" s="416"/>
      <c r="BX115" s="416"/>
      <c r="BY115" s="416"/>
      <c r="BZ115" s="416"/>
      <c r="CA115" s="416"/>
    </row>
    <row r="116">
      <c r="A116" s="416"/>
      <c r="B116" s="416"/>
      <c r="C116" s="416"/>
      <c r="D116" s="416"/>
      <c r="E116" s="416"/>
      <c r="F116" s="416"/>
      <c r="G116" s="416"/>
      <c r="H116" s="416"/>
      <c r="I116" s="416"/>
      <c r="J116" s="416"/>
      <c r="K116" s="416"/>
      <c r="L116" s="416"/>
      <c r="M116" s="416"/>
      <c r="N116" s="416"/>
      <c r="O116" s="416"/>
      <c r="P116" s="416"/>
      <c r="Q116" s="416"/>
      <c r="R116" s="416"/>
      <c r="S116" s="416"/>
      <c r="T116" s="416"/>
      <c r="U116" s="416"/>
      <c r="V116" s="416"/>
      <c r="W116" s="416"/>
      <c r="X116" s="416"/>
      <c r="Y116" s="416"/>
      <c r="Z116" s="416"/>
      <c r="AA116" s="416"/>
      <c r="AB116" s="416"/>
      <c r="AC116" s="416"/>
      <c r="AD116" s="416"/>
      <c r="AE116" s="416"/>
      <c r="AF116" s="416"/>
      <c r="AG116" s="416"/>
      <c r="AH116" s="416"/>
      <c r="AI116" s="416"/>
      <c r="AJ116" s="416"/>
      <c r="AK116" s="416"/>
      <c r="AL116" s="416"/>
      <c r="AM116" s="416"/>
      <c r="AN116" s="416"/>
      <c r="AO116" s="416"/>
      <c r="AP116" s="416"/>
      <c r="AQ116" s="416"/>
      <c r="AR116" s="416"/>
      <c r="AS116" s="416"/>
      <c r="AT116" s="416"/>
      <c r="AU116" s="416"/>
      <c r="AV116" s="416"/>
      <c r="AW116" s="416"/>
      <c r="AX116" s="416"/>
      <c r="AY116" s="416"/>
      <c r="AZ116" s="416"/>
      <c r="BA116" s="416"/>
      <c r="BB116" s="416"/>
      <c r="BC116" s="416"/>
      <c r="BD116" s="416"/>
      <c r="BE116" s="416"/>
      <c r="BF116" s="416"/>
      <c r="BG116" s="416"/>
      <c r="BH116" s="416"/>
      <c r="BI116" s="213" t="str">
        <f t="array" ref="BI116">IFERROR(INDEX('💻シート作成'!$D$6:$D162, MATCH(BJ116, '💻シート作成'!$E$6:$E162, 0)), "")</f>
        <v/>
      </c>
      <c r="BJ116" s="170"/>
      <c r="BK116" s="416"/>
      <c r="BL116" s="559" t="str">
        <f t="array" ref="BL116">IFERROR(INDEX('💻シート作成'!$D$6:$D162, MATCH(BM116, '💻シート作成'!$E$6:$E162, 0)), "")</f>
        <v/>
      </c>
      <c r="BM116" s="170"/>
      <c r="BN116" s="416"/>
      <c r="BO116" s="416"/>
      <c r="BP116" s="416"/>
      <c r="BQ116" s="416"/>
      <c r="BR116" s="416"/>
      <c r="BS116" s="416"/>
      <c r="BT116" s="416"/>
      <c r="BU116" s="416"/>
      <c r="BV116" s="416"/>
      <c r="BW116" s="416"/>
      <c r="BX116" s="416"/>
      <c r="BY116" s="416"/>
      <c r="BZ116" s="416"/>
      <c r="CA116" s="416"/>
    </row>
    <row r="117">
      <c r="A117" s="416"/>
      <c r="B117" s="416"/>
      <c r="C117" s="416"/>
      <c r="D117" s="416"/>
      <c r="E117" s="416"/>
      <c r="F117" s="416"/>
      <c r="G117" s="416"/>
      <c r="H117" s="416"/>
      <c r="I117" s="416"/>
      <c r="J117" s="416"/>
      <c r="K117" s="416"/>
      <c r="L117" s="416"/>
      <c r="M117" s="416"/>
      <c r="N117" s="416"/>
      <c r="O117" s="416"/>
      <c r="P117" s="416"/>
      <c r="Q117" s="416"/>
      <c r="R117" s="416"/>
      <c r="S117" s="416"/>
      <c r="T117" s="416"/>
      <c r="U117" s="416"/>
      <c r="V117" s="416"/>
      <c r="W117" s="416"/>
      <c r="X117" s="416"/>
      <c r="Y117" s="416"/>
      <c r="Z117" s="416"/>
      <c r="AA117" s="416"/>
      <c r="AB117" s="416"/>
      <c r="AC117" s="416"/>
      <c r="AD117" s="416"/>
      <c r="AE117" s="416"/>
      <c r="AF117" s="416"/>
      <c r="AG117" s="416"/>
      <c r="AH117" s="416"/>
      <c r="AI117" s="416"/>
      <c r="AJ117" s="416"/>
      <c r="AK117" s="416"/>
      <c r="AL117" s="416"/>
      <c r="AM117" s="416"/>
      <c r="AN117" s="416"/>
      <c r="AO117" s="416"/>
      <c r="AP117" s="416"/>
      <c r="AQ117" s="416"/>
      <c r="AR117" s="416"/>
      <c r="AS117" s="416"/>
      <c r="AT117" s="416"/>
      <c r="AU117" s="416"/>
      <c r="AV117" s="416"/>
      <c r="AW117" s="416"/>
      <c r="AX117" s="416"/>
      <c r="AY117" s="416"/>
      <c r="AZ117" s="416"/>
      <c r="BA117" s="416"/>
      <c r="BB117" s="416"/>
      <c r="BC117" s="416"/>
      <c r="BD117" s="416"/>
      <c r="BE117" s="416"/>
      <c r="BF117" s="416"/>
      <c r="BG117" s="416"/>
      <c r="BH117" s="416"/>
      <c r="BI117" s="213" t="str">
        <f t="array" ref="BI117">IFERROR(INDEX('💻シート作成'!$D$6:$D162, MATCH(BJ117, '💻シート作成'!$E$6:$E162, 0)), "")</f>
        <v/>
      </c>
      <c r="BJ117" s="170"/>
      <c r="BK117" s="416"/>
      <c r="BL117" s="559" t="str">
        <f t="array" ref="BL117">IFERROR(INDEX('💻シート作成'!$D$6:$D162, MATCH(BM117, '💻シート作成'!$E$6:$E162, 0)), "")</f>
        <v/>
      </c>
      <c r="BM117" s="170"/>
      <c r="BN117" s="416"/>
      <c r="BO117" s="416"/>
      <c r="BP117" s="416"/>
      <c r="BQ117" s="416"/>
      <c r="BR117" s="416"/>
      <c r="BS117" s="416"/>
      <c r="BT117" s="416"/>
      <c r="BU117" s="416"/>
      <c r="BV117" s="416"/>
      <c r="BW117" s="416"/>
      <c r="BX117" s="416"/>
      <c r="BY117" s="416"/>
      <c r="BZ117" s="416"/>
      <c r="CA117" s="416"/>
    </row>
    <row r="118">
      <c r="A118" s="416"/>
      <c r="B118" s="416"/>
      <c r="C118" s="416"/>
      <c r="D118" s="416"/>
      <c r="E118" s="416"/>
      <c r="F118" s="416"/>
      <c r="G118" s="416"/>
      <c r="H118" s="416"/>
      <c r="I118" s="416"/>
      <c r="J118" s="416"/>
      <c r="K118" s="416"/>
      <c r="L118" s="416"/>
      <c r="M118" s="416"/>
      <c r="N118" s="416"/>
      <c r="O118" s="416"/>
      <c r="P118" s="416"/>
      <c r="Q118" s="416"/>
      <c r="R118" s="416"/>
      <c r="S118" s="416"/>
      <c r="T118" s="416"/>
      <c r="U118" s="416"/>
      <c r="V118" s="416"/>
      <c r="W118" s="416"/>
      <c r="X118" s="416"/>
      <c r="Y118" s="416"/>
      <c r="Z118" s="416"/>
      <c r="AA118" s="416"/>
      <c r="AB118" s="416"/>
      <c r="AC118" s="416"/>
      <c r="AD118" s="416"/>
      <c r="AE118" s="416"/>
      <c r="AF118" s="416"/>
      <c r="AG118" s="416"/>
      <c r="AH118" s="416"/>
      <c r="AI118" s="416"/>
      <c r="AJ118" s="416"/>
      <c r="AK118" s="416"/>
      <c r="AL118" s="416"/>
      <c r="AM118" s="416"/>
      <c r="AN118" s="416"/>
      <c r="AO118" s="416"/>
      <c r="AP118" s="416"/>
      <c r="AQ118" s="416"/>
      <c r="AR118" s="416"/>
      <c r="AS118" s="416"/>
      <c r="AT118" s="416"/>
      <c r="AU118" s="416"/>
      <c r="AV118" s="416"/>
      <c r="AW118" s="416"/>
      <c r="AX118" s="416"/>
      <c r="AY118" s="416"/>
      <c r="AZ118" s="416"/>
      <c r="BA118" s="416"/>
      <c r="BB118" s="416"/>
      <c r="BC118" s="416"/>
      <c r="BD118" s="416"/>
      <c r="BE118" s="416"/>
      <c r="BF118" s="416"/>
      <c r="BG118" s="416"/>
      <c r="BH118" s="416"/>
      <c r="BI118" s="213" t="str">
        <f t="array" ref="BI118">IFERROR(INDEX('💻シート作成'!$D$6:$D162, MATCH(BJ118, '💻シート作成'!$E$6:$E162, 0)), "")</f>
        <v/>
      </c>
      <c r="BJ118" s="170"/>
      <c r="BK118" s="416"/>
      <c r="BL118" s="559" t="str">
        <f t="array" ref="BL118">IFERROR(INDEX('💻シート作成'!$D$6:$D162, MATCH(BM118, '💻シート作成'!$E$6:$E162, 0)), "")</f>
        <v/>
      </c>
      <c r="BM118" s="170"/>
      <c r="BN118" s="416"/>
      <c r="BO118" s="416"/>
      <c r="BP118" s="416"/>
      <c r="BQ118" s="416"/>
      <c r="BR118" s="416"/>
      <c r="BS118" s="416"/>
      <c r="BT118" s="416"/>
      <c r="BU118" s="416"/>
      <c r="BV118" s="416"/>
      <c r="BW118" s="416"/>
      <c r="BX118" s="416"/>
      <c r="BY118" s="416"/>
      <c r="BZ118" s="416"/>
      <c r="CA118" s="416"/>
    </row>
    <row r="119">
      <c r="A119" s="416"/>
      <c r="B119" s="416"/>
      <c r="C119" s="416"/>
      <c r="D119" s="416"/>
      <c r="E119" s="416"/>
      <c r="F119" s="416"/>
      <c r="G119" s="416"/>
      <c r="H119" s="416"/>
      <c r="I119" s="416"/>
      <c r="J119" s="416"/>
      <c r="K119" s="416"/>
      <c r="L119" s="416"/>
      <c r="M119" s="416"/>
      <c r="N119" s="416"/>
      <c r="O119" s="416"/>
      <c r="P119" s="416"/>
      <c r="Q119" s="416"/>
      <c r="R119" s="416"/>
      <c r="S119" s="416"/>
      <c r="T119" s="416"/>
      <c r="U119" s="416"/>
      <c r="V119" s="416"/>
      <c r="W119" s="416"/>
      <c r="X119" s="416"/>
      <c r="Y119" s="416"/>
      <c r="Z119" s="416"/>
      <c r="AA119" s="416"/>
      <c r="AB119" s="416"/>
      <c r="AC119" s="416"/>
      <c r="AD119" s="416"/>
      <c r="AE119" s="416"/>
      <c r="AF119" s="416"/>
      <c r="AG119" s="416"/>
      <c r="AH119" s="416"/>
      <c r="AI119" s="416"/>
      <c r="AJ119" s="416"/>
      <c r="AK119" s="416"/>
      <c r="AL119" s="416"/>
      <c r="AM119" s="416"/>
      <c r="AN119" s="416"/>
      <c r="AO119" s="416"/>
      <c r="AP119" s="416"/>
      <c r="AQ119" s="416"/>
      <c r="AR119" s="416"/>
      <c r="AS119" s="416"/>
      <c r="AT119" s="416"/>
      <c r="AU119" s="416"/>
      <c r="AV119" s="416"/>
      <c r="AW119" s="416"/>
      <c r="AX119" s="416"/>
      <c r="AY119" s="416"/>
      <c r="AZ119" s="416"/>
      <c r="BA119" s="416"/>
      <c r="BB119" s="416"/>
      <c r="BC119" s="416"/>
      <c r="BD119" s="416"/>
      <c r="BE119" s="416"/>
      <c r="BF119" s="416"/>
      <c r="BG119" s="416"/>
      <c r="BH119" s="416"/>
      <c r="BI119" s="213" t="str">
        <f t="array" ref="BI119">IFERROR(INDEX('💻シート作成'!$D$6:$D162, MATCH(BJ119, '💻シート作成'!$E$6:$E162, 0)), "")</f>
        <v/>
      </c>
      <c r="BJ119" s="170"/>
      <c r="BK119" s="416"/>
      <c r="BL119" s="559" t="str">
        <f t="array" ref="BL119">IFERROR(INDEX('💻シート作成'!$D$6:$D162, MATCH(BM119, '💻シート作成'!$E$6:$E162, 0)), "")</f>
        <v/>
      </c>
      <c r="BM119" s="170"/>
      <c r="BN119" s="416"/>
      <c r="BO119" s="416"/>
      <c r="BP119" s="416"/>
      <c r="BQ119" s="416"/>
      <c r="BR119" s="416"/>
      <c r="BS119" s="416"/>
      <c r="BT119" s="416"/>
      <c r="BU119" s="416"/>
      <c r="BV119" s="416"/>
      <c r="BW119" s="416"/>
      <c r="BX119" s="416"/>
      <c r="BY119" s="416"/>
      <c r="BZ119" s="416"/>
      <c r="CA119" s="416"/>
    </row>
    <row r="120">
      <c r="A120" s="416"/>
      <c r="B120" s="416"/>
      <c r="C120" s="416"/>
      <c r="D120" s="416"/>
      <c r="E120" s="416"/>
      <c r="F120" s="416"/>
      <c r="G120" s="416"/>
      <c r="H120" s="416"/>
      <c r="I120" s="416"/>
      <c r="J120" s="416"/>
      <c r="K120" s="416"/>
      <c r="L120" s="416"/>
      <c r="M120" s="416"/>
      <c r="N120" s="416"/>
      <c r="O120" s="416"/>
      <c r="P120" s="416"/>
      <c r="Q120" s="416"/>
      <c r="R120" s="416"/>
      <c r="S120" s="416"/>
      <c r="T120" s="416"/>
      <c r="U120" s="416"/>
      <c r="V120" s="416"/>
      <c r="W120" s="416"/>
      <c r="X120" s="416"/>
      <c r="Y120" s="416"/>
      <c r="Z120" s="416"/>
      <c r="AA120" s="416"/>
      <c r="AB120" s="416"/>
      <c r="AC120" s="416"/>
      <c r="AD120" s="416"/>
      <c r="AE120" s="416"/>
      <c r="AF120" s="416"/>
      <c r="AG120" s="416"/>
      <c r="AH120" s="416"/>
      <c r="AI120" s="416"/>
      <c r="AJ120" s="416"/>
      <c r="AK120" s="416"/>
      <c r="AL120" s="416"/>
      <c r="AM120" s="416"/>
      <c r="AN120" s="416"/>
      <c r="AO120" s="416"/>
      <c r="AP120" s="416"/>
      <c r="AQ120" s="416"/>
      <c r="AR120" s="416"/>
      <c r="AS120" s="416"/>
      <c r="AT120" s="416"/>
      <c r="AU120" s="416"/>
      <c r="AV120" s="416"/>
      <c r="AW120" s="416"/>
      <c r="AX120" s="416"/>
      <c r="AY120" s="416"/>
      <c r="AZ120" s="416"/>
      <c r="BA120" s="416"/>
      <c r="BB120" s="416"/>
      <c r="BC120" s="416"/>
      <c r="BD120" s="416"/>
      <c r="BE120" s="416"/>
      <c r="BF120" s="416"/>
      <c r="BG120" s="416"/>
      <c r="BH120" s="416"/>
      <c r="BI120" s="213" t="str">
        <f t="array" ref="BI120">IFERROR(INDEX('💻シート作成'!$D$6:$D162, MATCH(BJ120, '💻シート作成'!$E$6:$E162, 0)), "")</f>
        <v/>
      </c>
      <c r="BJ120" s="170"/>
      <c r="BK120" s="416"/>
      <c r="BL120" s="559" t="str">
        <f t="array" ref="BL120">IFERROR(INDEX('💻シート作成'!$D$6:$D162, MATCH(BM120, '💻シート作成'!$E$6:$E162, 0)), "")</f>
        <v/>
      </c>
      <c r="BM120" s="170"/>
      <c r="BN120" s="416"/>
      <c r="BO120" s="416"/>
      <c r="BP120" s="416"/>
      <c r="BQ120" s="416"/>
      <c r="BR120" s="416"/>
      <c r="BS120" s="416"/>
      <c r="BT120" s="416"/>
      <c r="BU120" s="416"/>
      <c r="BV120" s="416"/>
      <c r="BW120" s="416"/>
      <c r="BX120" s="416"/>
      <c r="BY120" s="416"/>
      <c r="BZ120" s="416"/>
      <c r="CA120" s="416"/>
    </row>
    <row r="121">
      <c r="A121" s="416"/>
      <c r="B121" s="416"/>
      <c r="C121" s="416"/>
      <c r="D121" s="416"/>
      <c r="E121" s="416"/>
      <c r="F121" s="416"/>
      <c r="G121" s="416"/>
      <c r="H121" s="416"/>
      <c r="I121" s="416"/>
      <c r="J121" s="416"/>
      <c r="K121" s="416"/>
      <c r="L121" s="416"/>
      <c r="M121" s="416"/>
      <c r="N121" s="416"/>
      <c r="O121" s="416"/>
      <c r="P121" s="416"/>
      <c r="Q121" s="416"/>
      <c r="R121" s="416"/>
      <c r="S121" s="416"/>
      <c r="T121" s="416"/>
      <c r="U121" s="416"/>
      <c r="V121" s="416"/>
      <c r="W121" s="416"/>
      <c r="X121" s="416"/>
      <c r="Y121" s="416"/>
      <c r="Z121" s="416"/>
      <c r="AA121" s="416"/>
      <c r="AB121" s="416"/>
      <c r="AC121" s="416"/>
      <c r="AD121" s="416"/>
      <c r="AE121" s="416"/>
      <c r="AF121" s="416"/>
      <c r="AG121" s="416"/>
      <c r="AH121" s="416"/>
      <c r="AI121" s="416"/>
      <c r="AJ121" s="416"/>
      <c r="AK121" s="416"/>
      <c r="AL121" s="416"/>
      <c r="AM121" s="416"/>
      <c r="AN121" s="416"/>
      <c r="AO121" s="416"/>
      <c r="AP121" s="416"/>
      <c r="AQ121" s="416"/>
      <c r="AR121" s="416"/>
      <c r="AS121" s="416"/>
      <c r="AT121" s="416"/>
      <c r="AU121" s="416"/>
      <c r="AV121" s="416"/>
      <c r="AW121" s="416"/>
      <c r="AX121" s="416"/>
      <c r="AY121" s="416"/>
      <c r="AZ121" s="416"/>
      <c r="BA121" s="416"/>
      <c r="BB121" s="416"/>
      <c r="BC121" s="416"/>
      <c r="BD121" s="416"/>
      <c r="BE121" s="416"/>
      <c r="BF121" s="416"/>
      <c r="BG121" s="416"/>
      <c r="BH121" s="416"/>
      <c r="BI121" s="213" t="str">
        <f t="array" ref="BI121">IFERROR(INDEX('💻シート作成'!$D$6:$D162, MATCH(BJ121, '💻シート作成'!$E$6:$E162, 0)), "")</f>
        <v/>
      </c>
      <c r="BJ121" s="170"/>
      <c r="BK121" s="416"/>
      <c r="BL121" s="559" t="str">
        <f t="array" ref="BL121">IFERROR(INDEX('💻シート作成'!$D$6:$D162, MATCH(BM121, '💻シート作成'!$E$6:$E162, 0)), "")</f>
        <v/>
      </c>
      <c r="BM121" s="170"/>
      <c r="BN121" s="416"/>
      <c r="BO121" s="416"/>
      <c r="BP121" s="416"/>
      <c r="BQ121" s="416"/>
      <c r="BR121" s="416"/>
      <c r="BS121" s="416"/>
      <c r="BT121" s="416"/>
      <c r="BU121" s="416"/>
      <c r="BV121" s="416"/>
      <c r="BW121" s="416"/>
      <c r="BX121" s="416"/>
      <c r="BY121" s="416"/>
      <c r="BZ121" s="416"/>
      <c r="CA121" s="416"/>
    </row>
    <row r="122">
      <c r="A122" s="416"/>
      <c r="B122" s="416"/>
      <c r="C122" s="416"/>
      <c r="D122" s="416"/>
      <c r="E122" s="416"/>
      <c r="F122" s="416"/>
      <c r="G122" s="416"/>
      <c r="H122" s="416"/>
      <c r="I122" s="416"/>
      <c r="J122" s="416"/>
      <c r="K122" s="416"/>
      <c r="L122" s="416"/>
      <c r="M122" s="416"/>
      <c r="N122" s="416"/>
      <c r="O122" s="416"/>
      <c r="P122" s="416"/>
      <c r="Q122" s="416"/>
      <c r="R122" s="416"/>
      <c r="S122" s="416"/>
      <c r="T122" s="416"/>
      <c r="U122" s="416"/>
      <c r="V122" s="416"/>
      <c r="W122" s="416"/>
      <c r="X122" s="416"/>
      <c r="Y122" s="416"/>
      <c r="Z122" s="416"/>
      <c r="AA122" s="416"/>
      <c r="AB122" s="416"/>
      <c r="AC122" s="416"/>
      <c r="AD122" s="416"/>
      <c r="AE122" s="416"/>
      <c r="AF122" s="416"/>
      <c r="AG122" s="416"/>
      <c r="AH122" s="416"/>
      <c r="AI122" s="416"/>
      <c r="AJ122" s="416"/>
      <c r="AK122" s="416"/>
      <c r="AL122" s="416"/>
      <c r="AM122" s="416"/>
      <c r="AN122" s="416"/>
      <c r="AO122" s="416"/>
      <c r="AP122" s="416"/>
      <c r="AQ122" s="416"/>
      <c r="AR122" s="416"/>
      <c r="AS122" s="416"/>
      <c r="AT122" s="416"/>
      <c r="AU122" s="416"/>
      <c r="AV122" s="416"/>
      <c r="AW122" s="416"/>
      <c r="AX122" s="416"/>
      <c r="AY122" s="416"/>
      <c r="AZ122" s="416"/>
      <c r="BA122" s="416"/>
      <c r="BB122" s="416"/>
      <c r="BC122" s="416"/>
      <c r="BD122" s="416"/>
      <c r="BE122" s="416"/>
      <c r="BF122" s="416"/>
      <c r="BG122" s="416"/>
      <c r="BH122" s="416"/>
      <c r="BI122" s="213" t="str">
        <f t="array" ref="BI122">IFERROR(INDEX('💻シート作成'!$D$6:$D162, MATCH(BJ122, '💻シート作成'!$E$6:$E162, 0)), "")</f>
        <v/>
      </c>
      <c r="BJ122" s="170"/>
      <c r="BK122" s="416"/>
      <c r="BL122" s="559" t="str">
        <f t="array" ref="BL122">IFERROR(INDEX('💻シート作成'!$D$6:$D162, MATCH(BM122, '💻シート作成'!$E$6:$E162, 0)), "")</f>
        <v/>
      </c>
      <c r="BM122" s="170"/>
      <c r="BN122" s="416"/>
      <c r="BO122" s="416"/>
      <c r="BP122" s="416"/>
      <c r="BQ122" s="416"/>
      <c r="BR122" s="416"/>
      <c r="BS122" s="416"/>
      <c r="BT122" s="416"/>
      <c r="BU122" s="416"/>
      <c r="BV122" s="416"/>
      <c r="BW122" s="416"/>
      <c r="BX122" s="416"/>
      <c r="BY122" s="416"/>
      <c r="BZ122" s="416"/>
      <c r="CA122" s="416"/>
    </row>
    <row r="123">
      <c r="A123" s="416"/>
      <c r="B123" s="416"/>
      <c r="C123" s="416"/>
      <c r="D123" s="416"/>
      <c r="E123" s="416"/>
      <c r="F123" s="416"/>
      <c r="G123" s="416"/>
      <c r="H123" s="416"/>
      <c r="I123" s="416"/>
      <c r="J123" s="416"/>
      <c r="K123" s="416"/>
      <c r="L123" s="416"/>
      <c r="M123" s="416"/>
      <c r="N123" s="416"/>
      <c r="O123" s="416"/>
      <c r="P123" s="416"/>
      <c r="Q123" s="416"/>
      <c r="R123" s="416"/>
      <c r="S123" s="416"/>
      <c r="T123" s="416"/>
      <c r="U123" s="416"/>
      <c r="V123" s="416"/>
      <c r="W123" s="416"/>
      <c r="X123" s="416"/>
      <c r="Y123" s="416"/>
      <c r="Z123" s="416"/>
      <c r="AA123" s="416"/>
      <c r="AB123" s="416"/>
      <c r="AC123" s="416"/>
      <c r="AD123" s="416"/>
      <c r="AE123" s="416"/>
      <c r="AF123" s="416"/>
      <c r="AG123" s="416"/>
      <c r="AH123" s="416"/>
      <c r="AI123" s="416"/>
      <c r="AJ123" s="416"/>
      <c r="AK123" s="416"/>
      <c r="AL123" s="416"/>
      <c r="AM123" s="416"/>
      <c r="AN123" s="416"/>
      <c r="AO123" s="416"/>
      <c r="AP123" s="416"/>
      <c r="AQ123" s="416"/>
      <c r="AR123" s="416"/>
      <c r="AS123" s="416"/>
      <c r="AT123" s="416"/>
      <c r="AU123" s="416"/>
      <c r="AV123" s="416"/>
      <c r="AW123" s="416"/>
      <c r="AX123" s="416"/>
      <c r="AY123" s="416"/>
      <c r="AZ123" s="416"/>
      <c r="BA123" s="416"/>
      <c r="BB123" s="416"/>
      <c r="BC123" s="416"/>
      <c r="BD123" s="416"/>
      <c r="BE123" s="416"/>
      <c r="BF123" s="416"/>
      <c r="BG123" s="416"/>
      <c r="BH123" s="416"/>
      <c r="BI123" s="213" t="str">
        <f t="array" ref="BI123">IFERROR(INDEX('💻シート作成'!$D$6:$D162, MATCH(BJ123, '💻シート作成'!$E$6:$E162, 0)), "")</f>
        <v/>
      </c>
      <c r="BJ123" s="170"/>
      <c r="BK123" s="416"/>
      <c r="BL123" s="559" t="str">
        <f t="array" ref="BL123">IFERROR(INDEX('💻シート作成'!$D$6:$D162, MATCH(BM123, '💻シート作成'!$E$6:$E162, 0)), "")</f>
        <v/>
      </c>
      <c r="BM123" s="170"/>
      <c r="BN123" s="416"/>
      <c r="BO123" s="416"/>
      <c r="BP123" s="416"/>
      <c r="BQ123" s="416"/>
      <c r="BR123" s="416"/>
      <c r="BS123" s="416"/>
      <c r="BT123" s="416"/>
      <c r="BU123" s="416"/>
      <c r="BV123" s="416"/>
      <c r="BW123" s="416"/>
      <c r="BX123" s="416"/>
      <c r="BY123" s="416"/>
      <c r="BZ123" s="416"/>
      <c r="CA123" s="416"/>
    </row>
    <row r="124">
      <c r="A124" s="416"/>
      <c r="B124" s="416"/>
      <c r="C124" s="416"/>
      <c r="D124" s="416"/>
      <c r="E124" s="416"/>
      <c r="F124" s="416"/>
      <c r="G124" s="416"/>
      <c r="H124" s="416"/>
      <c r="I124" s="416"/>
      <c r="J124" s="416"/>
      <c r="K124" s="416"/>
      <c r="L124" s="416"/>
      <c r="M124" s="416"/>
      <c r="N124" s="416"/>
      <c r="O124" s="416"/>
      <c r="P124" s="416"/>
      <c r="Q124" s="416"/>
      <c r="R124" s="416"/>
      <c r="S124" s="416"/>
      <c r="T124" s="416"/>
      <c r="U124" s="416"/>
      <c r="V124" s="416"/>
      <c r="W124" s="416"/>
      <c r="X124" s="416"/>
      <c r="Y124" s="416"/>
      <c r="Z124" s="416"/>
      <c r="AA124" s="416"/>
      <c r="AB124" s="416"/>
      <c r="AC124" s="416"/>
      <c r="AD124" s="416"/>
      <c r="AE124" s="416"/>
      <c r="AF124" s="416"/>
      <c r="AG124" s="416"/>
      <c r="AH124" s="416"/>
      <c r="AI124" s="416"/>
      <c r="AJ124" s="416"/>
      <c r="AK124" s="416"/>
      <c r="AL124" s="416"/>
      <c r="AM124" s="416"/>
      <c r="AN124" s="416"/>
      <c r="AO124" s="416"/>
      <c r="AP124" s="416"/>
      <c r="AQ124" s="416"/>
      <c r="AR124" s="416"/>
      <c r="AS124" s="416"/>
      <c r="AT124" s="416"/>
      <c r="AU124" s="416"/>
      <c r="AV124" s="416"/>
      <c r="AW124" s="416"/>
      <c r="AX124" s="416"/>
      <c r="AY124" s="416"/>
      <c r="AZ124" s="416"/>
      <c r="BA124" s="416"/>
      <c r="BB124" s="416"/>
      <c r="BC124" s="416"/>
      <c r="BD124" s="416"/>
      <c r="BE124" s="416"/>
      <c r="BF124" s="416"/>
      <c r="BG124" s="416"/>
      <c r="BH124" s="416"/>
      <c r="BI124" s="213" t="str">
        <f t="array" ref="BI124">IFERROR(INDEX('💻シート作成'!$D$6:$D162, MATCH(BJ124, '💻シート作成'!$E$6:$E162, 0)), "")</f>
        <v/>
      </c>
      <c r="BJ124" s="170"/>
      <c r="BK124" s="416"/>
      <c r="BL124" s="559" t="str">
        <f t="array" ref="BL124">IFERROR(INDEX('💻シート作成'!$D$6:$D162, MATCH(BM124, '💻シート作成'!$E$6:$E162, 0)), "")</f>
        <v/>
      </c>
      <c r="BM124" s="170"/>
      <c r="BN124" s="416"/>
      <c r="BO124" s="416"/>
      <c r="BP124" s="416"/>
      <c r="BQ124" s="416"/>
      <c r="BR124" s="416"/>
      <c r="BS124" s="416"/>
      <c r="BT124" s="416"/>
      <c r="BU124" s="416"/>
      <c r="BV124" s="416"/>
      <c r="BW124" s="416"/>
      <c r="BX124" s="416"/>
      <c r="BY124" s="416"/>
      <c r="BZ124" s="416"/>
      <c r="CA124" s="416"/>
    </row>
    <row r="125">
      <c r="A125" s="416"/>
      <c r="B125" s="416"/>
      <c r="C125" s="416"/>
      <c r="D125" s="416"/>
      <c r="E125" s="416"/>
      <c r="F125" s="416"/>
      <c r="G125" s="416"/>
      <c r="H125" s="416"/>
      <c r="I125" s="416"/>
      <c r="J125" s="416"/>
      <c r="K125" s="416"/>
      <c r="L125" s="416"/>
      <c r="M125" s="416"/>
      <c r="N125" s="416"/>
      <c r="O125" s="416"/>
      <c r="P125" s="416"/>
      <c r="Q125" s="416"/>
      <c r="R125" s="416"/>
      <c r="S125" s="416"/>
      <c r="T125" s="416"/>
      <c r="U125" s="416"/>
      <c r="V125" s="416"/>
      <c r="W125" s="416"/>
      <c r="X125" s="416"/>
      <c r="Y125" s="416"/>
      <c r="Z125" s="416"/>
      <c r="AA125" s="416"/>
      <c r="AB125" s="416"/>
      <c r="AC125" s="416"/>
      <c r="AD125" s="416"/>
      <c r="AE125" s="416"/>
      <c r="AF125" s="416"/>
      <c r="AG125" s="416"/>
      <c r="AH125" s="416"/>
      <c r="AI125" s="416"/>
      <c r="AJ125" s="416"/>
      <c r="AK125" s="416"/>
      <c r="AL125" s="416"/>
      <c r="AM125" s="416"/>
      <c r="AN125" s="416"/>
      <c r="AO125" s="416"/>
      <c r="AP125" s="416"/>
      <c r="AQ125" s="416"/>
      <c r="AR125" s="416"/>
      <c r="AS125" s="416"/>
      <c r="AT125" s="416"/>
      <c r="AU125" s="416"/>
      <c r="AV125" s="416"/>
      <c r="AW125" s="416"/>
      <c r="AX125" s="416"/>
      <c r="AY125" s="416"/>
      <c r="AZ125" s="416"/>
      <c r="BA125" s="416"/>
      <c r="BB125" s="416"/>
      <c r="BC125" s="416"/>
      <c r="BD125" s="416"/>
      <c r="BE125" s="416"/>
      <c r="BF125" s="416"/>
      <c r="BG125" s="416"/>
      <c r="BH125" s="416"/>
      <c r="BI125" s="213" t="str">
        <f t="array" ref="BI125">IFERROR(INDEX('💻シート作成'!$D$6:$D162, MATCH(BJ125, '💻シート作成'!$E$6:$E162, 0)), "")</f>
        <v/>
      </c>
      <c r="BJ125" s="170"/>
      <c r="BK125" s="416"/>
      <c r="BL125" s="559" t="str">
        <f t="array" ref="BL125">IFERROR(INDEX('💻シート作成'!$D$6:$D162, MATCH(BM125, '💻シート作成'!$E$6:$E162, 0)), "")</f>
        <v/>
      </c>
      <c r="BM125" s="170"/>
      <c r="BN125" s="416"/>
      <c r="BO125" s="416"/>
      <c r="BP125" s="416"/>
      <c r="BQ125" s="416"/>
      <c r="BR125" s="416"/>
      <c r="BS125" s="416"/>
      <c r="BT125" s="416"/>
      <c r="BU125" s="416"/>
      <c r="BV125" s="416"/>
      <c r="BW125" s="416"/>
      <c r="BX125" s="416"/>
      <c r="BY125" s="416"/>
      <c r="BZ125" s="416"/>
      <c r="CA125" s="416"/>
    </row>
    <row r="126">
      <c r="A126" s="416"/>
      <c r="B126" s="416"/>
      <c r="C126" s="416"/>
      <c r="D126" s="416"/>
      <c r="E126" s="416"/>
      <c r="F126" s="416"/>
      <c r="G126" s="416"/>
      <c r="H126" s="416"/>
      <c r="I126" s="416"/>
      <c r="J126" s="416"/>
      <c r="K126" s="416"/>
      <c r="L126" s="416"/>
      <c r="M126" s="416"/>
      <c r="N126" s="416"/>
      <c r="O126" s="416"/>
      <c r="P126" s="416"/>
      <c r="Q126" s="416"/>
      <c r="R126" s="416"/>
      <c r="S126" s="416"/>
      <c r="T126" s="416"/>
      <c r="U126" s="416"/>
      <c r="V126" s="416"/>
      <c r="W126" s="416"/>
      <c r="X126" s="416"/>
      <c r="Y126" s="416"/>
      <c r="Z126" s="416"/>
      <c r="AA126" s="416"/>
      <c r="AB126" s="416"/>
      <c r="AC126" s="416"/>
      <c r="AD126" s="416"/>
      <c r="AE126" s="416"/>
      <c r="AF126" s="416"/>
      <c r="AG126" s="416"/>
      <c r="AH126" s="416"/>
      <c r="AI126" s="416"/>
      <c r="AJ126" s="416"/>
      <c r="AK126" s="416"/>
      <c r="AL126" s="416"/>
      <c r="AM126" s="416"/>
      <c r="AN126" s="416"/>
      <c r="AO126" s="416"/>
      <c r="AP126" s="416"/>
      <c r="AQ126" s="416"/>
      <c r="AR126" s="416"/>
      <c r="AS126" s="416"/>
      <c r="AT126" s="416"/>
      <c r="AU126" s="416"/>
      <c r="AV126" s="416"/>
      <c r="AW126" s="416"/>
      <c r="AX126" s="416"/>
      <c r="AY126" s="416"/>
      <c r="AZ126" s="416"/>
      <c r="BA126" s="416"/>
      <c r="BB126" s="416"/>
      <c r="BC126" s="416"/>
      <c r="BD126" s="416"/>
      <c r="BE126" s="416"/>
      <c r="BF126" s="416"/>
      <c r="BG126" s="416"/>
      <c r="BH126" s="416"/>
      <c r="BI126" s="213" t="str">
        <f t="array" ref="BI126">IFERROR(INDEX('💻シート作成'!$D$6:$D162, MATCH(BJ126, '💻シート作成'!$E$6:$E162, 0)), "")</f>
        <v/>
      </c>
      <c r="BJ126" s="170"/>
      <c r="BK126" s="416"/>
      <c r="BL126" s="559" t="str">
        <f t="array" ref="BL126">IFERROR(INDEX('💻シート作成'!$D$6:$D162, MATCH(BM126, '💻シート作成'!$E$6:$E162, 0)), "")</f>
        <v/>
      </c>
      <c r="BM126" s="170"/>
      <c r="BN126" s="416"/>
      <c r="BO126" s="416"/>
      <c r="BP126" s="416"/>
      <c r="BQ126" s="416"/>
      <c r="BR126" s="416"/>
      <c r="BS126" s="416"/>
      <c r="BT126" s="416"/>
      <c r="BU126" s="416"/>
      <c r="BV126" s="416"/>
      <c r="BW126" s="416"/>
      <c r="BX126" s="416"/>
      <c r="BY126" s="416"/>
      <c r="BZ126" s="416"/>
      <c r="CA126" s="416"/>
    </row>
    <row r="127">
      <c r="A127" s="416"/>
      <c r="B127" s="416"/>
      <c r="C127" s="416"/>
      <c r="D127" s="416"/>
      <c r="E127" s="416"/>
      <c r="F127" s="416"/>
      <c r="G127" s="416"/>
      <c r="H127" s="416"/>
      <c r="I127" s="416"/>
      <c r="J127" s="416"/>
      <c r="K127" s="416"/>
      <c r="L127" s="416"/>
      <c r="M127" s="416"/>
      <c r="N127" s="416"/>
      <c r="O127" s="416"/>
      <c r="P127" s="416"/>
      <c r="Q127" s="416"/>
      <c r="R127" s="416"/>
      <c r="S127" s="416"/>
      <c r="T127" s="416"/>
      <c r="U127" s="416"/>
      <c r="V127" s="416"/>
      <c r="W127" s="416"/>
      <c r="X127" s="416"/>
      <c r="Y127" s="416"/>
      <c r="Z127" s="416"/>
      <c r="AA127" s="416"/>
      <c r="AB127" s="416"/>
      <c r="AC127" s="416"/>
      <c r="AD127" s="416"/>
      <c r="AE127" s="416"/>
      <c r="AF127" s="416"/>
      <c r="AG127" s="416"/>
      <c r="AH127" s="416"/>
      <c r="AI127" s="416"/>
      <c r="AJ127" s="416"/>
      <c r="AK127" s="416"/>
      <c r="AL127" s="416"/>
      <c r="AM127" s="416"/>
      <c r="AN127" s="416"/>
      <c r="AO127" s="416"/>
      <c r="AP127" s="416"/>
      <c r="AQ127" s="416"/>
      <c r="AR127" s="416"/>
      <c r="AS127" s="416"/>
      <c r="AT127" s="416"/>
      <c r="AU127" s="416"/>
      <c r="AV127" s="416"/>
      <c r="AW127" s="416"/>
      <c r="AX127" s="416"/>
      <c r="AY127" s="416"/>
      <c r="AZ127" s="416"/>
      <c r="BA127" s="416"/>
      <c r="BB127" s="416"/>
      <c r="BC127" s="416"/>
      <c r="BD127" s="416"/>
      <c r="BE127" s="416"/>
      <c r="BF127" s="416"/>
      <c r="BG127" s="416"/>
      <c r="BH127" s="416"/>
      <c r="BI127" s="213" t="str">
        <f t="array" ref="BI127">IFERROR(INDEX('💻シート作成'!$D$6:$D162, MATCH(BJ127, '💻シート作成'!$E$6:$E162, 0)), "")</f>
        <v/>
      </c>
      <c r="BJ127" s="170"/>
      <c r="BK127" s="416"/>
      <c r="BL127" s="559" t="str">
        <f t="array" ref="BL127">IFERROR(INDEX('💻シート作成'!$D$6:$D162, MATCH(BM127, '💻シート作成'!$E$6:$E162, 0)), "")</f>
        <v/>
      </c>
      <c r="BM127" s="170"/>
      <c r="BN127" s="416"/>
      <c r="BO127" s="416"/>
      <c r="BP127" s="416"/>
      <c r="BQ127" s="416"/>
      <c r="BR127" s="416"/>
      <c r="BS127" s="416"/>
      <c r="BT127" s="416"/>
      <c r="BU127" s="416"/>
      <c r="BV127" s="416"/>
      <c r="BW127" s="416"/>
      <c r="BX127" s="416"/>
      <c r="BY127" s="416"/>
      <c r="BZ127" s="416"/>
      <c r="CA127" s="416"/>
    </row>
    <row r="128">
      <c r="A128" s="416"/>
      <c r="B128" s="416"/>
      <c r="C128" s="416"/>
      <c r="D128" s="416"/>
      <c r="E128" s="416"/>
      <c r="F128" s="416"/>
      <c r="G128" s="416"/>
      <c r="H128" s="416"/>
      <c r="I128" s="416"/>
      <c r="J128" s="416"/>
      <c r="K128" s="416"/>
      <c r="L128" s="416"/>
      <c r="M128" s="416"/>
      <c r="N128" s="416"/>
      <c r="O128" s="416"/>
      <c r="P128" s="416"/>
      <c r="Q128" s="416"/>
      <c r="R128" s="416"/>
      <c r="S128" s="416"/>
      <c r="T128" s="416"/>
      <c r="U128" s="416"/>
      <c r="V128" s="416"/>
      <c r="W128" s="416"/>
      <c r="X128" s="416"/>
      <c r="Y128" s="416"/>
      <c r="Z128" s="416"/>
      <c r="AA128" s="416"/>
      <c r="AB128" s="416"/>
      <c r="AC128" s="416"/>
      <c r="AD128" s="416"/>
      <c r="AE128" s="416"/>
      <c r="AF128" s="416"/>
      <c r="AG128" s="416"/>
      <c r="AH128" s="416"/>
      <c r="AI128" s="416"/>
      <c r="AJ128" s="416"/>
      <c r="AK128" s="416"/>
      <c r="AL128" s="416"/>
      <c r="AM128" s="416"/>
      <c r="AN128" s="416"/>
      <c r="AO128" s="416"/>
      <c r="AP128" s="416"/>
      <c r="AQ128" s="416"/>
      <c r="AR128" s="416"/>
      <c r="AS128" s="416"/>
      <c r="AT128" s="416"/>
      <c r="AU128" s="416"/>
      <c r="AV128" s="416"/>
      <c r="AW128" s="416"/>
      <c r="AX128" s="416"/>
      <c r="AY128" s="416"/>
      <c r="AZ128" s="416"/>
      <c r="BA128" s="416"/>
      <c r="BB128" s="416"/>
      <c r="BC128" s="416"/>
      <c r="BD128" s="416"/>
      <c r="BE128" s="416"/>
      <c r="BF128" s="416"/>
      <c r="BG128" s="416"/>
      <c r="BH128" s="416"/>
      <c r="BI128" s="213" t="str">
        <f t="array" ref="BI128">IFERROR(INDEX('💻シート作成'!$D$6:$D162, MATCH(BJ128, '💻シート作成'!$E$6:$E162, 0)), "")</f>
        <v/>
      </c>
      <c r="BJ128" s="170"/>
      <c r="BK128" s="416"/>
      <c r="BL128" s="559" t="str">
        <f t="array" ref="BL128">IFERROR(INDEX('💻シート作成'!$D$6:$D162, MATCH(BM128, '💻シート作成'!$E$6:$E162, 0)), "")</f>
        <v/>
      </c>
      <c r="BM128" s="170"/>
      <c r="BN128" s="416"/>
      <c r="BO128" s="416"/>
      <c r="BP128" s="416"/>
      <c r="BQ128" s="416"/>
      <c r="BR128" s="416"/>
      <c r="BS128" s="416"/>
      <c r="BT128" s="416"/>
      <c r="BU128" s="416"/>
      <c r="BV128" s="416"/>
      <c r="BW128" s="416"/>
      <c r="BX128" s="416"/>
      <c r="BY128" s="416"/>
      <c r="BZ128" s="416"/>
      <c r="CA128" s="416"/>
    </row>
    <row r="129">
      <c r="A129" s="416"/>
      <c r="B129" s="416"/>
      <c r="C129" s="416"/>
      <c r="D129" s="416"/>
      <c r="E129" s="416"/>
      <c r="F129" s="416"/>
      <c r="G129" s="416"/>
      <c r="H129" s="416"/>
      <c r="I129" s="416"/>
      <c r="J129" s="416"/>
      <c r="K129" s="416"/>
      <c r="L129" s="416"/>
      <c r="M129" s="416"/>
      <c r="N129" s="416"/>
      <c r="O129" s="416"/>
      <c r="P129" s="416"/>
      <c r="Q129" s="416"/>
      <c r="R129" s="416"/>
      <c r="S129" s="416"/>
      <c r="T129" s="416"/>
      <c r="U129" s="416"/>
      <c r="V129" s="416"/>
      <c r="W129" s="416"/>
      <c r="X129" s="416"/>
      <c r="Y129" s="416"/>
      <c r="Z129" s="416"/>
      <c r="AA129" s="416"/>
      <c r="AB129" s="416"/>
      <c r="AC129" s="416"/>
      <c r="AD129" s="416"/>
      <c r="AE129" s="416"/>
      <c r="AF129" s="416"/>
      <c r="AG129" s="416"/>
      <c r="AH129" s="416"/>
      <c r="AI129" s="416"/>
      <c r="AJ129" s="416"/>
      <c r="AK129" s="416"/>
      <c r="AL129" s="416"/>
      <c r="AM129" s="416"/>
      <c r="AN129" s="416"/>
      <c r="AO129" s="416"/>
      <c r="AP129" s="416"/>
      <c r="AQ129" s="416"/>
      <c r="AR129" s="416"/>
      <c r="AS129" s="416"/>
      <c r="AT129" s="416"/>
      <c r="AU129" s="416"/>
      <c r="AV129" s="416"/>
      <c r="AW129" s="416"/>
      <c r="AX129" s="416"/>
      <c r="AY129" s="416"/>
      <c r="AZ129" s="416"/>
      <c r="BA129" s="416"/>
      <c r="BB129" s="416"/>
      <c r="BC129" s="416"/>
      <c r="BD129" s="416"/>
      <c r="BE129" s="416"/>
      <c r="BF129" s="416"/>
      <c r="BG129" s="416"/>
      <c r="BH129" s="416"/>
      <c r="BI129" s="213" t="str">
        <f t="array" ref="BI129">IFERROR(INDEX('💻シート作成'!$D$6:$D162, MATCH(BJ129, '💻シート作成'!$E$6:$E162, 0)), "")</f>
        <v/>
      </c>
      <c r="BJ129" s="170"/>
      <c r="BK129" s="416"/>
      <c r="BL129" s="559" t="str">
        <f t="array" ref="BL129">IFERROR(INDEX('💻シート作成'!$D$6:$D162, MATCH(BM129, '💻シート作成'!$E$6:$E162, 0)), "")</f>
        <v/>
      </c>
      <c r="BM129" s="170"/>
      <c r="BN129" s="416"/>
      <c r="BO129" s="416"/>
      <c r="BP129" s="416"/>
      <c r="BQ129" s="416"/>
      <c r="BR129" s="416"/>
      <c r="BS129" s="416"/>
      <c r="BT129" s="416"/>
      <c r="BU129" s="416"/>
      <c r="BV129" s="416"/>
      <c r="BW129" s="416"/>
      <c r="BX129" s="416"/>
      <c r="BY129" s="416"/>
      <c r="BZ129" s="416"/>
      <c r="CA129" s="416"/>
    </row>
    <row r="130">
      <c r="A130" s="416"/>
      <c r="B130" s="416"/>
      <c r="C130" s="416"/>
      <c r="D130" s="416"/>
      <c r="E130" s="416"/>
      <c r="F130" s="416"/>
      <c r="G130" s="416"/>
      <c r="H130" s="416"/>
      <c r="I130" s="416"/>
      <c r="J130" s="416"/>
      <c r="K130" s="416"/>
      <c r="L130" s="416"/>
      <c r="M130" s="416"/>
      <c r="N130" s="416"/>
      <c r="O130" s="416"/>
      <c r="P130" s="416"/>
      <c r="Q130" s="416"/>
      <c r="R130" s="416"/>
      <c r="S130" s="416"/>
      <c r="T130" s="416"/>
      <c r="U130" s="416"/>
      <c r="V130" s="416"/>
      <c r="W130" s="416"/>
      <c r="X130" s="416"/>
      <c r="Y130" s="416"/>
      <c r="Z130" s="416"/>
      <c r="AA130" s="416"/>
      <c r="AB130" s="416"/>
      <c r="AC130" s="416"/>
      <c r="AD130" s="416"/>
      <c r="AE130" s="416"/>
      <c r="AF130" s="416"/>
      <c r="AG130" s="416"/>
      <c r="AH130" s="416"/>
      <c r="AI130" s="416"/>
      <c r="AJ130" s="416"/>
      <c r="AK130" s="416"/>
      <c r="AL130" s="416"/>
      <c r="AM130" s="416"/>
      <c r="AN130" s="416"/>
      <c r="AO130" s="416"/>
      <c r="AP130" s="416"/>
      <c r="AQ130" s="416"/>
      <c r="AR130" s="416"/>
      <c r="AS130" s="416"/>
      <c r="AT130" s="416"/>
      <c r="AU130" s="416"/>
      <c r="AV130" s="416"/>
      <c r="AW130" s="416"/>
      <c r="AX130" s="416"/>
      <c r="AY130" s="416"/>
      <c r="AZ130" s="416"/>
      <c r="BA130" s="416"/>
      <c r="BB130" s="416"/>
      <c r="BC130" s="416"/>
      <c r="BD130" s="416"/>
      <c r="BE130" s="416"/>
      <c r="BF130" s="416"/>
      <c r="BG130" s="416"/>
      <c r="BH130" s="416"/>
      <c r="BI130" s="213" t="str">
        <f t="array" ref="BI130">IFERROR(INDEX('💻シート作成'!$D$6:$D162, MATCH(BJ130, '💻シート作成'!$E$6:$E162, 0)), "")</f>
        <v/>
      </c>
      <c r="BJ130" s="170"/>
      <c r="BK130" s="416"/>
      <c r="BL130" s="559" t="str">
        <f t="array" ref="BL130">IFERROR(INDEX('💻シート作成'!$D$6:$D162, MATCH(BM130, '💻シート作成'!$E$6:$E162, 0)), "")</f>
        <v/>
      </c>
      <c r="BM130" s="170"/>
      <c r="BN130" s="416"/>
      <c r="BO130" s="416"/>
      <c r="BP130" s="416"/>
      <c r="BQ130" s="416"/>
      <c r="BR130" s="416"/>
      <c r="BS130" s="416"/>
      <c r="BT130" s="416"/>
      <c r="BU130" s="416"/>
      <c r="BV130" s="416"/>
      <c r="BW130" s="416"/>
      <c r="BX130" s="416"/>
      <c r="BY130" s="416"/>
      <c r="BZ130" s="416"/>
      <c r="CA130" s="416"/>
    </row>
    <row r="131">
      <c r="A131" s="416"/>
      <c r="B131" s="416"/>
      <c r="C131" s="416"/>
      <c r="D131" s="416"/>
      <c r="E131" s="416"/>
      <c r="F131" s="416"/>
      <c r="G131" s="416"/>
      <c r="H131" s="416"/>
      <c r="I131" s="416"/>
      <c r="J131" s="416"/>
      <c r="K131" s="416"/>
      <c r="L131" s="416"/>
      <c r="M131" s="416"/>
      <c r="N131" s="416"/>
      <c r="O131" s="416"/>
      <c r="P131" s="416"/>
      <c r="Q131" s="416"/>
      <c r="R131" s="416"/>
      <c r="S131" s="416"/>
      <c r="T131" s="416"/>
      <c r="U131" s="416"/>
      <c r="V131" s="416"/>
      <c r="W131" s="416"/>
      <c r="X131" s="416"/>
      <c r="Y131" s="416"/>
      <c r="Z131" s="416"/>
      <c r="AA131" s="416"/>
      <c r="AB131" s="416"/>
      <c r="AC131" s="416"/>
      <c r="AD131" s="416"/>
      <c r="AE131" s="416"/>
      <c r="AF131" s="416"/>
      <c r="AG131" s="416"/>
      <c r="AH131" s="416"/>
      <c r="AI131" s="416"/>
      <c r="AJ131" s="416"/>
      <c r="AK131" s="416"/>
      <c r="AL131" s="416"/>
      <c r="AM131" s="416"/>
      <c r="AN131" s="416"/>
      <c r="AO131" s="416"/>
      <c r="AP131" s="416"/>
      <c r="AQ131" s="416"/>
      <c r="AR131" s="416"/>
      <c r="AS131" s="416"/>
      <c r="AT131" s="416"/>
      <c r="AU131" s="416"/>
      <c r="AV131" s="416"/>
      <c r="AW131" s="416"/>
      <c r="AX131" s="416"/>
      <c r="AY131" s="416"/>
      <c r="AZ131" s="416"/>
      <c r="BA131" s="416"/>
      <c r="BB131" s="416"/>
      <c r="BC131" s="416"/>
      <c r="BD131" s="416"/>
      <c r="BE131" s="416"/>
      <c r="BF131" s="416"/>
      <c r="BG131" s="416"/>
      <c r="BH131" s="416"/>
      <c r="BI131" s="213" t="str">
        <f t="array" ref="BI131">IFERROR(INDEX('💻シート作成'!$D$6:$D162, MATCH(BJ131, '💻シート作成'!$E$6:$E162, 0)), "")</f>
        <v/>
      </c>
      <c r="BJ131" s="170"/>
      <c r="BK131" s="416"/>
      <c r="BL131" s="559" t="str">
        <f t="array" ref="BL131">IFERROR(INDEX('💻シート作成'!$D$6:$D162, MATCH(BM131, '💻シート作成'!$E$6:$E162, 0)), "")</f>
        <v/>
      </c>
      <c r="BM131" s="170"/>
      <c r="BN131" s="416"/>
      <c r="BO131" s="416"/>
      <c r="BP131" s="416"/>
      <c r="BQ131" s="416"/>
      <c r="BR131" s="416"/>
      <c r="BS131" s="416"/>
      <c r="BT131" s="416"/>
      <c r="BU131" s="416"/>
      <c r="BV131" s="416"/>
      <c r="BW131" s="416"/>
      <c r="BX131" s="416"/>
      <c r="BY131" s="416"/>
      <c r="BZ131" s="416"/>
      <c r="CA131" s="416"/>
    </row>
    <row r="132">
      <c r="A132" s="416"/>
      <c r="B132" s="416"/>
      <c r="C132" s="416"/>
      <c r="D132" s="416"/>
      <c r="E132" s="416"/>
      <c r="F132" s="416"/>
      <c r="G132" s="416"/>
      <c r="H132" s="416"/>
      <c r="I132" s="416"/>
      <c r="J132" s="416"/>
      <c r="K132" s="416"/>
      <c r="L132" s="416"/>
      <c r="M132" s="416"/>
      <c r="N132" s="416"/>
      <c r="O132" s="416"/>
      <c r="P132" s="416"/>
      <c r="Q132" s="416"/>
      <c r="R132" s="416"/>
      <c r="S132" s="416"/>
      <c r="T132" s="416"/>
      <c r="U132" s="416"/>
      <c r="V132" s="416"/>
      <c r="W132" s="416"/>
      <c r="X132" s="416"/>
      <c r="Y132" s="416"/>
      <c r="Z132" s="416"/>
      <c r="AA132" s="416"/>
      <c r="AB132" s="416"/>
      <c r="AC132" s="416"/>
      <c r="AD132" s="416"/>
      <c r="AE132" s="416"/>
      <c r="AF132" s="416"/>
      <c r="AG132" s="416"/>
      <c r="AH132" s="416"/>
      <c r="AI132" s="416"/>
      <c r="AJ132" s="416"/>
      <c r="AK132" s="416"/>
      <c r="AL132" s="416"/>
      <c r="AM132" s="416"/>
      <c r="AN132" s="416"/>
      <c r="AO132" s="416"/>
      <c r="AP132" s="416"/>
      <c r="AQ132" s="416"/>
      <c r="AR132" s="416"/>
      <c r="AS132" s="416"/>
      <c r="AT132" s="416"/>
      <c r="AU132" s="416"/>
      <c r="AV132" s="416"/>
      <c r="AW132" s="416"/>
      <c r="AX132" s="416"/>
      <c r="AY132" s="416"/>
      <c r="AZ132" s="416"/>
      <c r="BA132" s="416"/>
      <c r="BB132" s="416"/>
      <c r="BC132" s="416"/>
      <c r="BD132" s="416"/>
      <c r="BE132" s="416"/>
      <c r="BF132" s="416"/>
      <c r="BG132" s="416"/>
      <c r="BH132" s="416"/>
      <c r="BI132" s="213" t="str">
        <f t="array" ref="BI132">IFERROR(INDEX('💻シート作成'!$D$6:$D162, MATCH(BJ132, '💻シート作成'!$E$6:$E162, 0)), "")</f>
        <v/>
      </c>
      <c r="BJ132" s="170"/>
      <c r="BK132" s="416"/>
      <c r="BL132" s="559" t="str">
        <f t="array" ref="BL132">IFERROR(INDEX('💻シート作成'!$D$6:$D162, MATCH(BM132, '💻シート作成'!$E$6:$E162, 0)), "")</f>
        <v/>
      </c>
      <c r="BM132" s="170"/>
      <c r="BN132" s="416"/>
      <c r="BO132" s="416"/>
      <c r="BP132" s="416"/>
      <c r="BQ132" s="416"/>
      <c r="BR132" s="416"/>
      <c r="BS132" s="416"/>
      <c r="BT132" s="416"/>
      <c r="BU132" s="416"/>
      <c r="BV132" s="416"/>
      <c r="BW132" s="416"/>
      <c r="BX132" s="416"/>
      <c r="BY132" s="416"/>
      <c r="BZ132" s="416"/>
      <c r="CA132" s="416"/>
    </row>
    <row r="133">
      <c r="A133" s="416"/>
      <c r="B133" s="416"/>
      <c r="C133" s="416"/>
      <c r="D133" s="416"/>
      <c r="E133" s="416"/>
      <c r="F133" s="416"/>
      <c r="G133" s="416"/>
      <c r="H133" s="416"/>
      <c r="I133" s="416"/>
      <c r="J133" s="416"/>
      <c r="K133" s="416"/>
      <c r="L133" s="416"/>
      <c r="M133" s="416"/>
      <c r="N133" s="416"/>
      <c r="O133" s="416"/>
      <c r="P133" s="416"/>
      <c r="Q133" s="416"/>
      <c r="R133" s="416"/>
      <c r="S133" s="416"/>
      <c r="T133" s="416"/>
      <c r="U133" s="416"/>
      <c r="V133" s="416"/>
      <c r="W133" s="416"/>
      <c r="X133" s="416"/>
      <c r="Y133" s="416"/>
      <c r="Z133" s="416"/>
      <c r="AA133" s="416"/>
      <c r="AB133" s="416"/>
      <c r="AC133" s="416"/>
      <c r="AD133" s="416"/>
      <c r="AE133" s="416"/>
      <c r="AF133" s="416"/>
      <c r="AG133" s="416"/>
      <c r="AH133" s="416"/>
      <c r="AI133" s="416"/>
      <c r="AJ133" s="416"/>
      <c r="AK133" s="416"/>
      <c r="AL133" s="416"/>
      <c r="AM133" s="416"/>
      <c r="AN133" s="416"/>
      <c r="AO133" s="416"/>
      <c r="AP133" s="416"/>
      <c r="AQ133" s="416"/>
      <c r="AR133" s="416"/>
      <c r="AS133" s="416"/>
      <c r="AT133" s="416"/>
      <c r="AU133" s="416"/>
      <c r="AV133" s="416"/>
      <c r="AW133" s="416"/>
      <c r="AX133" s="416"/>
      <c r="AY133" s="416"/>
      <c r="AZ133" s="416"/>
      <c r="BA133" s="416"/>
      <c r="BB133" s="416"/>
      <c r="BC133" s="416"/>
      <c r="BD133" s="416"/>
      <c r="BE133" s="416"/>
      <c r="BF133" s="416"/>
      <c r="BG133" s="416"/>
      <c r="BH133" s="416"/>
      <c r="BI133" s="213" t="str">
        <f t="array" ref="BI133">IFERROR(INDEX('💻シート作成'!$D$6:$D162, MATCH(BJ133, '💻シート作成'!$E$6:$E162, 0)), "")</f>
        <v/>
      </c>
      <c r="BJ133" s="170"/>
      <c r="BK133" s="416"/>
      <c r="BL133" s="559" t="str">
        <f t="array" ref="BL133">IFERROR(INDEX('💻シート作成'!$D$6:$D162, MATCH(BM133, '💻シート作成'!$E$6:$E162, 0)), "")</f>
        <v/>
      </c>
      <c r="BM133" s="170"/>
      <c r="BN133" s="416"/>
      <c r="BO133" s="416"/>
      <c r="BP133" s="416"/>
      <c r="BQ133" s="416"/>
      <c r="BR133" s="416"/>
      <c r="BS133" s="416"/>
      <c r="BT133" s="416"/>
      <c r="BU133" s="416"/>
      <c r="BV133" s="416"/>
      <c r="BW133" s="416"/>
      <c r="BX133" s="416"/>
      <c r="BY133" s="416"/>
      <c r="BZ133" s="416"/>
      <c r="CA133" s="416"/>
    </row>
    <row r="134">
      <c r="A134" s="416"/>
      <c r="B134" s="416"/>
      <c r="C134" s="416"/>
      <c r="D134" s="416"/>
      <c r="E134" s="416"/>
      <c r="F134" s="416"/>
      <c r="G134" s="416"/>
      <c r="H134" s="416"/>
      <c r="I134" s="416"/>
      <c r="J134" s="416"/>
      <c r="K134" s="416"/>
      <c r="L134" s="416"/>
      <c r="M134" s="416"/>
      <c r="N134" s="416"/>
      <c r="O134" s="416"/>
      <c r="P134" s="416"/>
      <c r="Q134" s="416"/>
      <c r="R134" s="416"/>
      <c r="S134" s="416"/>
      <c r="T134" s="416"/>
      <c r="U134" s="416"/>
      <c r="V134" s="416"/>
      <c r="W134" s="416"/>
      <c r="X134" s="416"/>
      <c r="Y134" s="416"/>
      <c r="Z134" s="416"/>
      <c r="AA134" s="416"/>
      <c r="AB134" s="416"/>
      <c r="AC134" s="416"/>
      <c r="AD134" s="416"/>
      <c r="AE134" s="416"/>
      <c r="AF134" s="416"/>
      <c r="AG134" s="416"/>
      <c r="AH134" s="416"/>
      <c r="AI134" s="416"/>
      <c r="AJ134" s="416"/>
      <c r="AK134" s="416"/>
      <c r="AL134" s="416"/>
      <c r="AM134" s="416"/>
      <c r="AN134" s="416"/>
      <c r="AO134" s="416"/>
      <c r="AP134" s="416"/>
      <c r="AQ134" s="416"/>
      <c r="AR134" s="416"/>
      <c r="AS134" s="416"/>
      <c r="AT134" s="416"/>
      <c r="AU134" s="416"/>
      <c r="AV134" s="416"/>
      <c r="AW134" s="416"/>
      <c r="AX134" s="416"/>
      <c r="AY134" s="416"/>
      <c r="AZ134" s="416"/>
      <c r="BA134" s="416"/>
      <c r="BB134" s="416"/>
      <c r="BC134" s="416"/>
      <c r="BD134" s="416"/>
      <c r="BE134" s="416"/>
      <c r="BF134" s="416"/>
      <c r="BG134" s="416"/>
      <c r="BH134" s="416"/>
      <c r="BI134" s="213" t="str">
        <f t="array" ref="BI134">IFERROR(INDEX('💻シート作成'!$D$6:$D162, MATCH(BJ134, '💻シート作成'!$E$6:$E162, 0)), "")</f>
        <v/>
      </c>
      <c r="BJ134" s="170"/>
      <c r="BK134" s="416"/>
      <c r="BL134" s="559" t="str">
        <f t="array" ref="BL134">IFERROR(INDEX('💻シート作成'!$D$6:$D162, MATCH(BM134, '💻シート作成'!$E$6:$E162, 0)), "")</f>
        <v/>
      </c>
      <c r="BM134" s="170"/>
      <c r="BN134" s="416"/>
      <c r="BO134" s="416"/>
      <c r="BP134" s="416"/>
      <c r="BQ134" s="416"/>
      <c r="BR134" s="416"/>
      <c r="BS134" s="416"/>
      <c r="BT134" s="416"/>
      <c r="BU134" s="416"/>
      <c r="BV134" s="416"/>
      <c r="BW134" s="416"/>
      <c r="BX134" s="416"/>
      <c r="BY134" s="416"/>
      <c r="BZ134" s="416"/>
      <c r="CA134" s="416"/>
    </row>
    <row r="135">
      <c r="A135" s="416"/>
      <c r="B135" s="416"/>
      <c r="C135" s="416"/>
      <c r="D135" s="416"/>
      <c r="E135" s="416"/>
      <c r="F135" s="416"/>
      <c r="G135" s="416"/>
      <c r="H135" s="416"/>
      <c r="I135" s="416"/>
      <c r="J135" s="416"/>
      <c r="K135" s="416"/>
      <c r="L135" s="416"/>
      <c r="M135" s="416"/>
      <c r="N135" s="416"/>
      <c r="O135" s="416"/>
      <c r="P135" s="416"/>
      <c r="Q135" s="416"/>
      <c r="R135" s="416"/>
      <c r="S135" s="416"/>
      <c r="T135" s="416"/>
      <c r="U135" s="416"/>
      <c r="V135" s="416"/>
      <c r="W135" s="416"/>
      <c r="X135" s="416"/>
      <c r="Y135" s="416"/>
      <c r="Z135" s="416"/>
      <c r="AA135" s="416"/>
      <c r="AB135" s="416"/>
      <c r="AC135" s="416"/>
      <c r="AD135" s="416"/>
      <c r="AE135" s="416"/>
      <c r="AF135" s="416"/>
      <c r="AG135" s="416"/>
      <c r="AH135" s="416"/>
      <c r="AI135" s="416"/>
      <c r="AJ135" s="416"/>
      <c r="AK135" s="416"/>
      <c r="AL135" s="416"/>
      <c r="AM135" s="416"/>
      <c r="AN135" s="416"/>
      <c r="AO135" s="416"/>
      <c r="AP135" s="416"/>
      <c r="AQ135" s="416"/>
      <c r="AR135" s="416"/>
      <c r="AS135" s="416"/>
      <c r="AT135" s="416"/>
      <c r="AU135" s="416"/>
      <c r="AV135" s="416"/>
      <c r="AW135" s="416"/>
      <c r="AX135" s="416"/>
      <c r="AY135" s="416"/>
      <c r="AZ135" s="416"/>
      <c r="BA135" s="416"/>
      <c r="BB135" s="416"/>
      <c r="BC135" s="416"/>
      <c r="BD135" s="416"/>
      <c r="BE135" s="416"/>
      <c r="BF135" s="416"/>
      <c r="BG135" s="416"/>
      <c r="BH135" s="416"/>
      <c r="BI135" s="213" t="str">
        <f t="array" ref="BI135">IFERROR(INDEX('💻シート作成'!$D$6:$D162, MATCH(BJ135, '💻シート作成'!$E$6:$E162, 0)), "")</f>
        <v/>
      </c>
      <c r="BJ135" s="170"/>
      <c r="BK135" s="416"/>
      <c r="BL135" s="559" t="str">
        <f t="array" ref="BL135">IFERROR(INDEX('💻シート作成'!$D$6:$D162, MATCH(BM135, '💻シート作成'!$E$6:$E162, 0)), "")</f>
        <v/>
      </c>
      <c r="BM135" s="170"/>
      <c r="BN135" s="416"/>
      <c r="BO135" s="416"/>
      <c r="BP135" s="416"/>
      <c r="BQ135" s="416"/>
      <c r="BR135" s="416"/>
      <c r="BS135" s="416"/>
      <c r="BT135" s="416"/>
      <c r="BU135" s="416"/>
      <c r="BV135" s="416"/>
      <c r="BW135" s="416"/>
      <c r="BX135" s="416"/>
      <c r="BY135" s="416"/>
      <c r="BZ135" s="416"/>
      <c r="CA135" s="416"/>
    </row>
    <row r="136">
      <c r="A136" s="416"/>
      <c r="B136" s="416"/>
      <c r="C136" s="416"/>
      <c r="D136" s="416"/>
      <c r="E136" s="416"/>
      <c r="F136" s="416"/>
      <c r="G136" s="416"/>
      <c r="H136" s="416"/>
      <c r="I136" s="416"/>
      <c r="J136" s="416"/>
      <c r="K136" s="416"/>
      <c r="L136" s="416"/>
      <c r="M136" s="416"/>
      <c r="N136" s="416"/>
      <c r="O136" s="416"/>
      <c r="P136" s="416"/>
      <c r="Q136" s="416"/>
      <c r="R136" s="416"/>
      <c r="S136" s="416"/>
      <c r="T136" s="416"/>
      <c r="U136" s="416"/>
      <c r="V136" s="416"/>
      <c r="W136" s="416"/>
      <c r="X136" s="416"/>
      <c r="Y136" s="416"/>
      <c r="Z136" s="416"/>
      <c r="AA136" s="416"/>
      <c r="AB136" s="416"/>
      <c r="AC136" s="416"/>
      <c r="AD136" s="416"/>
      <c r="AE136" s="416"/>
      <c r="AF136" s="416"/>
      <c r="AG136" s="416"/>
      <c r="AH136" s="416"/>
      <c r="AI136" s="416"/>
      <c r="AJ136" s="416"/>
      <c r="AK136" s="416"/>
      <c r="AL136" s="416"/>
      <c r="AM136" s="416"/>
      <c r="AN136" s="416"/>
      <c r="AO136" s="416"/>
      <c r="AP136" s="416"/>
      <c r="AQ136" s="416"/>
      <c r="AR136" s="416"/>
      <c r="AS136" s="416"/>
      <c r="AT136" s="416"/>
      <c r="AU136" s="416"/>
      <c r="AV136" s="416"/>
      <c r="AW136" s="416"/>
      <c r="AX136" s="416"/>
      <c r="AY136" s="416"/>
      <c r="AZ136" s="416"/>
      <c r="BA136" s="416"/>
      <c r="BB136" s="416"/>
      <c r="BC136" s="416"/>
      <c r="BD136" s="416"/>
      <c r="BE136" s="416"/>
      <c r="BF136" s="416"/>
      <c r="BG136" s="416"/>
      <c r="BH136" s="416"/>
      <c r="BI136" s="213" t="str">
        <f t="array" ref="BI136">IFERROR(INDEX('💻シート作成'!$D$6:$D162, MATCH(BJ136, '💻シート作成'!$E$6:$E162, 0)), "")</f>
        <v/>
      </c>
      <c r="BJ136" s="170"/>
      <c r="BK136" s="416"/>
      <c r="BL136" s="559" t="str">
        <f t="array" ref="BL136">IFERROR(INDEX('💻シート作成'!$D$6:$D162, MATCH(BM136, '💻シート作成'!$E$6:$E162, 0)), "")</f>
        <v/>
      </c>
      <c r="BM136" s="170"/>
      <c r="BN136" s="416"/>
      <c r="BO136" s="416"/>
      <c r="BP136" s="416"/>
      <c r="BQ136" s="416"/>
      <c r="BR136" s="416"/>
      <c r="BS136" s="416"/>
      <c r="BT136" s="416"/>
      <c r="BU136" s="416"/>
      <c r="BV136" s="416"/>
      <c r="BW136" s="416"/>
      <c r="BX136" s="416"/>
      <c r="BY136" s="416"/>
      <c r="BZ136" s="416"/>
      <c r="CA136" s="416"/>
    </row>
    <row r="137">
      <c r="A137" s="416"/>
      <c r="B137" s="416"/>
      <c r="C137" s="416"/>
      <c r="D137" s="416"/>
      <c r="E137" s="416"/>
      <c r="F137" s="416"/>
      <c r="G137" s="416"/>
      <c r="H137" s="416"/>
      <c r="I137" s="416"/>
      <c r="J137" s="416"/>
      <c r="K137" s="416"/>
      <c r="L137" s="416"/>
      <c r="M137" s="416"/>
      <c r="N137" s="416"/>
      <c r="O137" s="416"/>
      <c r="P137" s="416"/>
      <c r="Q137" s="416"/>
      <c r="R137" s="416"/>
      <c r="S137" s="416"/>
      <c r="T137" s="416"/>
      <c r="U137" s="416"/>
      <c r="V137" s="416"/>
      <c r="W137" s="416"/>
      <c r="X137" s="416"/>
      <c r="Y137" s="416"/>
      <c r="Z137" s="416"/>
      <c r="AA137" s="416"/>
      <c r="AB137" s="416"/>
      <c r="AC137" s="416"/>
      <c r="AD137" s="416"/>
      <c r="AE137" s="416"/>
      <c r="AF137" s="416"/>
      <c r="AG137" s="416"/>
      <c r="AH137" s="416"/>
      <c r="AI137" s="416"/>
      <c r="AJ137" s="416"/>
      <c r="AK137" s="416"/>
      <c r="AL137" s="416"/>
      <c r="AM137" s="416"/>
      <c r="AN137" s="416"/>
      <c r="AO137" s="416"/>
      <c r="AP137" s="416"/>
      <c r="AQ137" s="416"/>
      <c r="AR137" s="416"/>
      <c r="AS137" s="416"/>
      <c r="AT137" s="416"/>
      <c r="AU137" s="416"/>
      <c r="AV137" s="416"/>
      <c r="AW137" s="416"/>
      <c r="AX137" s="416"/>
      <c r="AY137" s="416"/>
      <c r="AZ137" s="416"/>
      <c r="BA137" s="416"/>
      <c r="BB137" s="416"/>
      <c r="BC137" s="416"/>
      <c r="BD137" s="416"/>
      <c r="BE137" s="416"/>
      <c r="BF137" s="416"/>
      <c r="BG137" s="416"/>
      <c r="BH137" s="416"/>
      <c r="BI137" s="213" t="str">
        <f t="array" ref="BI137">IFERROR(INDEX('💻シート作成'!$D$6:$D162, MATCH(BJ137, '💻シート作成'!$E$6:$E162, 0)), "")</f>
        <v/>
      </c>
      <c r="BJ137" s="170"/>
      <c r="BK137" s="416"/>
      <c r="BL137" s="559" t="str">
        <f t="array" ref="BL137">IFERROR(INDEX('💻シート作成'!$D$6:$D162, MATCH(BM137, '💻シート作成'!$E$6:$E162, 0)), "")</f>
        <v/>
      </c>
      <c r="BM137" s="170"/>
      <c r="BN137" s="416"/>
      <c r="BO137" s="416"/>
      <c r="BP137" s="416"/>
      <c r="BQ137" s="416"/>
      <c r="BR137" s="416"/>
      <c r="BS137" s="416"/>
      <c r="BT137" s="416"/>
      <c r="BU137" s="416"/>
      <c r="BV137" s="416"/>
      <c r="BW137" s="416"/>
      <c r="BX137" s="416"/>
      <c r="BY137" s="416"/>
      <c r="BZ137" s="416"/>
      <c r="CA137" s="416"/>
    </row>
    <row r="138">
      <c r="A138" s="416"/>
      <c r="B138" s="416"/>
      <c r="C138" s="416"/>
      <c r="D138" s="416"/>
      <c r="E138" s="416"/>
      <c r="F138" s="416"/>
      <c r="G138" s="416"/>
      <c r="H138" s="416"/>
      <c r="I138" s="416"/>
      <c r="J138" s="416"/>
      <c r="K138" s="416"/>
      <c r="L138" s="416"/>
      <c r="M138" s="416"/>
      <c r="N138" s="416"/>
      <c r="O138" s="416"/>
      <c r="P138" s="416"/>
      <c r="Q138" s="416"/>
      <c r="R138" s="416"/>
      <c r="S138" s="416"/>
      <c r="T138" s="416"/>
      <c r="U138" s="416"/>
      <c r="V138" s="416"/>
      <c r="W138" s="416"/>
      <c r="X138" s="416"/>
      <c r="Y138" s="416"/>
      <c r="Z138" s="416"/>
      <c r="AA138" s="416"/>
      <c r="AB138" s="416"/>
      <c r="AC138" s="416"/>
      <c r="AD138" s="416"/>
      <c r="AE138" s="416"/>
      <c r="AF138" s="416"/>
      <c r="AG138" s="416"/>
      <c r="AH138" s="416"/>
      <c r="AI138" s="416"/>
      <c r="AJ138" s="416"/>
      <c r="AK138" s="416"/>
      <c r="AL138" s="416"/>
      <c r="AM138" s="416"/>
      <c r="AN138" s="416"/>
      <c r="AO138" s="416"/>
      <c r="AP138" s="416"/>
      <c r="AQ138" s="416"/>
      <c r="AR138" s="416"/>
      <c r="AS138" s="416"/>
      <c r="AT138" s="416"/>
      <c r="AU138" s="416"/>
      <c r="AV138" s="416"/>
      <c r="AW138" s="416"/>
      <c r="AX138" s="416"/>
      <c r="AY138" s="416"/>
      <c r="AZ138" s="416"/>
      <c r="BA138" s="416"/>
      <c r="BB138" s="416"/>
      <c r="BC138" s="416"/>
      <c r="BD138" s="416"/>
      <c r="BE138" s="416"/>
      <c r="BF138" s="416"/>
      <c r="BG138" s="416"/>
      <c r="BH138" s="416"/>
      <c r="BI138" s="213" t="str">
        <f t="array" ref="BI138">IFERROR(INDEX('💻シート作成'!$D$6:$D162, MATCH(BJ138, '💻シート作成'!$E$6:$E162, 0)), "")</f>
        <v/>
      </c>
      <c r="BJ138" s="170"/>
      <c r="BK138" s="416"/>
      <c r="BL138" s="559" t="str">
        <f t="array" ref="BL138">IFERROR(INDEX('💻シート作成'!$D$6:$D162, MATCH(BM138, '💻シート作成'!$E$6:$E162, 0)), "")</f>
        <v/>
      </c>
      <c r="BM138" s="170"/>
      <c r="BN138" s="416"/>
      <c r="BO138" s="416"/>
      <c r="BP138" s="416"/>
      <c r="BQ138" s="416"/>
      <c r="BR138" s="416"/>
      <c r="BS138" s="416"/>
      <c r="BT138" s="416"/>
      <c r="BU138" s="416"/>
      <c r="BV138" s="416"/>
      <c r="BW138" s="416"/>
      <c r="BX138" s="416"/>
      <c r="BY138" s="416"/>
      <c r="BZ138" s="416"/>
      <c r="CA138" s="416"/>
    </row>
    <row r="139">
      <c r="A139" s="416"/>
      <c r="B139" s="416"/>
      <c r="C139" s="416"/>
      <c r="D139" s="416"/>
      <c r="E139" s="416"/>
      <c r="F139" s="416"/>
      <c r="G139" s="416"/>
      <c r="H139" s="416"/>
      <c r="I139" s="416"/>
      <c r="J139" s="416"/>
      <c r="K139" s="416"/>
      <c r="L139" s="416"/>
      <c r="M139" s="416"/>
      <c r="N139" s="416"/>
      <c r="O139" s="416"/>
      <c r="P139" s="416"/>
      <c r="Q139" s="416"/>
      <c r="R139" s="416"/>
      <c r="S139" s="416"/>
      <c r="T139" s="416"/>
      <c r="U139" s="416"/>
      <c r="V139" s="416"/>
      <c r="W139" s="416"/>
      <c r="X139" s="416"/>
      <c r="Y139" s="416"/>
      <c r="Z139" s="416"/>
      <c r="AA139" s="416"/>
      <c r="AB139" s="416"/>
      <c r="AC139" s="416"/>
      <c r="AD139" s="416"/>
      <c r="AE139" s="416"/>
      <c r="AF139" s="416"/>
      <c r="AG139" s="416"/>
      <c r="AH139" s="416"/>
      <c r="AI139" s="416"/>
      <c r="AJ139" s="416"/>
      <c r="AK139" s="416"/>
      <c r="AL139" s="416"/>
      <c r="AM139" s="416"/>
      <c r="AN139" s="416"/>
      <c r="AO139" s="416"/>
      <c r="AP139" s="416"/>
      <c r="AQ139" s="416"/>
      <c r="AR139" s="416"/>
      <c r="AS139" s="416"/>
      <c r="AT139" s="416"/>
      <c r="AU139" s="416"/>
      <c r="AV139" s="416"/>
      <c r="AW139" s="416"/>
      <c r="AX139" s="416"/>
      <c r="AY139" s="416"/>
      <c r="AZ139" s="416"/>
      <c r="BA139" s="416"/>
      <c r="BB139" s="416"/>
      <c r="BC139" s="416"/>
      <c r="BD139" s="416"/>
      <c r="BE139" s="416"/>
      <c r="BF139" s="416"/>
      <c r="BG139" s="416"/>
      <c r="BH139" s="416"/>
      <c r="BI139" s="213" t="str">
        <f t="array" ref="BI139">IFERROR(INDEX('💻シート作成'!$D$6:$D162, MATCH(BJ139, '💻シート作成'!$E$6:$E162, 0)), "")</f>
        <v/>
      </c>
      <c r="BJ139" s="170"/>
      <c r="BK139" s="416"/>
      <c r="BL139" s="559" t="str">
        <f t="array" ref="BL139">IFERROR(INDEX('💻シート作成'!$D$6:$D162, MATCH(BM139, '💻シート作成'!$E$6:$E162, 0)), "")</f>
        <v/>
      </c>
      <c r="BM139" s="170"/>
      <c r="BN139" s="416"/>
      <c r="BO139" s="416"/>
      <c r="BP139" s="416"/>
      <c r="BQ139" s="416"/>
      <c r="BR139" s="416"/>
      <c r="BS139" s="416"/>
      <c r="BT139" s="416"/>
      <c r="BU139" s="416"/>
      <c r="BV139" s="416"/>
      <c r="BW139" s="416"/>
      <c r="BX139" s="416"/>
      <c r="BY139" s="416"/>
      <c r="BZ139" s="416"/>
      <c r="CA139" s="416"/>
    </row>
    <row r="140">
      <c r="A140" s="416"/>
      <c r="B140" s="416"/>
      <c r="C140" s="416"/>
      <c r="D140" s="416"/>
      <c r="E140" s="416"/>
      <c r="F140" s="416"/>
      <c r="G140" s="416"/>
      <c r="H140" s="416"/>
      <c r="I140" s="416"/>
      <c r="J140" s="416"/>
      <c r="K140" s="416"/>
      <c r="L140" s="416"/>
      <c r="M140" s="416"/>
      <c r="N140" s="416"/>
      <c r="O140" s="416"/>
      <c r="P140" s="416"/>
      <c r="Q140" s="416"/>
      <c r="R140" s="416"/>
      <c r="S140" s="416"/>
      <c r="T140" s="416"/>
      <c r="U140" s="416"/>
      <c r="V140" s="416"/>
      <c r="W140" s="416"/>
      <c r="X140" s="416"/>
      <c r="Y140" s="416"/>
      <c r="Z140" s="416"/>
      <c r="AA140" s="416"/>
      <c r="AB140" s="416"/>
      <c r="AC140" s="416"/>
      <c r="AD140" s="416"/>
      <c r="AE140" s="416"/>
      <c r="AF140" s="416"/>
      <c r="AG140" s="416"/>
      <c r="AH140" s="416"/>
      <c r="AI140" s="416"/>
      <c r="AJ140" s="416"/>
      <c r="AK140" s="416"/>
      <c r="AL140" s="416"/>
      <c r="AM140" s="416"/>
      <c r="AN140" s="416"/>
      <c r="AO140" s="416"/>
      <c r="AP140" s="416"/>
      <c r="AQ140" s="416"/>
      <c r="AR140" s="416"/>
      <c r="AS140" s="416"/>
      <c r="AT140" s="416"/>
      <c r="AU140" s="416"/>
      <c r="AV140" s="416"/>
      <c r="AW140" s="416"/>
      <c r="AX140" s="416"/>
      <c r="AY140" s="416"/>
      <c r="AZ140" s="416"/>
      <c r="BA140" s="416"/>
      <c r="BB140" s="416"/>
      <c r="BC140" s="416"/>
      <c r="BD140" s="416"/>
      <c r="BE140" s="416"/>
      <c r="BF140" s="416"/>
      <c r="BG140" s="416"/>
      <c r="BH140" s="416"/>
      <c r="BI140" s="213" t="str">
        <f t="array" ref="BI140">IFERROR(INDEX('💻シート作成'!$D$6:$D162, MATCH(BJ140, '💻シート作成'!$E$6:$E162, 0)), "")</f>
        <v/>
      </c>
      <c r="BJ140" s="170"/>
      <c r="BK140" s="416"/>
      <c r="BL140" s="559" t="str">
        <f t="array" ref="BL140">IFERROR(INDEX('💻シート作成'!$D$6:$D162, MATCH(BM140, '💻シート作成'!$E$6:$E162, 0)), "")</f>
        <v/>
      </c>
      <c r="BM140" s="170"/>
      <c r="BN140" s="416"/>
      <c r="BO140" s="416"/>
      <c r="BP140" s="416"/>
      <c r="BQ140" s="416"/>
      <c r="BR140" s="416"/>
      <c r="BS140" s="416"/>
      <c r="BT140" s="416"/>
      <c r="BU140" s="416"/>
      <c r="BV140" s="416"/>
      <c r="BW140" s="416"/>
      <c r="BX140" s="416"/>
      <c r="BY140" s="416"/>
      <c r="BZ140" s="416"/>
      <c r="CA140" s="416"/>
    </row>
    <row r="141">
      <c r="A141" s="416"/>
      <c r="B141" s="416"/>
      <c r="C141" s="416"/>
      <c r="D141" s="416"/>
      <c r="E141" s="416"/>
      <c r="F141" s="416"/>
      <c r="G141" s="416"/>
      <c r="H141" s="416"/>
      <c r="I141" s="416"/>
      <c r="J141" s="416"/>
      <c r="K141" s="416"/>
      <c r="L141" s="416"/>
      <c r="M141" s="416"/>
      <c r="N141" s="416"/>
      <c r="O141" s="416"/>
      <c r="P141" s="416"/>
      <c r="Q141" s="416"/>
      <c r="R141" s="416"/>
      <c r="S141" s="416"/>
      <c r="T141" s="416"/>
      <c r="U141" s="416"/>
      <c r="V141" s="416"/>
      <c r="W141" s="416"/>
      <c r="X141" s="416"/>
      <c r="Y141" s="416"/>
      <c r="Z141" s="416"/>
      <c r="AA141" s="416"/>
      <c r="AB141" s="416"/>
      <c r="AC141" s="416"/>
      <c r="AD141" s="416"/>
      <c r="AE141" s="416"/>
      <c r="AF141" s="416"/>
      <c r="AG141" s="416"/>
      <c r="AH141" s="416"/>
      <c r="AI141" s="416"/>
      <c r="AJ141" s="416"/>
      <c r="AK141" s="416"/>
      <c r="AL141" s="416"/>
      <c r="AM141" s="416"/>
      <c r="AN141" s="416"/>
      <c r="AO141" s="416"/>
      <c r="AP141" s="416"/>
      <c r="AQ141" s="416"/>
      <c r="AR141" s="416"/>
      <c r="AS141" s="416"/>
      <c r="AT141" s="416"/>
      <c r="AU141" s="416"/>
      <c r="AV141" s="416"/>
      <c r="AW141" s="416"/>
      <c r="AX141" s="416"/>
      <c r="AY141" s="416"/>
      <c r="AZ141" s="416"/>
      <c r="BA141" s="416"/>
      <c r="BB141" s="416"/>
      <c r="BC141" s="416"/>
      <c r="BD141" s="416"/>
      <c r="BE141" s="416"/>
      <c r="BF141" s="416"/>
      <c r="BG141" s="416"/>
      <c r="BH141" s="416"/>
      <c r="BI141" s="213" t="str">
        <f t="array" ref="BI141">IFERROR(INDEX('💻シート作成'!$D$6:$D162, MATCH(BJ141, '💻シート作成'!$E$6:$E162, 0)), "")</f>
        <v/>
      </c>
      <c r="BJ141" s="170"/>
      <c r="BK141" s="416"/>
      <c r="BL141" s="559" t="str">
        <f t="array" ref="BL141">IFERROR(INDEX('💻シート作成'!$D$6:$D162, MATCH(BM141, '💻シート作成'!$E$6:$E162, 0)), "")</f>
        <v/>
      </c>
      <c r="BM141" s="170"/>
      <c r="BN141" s="416"/>
      <c r="BO141" s="416"/>
      <c r="BP141" s="416"/>
      <c r="BQ141" s="416"/>
      <c r="BR141" s="416"/>
      <c r="BS141" s="416"/>
      <c r="BT141" s="416"/>
      <c r="BU141" s="416"/>
      <c r="BV141" s="416"/>
      <c r="BW141" s="416"/>
      <c r="BX141" s="416"/>
      <c r="BY141" s="416"/>
      <c r="BZ141" s="416"/>
      <c r="CA141" s="416"/>
    </row>
    <row r="142">
      <c r="A142" s="416"/>
      <c r="B142" s="416"/>
      <c r="C142" s="416"/>
      <c r="D142" s="416"/>
      <c r="E142" s="416"/>
      <c r="F142" s="416"/>
      <c r="G142" s="416"/>
      <c r="H142" s="416"/>
      <c r="I142" s="416"/>
      <c r="J142" s="416"/>
      <c r="K142" s="416"/>
      <c r="L142" s="416"/>
      <c r="M142" s="416"/>
      <c r="N142" s="416"/>
      <c r="O142" s="416"/>
      <c r="P142" s="416"/>
      <c r="Q142" s="416"/>
      <c r="R142" s="416"/>
      <c r="S142" s="416"/>
      <c r="T142" s="416"/>
      <c r="U142" s="416"/>
      <c r="V142" s="416"/>
      <c r="W142" s="416"/>
      <c r="X142" s="416"/>
      <c r="Y142" s="416"/>
      <c r="Z142" s="416"/>
      <c r="AA142" s="416"/>
      <c r="AB142" s="416"/>
      <c r="AC142" s="416"/>
      <c r="AD142" s="416"/>
      <c r="AE142" s="416"/>
      <c r="AF142" s="416"/>
      <c r="AG142" s="416"/>
      <c r="AH142" s="416"/>
      <c r="AI142" s="416"/>
      <c r="AJ142" s="416"/>
      <c r="AK142" s="416"/>
      <c r="AL142" s="416"/>
      <c r="AM142" s="416"/>
      <c r="AN142" s="416"/>
      <c r="AO142" s="416"/>
      <c r="AP142" s="416"/>
      <c r="AQ142" s="416"/>
      <c r="AR142" s="416"/>
      <c r="AS142" s="416"/>
      <c r="AT142" s="416"/>
      <c r="AU142" s="416"/>
      <c r="AV142" s="416"/>
      <c r="AW142" s="416"/>
      <c r="AX142" s="416"/>
      <c r="AY142" s="416"/>
      <c r="AZ142" s="416"/>
      <c r="BA142" s="416"/>
      <c r="BB142" s="416"/>
      <c r="BC142" s="416"/>
      <c r="BD142" s="416"/>
      <c r="BE142" s="416"/>
      <c r="BF142" s="416"/>
      <c r="BG142" s="416"/>
      <c r="BH142" s="416"/>
      <c r="BI142" s="213" t="str">
        <f t="array" ref="BI142">IFERROR(INDEX('💻シート作成'!$D$6:$D162, MATCH(BJ142, '💻シート作成'!$E$6:$E162, 0)), "")</f>
        <v/>
      </c>
      <c r="BJ142" s="170"/>
      <c r="BK142" s="416"/>
      <c r="BL142" s="559" t="str">
        <f t="array" ref="BL142">IFERROR(INDEX('💻シート作成'!$D$6:$D162, MATCH(BM142, '💻シート作成'!$E$6:$E162, 0)), "")</f>
        <v/>
      </c>
      <c r="BM142" s="170"/>
      <c r="BN142" s="416"/>
      <c r="BO142" s="416"/>
      <c r="BP142" s="416"/>
      <c r="BQ142" s="416"/>
      <c r="BR142" s="416"/>
      <c r="BS142" s="416"/>
      <c r="BT142" s="416"/>
      <c r="BU142" s="416"/>
      <c r="BV142" s="416"/>
      <c r="BW142" s="416"/>
      <c r="BX142" s="416"/>
      <c r="BY142" s="416"/>
      <c r="BZ142" s="416"/>
      <c r="CA142" s="416"/>
    </row>
    <row r="143">
      <c r="A143" s="416"/>
      <c r="B143" s="416"/>
      <c r="C143" s="416"/>
      <c r="D143" s="416"/>
      <c r="E143" s="416"/>
      <c r="F143" s="416"/>
      <c r="G143" s="416"/>
      <c r="H143" s="416"/>
      <c r="I143" s="416"/>
      <c r="J143" s="416"/>
      <c r="K143" s="416"/>
      <c r="L143" s="416"/>
      <c r="M143" s="416"/>
      <c r="N143" s="416"/>
      <c r="O143" s="416"/>
      <c r="P143" s="416"/>
      <c r="Q143" s="416"/>
      <c r="R143" s="416"/>
      <c r="S143" s="416"/>
      <c r="T143" s="416"/>
      <c r="U143" s="416"/>
      <c r="V143" s="416"/>
      <c r="W143" s="416"/>
      <c r="X143" s="416"/>
      <c r="Y143" s="416"/>
      <c r="Z143" s="416"/>
      <c r="AA143" s="416"/>
      <c r="AB143" s="416"/>
      <c r="AC143" s="416"/>
      <c r="AD143" s="416"/>
      <c r="AE143" s="416"/>
      <c r="AF143" s="416"/>
      <c r="AG143" s="416"/>
      <c r="AH143" s="416"/>
      <c r="AI143" s="416"/>
      <c r="AJ143" s="416"/>
      <c r="AK143" s="416"/>
      <c r="AL143" s="416"/>
      <c r="AM143" s="416"/>
      <c r="AN143" s="416"/>
      <c r="AO143" s="416"/>
      <c r="AP143" s="416"/>
      <c r="AQ143" s="416"/>
      <c r="AR143" s="416"/>
      <c r="AS143" s="416"/>
      <c r="AT143" s="416"/>
      <c r="AU143" s="416"/>
      <c r="AV143" s="416"/>
      <c r="AW143" s="416"/>
      <c r="AX143" s="416"/>
      <c r="AY143" s="416"/>
      <c r="AZ143" s="416"/>
      <c r="BA143" s="416"/>
      <c r="BB143" s="416"/>
      <c r="BC143" s="416"/>
      <c r="BD143" s="416"/>
      <c r="BE143" s="416"/>
      <c r="BF143" s="416"/>
      <c r="BG143" s="416"/>
      <c r="BH143" s="416"/>
      <c r="BI143" s="213" t="str">
        <f t="array" ref="BI143">IFERROR(INDEX('💻シート作成'!$D$6:$D162, MATCH(BJ143, '💻シート作成'!$E$6:$E162, 0)), "")</f>
        <v/>
      </c>
      <c r="BJ143" s="170"/>
      <c r="BK143" s="416"/>
      <c r="BL143" s="559" t="str">
        <f t="array" ref="BL143">IFERROR(INDEX('💻シート作成'!$D$6:$D162, MATCH(BM143, '💻シート作成'!$E$6:$E162, 0)), "")</f>
        <v/>
      </c>
      <c r="BM143" s="170"/>
      <c r="BN143" s="416"/>
      <c r="BO143" s="416"/>
      <c r="BP143" s="416"/>
      <c r="BQ143" s="416"/>
      <c r="BR143" s="416"/>
      <c r="BS143" s="416"/>
      <c r="BT143" s="416"/>
      <c r="BU143" s="416"/>
      <c r="BV143" s="416"/>
      <c r="BW143" s="416"/>
      <c r="BX143" s="416"/>
      <c r="BY143" s="416"/>
      <c r="BZ143" s="416"/>
      <c r="CA143" s="416"/>
    </row>
    <row r="144">
      <c r="A144" s="416"/>
      <c r="B144" s="416"/>
      <c r="C144" s="416"/>
      <c r="D144" s="416"/>
      <c r="E144" s="416"/>
      <c r="F144" s="416"/>
      <c r="G144" s="416"/>
      <c r="H144" s="416"/>
      <c r="I144" s="416"/>
      <c r="J144" s="416"/>
      <c r="K144" s="416"/>
      <c r="L144" s="416"/>
      <c r="M144" s="416"/>
      <c r="N144" s="416"/>
      <c r="O144" s="416"/>
      <c r="P144" s="416"/>
      <c r="Q144" s="416"/>
      <c r="R144" s="416"/>
      <c r="S144" s="416"/>
      <c r="T144" s="416"/>
      <c r="U144" s="416"/>
      <c r="V144" s="416"/>
      <c r="W144" s="416"/>
      <c r="X144" s="416"/>
      <c r="Y144" s="416"/>
      <c r="Z144" s="416"/>
      <c r="AA144" s="416"/>
      <c r="AB144" s="416"/>
      <c r="AC144" s="416"/>
      <c r="AD144" s="416"/>
      <c r="AE144" s="416"/>
      <c r="AF144" s="416"/>
      <c r="AG144" s="416"/>
      <c r="AH144" s="416"/>
      <c r="AI144" s="416"/>
      <c r="AJ144" s="416"/>
      <c r="AK144" s="416"/>
      <c r="AL144" s="416"/>
      <c r="AM144" s="416"/>
      <c r="AN144" s="416"/>
      <c r="AO144" s="416"/>
      <c r="AP144" s="416"/>
      <c r="AQ144" s="416"/>
      <c r="AR144" s="416"/>
      <c r="AS144" s="416"/>
      <c r="AT144" s="416"/>
      <c r="AU144" s="416"/>
      <c r="AV144" s="416"/>
      <c r="AW144" s="416"/>
      <c r="AX144" s="416"/>
      <c r="AY144" s="416"/>
      <c r="AZ144" s="416"/>
      <c r="BA144" s="416"/>
      <c r="BB144" s="416"/>
      <c r="BC144" s="416"/>
      <c r="BD144" s="416"/>
      <c r="BE144" s="416"/>
      <c r="BF144" s="416"/>
      <c r="BG144" s="416"/>
      <c r="BH144" s="416"/>
      <c r="BI144" s="213" t="str">
        <f t="array" ref="BI144">IFERROR(INDEX('💻シート作成'!$D$6:$D162, MATCH(BJ144, '💻シート作成'!$E$6:$E162, 0)), "")</f>
        <v/>
      </c>
      <c r="BJ144" s="170"/>
      <c r="BK144" s="416"/>
      <c r="BL144" s="559" t="str">
        <f t="array" ref="BL144">IFERROR(INDEX('💻シート作成'!$D$6:$D162, MATCH(BM144, '💻シート作成'!$E$6:$E162, 0)), "")</f>
        <v/>
      </c>
      <c r="BM144" s="170"/>
      <c r="BN144" s="416"/>
      <c r="BO144" s="416"/>
      <c r="BP144" s="416"/>
      <c r="BQ144" s="416"/>
      <c r="BR144" s="416"/>
      <c r="BS144" s="416"/>
      <c r="BT144" s="416"/>
      <c r="BU144" s="416"/>
      <c r="BV144" s="416"/>
      <c r="BW144" s="416"/>
      <c r="BX144" s="416"/>
      <c r="BY144" s="416"/>
      <c r="BZ144" s="416"/>
      <c r="CA144" s="416"/>
    </row>
    <row r="145">
      <c r="A145" s="416"/>
      <c r="B145" s="416"/>
      <c r="C145" s="416"/>
      <c r="D145" s="416"/>
      <c r="E145" s="416"/>
      <c r="F145" s="416"/>
      <c r="G145" s="416"/>
      <c r="H145" s="416"/>
      <c r="I145" s="416"/>
      <c r="J145" s="416"/>
      <c r="K145" s="416"/>
      <c r="L145" s="416"/>
      <c r="M145" s="416"/>
      <c r="N145" s="416"/>
      <c r="O145" s="416"/>
      <c r="P145" s="416"/>
      <c r="Q145" s="416"/>
      <c r="R145" s="416"/>
      <c r="S145" s="416"/>
      <c r="T145" s="416"/>
      <c r="U145" s="416"/>
      <c r="V145" s="416"/>
      <c r="W145" s="416"/>
      <c r="X145" s="416"/>
      <c r="Y145" s="416"/>
      <c r="Z145" s="416"/>
      <c r="AA145" s="416"/>
      <c r="AB145" s="416"/>
      <c r="AC145" s="416"/>
      <c r="AD145" s="416"/>
      <c r="AE145" s="416"/>
      <c r="AF145" s="416"/>
      <c r="AG145" s="416"/>
      <c r="AH145" s="416"/>
      <c r="AI145" s="416"/>
      <c r="AJ145" s="416"/>
      <c r="AK145" s="416"/>
      <c r="AL145" s="416"/>
      <c r="AM145" s="416"/>
      <c r="AN145" s="416"/>
      <c r="AO145" s="416"/>
      <c r="AP145" s="416"/>
      <c r="AQ145" s="416"/>
      <c r="AR145" s="416"/>
      <c r="AS145" s="416"/>
      <c r="AT145" s="416"/>
      <c r="AU145" s="416"/>
      <c r="AV145" s="416"/>
      <c r="AW145" s="416"/>
      <c r="AX145" s="416"/>
      <c r="AY145" s="416"/>
      <c r="AZ145" s="416"/>
      <c r="BA145" s="416"/>
      <c r="BB145" s="416"/>
      <c r="BC145" s="416"/>
      <c r="BD145" s="416"/>
      <c r="BE145" s="416"/>
      <c r="BF145" s="416"/>
      <c r="BG145" s="416"/>
      <c r="BH145" s="416"/>
      <c r="BI145" s="213" t="str">
        <f t="array" ref="BI145">IFERROR(INDEX('💻シート作成'!$D$6:$D162, MATCH(BJ145, '💻シート作成'!$E$6:$E162, 0)), "")</f>
        <v/>
      </c>
      <c r="BJ145" s="170"/>
      <c r="BK145" s="416"/>
      <c r="BL145" s="559" t="str">
        <f t="array" ref="BL145">IFERROR(INDEX('💻シート作成'!$D$6:$D162, MATCH(BM145, '💻シート作成'!$E$6:$E162, 0)), "")</f>
        <v/>
      </c>
      <c r="BM145" s="170"/>
      <c r="BN145" s="416"/>
      <c r="BO145" s="416"/>
      <c r="BP145" s="416"/>
      <c r="BQ145" s="416"/>
      <c r="BR145" s="416"/>
      <c r="BS145" s="416"/>
      <c r="BT145" s="416"/>
      <c r="BU145" s="416"/>
      <c r="BV145" s="416"/>
      <c r="BW145" s="416"/>
      <c r="BX145" s="416"/>
      <c r="BY145" s="416"/>
      <c r="BZ145" s="416"/>
      <c r="CA145" s="416"/>
    </row>
    <row r="146">
      <c r="A146" s="416"/>
      <c r="B146" s="416"/>
      <c r="C146" s="416"/>
      <c r="D146" s="416"/>
      <c r="E146" s="416"/>
      <c r="F146" s="416"/>
      <c r="G146" s="416"/>
      <c r="H146" s="416"/>
      <c r="I146" s="416"/>
      <c r="J146" s="416"/>
      <c r="K146" s="416"/>
      <c r="L146" s="416"/>
      <c r="M146" s="416"/>
      <c r="N146" s="416"/>
      <c r="O146" s="416"/>
      <c r="P146" s="416"/>
      <c r="Q146" s="416"/>
      <c r="R146" s="416"/>
      <c r="S146" s="416"/>
      <c r="T146" s="416"/>
      <c r="U146" s="416"/>
      <c r="V146" s="416"/>
      <c r="W146" s="416"/>
      <c r="X146" s="416"/>
      <c r="Y146" s="416"/>
      <c r="Z146" s="416"/>
      <c r="AA146" s="416"/>
      <c r="AB146" s="416"/>
      <c r="AC146" s="416"/>
      <c r="AD146" s="416"/>
      <c r="AE146" s="416"/>
      <c r="AF146" s="416"/>
      <c r="AG146" s="416"/>
      <c r="AH146" s="416"/>
      <c r="AI146" s="416"/>
      <c r="AJ146" s="416"/>
      <c r="AK146" s="416"/>
      <c r="AL146" s="416"/>
      <c r="AM146" s="416"/>
      <c r="AN146" s="416"/>
      <c r="AO146" s="416"/>
      <c r="AP146" s="416"/>
      <c r="AQ146" s="416"/>
      <c r="AR146" s="416"/>
      <c r="AS146" s="416"/>
      <c r="AT146" s="416"/>
      <c r="AU146" s="416"/>
      <c r="AV146" s="416"/>
      <c r="AW146" s="416"/>
      <c r="AX146" s="416"/>
      <c r="AY146" s="416"/>
      <c r="AZ146" s="416"/>
      <c r="BA146" s="416"/>
      <c r="BB146" s="416"/>
      <c r="BC146" s="416"/>
      <c r="BD146" s="416"/>
      <c r="BE146" s="416"/>
      <c r="BF146" s="416"/>
      <c r="BG146" s="416"/>
      <c r="BH146" s="416"/>
      <c r="BI146" s="213" t="str">
        <f t="array" ref="BI146">IFERROR(INDEX('💻シート作成'!$D$6:$D162, MATCH(BJ146, '💻シート作成'!$E$6:$E162, 0)), "")</f>
        <v/>
      </c>
      <c r="BJ146" s="170"/>
      <c r="BK146" s="416"/>
      <c r="BL146" s="559" t="str">
        <f t="array" ref="BL146">IFERROR(INDEX('💻シート作成'!$D$6:$D162, MATCH(BM146, '💻シート作成'!$E$6:$E162, 0)), "")</f>
        <v/>
      </c>
      <c r="BM146" s="170"/>
      <c r="BN146" s="416"/>
      <c r="BO146" s="416"/>
      <c r="BP146" s="416"/>
      <c r="BQ146" s="416"/>
      <c r="BR146" s="416"/>
      <c r="BS146" s="416"/>
      <c r="BT146" s="416"/>
      <c r="BU146" s="416"/>
      <c r="BV146" s="416"/>
      <c r="BW146" s="416"/>
      <c r="BX146" s="416"/>
      <c r="BY146" s="416"/>
      <c r="BZ146" s="416"/>
      <c r="CA146" s="416"/>
    </row>
    <row r="147">
      <c r="A147" s="416"/>
      <c r="B147" s="416"/>
      <c r="C147" s="416"/>
      <c r="D147" s="416"/>
      <c r="E147" s="416"/>
      <c r="F147" s="416"/>
      <c r="G147" s="416"/>
      <c r="H147" s="416"/>
      <c r="I147" s="416"/>
      <c r="J147" s="416"/>
      <c r="K147" s="416"/>
      <c r="L147" s="416"/>
      <c r="M147" s="416"/>
      <c r="N147" s="416"/>
      <c r="O147" s="416"/>
      <c r="P147" s="416"/>
      <c r="Q147" s="416"/>
      <c r="R147" s="416"/>
      <c r="S147" s="416"/>
      <c r="T147" s="416"/>
      <c r="U147" s="416"/>
      <c r="V147" s="416"/>
      <c r="W147" s="416"/>
      <c r="X147" s="416"/>
      <c r="Y147" s="416"/>
      <c r="Z147" s="416"/>
      <c r="AA147" s="416"/>
      <c r="AB147" s="416"/>
      <c r="AC147" s="416"/>
      <c r="AD147" s="416"/>
      <c r="AE147" s="416"/>
      <c r="AF147" s="416"/>
      <c r="AG147" s="416"/>
      <c r="AH147" s="416"/>
      <c r="AI147" s="416"/>
      <c r="AJ147" s="416"/>
      <c r="AK147" s="416"/>
      <c r="AL147" s="416"/>
      <c r="AM147" s="416"/>
      <c r="AN147" s="416"/>
      <c r="AO147" s="416"/>
      <c r="AP147" s="416"/>
      <c r="AQ147" s="416"/>
      <c r="AR147" s="416"/>
      <c r="AS147" s="416"/>
      <c r="AT147" s="416"/>
      <c r="AU147" s="416"/>
      <c r="AV147" s="416"/>
      <c r="AW147" s="416"/>
      <c r="AX147" s="416"/>
      <c r="AY147" s="416"/>
      <c r="AZ147" s="416"/>
      <c r="BA147" s="416"/>
      <c r="BB147" s="416"/>
      <c r="BC147" s="416"/>
      <c r="BD147" s="416"/>
      <c r="BE147" s="416"/>
      <c r="BF147" s="416"/>
      <c r="BG147" s="416"/>
      <c r="BH147" s="416"/>
      <c r="BI147" s="213" t="str">
        <f t="array" ref="BI147">IFERROR(INDEX('💻シート作成'!$D$6:$D162, MATCH(BJ147, '💻シート作成'!$E$6:$E162, 0)), "")</f>
        <v/>
      </c>
      <c r="BJ147" s="170"/>
      <c r="BK147" s="416"/>
      <c r="BL147" s="559" t="str">
        <f t="array" ref="BL147">IFERROR(INDEX('💻シート作成'!$D$6:$D162, MATCH(BM147, '💻シート作成'!$E$6:$E162, 0)), "")</f>
        <v/>
      </c>
      <c r="BM147" s="170"/>
      <c r="BN147" s="416"/>
      <c r="BO147" s="416"/>
      <c r="BP147" s="416"/>
      <c r="BQ147" s="416"/>
      <c r="BR147" s="416"/>
      <c r="BS147" s="416"/>
      <c r="BT147" s="416"/>
      <c r="BU147" s="416"/>
      <c r="BV147" s="416"/>
      <c r="BW147" s="416"/>
      <c r="BX147" s="416"/>
      <c r="BY147" s="416"/>
      <c r="BZ147" s="416"/>
      <c r="CA147" s="416"/>
    </row>
    <row r="148">
      <c r="A148" s="416"/>
      <c r="B148" s="416"/>
      <c r="C148" s="416"/>
      <c r="D148" s="416"/>
      <c r="E148" s="416"/>
      <c r="F148" s="416"/>
      <c r="G148" s="416"/>
      <c r="H148" s="416"/>
      <c r="I148" s="416"/>
      <c r="J148" s="416"/>
      <c r="K148" s="416"/>
      <c r="L148" s="416"/>
      <c r="M148" s="416"/>
      <c r="N148" s="416"/>
      <c r="O148" s="416"/>
      <c r="P148" s="416"/>
      <c r="Q148" s="416"/>
      <c r="R148" s="416"/>
      <c r="S148" s="416"/>
      <c r="T148" s="416"/>
      <c r="U148" s="416"/>
      <c r="V148" s="416"/>
      <c r="W148" s="416"/>
      <c r="X148" s="416"/>
      <c r="Y148" s="416"/>
      <c r="Z148" s="416"/>
      <c r="AA148" s="416"/>
      <c r="AB148" s="416"/>
      <c r="AC148" s="416"/>
      <c r="AD148" s="416"/>
      <c r="AE148" s="416"/>
      <c r="AF148" s="416"/>
      <c r="AG148" s="416"/>
      <c r="AH148" s="416"/>
      <c r="AI148" s="416"/>
      <c r="AJ148" s="416"/>
      <c r="AK148" s="416"/>
      <c r="AL148" s="416"/>
      <c r="AM148" s="416"/>
      <c r="AN148" s="416"/>
      <c r="AO148" s="416"/>
      <c r="AP148" s="416"/>
      <c r="AQ148" s="416"/>
      <c r="AR148" s="416"/>
      <c r="AS148" s="416"/>
      <c r="AT148" s="416"/>
      <c r="AU148" s="416"/>
      <c r="AV148" s="416"/>
      <c r="AW148" s="416"/>
      <c r="AX148" s="416"/>
      <c r="AY148" s="416"/>
      <c r="AZ148" s="416"/>
      <c r="BA148" s="416"/>
      <c r="BB148" s="416"/>
      <c r="BC148" s="416"/>
      <c r="BD148" s="416"/>
      <c r="BE148" s="416"/>
      <c r="BF148" s="416"/>
      <c r="BG148" s="416"/>
      <c r="BH148" s="416"/>
      <c r="BI148" s="213" t="str">
        <f t="array" ref="BI148">IFERROR(INDEX('💻シート作成'!$D$6:$D162, MATCH(BJ148, '💻シート作成'!$E$6:$E162, 0)), "")</f>
        <v/>
      </c>
      <c r="BJ148" s="170"/>
      <c r="BK148" s="416"/>
      <c r="BL148" s="559" t="str">
        <f t="array" ref="BL148">IFERROR(INDEX('💻シート作成'!$D$6:$D162, MATCH(BM148, '💻シート作成'!$E$6:$E162, 0)), "")</f>
        <v/>
      </c>
      <c r="BM148" s="170"/>
      <c r="BN148" s="416"/>
      <c r="BO148" s="416"/>
      <c r="BP148" s="416"/>
      <c r="BQ148" s="416"/>
      <c r="BR148" s="416"/>
      <c r="BS148" s="416"/>
      <c r="BT148" s="416"/>
      <c r="BU148" s="416"/>
      <c r="BV148" s="416"/>
      <c r="BW148" s="416"/>
      <c r="BX148" s="416"/>
      <c r="BY148" s="416"/>
      <c r="BZ148" s="416"/>
      <c r="CA148" s="416"/>
    </row>
    <row r="149">
      <c r="A149" s="416"/>
      <c r="B149" s="416"/>
      <c r="C149" s="416"/>
      <c r="D149" s="416"/>
      <c r="E149" s="416"/>
      <c r="F149" s="416"/>
      <c r="G149" s="416"/>
      <c r="H149" s="416"/>
      <c r="I149" s="416"/>
      <c r="J149" s="416"/>
      <c r="K149" s="416"/>
      <c r="L149" s="416"/>
      <c r="M149" s="416"/>
      <c r="N149" s="416"/>
      <c r="O149" s="416"/>
      <c r="P149" s="416"/>
      <c r="Q149" s="416"/>
      <c r="R149" s="416"/>
      <c r="S149" s="416"/>
      <c r="T149" s="416"/>
      <c r="U149" s="416"/>
      <c r="V149" s="416"/>
      <c r="W149" s="416"/>
      <c r="X149" s="416"/>
      <c r="Y149" s="416"/>
      <c r="Z149" s="416"/>
      <c r="AA149" s="416"/>
      <c r="AB149" s="416"/>
      <c r="AC149" s="416"/>
      <c r="AD149" s="416"/>
      <c r="AE149" s="416"/>
      <c r="AF149" s="416"/>
      <c r="AG149" s="416"/>
      <c r="AH149" s="416"/>
      <c r="AI149" s="416"/>
      <c r="AJ149" s="416"/>
      <c r="AK149" s="416"/>
      <c r="AL149" s="416"/>
      <c r="AM149" s="416"/>
      <c r="AN149" s="416"/>
      <c r="AO149" s="416"/>
      <c r="AP149" s="416"/>
      <c r="AQ149" s="416"/>
      <c r="AR149" s="416"/>
      <c r="AS149" s="416"/>
      <c r="AT149" s="416"/>
      <c r="AU149" s="416"/>
      <c r="AV149" s="416"/>
      <c r="AW149" s="416"/>
      <c r="AX149" s="416"/>
      <c r="AY149" s="416"/>
      <c r="AZ149" s="416"/>
      <c r="BA149" s="416"/>
      <c r="BB149" s="416"/>
      <c r="BC149" s="416"/>
      <c r="BD149" s="416"/>
      <c r="BE149" s="416"/>
      <c r="BF149" s="416"/>
      <c r="BG149" s="416"/>
      <c r="BH149" s="416"/>
      <c r="BI149" s="213" t="str">
        <f t="array" ref="BI149">IFERROR(INDEX('💻シート作成'!$D$6:$D162, MATCH(BJ149, '💻シート作成'!$E$6:$E162, 0)), "")</f>
        <v/>
      </c>
      <c r="BJ149" s="170"/>
      <c r="BK149" s="416"/>
      <c r="BL149" s="559" t="str">
        <f t="array" ref="BL149">IFERROR(INDEX('💻シート作成'!$D$6:$D162, MATCH(BM149, '💻シート作成'!$E$6:$E162, 0)), "")</f>
        <v/>
      </c>
      <c r="BM149" s="170"/>
      <c r="BN149" s="416"/>
      <c r="BO149" s="416"/>
      <c r="BP149" s="416"/>
      <c r="BQ149" s="416"/>
      <c r="BR149" s="416"/>
      <c r="BS149" s="416"/>
      <c r="BT149" s="416"/>
      <c r="BU149" s="416"/>
      <c r="BV149" s="416"/>
      <c r="BW149" s="416"/>
      <c r="BX149" s="416"/>
      <c r="BY149" s="416"/>
      <c r="BZ149" s="416"/>
      <c r="CA149" s="416"/>
    </row>
    <row r="150">
      <c r="A150" s="416"/>
      <c r="B150" s="416"/>
      <c r="C150" s="416"/>
      <c r="D150" s="416"/>
      <c r="E150" s="416"/>
      <c r="F150" s="416"/>
      <c r="G150" s="416"/>
      <c r="H150" s="416"/>
      <c r="I150" s="416"/>
      <c r="J150" s="416"/>
      <c r="K150" s="416"/>
      <c r="L150" s="416"/>
      <c r="M150" s="416"/>
      <c r="N150" s="416"/>
      <c r="O150" s="416"/>
      <c r="P150" s="416"/>
      <c r="Q150" s="416"/>
      <c r="R150" s="416"/>
      <c r="S150" s="416"/>
      <c r="T150" s="416"/>
      <c r="U150" s="416"/>
      <c r="V150" s="416"/>
      <c r="W150" s="416"/>
      <c r="X150" s="416"/>
      <c r="Y150" s="416"/>
      <c r="Z150" s="416"/>
      <c r="AA150" s="416"/>
      <c r="AB150" s="416"/>
      <c r="AC150" s="416"/>
      <c r="AD150" s="416"/>
      <c r="AE150" s="416"/>
      <c r="AF150" s="416"/>
      <c r="AG150" s="416"/>
      <c r="AH150" s="416"/>
      <c r="AI150" s="416"/>
      <c r="AJ150" s="416"/>
      <c r="AK150" s="416"/>
      <c r="AL150" s="416"/>
      <c r="AM150" s="416"/>
      <c r="AN150" s="416"/>
      <c r="AO150" s="416"/>
      <c r="AP150" s="416"/>
      <c r="AQ150" s="416"/>
      <c r="AR150" s="416"/>
      <c r="AS150" s="416"/>
      <c r="AT150" s="416"/>
      <c r="AU150" s="416"/>
      <c r="AV150" s="416"/>
      <c r="AW150" s="416"/>
      <c r="AX150" s="416"/>
      <c r="AY150" s="416"/>
      <c r="AZ150" s="416"/>
      <c r="BA150" s="416"/>
      <c r="BB150" s="416"/>
      <c r="BC150" s="416"/>
      <c r="BD150" s="416"/>
      <c r="BE150" s="416"/>
      <c r="BF150" s="416"/>
      <c r="BG150" s="416"/>
      <c r="BH150" s="416"/>
      <c r="BI150" s="213" t="str">
        <f t="array" ref="BI150">IFERROR(INDEX('💻シート作成'!$D$6:$D162, MATCH(BJ150, '💻シート作成'!$E$6:$E162, 0)), "")</f>
        <v/>
      </c>
      <c r="BJ150" s="170"/>
      <c r="BK150" s="416"/>
      <c r="BL150" s="559" t="str">
        <f t="array" ref="BL150">IFERROR(INDEX('💻シート作成'!$D$6:$D162, MATCH(BM150, '💻シート作成'!$E$6:$E162, 0)), "")</f>
        <v/>
      </c>
      <c r="BM150" s="170"/>
      <c r="BN150" s="416"/>
      <c r="BO150" s="416"/>
      <c r="BP150" s="416"/>
      <c r="BQ150" s="416"/>
      <c r="BR150" s="416"/>
      <c r="BS150" s="416"/>
      <c r="BT150" s="416"/>
      <c r="BU150" s="416"/>
      <c r="BV150" s="416"/>
      <c r="BW150" s="416"/>
      <c r="BX150" s="416"/>
      <c r="BY150" s="416"/>
      <c r="BZ150" s="416"/>
      <c r="CA150" s="416"/>
    </row>
    <row r="151">
      <c r="A151" s="416"/>
      <c r="B151" s="416"/>
      <c r="C151" s="416"/>
      <c r="D151" s="416"/>
      <c r="E151" s="416"/>
      <c r="F151" s="416"/>
      <c r="G151" s="416"/>
      <c r="H151" s="416"/>
      <c r="I151" s="416"/>
      <c r="J151" s="416"/>
      <c r="K151" s="416"/>
      <c r="L151" s="416"/>
      <c r="M151" s="416"/>
      <c r="N151" s="416"/>
      <c r="O151" s="416"/>
      <c r="P151" s="416"/>
      <c r="Q151" s="416"/>
      <c r="R151" s="416"/>
      <c r="S151" s="416"/>
      <c r="T151" s="416"/>
      <c r="U151" s="416"/>
      <c r="V151" s="416"/>
      <c r="W151" s="416"/>
      <c r="X151" s="416"/>
      <c r="Y151" s="416"/>
      <c r="Z151" s="416"/>
      <c r="AA151" s="416"/>
      <c r="AB151" s="416"/>
      <c r="AC151" s="416"/>
      <c r="AD151" s="416"/>
      <c r="AE151" s="416"/>
      <c r="AF151" s="416"/>
      <c r="AG151" s="416"/>
      <c r="AH151" s="416"/>
      <c r="AI151" s="416"/>
      <c r="AJ151" s="416"/>
      <c r="AK151" s="416"/>
      <c r="AL151" s="416"/>
      <c r="AM151" s="416"/>
      <c r="AN151" s="416"/>
      <c r="AO151" s="416"/>
      <c r="AP151" s="416"/>
      <c r="AQ151" s="416"/>
      <c r="AR151" s="416"/>
      <c r="AS151" s="416"/>
      <c r="AT151" s="416"/>
      <c r="AU151" s="416"/>
      <c r="AV151" s="416"/>
      <c r="AW151" s="416"/>
      <c r="AX151" s="416"/>
      <c r="AY151" s="416"/>
      <c r="AZ151" s="416"/>
      <c r="BA151" s="416"/>
      <c r="BB151" s="416"/>
      <c r="BC151" s="416"/>
      <c r="BD151" s="416"/>
      <c r="BE151" s="416"/>
      <c r="BF151" s="416"/>
      <c r="BG151" s="416"/>
      <c r="BH151" s="416"/>
      <c r="BI151" s="213" t="str">
        <f t="array" ref="BI151">IFERROR(INDEX('💻シート作成'!$D$6:$D162, MATCH(BJ151, '💻シート作成'!$E$6:$E162, 0)), "")</f>
        <v/>
      </c>
      <c r="BJ151" s="170"/>
      <c r="BK151" s="416"/>
      <c r="BL151" s="559" t="str">
        <f t="array" ref="BL151">IFERROR(INDEX('💻シート作成'!$D$6:$D162, MATCH(BM151, '💻シート作成'!$E$6:$E162, 0)), "")</f>
        <v/>
      </c>
      <c r="BM151" s="170"/>
      <c r="BN151" s="416"/>
      <c r="BO151" s="416"/>
      <c r="BP151" s="416"/>
      <c r="BQ151" s="416"/>
      <c r="BR151" s="416"/>
      <c r="BS151" s="416"/>
      <c r="BT151" s="416"/>
      <c r="BU151" s="416"/>
      <c r="BV151" s="416"/>
      <c r="BW151" s="416"/>
      <c r="BX151" s="416"/>
      <c r="BY151" s="416"/>
      <c r="BZ151" s="416"/>
      <c r="CA151" s="416"/>
    </row>
    <row r="152">
      <c r="A152" s="416"/>
      <c r="B152" s="416"/>
      <c r="C152" s="416"/>
      <c r="D152" s="416"/>
      <c r="E152" s="416"/>
      <c r="F152" s="416"/>
      <c r="G152" s="416"/>
      <c r="H152" s="416"/>
      <c r="I152" s="416"/>
      <c r="J152" s="416"/>
      <c r="K152" s="416"/>
      <c r="L152" s="416"/>
      <c r="M152" s="416"/>
      <c r="N152" s="416"/>
      <c r="O152" s="416"/>
      <c r="P152" s="416"/>
      <c r="Q152" s="416"/>
      <c r="R152" s="416"/>
      <c r="S152" s="416"/>
      <c r="T152" s="416"/>
      <c r="U152" s="416"/>
      <c r="V152" s="416"/>
      <c r="W152" s="416"/>
      <c r="X152" s="416"/>
      <c r="Y152" s="416"/>
      <c r="Z152" s="416"/>
      <c r="AA152" s="416"/>
      <c r="AB152" s="416"/>
      <c r="AC152" s="416"/>
      <c r="AD152" s="416"/>
      <c r="AE152" s="416"/>
      <c r="AF152" s="416"/>
      <c r="AG152" s="416"/>
      <c r="AH152" s="416"/>
      <c r="AI152" s="416"/>
      <c r="AJ152" s="416"/>
      <c r="AK152" s="416"/>
      <c r="AL152" s="416"/>
      <c r="AM152" s="416"/>
      <c r="AN152" s="416"/>
      <c r="AO152" s="416"/>
      <c r="AP152" s="416"/>
      <c r="AQ152" s="416"/>
      <c r="AR152" s="416"/>
      <c r="AS152" s="416"/>
      <c r="AT152" s="416"/>
      <c r="AU152" s="416"/>
      <c r="AV152" s="416"/>
      <c r="AW152" s="416"/>
      <c r="AX152" s="416"/>
      <c r="AY152" s="416"/>
      <c r="AZ152" s="416"/>
      <c r="BA152" s="416"/>
      <c r="BB152" s="416"/>
      <c r="BC152" s="416"/>
      <c r="BD152" s="416"/>
      <c r="BE152" s="416"/>
      <c r="BF152" s="416"/>
      <c r="BG152" s="416"/>
      <c r="BH152" s="416"/>
      <c r="BI152" s="213" t="str">
        <f t="array" ref="BI152">IFERROR(INDEX('💻シート作成'!$D$6:$D162, MATCH(BJ152, '💻シート作成'!$E$6:$E162, 0)), "")</f>
        <v/>
      </c>
      <c r="BJ152" s="170"/>
      <c r="BK152" s="416"/>
      <c r="BL152" s="559" t="str">
        <f t="array" ref="BL152">IFERROR(INDEX('💻シート作成'!$D$6:$D162, MATCH(BM152, '💻シート作成'!$E$6:$E162, 0)), "")</f>
        <v/>
      </c>
      <c r="BM152" s="170"/>
      <c r="BN152" s="416"/>
      <c r="BO152" s="416"/>
      <c r="BP152" s="416"/>
      <c r="BQ152" s="416"/>
      <c r="BR152" s="416"/>
      <c r="BS152" s="416"/>
      <c r="BT152" s="416"/>
      <c r="BU152" s="416"/>
      <c r="BV152" s="416"/>
      <c r="BW152" s="416"/>
      <c r="BX152" s="416"/>
      <c r="BY152" s="416"/>
      <c r="BZ152" s="416"/>
      <c r="CA152" s="416"/>
    </row>
    <row r="153">
      <c r="A153" s="416"/>
      <c r="B153" s="416"/>
      <c r="C153" s="416"/>
      <c r="D153" s="416"/>
      <c r="E153" s="416"/>
      <c r="F153" s="416"/>
      <c r="G153" s="416"/>
      <c r="H153" s="416"/>
      <c r="I153" s="416"/>
      <c r="J153" s="416"/>
      <c r="K153" s="416"/>
      <c r="L153" s="416"/>
      <c r="M153" s="416"/>
      <c r="N153" s="416"/>
      <c r="O153" s="416"/>
      <c r="P153" s="416"/>
      <c r="Q153" s="416"/>
      <c r="R153" s="416"/>
      <c r="S153" s="416"/>
      <c r="T153" s="416"/>
      <c r="U153" s="416"/>
      <c r="V153" s="416"/>
      <c r="W153" s="416"/>
      <c r="X153" s="416"/>
      <c r="Y153" s="416"/>
      <c r="Z153" s="416"/>
      <c r="AA153" s="416"/>
      <c r="AB153" s="416"/>
      <c r="AC153" s="416"/>
      <c r="AD153" s="416"/>
      <c r="AE153" s="416"/>
      <c r="AF153" s="416"/>
      <c r="AG153" s="416"/>
      <c r="AH153" s="416"/>
      <c r="AI153" s="416"/>
      <c r="AJ153" s="416"/>
      <c r="AK153" s="416"/>
      <c r="AL153" s="416"/>
      <c r="AM153" s="416"/>
      <c r="AN153" s="416"/>
      <c r="AO153" s="416"/>
      <c r="AP153" s="416"/>
      <c r="AQ153" s="416"/>
      <c r="AR153" s="416"/>
      <c r="AS153" s="416"/>
      <c r="AT153" s="416"/>
      <c r="AU153" s="416"/>
      <c r="AV153" s="416"/>
      <c r="AW153" s="416"/>
      <c r="AX153" s="416"/>
      <c r="AY153" s="416"/>
      <c r="AZ153" s="416"/>
      <c r="BA153" s="416"/>
      <c r="BB153" s="416"/>
      <c r="BC153" s="416"/>
      <c r="BD153" s="416"/>
      <c r="BE153" s="416"/>
      <c r="BF153" s="416"/>
      <c r="BG153" s="416"/>
      <c r="BH153" s="416"/>
      <c r="BI153" s="213" t="str">
        <f t="array" ref="BI153">IFERROR(INDEX('💻シート作成'!$D$6:$D162, MATCH(BJ153, '💻シート作成'!$E$6:$E162, 0)), "")</f>
        <v/>
      </c>
      <c r="BJ153" s="170"/>
      <c r="BK153" s="416"/>
      <c r="BL153" s="559" t="str">
        <f t="array" ref="BL153">IFERROR(INDEX('💻シート作成'!$D$6:$D162, MATCH(BM153, '💻シート作成'!$E$6:$E162, 0)), "")</f>
        <v/>
      </c>
      <c r="BM153" s="170"/>
      <c r="BN153" s="416"/>
      <c r="BO153" s="416"/>
      <c r="BP153" s="416"/>
      <c r="BQ153" s="416"/>
      <c r="BR153" s="416"/>
      <c r="BS153" s="416"/>
      <c r="BT153" s="416"/>
      <c r="BU153" s="416"/>
      <c r="BV153" s="416"/>
      <c r="BW153" s="416"/>
      <c r="BX153" s="416"/>
      <c r="BY153" s="416"/>
      <c r="BZ153" s="416"/>
      <c r="CA153" s="416"/>
    </row>
    <row r="154">
      <c r="A154" s="416"/>
      <c r="B154" s="416"/>
      <c r="C154" s="416"/>
      <c r="D154" s="416"/>
      <c r="E154" s="416"/>
      <c r="F154" s="416"/>
      <c r="G154" s="416"/>
      <c r="H154" s="416"/>
      <c r="I154" s="416"/>
      <c r="J154" s="416"/>
      <c r="K154" s="416"/>
      <c r="L154" s="416"/>
      <c r="M154" s="416"/>
      <c r="N154" s="416"/>
      <c r="O154" s="416"/>
      <c r="P154" s="416"/>
      <c r="Q154" s="416"/>
      <c r="R154" s="416"/>
      <c r="S154" s="416"/>
      <c r="T154" s="416"/>
      <c r="U154" s="416"/>
      <c r="V154" s="416"/>
      <c r="W154" s="416"/>
      <c r="X154" s="416"/>
      <c r="Y154" s="416"/>
      <c r="Z154" s="416"/>
      <c r="AA154" s="416"/>
      <c r="AB154" s="416"/>
      <c r="AC154" s="416"/>
      <c r="AD154" s="416"/>
      <c r="AE154" s="416"/>
      <c r="AF154" s="416"/>
      <c r="AG154" s="416"/>
      <c r="AH154" s="416"/>
      <c r="AI154" s="416"/>
      <c r="AJ154" s="416"/>
      <c r="AK154" s="416"/>
      <c r="AL154" s="416"/>
      <c r="AM154" s="416"/>
      <c r="AN154" s="416"/>
      <c r="AO154" s="416"/>
      <c r="AP154" s="416"/>
      <c r="AQ154" s="416"/>
      <c r="AR154" s="416"/>
      <c r="AS154" s="416"/>
      <c r="AT154" s="416"/>
      <c r="AU154" s="416"/>
      <c r="AV154" s="416"/>
      <c r="AW154" s="416"/>
      <c r="AX154" s="416"/>
      <c r="AY154" s="416"/>
      <c r="AZ154" s="416"/>
      <c r="BA154" s="416"/>
      <c r="BB154" s="416"/>
      <c r="BC154" s="416"/>
      <c r="BD154" s="416"/>
      <c r="BE154" s="416"/>
      <c r="BF154" s="416"/>
      <c r="BG154" s="416"/>
      <c r="BH154" s="416"/>
      <c r="BI154" s="213" t="str">
        <f t="array" ref="BI154">IFERROR(INDEX('💻シート作成'!$D$6:$D162, MATCH(BJ154, '💻シート作成'!$E$6:$E162, 0)), "")</f>
        <v/>
      </c>
      <c r="BJ154" s="170"/>
      <c r="BK154" s="416"/>
      <c r="BL154" s="559" t="str">
        <f t="array" ref="BL154">IFERROR(INDEX('💻シート作成'!$D$6:$D162, MATCH(BM154, '💻シート作成'!$E$6:$E162, 0)), "")</f>
        <v/>
      </c>
      <c r="BM154" s="170"/>
      <c r="BN154" s="416"/>
      <c r="BO154" s="416"/>
      <c r="BP154" s="416"/>
      <c r="BQ154" s="416"/>
      <c r="BR154" s="416"/>
      <c r="BS154" s="416"/>
      <c r="BT154" s="416"/>
      <c r="BU154" s="416"/>
      <c r="BV154" s="416"/>
      <c r="BW154" s="416"/>
      <c r="BX154" s="416"/>
      <c r="BY154" s="416"/>
      <c r="BZ154" s="416"/>
      <c r="CA154" s="416"/>
    </row>
    <row r="155">
      <c r="A155" s="416"/>
      <c r="B155" s="416"/>
      <c r="C155" s="416"/>
      <c r="D155" s="416"/>
      <c r="E155" s="416"/>
      <c r="F155" s="416"/>
      <c r="G155" s="416"/>
      <c r="H155" s="416"/>
      <c r="I155" s="416"/>
      <c r="J155" s="416"/>
      <c r="K155" s="416"/>
      <c r="L155" s="416"/>
      <c r="M155" s="416"/>
      <c r="N155" s="416"/>
      <c r="O155" s="416"/>
      <c r="P155" s="416"/>
      <c r="Q155" s="416"/>
      <c r="R155" s="416"/>
      <c r="S155" s="416"/>
      <c r="T155" s="416"/>
      <c r="U155" s="416"/>
      <c r="V155" s="416"/>
      <c r="W155" s="416"/>
      <c r="X155" s="416"/>
      <c r="Y155" s="416"/>
      <c r="Z155" s="416"/>
      <c r="AA155" s="416"/>
      <c r="AB155" s="416"/>
      <c r="AC155" s="416"/>
      <c r="AD155" s="416"/>
      <c r="AE155" s="416"/>
      <c r="AF155" s="416"/>
      <c r="AG155" s="416"/>
      <c r="AH155" s="416"/>
      <c r="AI155" s="416"/>
      <c r="AJ155" s="416"/>
      <c r="AK155" s="416"/>
      <c r="AL155" s="416"/>
      <c r="AM155" s="416"/>
      <c r="AN155" s="416"/>
      <c r="AO155" s="416"/>
      <c r="AP155" s="416"/>
      <c r="AQ155" s="416"/>
      <c r="AR155" s="416"/>
      <c r="AS155" s="416"/>
      <c r="AT155" s="416"/>
      <c r="AU155" s="416"/>
      <c r="AV155" s="416"/>
      <c r="AW155" s="416"/>
      <c r="AX155" s="416"/>
      <c r="AY155" s="416"/>
      <c r="AZ155" s="416"/>
      <c r="BA155" s="416"/>
      <c r="BB155" s="416"/>
      <c r="BC155" s="416"/>
      <c r="BD155" s="416"/>
      <c r="BE155" s="416"/>
      <c r="BF155" s="416"/>
      <c r="BG155" s="416"/>
      <c r="BH155" s="416"/>
      <c r="BI155" s="213" t="str">
        <f t="array" ref="BI155">IFERROR(INDEX('💻シート作成'!$D$6:$D162, MATCH(BJ155, '💻シート作成'!$E$6:$E162, 0)), "")</f>
        <v/>
      </c>
      <c r="BJ155" s="170"/>
      <c r="BK155" s="416"/>
      <c r="BL155" s="559" t="str">
        <f t="array" ref="BL155">IFERROR(INDEX('💻シート作成'!$D$6:$D162, MATCH(BM155, '💻シート作成'!$E$6:$E162, 0)), "")</f>
        <v/>
      </c>
      <c r="BM155" s="170"/>
      <c r="BN155" s="416"/>
      <c r="BO155" s="416"/>
      <c r="BP155" s="416"/>
      <c r="BQ155" s="416"/>
      <c r="BR155" s="416"/>
      <c r="BS155" s="416"/>
      <c r="BT155" s="416"/>
      <c r="BU155" s="416"/>
      <c r="BV155" s="416"/>
      <c r="BW155" s="416"/>
      <c r="BX155" s="416"/>
      <c r="BY155" s="416"/>
      <c r="BZ155" s="416"/>
      <c r="CA155" s="416"/>
    </row>
    <row r="156">
      <c r="A156" s="416"/>
      <c r="B156" s="416"/>
      <c r="C156" s="416"/>
      <c r="D156" s="416"/>
      <c r="E156" s="416"/>
      <c r="F156" s="416"/>
      <c r="G156" s="416"/>
      <c r="H156" s="416"/>
      <c r="I156" s="416"/>
      <c r="J156" s="416"/>
      <c r="K156" s="416"/>
      <c r="L156" s="416"/>
      <c r="M156" s="416"/>
      <c r="N156" s="416"/>
      <c r="O156" s="416"/>
      <c r="P156" s="416"/>
      <c r="Q156" s="416"/>
      <c r="R156" s="416"/>
      <c r="S156" s="416"/>
      <c r="T156" s="416"/>
      <c r="U156" s="416"/>
      <c r="V156" s="416"/>
      <c r="W156" s="416"/>
      <c r="X156" s="416"/>
      <c r="Y156" s="416"/>
      <c r="Z156" s="416"/>
      <c r="AA156" s="416"/>
      <c r="AB156" s="416"/>
      <c r="AC156" s="416"/>
      <c r="AD156" s="416"/>
      <c r="AE156" s="416"/>
      <c r="AF156" s="416"/>
      <c r="AG156" s="416"/>
      <c r="AH156" s="416"/>
      <c r="AI156" s="416"/>
      <c r="AJ156" s="416"/>
      <c r="AK156" s="416"/>
      <c r="AL156" s="416"/>
      <c r="AM156" s="416"/>
      <c r="AN156" s="416"/>
      <c r="AO156" s="416"/>
      <c r="AP156" s="416"/>
      <c r="AQ156" s="416"/>
      <c r="AR156" s="416"/>
      <c r="AS156" s="416"/>
      <c r="AT156" s="416"/>
      <c r="AU156" s="416"/>
      <c r="AV156" s="416"/>
      <c r="AW156" s="416"/>
      <c r="AX156" s="416"/>
      <c r="AY156" s="416"/>
      <c r="AZ156" s="416"/>
      <c r="BA156" s="416"/>
      <c r="BB156" s="416"/>
      <c r="BC156" s="416"/>
      <c r="BD156" s="416"/>
      <c r="BE156" s="416"/>
      <c r="BF156" s="416"/>
      <c r="BG156" s="416"/>
      <c r="BH156" s="416"/>
      <c r="BI156" s="213" t="str">
        <f t="array" ref="BI156">IFERROR(INDEX('💻シート作成'!$D$6:$D162, MATCH(BJ156, '💻シート作成'!$E$6:$E162, 0)), "")</f>
        <v/>
      </c>
      <c r="BJ156" s="170"/>
      <c r="BK156" s="416"/>
      <c r="BL156" s="559" t="str">
        <f t="array" ref="BL156">IFERROR(INDEX('💻シート作成'!$D$6:$D162, MATCH(BM156, '💻シート作成'!$E$6:$E162, 0)), "")</f>
        <v/>
      </c>
      <c r="BM156" s="170"/>
      <c r="BN156" s="416"/>
      <c r="BO156" s="416"/>
      <c r="BP156" s="416"/>
      <c r="BQ156" s="416"/>
      <c r="BR156" s="416"/>
      <c r="BS156" s="416"/>
      <c r="BT156" s="416"/>
      <c r="BU156" s="416"/>
      <c r="BV156" s="416"/>
      <c r="BW156" s="416"/>
      <c r="BX156" s="416"/>
      <c r="BY156" s="416"/>
      <c r="BZ156" s="416"/>
      <c r="CA156" s="416"/>
    </row>
    <row r="157">
      <c r="A157" s="416"/>
      <c r="B157" s="416"/>
      <c r="C157" s="416"/>
      <c r="D157" s="416"/>
      <c r="E157" s="416"/>
      <c r="F157" s="416"/>
      <c r="G157" s="416"/>
      <c r="H157" s="416"/>
      <c r="I157" s="416"/>
      <c r="J157" s="416"/>
      <c r="K157" s="416"/>
      <c r="L157" s="416"/>
      <c r="M157" s="416"/>
      <c r="N157" s="416"/>
      <c r="O157" s="416"/>
      <c r="P157" s="416"/>
      <c r="Q157" s="416"/>
      <c r="R157" s="416"/>
      <c r="S157" s="416"/>
      <c r="T157" s="416"/>
      <c r="U157" s="416"/>
      <c r="V157" s="416"/>
      <c r="W157" s="416"/>
      <c r="X157" s="416"/>
      <c r="Y157" s="416"/>
      <c r="Z157" s="416"/>
      <c r="AA157" s="416"/>
      <c r="AB157" s="416"/>
      <c r="AC157" s="416"/>
      <c r="AD157" s="416"/>
      <c r="AE157" s="416"/>
      <c r="AF157" s="416"/>
      <c r="AG157" s="416"/>
      <c r="AH157" s="416"/>
      <c r="AI157" s="416"/>
      <c r="AJ157" s="416"/>
      <c r="AK157" s="416"/>
      <c r="AL157" s="416"/>
      <c r="AM157" s="416"/>
      <c r="AN157" s="416"/>
      <c r="AO157" s="416"/>
      <c r="AP157" s="416"/>
      <c r="AQ157" s="416"/>
      <c r="AR157" s="416"/>
      <c r="AS157" s="416"/>
      <c r="AT157" s="416"/>
      <c r="AU157" s="416"/>
      <c r="AV157" s="416"/>
      <c r="AW157" s="416"/>
      <c r="AX157" s="416"/>
      <c r="AY157" s="416"/>
      <c r="AZ157" s="416"/>
      <c r="BA157" s="416"/>
      <c r="BB157" s="416"/>
      <c r="BC157" s="416"/>
      <c r="BD157" s="416"/>
      <c r="BE157" s="416"/>
      <c r="BF157" s="416"/>
      <c r="BG157" s="416"/>
      <c r="BH157" s="416"/>
      <c r="BI157" s="213" t="str">
        <f t="array" ref="BI157">IFERROR(INDEX('💻シート作成'!$D$6:$D162, MATCH(BJ157, '💻シート作成'!$E$6:$E162, 0)), "")</f>
        <v/>
      </c>
      <c r="BJ157" s="170"/>
      <c r="BK157" s="416"/>
      <c r="BL157" s="559" t="str">
        <f t="array" ref="BL157">IFERROR(INDEX('💻シート作成'!$D$6:$D162, MATCH(BM157, '💻シート作成'!$E$6:$E162, 0)), "")</f>
        <v/>
      </c>
      <c r="BM157" s="170"/>
      <c r="BN157" s="416"/>
      <c r="BO157" s="416"/>
      <c r="BP157" s="416"/>
      <c r="BQ157" s="416"/>
      <c r="BR157" s="416"/>
      <c r="BS157" s="416"/>
      <c r="BT157" s="416"/>
      <c r="BU157" s="416"/>
      <c r="BV157" s="416"/>
      <c r="BW157" s="416"/>
      <c r="BX157" s="416"/>
      <c r="BY157" s="416"/>
      <c r="BZ157" s="416"/>
      <c r="CA157" s="416"/>
    </row>
    <row r="158">
      <c r="A158" s="416"/>
      <c r="B158" s="416"/>
      <c r="C158" s="416"/>
      <c r="D158" s="416"/>
      <c r="E158" s="416"/>
      <c r="F158" s="416"/>
      <c r="G158" s="416"/>
      <c r="H158" s="416"/>
      <c r="I158" s="416"/>
      <c r="J158" s="416"/>
      <c r="K158" s="416"/>
      <c r="L158" s="416"/>
      <c r="M158" s="416"/>
      <c r="N158" s="416"/>
      <c r="O158" s="416"/>
      <c r="P158" s="416"/>
      <c r="Q158" s="416"/>
      <c r="R158" s="416"/>
      <c r="S158" s="416"/>
      <c r="T158" s="416"/>
      <c r="U158" s="416"/>
      <c r="V158" s="416"/>
      <c r="W158" s="416"/>
      <c r="X158" s="416"/>
      <c r="Y158" s="416"/>
      <c r="Z158" s="416"/>
      <c r="AA158" s="416"/>
      <c r="AB158" s="416"/>
      <c r="AC158" s="416"/>
      <c r="AD158" s="416"/>
      <c r="AE158" s="416"/>
      <c r="AF158" s="416"/>
      <c r="AG158" s="416"/>
      <c r="AH158" s="416"/>
      <c r="AI158" s="416"/>
      <c r="AJ158" s="416"/>
      <c r="AK158" s="416"/>
      <c r="AL158" s="416"/>
      <c r="AM158" s="416"/>
      <c r="AN158" s="416"/>
      <c r="AO158" s="416"/>
      <c r="AP158" s="416"/>
      <c r="AQ158" s="416"/>
      <c r="AR158" s="416"/>
      <c r="AS158" s="416"/>
      <c r="AT158" s="416"/>
      <c r="AU158" s="416"/>
      <c r="AV158" s="416"/>
      <c r="AW158" s="416"/>
      <c r="AX158" s="416"/>
      <c r="AY158" s="416"/>
      <c r="AZ158" s="416"/>
      <c r="BA158" s="416"/>
      <c r="BB158" s="416"/>
      <c r="BC158" s="416"/>
      <c r="BD158" s="416"/>
      <c r="BE158" s="416"/>
      <c r="BF158" s="416"/>
      <c r="BG158" s="416"/>
      <c r="BH158" s="416"/>
      <c r="BI158" s="213" t="str">
        <f t="array" ref="BI158">IFERROR(INDEX('💻シート作成'!$D$6:$D162, MATCH(BJ158, '💻シート作成'!$E$6:$E162, 0)), "")</f>
        <v/>
      </c>
      <c r="BJ158" s="170"/>
      <c r="BK158" s="416"/>
      <c r="BL158" s="559" t="str">
        <f t="array" ref="BL158">IFERROR(INDEX('💻シート作成'!$D$6:$D162, MATCH(BM158, '💻シート作成'!$E$6:$E162, 0)), "")</f>
        <v/>
      </c>
      <c r="BM158" s="170"/>
      <c r="BN158" s="416"/>
      <c r="BO158" s="416"/>
      <c r="BP158" s="416"/>
      <c r="BQ158" s="416"/>
      <c r="BR158" s="416"/>
      <c r="BS158" s="416"/>
      <c r="BT158" s="416"/>
      <c r="BU158" s="416"/>
      <c r="BV158" s="416"/>
      <c r="BW158" s="416"/>
      <c r="BX158" s="416"/>
      <c r="BY158" s="416"/>
      <c r="BZ158" s="416"/>
      <c r="CA158" s="416"/>
    </row>
    <row r="159">
      <c r="A159" s="416"/>
      <c r="B159" s="416"/>
      <c r="C159" s="416"/>
      <c r="D159" s="416"/>
      <c r="E159" s="416"/>
      <c r="F159" s="416"/>
      <c r="G159" s="416"/>
      <c r="H159" s="416"/>
      <c r="I159" s="416"/>
      <c r="J159" s="416"/>
      <c r="K159" s="416"/>
      <c r="L159" s="416"/>
      <c r="M159" s="416"/>
      <c r="N159" s="416"/>
      <c r="O159" s="416"/>
      <c r="P159" s="416"/>
      <c r="Q159" s="416"/>
      <c r="R159" s="416"/>
      <c r="S159" s="416"/>
      <c r="T159" s="416"/>
      <c r="U159" s="416"/>
      <c r="V159" s="416"/>
      <c r="W159" s="416"/>
      <c r="X159" s="416"/>
      <c r="Y159" s="416"/>
      <c r="Z159" s="416"/>
      <c r="AA159" s="416"/>
      <c r="AB159" s="416"/>
      <c r="AC159" s="416"/>
      <c r="AD159" s="416"/>
      <c r="AE159" s="416"/>
      <c r="AF159" s="416"/>
      <c r="AG159" s="416"/>
      <c r="AH159" s="416"/>
      <c r="AI159" s="416"/>
      <c r="AJ159" s="416"/>
      <c r="AK159" s="416"/>
      <c r="AL159" s="416"/>
      <c r="AM159" s="416"/>
      <c r="AN159" s="416"/>
      <c r="AO159" s="416"/>
      <c r="AP159" s="416"/>
      <c r="AQ159" s="416"/>
      <c r="AR159" s="416"/>
      <c r="AS159" s="416"/>
      <c r="AT159" s="416"/>
      <c r="AU159" s="416"/>
      <c r="AV159" s="416"/>
      <c r="AW159" s="416"/>
      <c r="AX159" s="416"/>
      <c r="AY159" s="416"/>
      <c r="AZ159" s="416"/>
      <c r="BA159" s="416"/>
      <c r="BB159" s="416"/>
      <c r="BC159" s="416"/>
      <c r="BD159" s="416"/>
      <c r="BE159" s="416"/>
      <c r="BF159" s="416"/>
      <c r="BG159" s="416"/>
      <c r="BH159" s="416"/>
      <c r="BI159" s="213" t="str">
        <f t="array" ref="BI159">IFERROR(INDEX('💻シート作成'!$D$6:$D162, MATCH(BJ159, '💻シート作成'!$E$6:$E162, 0)), "")</f>
        <v/>
      </c>
      <c r="BJ159" s="170"/>
      <c r="BK159" s="416"/>
      <c r="BL159" s="559" t="str">
        <f t="array" ref="BL159">IFERROR(INDEX('💻シート作成'!$D$6:$D162, MATCH(BM159, '💻シート作成'!$E$6:$E162, 0)), "")</f>
        <v/>
      </c>
      <c r="BM159" s="170"/>
      <c r="BN159" s="416"/>
      <c r="BO159" s="416"/>
      <c r="BP159" s="416"/>
      <c r="BQ159" s="416"/>
      <c r="BR159" s="416"/>
      <c r="BS159" s="416"/>
      <c r="BT159" s="416"/>
      <c r="BU159" s="416"/>
      <c r="BV159" s="416"/>
      <c r="BW159" s="416"/>
      <c r="BX159" s="416"/>
      <c r="BY159" s="416"/>
      <c r="BZ159" s="416"/>
      <c r="CA159" s="416"/>
    </row>
    <row r="160">
      <c r="A160" s="416"/>
      <c r="B160" s="416"/>
      <c r="C160" s="416"/>
      <c r="D160" s="416"/>
      <c r="E160" s="416"/>
      <c r="F160" s="416"/>
      <c r="G160" s="416"/>
      <c r="H160" s="416"/>
      <c r="I160" s="416"/>
      <c r="J160" s="416"/>
      <c r="K160" s="416"/>
      <c r="L160" s="416"/>
      <c r="M160" s="416"/>
      <c r="N160" s="416"/>
      <c r="O160" s="416"/>
      <c r="P160" s="416"/>
      <c r="Q160" s="416"/>
      <c r="R160" s="416"/>
      <c r="S160" s="416"/>
      <c r="T160" s="416"/>
      <c r="U160" s="416"/>
      <c r="V160" s="416"/>
      <c r="W160" s="416"/>
      <c r="X160" s="416"/>
      <c r="Y160" s="416"/>
      <c r="Z160" s="416"/>
      <c r="AA160" s="416"/>
      <c r="AB160" s="416"/>
      <c r="AC160" s="416"/>
      <c r="AD160" s="416"/>
      <c r="AE160" s="416"/>
      <c r="AF160" s="416"/>
      <c r="AG160" s="416"/>
      <c r="AH160" s="416"/>
      <c r="AI160" s="416"/>
      <c r="AJ160" s="416"/>
      <c r="AK160" s="416"/>
      <c r="AL160" s="416"/>
      <c r="AM160" s="416"/>
      <c r="AN160" s="416"/>
      <c r="AO160" s="416"/>
      <c r="AP160" s="416"/>
      <c r="AQ160" s="416"/>
      <c r="AR160" s="416"/>
      <c r="AS160" s="416"/>
      <c r="AT160" s="416"/>
      <c r="AU160" s="416"/>
      <c r="AV160" s="416"/>
      <c r="AW160" s="416"/>
      <c r="AX160" s="416"/>
      <c r="AY160" s="416"/>
      <c r="AZ160" s="416"/>
      <c r="BA160" s="416"/>
      <c r="BB160" s="416"/>
      <c r="BC160" s="416"/>
      <c r="BD160" s="416"/>
      <c r="BE160" s="416"/>
      <c r="BF160" s="416"/>
      <c r="BG160" s="416"/>
      <c r="BH160" s="416"/>
      <c r="BI160" s="213" t="str">
        <f t="array" ref="BI160">IFERROR(INDEX('💻シート作成'!$D$6:$D162, MATCH(BJ160, '💻シート作成'!$E$6:$E162, 0)), "")</f>
        <v/>
      </c>
      <c r="BJ160" s="170"/>
      <c r="BK160" s="416"/>
      <c r="BL160" s="559" t="str">
        <f t="array" ref="BL160">IFERROR(INDEX('💻シート作成'!$D$6:$D162, MATCH(BM160, '💻シート作成'!$E$6:$E162, 0)), "")</f>
        <v/>
      </c>
      <c r="BM160" s="170"/>
      <c r="BN160" s="416"/>
      <c r="BO160" s="416"/>
      <c r="BP160" s="416"/>
      <c r="BQ160" s="416"/>
      <c r="BR160" s="416"/>
      <c r="BS160" s="416"/>
      <c r="BT160" s="416"/>
      <c r="BU160" s="416"/>
      <c r="BV160" s="416"/>
      <c r="BW160" s="416"/>
      <c r="BX160" s="416"/>
      <c r="BY160" s="416"/>
      <c r="BZ160" s="416"/>
      <c r="CA160" s="416"/>
    </row>
    <row r="161">
      <c r="A161" s="416"/>
      <c r="B161" s="416"/>
      <c r="C161" s="416"/>
      <c r="D161" s="416"/>
      <c r="E161" s="416"/>
      <c r="F161" s="416"/>
      <c r="G161" s="416"/>
      <c r="H161" s="416"/>
      <c r="I161" s="416"/>
      <c r="J161" s="416"/>
      <c r="K161" s="416"/>
      <c r="L161" s="416"/>
      <c r="M161" s="416"/>
      <c r="N161" s="416"/>
      <c r="O161" s="416"/>
      <c r="P161" s="416"/>
      <c r="Q161" s="416"/>
      <c r="R161" s="416"/>
      <c r="S161" s="416"/>
      <c r="T161" s="416"/>
      <c r="U161" s="416"/>
      <c r="V161" s="416"/>
      <c r="W161" s="416"/>
      <c r="X161" s="416"/>
      <c r="Y161" s="416"/>
      <c r="Z161" s="416"/>
      <c r="AA161" s="416"/>
      <c r="AB161" s="416"/>
      <c r="AC161" s="416"/>
      <c r="AD161" s="416"/>
      <c r="AE161" s="416"/>
      <c r="AF161" s="416"/>
      <c r="AG161" s="416"/>
      <c r="AH161" s="416"/>
      <c r="AI161" s="416"/>
      <c r="AJ161" s="416"/>
      <c r="AK161" s="416"/>
      <c r="AL161" s="416"/>
      <c r="AM161" s="416"/>
      <c r="AN161" s="416"/>
      <c r="AO161" s="416"/>
      <c r="AP161" s="416"/>
      <c r="AQ161" s="416"/>
      <c r="AR161" s="416"/>
      <c r="AS161" s="416"/>
      <c r="AT161" s="416"/>
      <c r="AU161" s="416"/>
      <c r="AV161" s="416"/>
      <c r="AW161" s="416"/>
      <c r="AX161" s="416"/>
      <c r="AY161" s="416"/>
      <c r="AZ161" s="416"/>
      <c r="BA161" s="416"/>
      <c r="BB161" s="416"/>
      <c r="BC161" s="416"/>
      <c r="BD161" s="416"/>
      <c r="BE161" s="416"/>
      <c r="BF161" s="416"/>
      <c r="BG161" s="416"/>
      <c r="BH161" s="416"/>
      <c r="BI161" s="213" t="str">
        <f t="array" ref="BI161">IFERROR(INDEX('💻シート作成'!$D$6:$D162, MATCH(BJ161, '💻シート作成'!$E$6:$E162, 0)), "")</f>
        <v/>
      </c>
      <c r="BJ161" s="170"/>
      <c r="BK161" s="416"/>
      <c r="BL161" s="559" t="str">
        <f t="array" ref="BL161">IFERROR(INDEX('💻シート作成'!$D$6:$D162, MATCH(BM161, '💻シート作成'!$E$6:$E162, 0)), "")</f>
        <v/>
      </c>
      <c r="BM161" s="170"/>
      <c r="BN161" s="416"/>
      <c r="BO161" s="416"/>
      <c r="BP161" s="416"/>
      <c r="BQ161" s="416"/>
      <c r="BR161" s="416"/>
      <c r="BS161" s="416"/>
      <c r="BT161" s="416"/>
      <c r="BU161" s="416"/>
      <c r="BV161" s="416"/>
      <c r="BW161" s="416"/>
      <c r="BX161" s="416"/>
      <c r="BY161" s="416"/>
      <c r="BZ161" s="416"/>
      <c r="CA161" s="416"/>
    </row>
    <row r="162">
      <c r="A162" s="416"/>
      <c r="B162" s="416"/>
      <c r="C162" s="416"/>
      <c r="D162" s="416"/>
      <c r="E162" s="416"/>
      <c r="F162" s="416"/>
      <c r="G162" s="416"/>
      <c r="H162" s="416"/>
      <c r="I162" s="416"/>
      <c r="J162" s="416"/>
      <c r="K162" s="416"/>
      <c r="L162" s="416"/>
      <c r="M162" s="416"/>
      <c r="N162" s="416"/>
      <c r="O162" s="416"/>
      <c r="P162" s="416"/>
      <c r="Q162" s="416"/>
      <c r="R162" s="416"/>
      <c r="S162" s="416"/>
      <c r="T162" s="416"/>
      <c r="U162" s="416"/>
      <c r="V162" s="416"/>
      <c r="W162" s="416"/>
      <c r="X162" s="416"/>
      <c r="Y162" s="416"/>
      <c r="Z162" s="416"/>
      <c r="AA162" s="416"/>
      <c r="AB162" s="416"/>
      <c r="AC162" s="416"/>
      <c r="AD162" s="416"/>
      <c r="AE162" s="416"/>
      <c r="AF162" s="416"/>
      <c r="AG162" s="416"/>
      <c r="AH162" s="416"/>
      <c r="AI162" s="416"/>
      <c r="AJ162" s="416"/>
      <c r="AK162" s="416"/>
      <c r="AL162" s="416"/>
      <c r="AM162" s="416"/>
      <c r="AN162" s="416"/>
      <c r="AO162" s="416"/>
      <c r="AP162" s="416"/>
      <c r="AQ162" s="416"/>
      <c r="AR162" s="416"/>
      <c r="AS162" s="416"/>
      <c r="AT162" s="416"/>
      <c r="AU162" s="416"/>
      <c r="AV162" s="416"/>
      <c r="AW162" s="416"/>
      <c r="AX162" s="416"/>
      <c r="AY162" s="416"/>
      <c r="AZ162" s="416"/>
      <c r="BA162" s="416"/>
      <c r="BB162" s="416"/>
      <c r="BC162" s="416"/>
      <c r="BD162" s="416"/>
      <c r="BE162" s="416"/>
      <c r="BF162" s="416"/>
      <c r="BG162" s="416"/>
      <c r="BH162" s="416"/>
      <c r="BI162" s="213" t="str">
        <f t="array" ref="BI162">IFERROR(INDEX('💻シート作成'!$D$6:$D162, MATCH(BJ162, '💻シート作成'!$E$6:$E162, 0)), "")</f>
        <v/>
      </c>
      <c r="BJ162" s="170"/>
      <c r="BK162" s="416"/>
      <c r="BL162" s="559" t="str">
        <f t="array" ref="BL162">IFERROR(INDEX('💻シート作成'!$D$6:$D162, MATCH(BM162, '💻シート作成'!$E$6:$E162, 0)), "")</f>
        <v/>
      </c>
      <c r="BM162" s="170"/>
      <c r="BN162" s="416"/>
      <c r="BO162" s="416"/>
      <c r="BP162" s="416"/>
      <c r="BQ162" s="416"/>
      <c r="BR162" s="416"/>
      <c r="BS162" s="416"/>
      <c r="BT162" s="416"/>
      <c r="BU162" s="416"/>
      <c r="BV162" s="416"/>
      <c r="BW162" s="416"/>
      <c r="BX162" s="416"/>
      <c r="BY162" s="416"/>
      <c r="BZ162" s="416"/>
      <c r="CA162" s="416"/>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732</v>
      </c>
      <c r="O2" s="279"/>
      <c r="P2" s="280"/>
      <c r="Q2" s="281"/>
      <c r="R2" s="281"/>
      <c r="S2" s="282"/>
      <c r="T2" s="281"/>
      <c r="U2" s="281"/>
      <c r="V2" s="281"/>
      <c r="W2" s="281"/>
      <c r="X2" s="281"/>
      <c r="Y2" s="283"/>
      <c r="Z2" s="262"/>
      <c r="AA2" s="262"/>
      <c r="AB2" s="262"/>
      <c r="AC2" s="262"/>
      <c r="AD2" s="262"/>
      <c r="AE2" s="262"/>
      <c r="AF2" s="284"/>
      <c r="AG2" s="285"/>
      <c r="AH2" s="286"/>
      <c r="AI2" s="287" t="s">
        <v>733</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339"/>
      <c r="M5" s="340" t="s">
        <v>200</v>
      </c>
      <c r="N5" s="341"/>
      <c r="O5" s="319"/>
      <c r="P5" s="342" t="s">
        <v>201</v>
      </c>
      <c r="Q5" s="321" t="s">
        <v>202</v>
      </c>
      <c r="R5" s="319"/>
      <c r="S5" s="319"/>
      <c r="T5" s="342" t="s">
        <v>203</v>
      </c>
      <c r="U5" s="321" t="s">
        <v>204</v>
      </c>
      <c r="V5" s="319"/>
      <c r="W5" s="319"/>
      <c r="X5" s="342" t="s">
        <v>205</v>
      </c>
      <c r="Y5" s="321" t="s">
        <v>206</v>
      </c>
      <c r="Z5" s="319"/>
      <c r="AA5" s="319"/>
      <c r="AB5" s="342" t="s">
        <v>207</v>
      </c>
      <c r="AC5" s="321" t="s">
        <v>208</v>
      </c>
      <c r="AD5" s="319"/>
      <c r="AE5" s="319"/>
      <c r="AF5" s="342" t="s">
        <v>209</v>
      </c>
      <c r="AG5" s="321" t="s">
        <v>210</v>
      </c>
      <c r="AH5" s="319"/>
      <c r="AI5" s="319"/>
      <c r="AJ5" s="342" t="s">
        <v>211</v>
      </c>
      <c r="AK5" s="321" t="s">
        <v>212</v>
      </c>
      <c r="AL5" s="319"/>
      <c r="AM5" s="325"/>
      <c r="AN5" s="326"/>
      <c r="AO5" s="326"/>
      <c r="AP5" s="300"/>
      <c r="AQ5" s="327"/>
      <c r="AR5" s="302"/>
      <c r="AS5" s="186"/>
      <c r="AT5" s="328"/>
      <c r="AU5" s="329" t="s">
        <v>142</v>
      </c>
      <c r="AV5" s="343">
        <v>8.0</v>
      </c>
      <c r="AW5" s="343">
        <v>9.0</v>
      </c>
      <c r="AX5" s="343">
        <v>9.0</v>
      </c>
      <c r="AY5" s="330">
        <v>9.0</v>
      </c>
      <c r="AZ5" s="330">
        <v>8.0</v>
      </c>
      <c r="BA5" s="330">
        <v>9.0</v>
      </c>
      <c r="BB5" s="330">
        <v>9.0</v>
      </c>
      <c r="BC5" s="330">
        <v>9.0</v>
      </c>
      <c r="BD5" s="330">
        <v>9.0</v>
      </c>
      <c r="BE5" s="330">
        <v>8.0</v>
      </c>
      <c r="BF5" s="330">
        <v>9.0</v>
      </c>
      <c r="BG5" s="331">
        <v>9.0</v>
      </c>
      <c r="BH5" s="332">
        <f t="shared" si="1"/>
        <v>105</v>
      </c>
      <c r="BI5" s="271"/>
      <c r="BJ5" s="344"/>
      <c r="BK5" s="107"/>
      <c r="BL5" s="270">
        <v>46174.0</v>
      </c>
      <c r="BM5" s="271"/>
      <c r="BN5" s="271"/>
      <c r="BO5" s="271"/>
      <c r="BP5" s="271"/>
      <c r="BQ5" s="271"/>
      <c r="BR5" s="271"/>
      <c r="BS5" s="271"/>
      <c r="BT5" s="271"/>
      <c r="BU5" s="271"/>
      <c r="BV5" s="271"/>
      <c r="BW5" s="271"/>
      <c r="BX5" s="271"/>
    </row>
    <row r="6" ht="8.25" customHeight="1">
      <c r="A6" s="345"/>
      <c r="B6" s="346"/>
      <c r="C6" s="347"/>
      <c r="D6" s="345"/>
      <c r="E6" s="348"/>
      <c r="F6" s="349"/>
      <c r="G6" s="345"/>
      <c r="H6" s="345"/>
      <c r="I6" s="350"/>
      <c r="J6" s="350"/>
      <c r="K6" s="351"/>
      <c r="L6" s="351"/>
      <c r="M6" s="352"/>
      <c r="N6" s="353"/>
      <c r="O6" s="354"/>
      <c r="P6" s="354"/>
      <c r="Q6" s="354"/>
      <c r="R6" s="354"/>
      <c r="S6" s="354"/>
      <c r="T6" s="354"/>
      <c r="U6" s="354"/>
      <c r="V6" s="354"/>
      <c r="W6" s="354"/>
      <c r="X6" s="354"/>
      <c r="Y6" s="354"/>
      <c r="Z6" s="354"/>
      <c r="AA6" s="354"/>
      <c r="AB6" s="354"/>
      <c r="AC6" s="354"/>
      <c r="AD6" s="354"/>
      <c r="AE6" s="354"/>
      <c r="AF6" s="354"/>
      <c r="AG6" s="354"/>
      <c r="AH6" s="354"/>
      <c r="AI6" s="354"/>
      <c r="AJ6" s="354"/>
      <c r="AK6" s="354"/>
      <c r="AL6" s="354"/>
      <c r="AM6" s="354"/>
      <c r="AN6" s="354"/>
      <c r="AO6" s="354"/>
      <c r="AP6" s="354"/>
      <c r="AQ6" s="354"/>
      <c r="AR6" s="354"/>
      <c r="AS6" s="355"/>
      <c r="AT6" s="355"/>
      <c r="AU6" s="355"/>
      <c r="AV6" s="355"/>
      <c r="AW6" s="355"/>
      <c r="AX6" s="355"/>
      <c r="AY6" s="355"/>
      <c r="AZ6" s="355"/>
      <c r="BA6" s="355"/>
      <c r="BB6" s="355"/>
      <c r="BC6" s="355"/>
      <c r="BD6" s="355"/>
      <c r="BE6" s="355"/>
      <c r="BF6" s="355"/>
      <c r="BG6" s="355"/>
      <c r="BH6" s="355"/>
      <c r="BI6" s="355"/>
      <c r="BJ6" s="355"/>
      <c r="BK6" s="355"/>
      <c r="BL6" s="356">
        <v>46204.0</v>
      </c>
      <c r="BM6" s="355"/>
      <c r="BN6" s="355"/>
      <c r="BO6" s="355"/>
      <c r="BP6" s="355"/>
      <c r="BQ6" s="355"/>
      <c r="BR6" s="355"/>
      <c r="BS6" s="355"/>
      <c r="BT6" s="355"/>
      <c r="BU6" s="355"/>
      <c r="BV6" s="355"/>
      <c r="BW6" s="355"/>
      <c r="BX6" s="355"/>
    </row>
    <row r="7" ht="19.5" customHeight="1">
      <c r="A7" s="274"/>
      <c r="B7" s="357">
        <f>today()</f>
        <v>46133</v>
      </c>
      <c r="C7" s="358"/>
      <c r="D7" s="274"/>
      <c r="E7" s="359">
        <f>today()+1</f>
        <v>46134</v>
      </c>
      <c r="F7" s="360"/>
      <c r="G7" s="274"/>
      <c r="H7" s="274"/>
      <c r="I7" s="361" t="s">
        <v>213</v>
      </c>
      <c r="J7" s="362" t="s">
        <v>214</v>
      </c>
      <c r="K7" s="363">
        <v>46054.0</v>
      </c>
      <c r="L7" s="364" t="s">
        <v>215</v>
      </c>
      <c r="M7" s="365" t="s">
        <v>216</v>
      </c>
      <c r="N7" s="366">
        <f>K7</f>
        <v>46054</v>
      </c>
      <c r="O7" s="366">
        <f t="shared" ref="O7:AR7" si="2">IF(N7="","",IF(DAY(N7+1)=1,"",N7+1))</f>
        <v>46055</v>
      </c>
      <c r="P7" s="366">
        <f t="shared" si="2"/>
        <v>46056</v>
      </c>
      <c r="Q7" s="366">
        <f t="shared" si="2"/>
        <v>46057</v>
      </c>
      <c r="R7" s="366">
        <f t="shared" si="2"/>
        <v>46058</v>
      </c>
      <c r="S7" s="366">
        <f t="shared" si="2"/>
        <v>46059</v>
      </c>
      <c r="T7" s="366">
        <f t="shared" si="2"/>
        <v>46060</v>
      </c>
      <c r="U7" s="366">
        <f t="shared" si="2"/>
        <v>46061</v>
      </c>
      <c r="V7" s="366">
        <f t="shared" si="2"/>
        <v>46062</v>
      </c>
      <c r="W7" s="366">
        <f t="shared" si="2"/>
        <v>46063</v>
      </c>
      <c r="X7" s="366">
        <f t="shared" si="2"/>
        <v>46064</v>
      </c>
      <c r="Y7" s="366">
        <f t="shared" si="2"/>
        <v>46065</v>
      </c>
      <c r="Z7" s="366">
        <f t="shared" si="2"/>
        <v>46066</v>
      </c>
      <c r="AA7" s="366">
        <f t="shared" si="2"/>
        <v>46067</v>
      </c>
      <c r="AB7" s="366">
        <f t="shared" si="2"/>
        <v>46068</v>
      </c>
      <c r="AC7" s="366">
        <f t="shared" si="2"/>
        <v>46069</v>
      </c>
      <c r="AD7" s="366">
        <f t="shared" si="2"/>
        <v>46070</v>
      </c>
      <c r="AE7" s="366">
        <f t="shared" si="2"/>
        <v>46071</v>
      </c>
      <c r="AF7" s="366">
        <f t="shared" si="2"/>
        <v>46072</v>
      </c>
      <c r="AG7" s="366">
        <f t="shared" si="2"/>
        <v>46073</v>
      </c>
      <c r="AH7" s="366">
        <f t="shared" si="2"/>
        <v>46074</v>
      </c>
      <c r="AI7" s="366">
        <f t="shared" si="2"/>
        <v>46075</v>
      </c>
      <c r="AJ7" s="366">
        <f t="shared" si="2"/>
        <v>46076</v>
      </c>
      <c r="AK7" s="366">
        <f t="shared" si="2"/>
        <v>46077</v>
      </c>
      <c r="AL7" s="366">
        <f t="shared" si="2"/>
        <v>46078</v>
      </c>
      <c r="AM7" s="366">
        <f t="shared" si="2"/>
        <v>46079</v>
      </c>
      <c r="AN7" s="366">
        <f t="shared" si="2"/>
        <v>46080</v>
      </c>
      <c r="AO7" s="366">
        <f t="shared" si="2"/>
        <v>46081</v>
      </c>
      <c r="AP7" s="387" t="str">
        <f t="shared" si="2"/>
        <v/>
      </c>
      <c r="AQ7" s="387" t="str">
        <f t="shared" si="2"/>
        <v/>
      </c>
      <c r="AR7" s="378" t="str">
        <f t="shared" si="2"/>
        <v/>
      </c>
      <c r="AS7" s="368" t="s">
        <v>217</v>
      </c>
      <c r="AT7" s="369" t="s">
        <v>218</v>
      </c>
      <c r="AU7" s="370" t="s">
        <v>80</v>
      </c>
      <c r="AV7" s="370" t="s">
        <v>219</v>
      </c>
      <c r="AW7" s="370" t="s">
        <v>220</v>
      </c>
      <c r="AX7" s="370" t="s">
        <v>221</v>
      </c>
      <c r="AY7" s="370" t="s">
        <v>222</v>
      </c>
      <c r="AZ7" s="370" t="s">
        <v>223</v>
      </c>
      <c r="BA7" s="370" t="s">
        <v>81</v>
      </c>
      <c r="BB7" s="371"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火</v>
      </c>
      <c r="D8" s="113"/>
      <c r="E8" s="1084" t="s">
        <v>225</v>
      </c>
      <c r="F8" s="1085" t="str">
        <f>TEXT(E7,"ddd")</f>
        <v>水</v>
      </c>
      <c r="G8" s="186"/>
      <c r="H8" s="186"/>
      <c r="I8" s="361"/>
      <c r="J8" s="376" t="s">
        <v>226</v>
      </c>
      <c r="K8" s="364" t="s">
        <v>227</v>
      </c>
      <c r="L8" s="377" t="s">
        <v>228</v>
      </c>
      <c r="M8" s="365"/>
      <c r="N8" s="378" t="str">
        <f t="shared" ref="N8:AR8" si="3">TEXT(N7,"ddd")</f>
        <v>日</v>
      </c>
      <c r="O8" s="378" t="str">
        <f t="shared" si="3"/>
        <v>月</v>
      </c>
      <c r="P8" s="378" t="str">
        <f t="shared" si="3"/>
        <v>火</v>
      </c>
      <c r="Q8" s="378" t="str">
        <f t="shared" si="3"/>
        <v>水</v>
      </c>
      <c r="R8" s="378" t="str">
        <f t="shared" si="3"/>
        <v>木</v>
      </c>
      <c r="S8" s="378" t="str">
        <f t="shared" si="3"/>
        <v>金</v>
      </c>
      <c r="T8" s="378" t="str">
        <f t="shared" si="3"/>
        <v>土</v>
      </c>
      <c r="U8" s="378" t="str">
        <f t="shared" si="3"/>
        <v>日</v>
      </c>
      <c r="V8" s="378" t="str">
        <f t="shared" si="3"/>
        <v>月</v>
      </c>
      <c r="W8" s="378" t="str">
        <f t="shared" si="3"/>
        <v>火</v>
      </c>
      <c r="X8" s="378" t="str">
        <f t="shared" si="3"/>
        <v>水</v>
      </c>
      <c r="Y8" s="378" t="str">
        <f t="shared" si="3"/>
        <v>木</v>
      </c>
      <c r="Z8" s="378" t="str">
        <f t="shared" si="3"/>
        <v>金</v>
      </c>
      <c r="AA8" s="378" t="str">
        <f t="shared" si="3"/>
        <v>土</v>
      </c>
      <c r="AB8" s="378" t="str">
        <f t="shared" si="3"/>
        <v>日</v>
      </c>
      <c r="AC8" s="378" t="str">
        <f t="shared" si="3"/>
        <v>月</v>
      </c>
      <c r="AD8" s="378" t="str">
        <f t="shared" si="3"/>
        <v>火</v>
      </c>
      <c r="AE8" s="378" t="str">
        <f t="shared" si="3"/>
        <v>水</v>
      </c>
      <c r="AF8" s="378" t="str">
        <f t="shared" si="3"/>
        <v>木</v>
      </c>
      <c r="AG8" s="378" t="str">
        <f t="shared" si="3"/>
        <v>金</v>
      </c>
      <c r="AH8" s="378" t="str">
        <f t="shared" si="3"/>
        <v>土</v>
      </c>
      <c r="AI8" s="378" t="str">
        <f t="shared" si="3"/>
        <v>日</v>
      </c>
      <c r="AJ8" s="378" t="str">
        <f t="shared" si="3"/>
        <v>月</v>
      </c>
      <c r="AK8" s="378" t="str">
        <f t="shared" si="3"/>
        <v>火</v>
      </c>
      <c r="AL8" s="378" t="str">
        <f t="shared" si="3"/>
        <v>水</v>
      </c>
      <c r="AM8" s="378" t="str">
        <f t="shared" si="3"/>
        <v>木</v>
      </c>
      <c r="AN8" s="378" t="str">
        <f t="shared" si="3"/>
        <v>金</v>
      </c>
      <c r="AO8" s="378" t="str">
        <f t="shared" si="3"/>
        <v>土</v>
      </c>
      <c r="AP8" s="378" t="str">
        <f t="shared" si="3"/>
        <v/>
      </c>
      <c r="AQ8" s="378" t="str">
        <f t="shared" si="3"/>
        <v/>
      </c>
      <c r="AR8" s="378" t="str">
        <f t="shared" si="3"/>
        <v/>
      </c>
      <c r="AS8" s="379"/>
      <c r="AT8" s="369"/>
      <c r="AU8" s="369"/>
      <c r="AV8" s="369"/>
      <c r="AW8" s="369"/>
      <c r="AX8" s="369"/>
      <c r="AY8" s="369"/>
      <c r="AZ8" s="369"/>
      <c r="BA8" s="369"/>
      <c r="BB8" s="380"/>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2" t="str">
        <f t="shared" ref="B9:B104" si="4">K9</f>
        <v>出勤者数合計</v>
      </c>
      <c r="C9" s="381" t="str">
        <f t="shared" ref="C9:C104" si="5">if(B9="","", xlookup($B$7,$N$7:$AR$7,$N9:$AR9))</f>
        <v>#N/A</v>
      </c>
      <c r="D9" s="186"/>
      <c r="E9" s="372" t="str">
        <f t="shared" ref="E9:E104" si="6">K9</f>
        <v>出勤者数合計</v>
      </c>
      <c r="F9" s="381" t="str">
        <f t="shared" ref="F9:F103" si="7">if(E9="","", xlookup($E$7,$N$7:$AR$7,$N9:$AR9))</f>
        <v>#N/A</v>
      </c>
      <c r="G9" s="186"/>
      <c r="H9" s="186"/>
      <c r="I9" s="168" t="b">
        <v>0</v>
      </c>
      <c r="J9" s="376"/>
      <c r="K9" s="382" t="s">
        <v>229</v>
      </c>
      <c r="L9" s="383" t="s">
        <v>230</v>
      </c>
      <c r="M9" s="384" t="s">
        <v>231</v>
      </c>
      <c r="N9" s="385">
        <f t="array" ref="N9">SUM(COUNTIF(N11:N104, {"◎","〇","☆","共","特","浴"}))</f>
        <v>0</v>
      </c>
      <c r="O9" s="385">
        <f t="array" ref="O9">SUM(COUNTIF(O11:O104, {"◎","〇","☆","共","特","浴"}))</f>
        <v>0</v>
      </c>
      <c r="P9" s="385">
        <f t="array" ref="P9">SUM(COUNTIF(P11:P104, {"◎","〇","☆","共","特","浴"}))</f>
        <v>0</v>
      </c>
      <c r="Q9" s="385">
        <f t="array" ref="Q9">SUM(COUNTIF(Q11:Q104, {"◎","〇","☆","共","特","浴"}))</f>
        <v>0</v>
      </c>
      <c r="R9" s="385">
        <f t="array" ref="R9">SUM(COUNTIF(R11:R104, {"◎","〇","☆","共","特","浴"}))</f>
        <v>0</v>
      </c>
      <c r="S9" s="385">
        <f t="array" ref="S9">SUM(COUNTIF(S11:S104, {"◎","〇","☆","共","特","浴"}))</f>
        <v>0</v>
      </c>
      <c r="T9" s="385">
        <f t="array" ref="T9">SUM(COUNTIF(T11:T104, {"◎","〇","☆","共","特","浴"}))</f>
        <v>0</v>
      </c>
      <c r="U9" s="385">
        <f t="array" ref="U9">SUM(COUNTIF(U11:U104, {"◎","〇","☆","共","特","浴"}))</f>
        <v>0</v>
      </c>
      <c r="V9" s="385">
        <f t="array" ref="V9">SUM(COUNTIF(V11:V104, {"◎","〇","☆","共","特","浴"}))</f>
        <v>0</v>
      </c>
      <c r="W9" s="385">
        <f t="array" ref="W9">SUM(COUNTIF(W11:W104, {"◎","〇","☆","共","特","浴"}))</f>
        <v>0</v>
      </c>
      <c r="X9" s="385">
        <f t="array" ref="X9">SUM(COUNTIF(X11:X104, {"◎","〇","☆","共","特","浴"}))</f>
        <v>0</v>
      </c>
      <c r="Y9" s="385">
        <f t="array" ref="Y9">SUM(COUNTIF(Y11:Y104, {"◎","〇","☆","共","特","浴"}))</f>
        <v>0</v>
      </c>
      <c r="Z9" s="385">
        <f t="array" ref="Z9">SUM(COUNTIF(Z11:Z104, {"◎","〇","☆","共","特","浴"}))</f>
        <v>0</v>
      </c>
      <c r="AA9" s="385">
        <f t="array" ref="AA9">SUM(COUNTIF(AA11:AA104, {"◎","〇","☆","共","特","浴"}))</f>
        <v>0</v>
      </c>
      <c r="AB9" s="385">
        <f t="array" ref="AB9">SUM(COUNTIF(AB11:AB104, {"◎","〇","☆","共","特","浴"}))</f>
        <v>0</v>
      </c>
      <c r="AC9" s="385">
        <f t="array" ref="AC9">SUM(COUNTIF(AC11:AC104, {"◎","〇","☆","共","特","浴"}))</f>
        <v>0</v>
      </c>
      <c r="AD9" s="385">
        <f t="array" ref="AD9">SUM(COUNTIF(AD11:AD104, {"◎","〇","☆","共","特","浴"}))</f>
        <v>0</v>
      </c>
      <c r="AE9" s="385">
        <f t="array" ref="AE9">SUM(COUNTIF(AE11:AE104, {"◎","〇","☆","共","特","浴"}))</f>
        <v>0</v>
      </c>
      <c r="AF9" s="385">
        <f t="array" ref="AF9">SUM(COUNTIF(AF11:AF104, {"◎","〇","☆","共","特","浴"}))</f>
        <v>0</v>
      </c>
      <c r="AG9" s="385">
        <f t="array" ref="AG9">SUM(COUNTIF(AG11:AG104, {"◎","〇","☆","共","特","浴"}))</f>
        <v>0</v>
      </c>
      <c r="AH9" s="385">
        <f t="array" ref="AH9">SUM(COUNTIF(AH11:AH104, {"◎","〇","☆","共","特","浴"}))</f>
        <v>0</v>
      </c>
      <c r="AI9" s="385">
        <f t="array" ref="AI9">SUM(COUNTIF(AI11:AI104, {"◎","〇","☆","共","特","浴"}))</f>
        <v>0</v>
      </c>
      <c r="AJ9" s="385">
        <f t="array" ref="AJ9">SUM(COUNTIF(AJ11:AJ104, {"◎","〇","☆","共","特","浴"}))</f>
        <v>0</v>
      </c>
      <c r="AK9" s="385">
        <f t="array" ref="AK9">SUM(COUNTIF(AK11:AK104, {"◎","〇","☆","共","特","浴"}))</f>
        <v>0</v>
      </c>
      <c r="AL9" s="385">
        <f t="array" ref="AL9">SUM(COUNTIF(AL11:AL104, {"◎","〇","☆","共","特","浴"}))</f>
        <v>0</v>
      </c>
      <c r="AM9" s="385">
        <f t="array" ref="AM9">SUM(COUNTIF(AM11:AM104, {"◎","〇","☆","共","特","浴"}))</f>
        <v>0</v>
      </c>
      <c r="AN9" s="385">
        <f t="array" ref="AN9">SUM(COUNTIF(AN11:AN104, {"◎","〇","☆","共","特","浴"}))</f>
        <v>0</v>
      </c>
      <c r="AO9" s="385">
        <f t="array" ref="AO9">SUM(COUNTIF(AO11:AO104, {"◎","〇","☆","共","特","浴"}))</f>
        <v>0</v>
      </c>
      <c r="AP9" s="385">
        <f t="array" ref="AP9">SUM(COUNTIF(AP11:AP104, {"◎","〇","☆","共","特","浴"}))</f>
        <v>0</v>
      </c>
      <c r="AQ9" s="385">
        <f t="array" ref="AQ9">SUM(COUNTIF(AQ11:AQ104, {"◎","〇","☆","共","特","浴"}))</f>
        <v>0</v>
      </c>
      <c r="AR9" s="385">
        <f t="array" ref="AR9">SUM(COUNTIF(AR11:AR104, {"◎","〇","☆","共","特","浴"}))</f>
        <v>0</v>
      </c>
      <c r="AS9" s="379" t="s">
        <v>230</v>
      </c>
      <c r="AT9" s="386" t="s">
        <v>230</v>
      </c>
      <c r="AU9" s="387">
        <f t="array" ref="AU9">SUM(COUNTIF(AU11:AU104, {"◎","〇","☆","共","特","浴"}))</f>
        <v>0</v>
      </c>
      <c r="AV9" s="387">
        <f t="array" ref="AV9">SUM(COUNTIF(AV11:AV104, {"◎","〇","☆","共","特","浴"}))</f>
        <v>0</v>
      </c>
      <c r="AW9" s="387">
        <f t="array" ref="AW9">SUM(COUNTIF(AW11:AW104, {"◎","〇","☆","共","特","浴"}))</f>
        <v>0</v>
      </c>
      <c r="AX9" s="387">
        <f t="array" ref="AX9">SUM(COUNTIF(AX11:AX104, {"◎","〇","☆","共","特","浴"}))</f>
        <v>0</v>
      </c>
      <c r="AY9" s="387">
        <f t="array" ref="AY9">SUM(COUNTIF(AY11:AY104, {"◎","〇","☆","共","特","浴"}))</f>
        <v>0</v>
      </c>
      <c r="AZ9" s="387">
        <f t="array" ref="AZ9">SUM(COUNTIF(AZ11:AZ104, {"◎","〇","☆","共","特","浴"}))</f>
        <v>0</v>
      </c>
      <c r="BA9" s="387">
        <f t="array" ref="BA9">SUM(COUNTIF(BA11:BA104, {"◎","〇","☆","共","特","浴"}))</f>
        <v>0</v>
      </c>
      <c r="BB9" s="388"/>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2" t="str">
        <f t="shared" si="4"/>
        <v>チェッカー数</v>
      </c>
      <c r="C10" s="381" t="str">
        <f t="shared" si="5"/>
        <v>#N/A</v>
      </c>
      <c r="D10" s="186"/>
      <c r="E10" s="372" t="str">
        <f t="shared" si="6"/>
        <v>チェッカー数</v>
      </c>
      <c r="F10" s="381" t="str">
        <f t="shared" si="7"/>
        <v>#N/A</v>
      </c>
      <c r="G10" s="186"/>
      <c r="H10" s="186"/>
      <c r="I10" s="168" t="b">
        <v>0</v>
      </c>
      <c r="J10" s="376"/>
      <c r="K10" s="382" t="s">
        <v>232</v>
      </c>
      <c r="L10" s="383" t="s">
        <v>230</v>
      </c>
      <c r="M10" s="384" t="s">
        <v>233</v>
      </c>
      <c r="N10" s="385">
        <f t="array" ref="N10">SUM(COUNTIF(N11:N104, {"◎","☆"}))</f>
        <v>0</v>
      </c>
      <c r="O10" s="385">
        <f t="array" ref="O10">SUM(COUNTIF(O11:O104, {"◎","☆"}))</f>
        <v>0</v>
      </c>
      <c r="P10" s="385">
        <f t="array" ref="P10">SUM(COUNTIF(P11:P104, {"◎","☆"}))</f>
        <v>0</v>
      </c>
      <c r="Q10" s="385">
        <f t="array" ref="Q10">SUM(COUNTIF(Q11:Q104, {"◎","☆"}))</f>
        <v>0</v>
      </c>
      <c r="R10" s="385">
        <f t="array" ref="R10">SUM(COUNTIF(R11:R104, {"◎","☆"}))</f>
        <v>0</v>
      </c>
      <c r="S10" s="385">
        <f t="array" ref="S10">SUM(COUNTIF(S11:S104, {"◎","☆"}))</f>
        <v>0</v>
      </c>
      <c r="T10" s="385">
        <f t="array" ref="T10">SUM(COUNTIF(T11:T104, {"◎","☆"}))</f>
        <v>0</v>
      </c>
      <c r="U10" s="385">
        <f t="array" ref="U10">SUM(COUNTIF(U11:U104, {"◎","☆"}))</f>
        <v>0</v>
      </c>
      <c r="V10" s="385">
        <f t="array" ref="V10">SUM(COUNTIF(V11:V104, {"◎","☆"}))</f>
        <v>0</v>
      </c>
      <c r="W10" s="385">
        <f t="array" ref="W10">SUM(COUNTIF(W11:W104, {"◎","☆"}))</f>
        <v>0</v>
      </c>
      <c r="X10" s="385">
        <f t="array" ref="X10">SUM(COUNTIF(X11:X104, {"◎","☆"}))</f>
        <v>0</v>
      </c>
      <c r="Y10" s="385">
        <f t="array" ref="Y10">SUM(COUNTIF(Y11:Y104, {"◎","☆"}))</f>
        <v>0</v>
      </c>
      <c r="Z10" s="385">
        <f t="array" ref="Z10">SUM(COUNTIF(Z11:Z104, {"◎","☆"}))</f>
        <v>0</v>
      </c>
      <c r="AA10" s="385">
        <f t="array" ref="AA10">SUM(COUNTIF(AA11:AA104, {"◎","☆"}))</f>
        <v>0</v>
      </c>
      <c r="AB10" s="385">
        <f t="array" ref="AB10">SUM(COUNTIF(AB11:AB104, {"◎","☆"}))</f>
        <v>0</v>
      </c>
      <c r="AC10" s="385">
        <f t="array" ref="AC10">SUM(COUNTIF(AC11:AC104, {"◎","☆"}))</f>
        <v>0</v>
      </c>
      <c r="AD10" s="385">
        <f t="array" ref="AD10">SUM(COUNTIF(AD11:AD104, {"◎","☆"}))</f>
        <v>0</v>
      </c>
      <c r="AE10" s="385">
        <f t="array" ref="AE10">SUM(COUNTIF(AE11:AE104, {"◎","☆"}))</f>
        <v>0</v>
      </c>
      <c r="AF10" s="385">
        <f t="array" ref="AF10">SUM(COUNTIF(AF11:AF104, {"◎","☆"}))</f>
        <v>0</v>
      </c>
      <c r="AG10" s="385">
        <f t="array" ref="AG10">SUM(COUNTIF(AG11:AG104, {"◎","☆"}))</f>
        <v>0</v>
      </c>
      <c r="AH10" s="385">
        <f t="array" ref="AH10">SUM(COUNTIF(AH11:AH104, {"◎","☆"}))</f>
        <v>0</v>
      </c>
      <c r="AI10" s="385">
        <f t="array" ref="AI10">SUM(COUNTIF(AI11:AI104, {"◎","☆"}))</f>
        <v>0</v>
      </c>
      <c r="AJ10" s="385">
        <f t="array" ref="AJ10">SUM(COUNTIF(AJ11:AJ104, {"◎","☆"}))</f>
        <v>0</v>
      </c>
      <c r="AK10" s="385">
        <f t="array" ref="AK10">SUM(COUNTIF(AK11:AK104, {"◎","☆"}))</f>
        <v>0</v>
      </c>
      <c r="AL10" s="385">
        <f t="array" ref="AL10">SUM(COUNTIF(AL11:AL104, {"◎","☆"}))</f>
        <v>0</v>
      </c>
      <c r="AM10" s="385">
        <f t="array" ref="AM10">SUM(COUNTIF(AM11:AM104, {"◎","☆"}))</f>
        <v>0</v>
      </c>
      <c r="AN10" s="385">
        <f t="array" ref="AN10">SUM(COUNTIF(AN11:AN104, {"◎","☆"}))</f>
        <v>0</v>
      </c>
      <c r="AO10" s="385">
        <f t="array" ref="AO10">SUM(COUNTIF(AO11:AO104, {"◎","☆"}))</f>
        <v>0</v>
      </c>
      <c r="AP10" s="385">
        <f t="array" ref="AP10">SUM(COUNTIF(AP11:AP104, {"◎","☆"}))</f>
        <v>0</v>
      </c>
      <c r="AQ10" s="385">
        <f t="array" ref="AQ10">SUM(COUNTIF(AQ11:AQ104, {"◎","☆"}))</f>
        <v>0</v>
      </c>
      <c r="AR10" s="385">
        <f t="array" ref="AR10">SUM(COUNTIF(AR11:AR104, {"◎","☆"}))</f>
        <v>0</v>
      </c>
      <c r="AS10" s="379" t="s">
        <v>230</v>
      </c>
      <c r="AT10" s="386" t="s">
        <v>230</v>
      </c>
      <c r="AU10" s="387">
        <f t="array" ref="AU10">SUM(COUNTIF(AU11:AU104, {"◎","☆"}))</f>
        <v>0</v>
      </c>
      <c r="AV10" s="387">
        <f t="array" ref="AV10">SUM(COUNTIF(AV11:AV104, {"◎","☆"}))</f>
        <v>0</v>
      </c>
      <c r="AW10" s="387">
        <f t="array" ref="AW10">SUM(COUNTIF(AW11:AW104, {"◎","☆"}))</f>
        <v>0</v>
      </c>
      <c r="AX10" s="387">
        <f t="array" ref="AX10">SUM(COUNTIF(AX11:AX104, {"◎","☆"}))</f>
        <v>0</v>
      </c>
      <c r="AY10" s="387">
        <f t="array" ref="AY10">SUM(COUNTIF(AY11:AY104, {"◎","☆"}))</f>
        <v>0</v>
      </c>
      <c r="AZ10" s="387">
        <f t="array" ref="AZ10">SUM(COUNTIF(AZ11:AZ104, {"◎","☆"}))</f>
        <v>0</v>
      </c>
      <c r="BA10" s="387">
        <f t="array" ref="BA10">SUM(COUNTIF(BA11:BA104, {"◎","☆"}))</f>
        <v>0</v>
      </c>
      <c r="BB10" s="388"/>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2" t="str">
        <f t="shared" si="4"/>
        <v>ビマル</v>
      </c>
      <c r="C11" s="381" t="str">
        <f t="shared" si="5"/>
        <v>#N/A</v>
      </c>
      <c r="D11" s="186"/>
      <c r="E11" s="372" t="str">
        <f t="shared" si="6"/>
        <v>ビマル</v>
      </c>
      <c r="F11" s="381" t="str">
        <f t="shared" si="7"/>
        <v>#N/A</v>
      </c>
      <c r="G11" s="186"/>
      <c r="H11" s="186"/>
      <c r="I11" s="168" t="b">
        <v>0</v>
      </c>
      <c r="J11" s="362"/>
      <c r="K11" s="382" t="s">
        <v>98</v>
      </c>
      <c r="L11" s="383" t="s">
        <v>234</v>
      </c>
      <c r="M11" s="389"/>
      <c r="N11" s="390"/>
      <c r="O11" s="390"/>
      <c r="P11" s="390"/>
      <c r="Q11" s="390"/>
      <c r="R11" s="390"/>
      <c r="S11" s="390"/>
      <c r="T11" s="390"/>
      <c r="U11" s="390"/>
      <c r="V11" s="390"/>
      <c r="W11" s="390"/>
      <c r="X11" s="390"/>
      <c r="Y11" s="390"/>
      <c r="Z11" s="390"/>
      <c r="AA11" s="390"/>
      <c r="AB11" s="390"/>
      <c r="AC11" s="390"/>
      <c r="AD11" s="390"/>
      <c r="AE11" s="390"/>
      <c r="AF11" s="390"/>
      <c r="AG11" s="390"/>
      <c r="AH11" s="390"/>
      <c r="AI11" s="390"/>
      <c r="AJ11" s="390"/>
      <c r="AK11" s="390"/>
      <c r="AL11" s="390"/>
      <c r="AM11" s="390"/>
      <c r="AN11" s="390"/>
      <c r="AO11" s="390"/>
      <c r="AP11" s="390"/>
      <c r="AQ11" s="390"/>
      <c r="AR11" s="390"/>
      <c r="AS11" s="391">
        <f t="array" ref="AS11">SUM(COUNTIF(N11:AR11, {"◎","〇","☆","共","特","浴"}))</f>
        <v>0</v>
      </c>
      <c r="AT11" s="392"/>
      <c r="AU11" s="393"/>
      <c r="AV11" s="393"/>
      <c r="AW11" s="393"/>
      <c r="AX11" s="393"/>
      <c r="AY11" s="393"/>
      <c r="AZ11" s="393"/>
      <c r="BA11" s="393"/>
      <c r="BB11" s="394"/>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2" t="str">
        <f t="shared" si="4"/>
        <v/>
      </c>
      <c r="C12" s="381" t="str">
        <f t="shared" si="5"/>
        <v/>
      </c>
      <c r="D12" s="186"/>
      <c r="E12" s="372" t="str">
        <f t="shared" si="6"/>
        <v/>
      </c>
      <c r="F12" s="381" t="str">
        <f t="shared" si="7"/>
        <v/>
      </c>
      <c r="G12" s="186"/>
      <c r="H12" s="186"/>
      <c r="I12" s="168" t="b">
        <v>0</v>
      </c>
      <c r="J12" s="362"/>
      <c r="K12" s="382"/>
      <c r="L12" s="383"/>
      <c r="M12" s="389"/>
      <c r="N12" s="390"/>
      <c r="O12" s="390"/>
      <c r="P12" s="390"/>
      <c r="Q12" s="390"/>
      <c r="R12" s="390"/>
      <c r="S12" s="390"/>
      <c r="T12" s="390"/>
      <c r="U12" s="390"/>
      <c r="V12" s="390"/>
      <c r="W12" s="390"/>
      <c r="X12" s="390"/>
      <c r="Y12" s="390"/>
      <c r="Z12" s="390"/>
      <c r="AA12" s="390"/>
      <c r="AB12" s="390"/>
      <c r="AC12" s="390"/>
      <c r="AD12" s="390"/>
      <c r="AE12" s="390"/>
      <c r="AF12" s="390"/>
      <c r="AG12" s="390"/>
      <c r="AH12" s="390"/>
      <c r="AI12" s="390"/>
      <c r="AJ12" s="390"/>
      <c r="AK12" s="390"/>
      <c r="AL12" s="390"/>
      <c r="AM12" s="390"/>
      <c r="AN12" s="390"/>
      <c r="AO12" s="390"/>
      <c r="AP12" s="390"/>
      <c r="AQ12" s="390"/>
      <c r="AR12" s="390"/>
      <c r="AS12" s="391">
        <f t="array" ref="AS12">SUM(COUNTIF(N12:AR12, {"◎","〇","☆","共","特","浴"}))</f>
        <v>0</v>
      </c>
      <c r="AT12" s="392"/>
      <c r="AU12" s="393"/>
      <c r="AV12" s="393"/>
      <c r="AW12" s="393"/>
      <c r="AX12" s="393"/>
      <c r="AY12" s="393"/>
      <c r="AZ12" s="393"/>
      <c r="BA12" s="393"/>
      <c r="BB12" s="394"/>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2" t="str">
        <f t="shared" si="4"/>
        <v/>
      </c>
      <c r="C13" s="381" t="str">
        <f t="shared" si="5"/>
        <v/>
      </c>
      <c r="D13" s="186"/>
      <c r="E13" s="372" t="str">
        <f t="shared" si="6"/>
        <v/>
      </c>
      <c r="F13" s="381" t="str">
        <f t="shared" si="7"/>
        <v/>
      </c>
      <c r="G13" s="186"/>
      <c r="H13" s="186"/>
      <c r="I13" s="168" t="b">
        <v>0</v>
      </c>
      <c r="J13" s="362"/>
      <c r="K13" s="382"/>
      <c r="L13" s="383"/>
      <c r="M13" s="389"/>
      <c r="N13" s="390"/>
      <c r="O13" s="390"/>
      <c r="P13" s="390"/>
      <c r="Q13" s="390"/>
      <c r="R13" s="390"/>
      <c r="S13" s="390"/>
      <c r="T13" s="390"/>
      <c r="U13" s="390"/>
      <c r="V13" s="390"/>
      <c r="W13" s="390"/>
      <c r="X13" s="390"/>
      <c r="Y13" s="390"/>
      <c r="Z13" s="390"/>
      <c r="AA13" s="390"/>
      <c r="AB13" s="390"/>
      <c r="AC13" s="390"/>
      <c r="AD13" s="390"/>
      <c r="AE13" s="390"/>
      <c r="AF13" s="390"/>
      <c r="AG13" s="390"/>
      <c r="AH13" s="390"/>
      <c r="AI13" s="390"/>
      <c r="AJ13" s="390"/>
      <c r="AK13" s="390"/>
      <c r="AL13" s="390"/>
      <c r="AM13" s="390"/>
      <c r="AN13" s="390"/>
      <c r="AO13" s="390"/>
      <c r="AP13" s="390"/>
      <c r="AQ13" s="390"/>
      <c r="AR13" s="385"/>
      <c r="AS13" s="391">
        <f t="array" ref="AS13">SUM(COUNTIF(N13:AR13, {"◎","〇","☆","共","特","浴"}))</f>
        <v>0</v>
      </c>
      <c r="AT13" s="395"/>
      <c r="AU13" s="393"/>
      <c r="AV13" s="393"/>
      <c r="AW13" s="393"/>
      <c r="AX13" s="393"/>
      <c r="AY13" s="393"/>
      <c r="AZ13" s="393"/>
      <c r="BA13" s="393"/>
      <c r="BB13" s="394"/>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2" t="str">
        <f t="shared" si="4"/>
        <v/>
      </c>
      <c r="C14" s="381" t="str">
        <f t="shared" si="5"/>
        <v/>
      </c>
      <c r="D14" s="186"/>
      <c r="E14" s="372" t="str">
        <f t="shared" si="6"/>
        <v/>
      </c>
      <c r="F14" s="381" t="str">
        <f t="shared" si="7"/>
        <v/>
      </c>
      <c r="G14" s="186"/>
      <c r="H14" s="186"/>
      <c r="I14" s="168" t="b">
        <v>0</v>
      </c>
      <c r="J14" s="362"/>
      <c r="K14" s="382"/>
      <c r="L14" s="383"/>
      <c r="M14" s="389"/>
      <c r="N14" s="390"/>
      <c r="O14" s="390"/>
      <c r="P14" s="390"/>
      <c r="Q14" s="390"/>
      <c r="R14" s="390"/>
      <c r="S14" s="390"/>
      <c r="T14" s="390"/>
      <c r="U14" s="390"/>
      <c r="V14" s="390"/>
      <c r="W14" s="390"/>
      <c r="X14" s="390"/>
      <c r="Y14" s="390"/>
      <c r="Z14" s="390"/>
      <c r="AA14" s="390"/>
      <c r="AB14" s="390"/>
      <c r="AC14" s="390"/>
      <c r="AD14" s="390"/>
      <c r="AE14" s="390"/>
      <c r="AF14" s="390"/>
      <c r="AG14" s="390"/>
      <c r="AH14" s="390"/>
      <c r="AI14" s="390"/>
      <c r="AJ14" s="390"/>
      <c r="AK14" s="390"/>
      <c r="AL14" s="390"/>
      <c r="AM14" s="390"/>
      <c r="AN14" s="390"/>
      <c r="AO14" s="390"/>
      <c r="AP14" s="390"/>
      <c r="AQ14" s="390"/>
      <c r="AR14" s="385"/>
      <c r="AS14" s="391">
        <f t="array" ref="AS14">SUM(COUNTIF(N14:AR14, {"◎","〇","☆","共","特","浴"}))</f>
        <v>0</v>
      </c>
      <c r="AT14" s="392"/>
      <c r="AU14" s="393"/>
      <c r="AV14" s="393"/>
      <c r="AW14" s="393"/>
      <c r="AX14" s="393"/>
      <c r="AY14" s="393"/>
      <c r="AZ14" s="393"/>
      <c r="BA14" s="393"/>
      <c r="BB14" s="394"/>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2" t="str">
        <f t="shared" si="4"/>
        <v/>
      </c>
      <c r="C15" s="381" t="str">
        <f t="shared" si="5"/>
        <v/>
      </c>
      <c r="D15" s="186"/>
      <c r="E15" s="372" t="str">
        <f t="shared" si="6"/>
        <v/>
      </c>
      <c r="F15" s="381" t="str">
        <f t="shared" si="7"/>
        <v/>
      </c>
      <c r="G15" s="186"/>
      <c r="H15" s="186"/>
      <c r="I15" s="168" t="b">
        <v>0</v>
      </c>
      <c r="J15" s="362"/>
      <c r="K15" s="382"/>
      <c r="L15" s="383"/>
      <c r="M15" s="389"/>
      <c r="N15" s="390"/>
      <c r="O15" s="390"/>
      <c r="P15" s="390"/>
      <c r="Q15" s="390"/>
      <c r="R15" s="390"/>
      <c r="S15" s="390"/>
      <c r="T15" s="390"/>
      <c r="U15" s="390"/>
      <c r="V15" s="390"/>
      <c r="W15" s="390"/>
      <c r="X15" s="390"/>
      <c r="Y15" s="390"/>
      <c r="Z15" s="390"/>
      <c r="AA15" s="390"/>
      <c r="AB15" s="390"/>
      <c r="AC15" s="390"/>
      <c r="AD15" s="390"/>
      <c r="AE15" s="390"/>
      <c r="AF15" s="390"/>
      <c r="AG15" s="390"/>
      <c r="AH15" s="390"/>
      <c r="AI15" s="390"/>
      <c r="AJ15" s="390"/>
      <c r="AK15" s="390"/>
      <c r="AL15" s="390"/>
      <c r="AM15" s="390"/>
      <c r="AN15" s="390"/>
      <c r="AO15" s="390"/>
      <c r="AP15" s="390"/>
      <c r="AR15" s="385"/>
      <c r="AS15" s="391">
        <f t="array" ref="AS15">SUM(COUNTIF(N15:AR15, {"◎","〇","☆","共","特","浴"}))</f>
        <v>0</v>
      </c>
      <c r="AT15" s="392"/>
      <c r="AU15" s="393"/>
      <c r="AV15" s="393"/>
      <c r="AW15" s="393"/>
      <c r="AX15" s="393"/>
      <c r="AY15" s="393"/>
      <c r="AZ15" s="393"/>
      <c r="BA15" s="393"/>
      <c r="BB15" s="394"/>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2" t="str">
        <f t="shared" si="4"/>
        <v/>
      </c>
      <c r="C16" s="381" t="str">
        <f t="shared" si="5"/>
        <v/>
      </c>
      <c r="D16" s="186"/>
      <c r="E16" s="372" t="str">
        <f t="shared" si="6"/>
        <v/>
      </c>
      <c r="F16" s="381" t="str">
        <f t="shared" si="7"/>
        <v/>
      </c>
      <c r="G16" s="186"/>
      <c r="H16" s="186"/>
      <c r="I16" s="168" t="b">
        <v>0</v>
      </c>
      <c r="J16" s="362"/>
      <c r="K16" s="382"/>
      <c r="L16" s="383"/>
      <c r="M16" s="389"/>
      <c r="N16" s="390"/>
      <c r="O16" s="390"/>
      <c r="P16" s="390"/>
      <c r="Q16" s="390"/>
      <c r="R16" s="390"/>
      <c r="S16" s="390"/>
      <c r="T16" s="390"/>
      <c r="U16" s="390"/>
      <c r="V16" s="390"/>
      <c r="W16" s="390"/>
      <c r="X16" s="390"/>
      <c r="Y16" s="390"/>
      <c r="Z16" s="390"/>
      <c r="AA16" s="390"/>
      <c r="AB16" s="390"/>
      <c r="AC16" s="390"/>
      <c r="AD16" s="390"/>
      <c r="AE16" s="390"/>
      <c r="AF16" s="390"/>
      <c r="AG16" s="390"/>
      <c r="AH16" s="390"/>
      <c r="AI16" s="390"/>
      <c r="AJ16" s="390"/>
      <c r="AK16" s="390"/>
      <c r="AL16" s="390"/>
      <c r="AM16" s="390"/>
      <c r="AN16" s="390"/>
      <c r="AO16" s="390"/>
      <c r="AP16" s="390"/>
      <c r="AQ16" s="390"/>
      <c r="AR16" s="385"/>
      <c r="AS16" s="391">
        <f t="array" ref="AS16">SUM(COUNTIF(N16:AR16, {"◎","〇","☆","共","特","浴"}))</f>
        <v>0</v>
      </c>
      <c r="AT16" s="392"/>
      <c r="AU16" s="393"/>
      <c r="AV16" s="393"/>
      <c r="AW16" s="393"/>
      <c r="AX16" s="393"/>
      <c r="AY16" s="393"/>
      <c r="AZ16" s="393"/>
      <c r="BA16" s="393"/>
      <c r="BB16" s="394"/>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2" t="str">
        <f t="shared" si="4"/>
        <v/>
      </c>
      <c r="C17" s="381" t="str">
        <f t="shared" si="5"/>
        <v/>
      </c>
      <c r="D17" s="186"/>
      <c r="E17" s="372" t="str">
        <f t="shared" si="6"/>
        <v/>
      </c>
      <c r="F17" s="381" t="str">
        <f t="shared" si="7"/>
        <v/>
      </c>
      <c r="G17" s="186"/>
      <c r="H17" s="186"/>
      <c r="I17" s="168" t="b">
        <v>0</v>
      </c>
      <c r="J17" s="362"/>
      <c r="K17" s="382"/>
      <c r="L17" s="383"/>
      <c r="M17" s="389"/>
      <c r="N17" s="390"/>
      <c r="O17" s="390"/>
      <c r="P17" s="390"/>
      <c r="Q17" s="390"/>
      <c r="R17" s="390"/>
      <c r="S17" s="390"/>
      <c r="T17" s="390"/>
      <c r="U17" s="390"/>
      <c r="V17" s="390"/>
      <c r="W17" s="390"/>
      <c r="X17" s="390"/>
      <c r="Y17" s="390"/>
      <c r="Z17" s="390"/>
      <c r="AA17" s="390"/>
      <c r="AB17" s="390"/>
      <c r="AC17" s="390"/>
      <c r="AD17" s="390"/>
      <c r="AE17" s="390"/>
      <c r="AF17" s="390"/>
      <c r="AG17" s="390"/>
      <c r="AH17" s="390"/>
      <c r="AI17" s="390"/>
      <c r="AJ17" s="390"/>
      <c r="AK17" s="390"/>
      <c r="AL17" s="390"/>
      <c r="AM17" s="390"/>
      <c r="AN17" s="390"/>
      <c r="AO17" s="390"/>
      <c r="AP17" s="390"/>
      <c r="AQ17" s="390"/>
      <c r="AR17" s="385"/>
      <c r="AS17" s="391">
        <f t="array" ref="AS17">SUM(COUNTIF(N17:AR17, {"◎","〇","☆","共","特","浴"}))</f>
        <v>0</v>
      </c>
      <c r="AT17" s="395"/>
      <c r="AU17" s="393"/>
      <c r="AV17" s="393"/>
      <c r="AW17" s="393"/>
      <c r="AX17" s="393"/>
      <c r="AY17" s="393"/>
      <c r="AZ17" s="393"/>
      <c r="BA17" s="393"/>
      <c r="BB17" s="394"/>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2" t="str">
        <f t="shared" si="4"/>
        <v/>
      </c>
      <c r="C18" s="381" t="str">
        <f t="shared" si="5"/>
        <v/>
      </c>
      <c r="D18" s="186"/>
      <c r="E18" s="372" t="str">
        <f t="shared" si="6"/>
        <v/>
      </c>
      <c r="F18" s="381" t="str">
        <f t="shared" si="7"/>
        <v/>
      </c>
      <c r="G18" s="186"/>
      <c r="H18" s="186"/>
      <c r="I18" s="168" t="b">
        <v>0</v>
      </c>
      <c r="J18" s="362"/>
      <c r="K18" s="382"/>
      <c r="L18" s="383"/>
      <c r="M18" s="389"/>
      <c r="N18" s="390"/>
      <c r="O18" s="390"/>
      <c r="P18" s="390"/>
      <c r="Q18" s="390"/>
      <c r="R18" s="390"/>
      <c r="S18" s="390"/>
      <c r="T18" s="390"/>
      <c r="U18" s="390"/>
      <c r="V18" s="390"/>
      <c r="W18" s="390"/>
      <c r="X18" s="390"/>
      <c r="Y18" s="390"/>
      <c r="Z18" s="390"/>
      <c r="AA18" s="390"/>
      <c r="AB18" s="390"/>
      <c r="AC18" s="390"/>
      <c r="AD18" s="390"/>
      <c r="AE18" s="390"/>
      <c r="AF18" s="390"/>
      <c r="AG18" s="390"/>
      <c r="AH18" s="390"/>
      <c r="AI18" s="390"/>
      <c r="AJ18" s="390"/>
      <c r="AK18" s="390"/>
      <c r="AL18" s="390"/>
      <c r="AM18" s="390"/>
      <c r="AN18" s="390"/>
      <c r="AO18" s="390"/>
      <c r="AP18" s="390"/>
      <c r="AQ18" s="390"/>
      <c r="AR18" s="385"/>
      <c r="AS18" s="391">
        <f t="array" ref="AS18">SUM(COUNTIF(N18:AR18, {"◎","〇","☆","共","特","浴"}))</f>
        <v>0</v>
      </c>
      <c r="AT18" s="392"/>
      <c r="AU18" s="393"/>
      <c r="AV18" s="393"/>
      <c r="AW18" s="393"/>
      <c r="AX18" s="393"/>
      <c r="AY18" s="393"/>
      <c r="AZ18" s="393"/>
      <c r="BA18" s="393"/>
      <c r="BB18" s="394"/>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2" t="str">
        <f t="shared" si="4"/>
        <v/>
      </c>
      <c r="C19" s="381" t="str">
        <f t="shared" si="5"/>
        <v/>
      </c>
      <c r="D19" s="186"/>
      <c r="E19" s="372" t="str">
        <f t="shared" si="6"/>
        <v/>
      </c>
      <c r="F19" s="381" t="str">
        <f t="shared" si="7"/>
        <v/>
      </c>
      <c r="G19" s="186"/>
      <c r="H19" s="186"/>
      <c r="I19" s="168" t="b">
        <v>0</v>
      </c>
      <c r="J19" s="362"/>
      <c r="K19" s="382"/>
      <c r="L19" s="383"/>
      <c r="M19" s="389"/>
      <c r="N19" s="390"/>
      <c r="O19" s="390"/>
      <c r="P19" s="390"/>
      <c r="Q19" s="390"/>
      <c r="R19" s="390"/>
      <c r="S19" s="390"/>
      <c r="T19" s="390"/>
      <c r="U19" s="390"/>
      <c r="V19" s="390"/>
      <c r="W19" s="390"/>
      <c r="X19" s="390"/>
      <c r="Y19" s="390"/>
      <c r="Z19" s="390"/>
      <c r="AA19" s="390"/>
      <c r="AB19" s="390"/>
      <c r="AC19" s="390"/>
      <c r="AD19" s="390"/>
      <c r="AE19" s="390"/>
      <c r="AF19" s="390"/>
      <c r="AG19" s="390"/>
      <c r="AH19" s="390"/>
      <c r="AI19" s="390"/>
      <c r="AJ19" s="390"/>
      <c r="AK19" s="390"/>
      <c r="AL19" s="390"/>
      <c r="AM19" s="390"/>
      <c r="AN19" s="390"/>
      <c r="AO19" s="390"/>
      <c r="AP19" s="390"/>
      <c r="AQ19" s="390"/>
      <c r="AR19" s="385"/>
      <c r="AS19" s="391">
        <f t="array" ref="AS19">SUM(COUNTIF(N19:AR19, {"◎","〇","☆","共","特","浴"}))</f>
        <v>0</v>
      </c>
      <c r="AT19" s="395"/>
      <c r="AU19" s="393"/>
      <c r="AV19" s="393"/>
      <c r="AW19" s="393"/>
      <c r="AX19" s="393"/>
      <c r="AY19" s="393"/>
      <c r="AZ19" s="393"/>
      <c r="BA19" s="393"/>
      <c r="BB19" s="394"/>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2" t="str">
        <f t="shared" si="4"/>
        <v/>
      </c>
      <c r="C20" s="381" t="str">
        <f t="shared" si="5"/>
        <v/>
      </c>
      <c r="D20" s="186"/>
      <c r="E20" s="372" t="str">
        <f t="shared" si="6"/>
        <v/>
      </c>
      <c r="F20" s="381" t="str">
        <f t="shared" si="7"/>
        <v/>
      </c>
      <c r="G20" s="186"/>
      <c r="H20" s="186"/>
      <c r="I20" s="168" t="b">
        <v>0</v>
      </c>
      <c r="J20" s="362"/>
      <c r="K20" s="382"/>
      <c r="L20" s="383"/>
      <c r="M20" s="389"/>
      <c r="N20" s="390"/>
      <c r="O20" s="385"/>
      <c r="P20" s="390"/>
      <c r="Q20" s="390"/>
      <c r="R20" s="385"/>
      <c r="S20" s="385"/>
      <c r="T20" s="390"/>
      <c r="U20" s="385"/>
      <c r="V20" s="385"/>
      <c r="W20" s="390"/>
      <c r="X20" s="390"/>
      <c r="Y20" s="385"/>
      <c r="Z20" s="385"/>
      <c r="AA20" s="390"/>
      <c r="AB20" s="385"/>
      <c r="AC20" s="385"/>
      <c r="AD20" s="390"/>
      <c r="AE20" s="390"/>
      <c r="AF20" s="385"/>
      <c r="AG20" s="385"/>
      <c r="AH20" s="390"/>
      <c r="AI20" s="385"/>
      <c r="AJ20" s="385"/>
      <c r="AK20" s="390"/>
      <c r="AL20" s="390"/>
      <c r="AM20" s="385"/>
      <c r="AN20" s="385"/>
      <c r="AO20" s="390"/>
      <c r="AP20" s="390"/>
      <c r="AQ20" s="390"/>
      <c r="AR20" s="390"/>
      <c r="AS20" s="391">
        <f t="array" ref="AS20">SUM(COUNTIF(N20:AR20, {"◎","〇","☆","共","特","浴"}))</f>
        <v>0</v>
      </c>
      <c r="AT20" s="395"/>
      <c r="AU20" s="393"/>
      <c r="AV20" s="393"/>
      <c r="AW20" s="393"/>
      <c r="AX20" s="393"/>
      <c r="AY20" s="393"/>
      <c r="AZ20" s="393"/>
      <c r="BA20" s="393"/>
      <c r="BB20" s="394"/>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2" t="str">
        <f t="shared" si="4"/>
        <v/>
      </c>
      <c r="C21" s="381" t="str">
        <f t="shared" si="5"/>
        <v/>
      </c>
      <c r="D21" s="186"/>
      <c r="E21" s="372" t="str">
        <f t="shared" si="6"/>
        <v/>
      </c>
      <c r="F21" s="381" t="str">
        <f t="shared" si="7"/>
        <v/>
      </c>
      <c r="G21" s="186"/>
      <c r="H21" s="186"/>
      <c r="I21" s="168" t="b">
        <v>0</v>
      </c>
      <c r="J21" s="362"/>
      <c r="K21" s="382"/>
      <c r="L21" s="383"/>
      <c r="M21" s="389"/>
      <c r="N21" s="390"/>
      <c r="O21" s="390"/>
      <c r="P21" s="390"/>
      <c r="Q21" s="385"/>
      <c r="R21" s="390"/>
      <c r="S21" s="390"/>
      <c r="T21" s="385"/>
      <c r="U21" s="385"/>
      <c r="V21" s="390"/>
      <c r="W21" s="390"/>
      <c r="X21" s="385"/>
      <c r="Y21" s="390"/>
      <c r="Z21" s="390"/>
      <c r="AA21" s="385"/>
      <c r="AB21" s="385"/>
      <c r="AC21" s="390"/>
      <c r="AD21" s="390"/>
      <c r="AE21" s="390"/>
      <c r="AF21" s="390"/>
      <c r="AG21" s="390"/>
      <c r="AH21" s="390"/>
      <c r="AI21" s="390"/>
      <c r="AJ21" s="390"/>
      <c r="AK21" s="390"/>
      <c r="AL21" s="390"/>
      <c r="AM21" s="390"/>
      <c r="AN21" s="390"/>
      <c r="AO21" s="385"/>
      <c r="AP21" s="390"/>
      <c r="AQ21" s="390"/>
      <c r="AR21" s="385"/>
      <c r="AS21" s="391">
        <f t="array" ref="AS21">SUM(COUNTIF(N21:AR21, {"◎","〇","☆","共","特","浴"}))</f>
        <v>0</v>
      </c>
      <c r="AT21" s="395"/>
      <c r="AU21" s="393"/>
      <c r="AV21" s="393"/>
      <c r="AW21" s="393"/>
      <c r="AX21" s="393"/>
      <c r="AY21" s="393"/>
      <c r="AZ21" s="393"/>
      <c r="BA21" s="393"/>
      <c r="BB21" s="394"/>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2" t="str">
        <f t="shared" si="4"/>
        <v/>
      </c>
      <c r="C22" s="381" t="str">
        <f t="shared" si="5"/>
        <v/>
      </c>
      <c r="D22" s="186"/>
      <c r="E22" s="372" t="str">
        <f t="shared" si="6"/>
        <v/>
      </c>
      <c r="F22" s="381" t="str">
        <f t="shared" si="7"/>
        <v/>
      </c>
      <c r="G22" s="186"/>
      <c r="H22" s="186"/>
      <c r="I22" s="168" t="b">
        <v>0</v>
      </c>
      <c r="J22" s="362"/>
      <c r="K22" s="382"/>
      <c r="L22" s="383"/>
      <c r="M22" s="389"/>
      <c r="N22" s="390"/>
      <c r="O22" s="390"/>
      <c r="P22" s="390"/>
      <c r="Q22" s="390"/>
      <c r="R22" s="390"/>
      <c r="S22" s="390"/>
      <c r="T22" s="390"/>
      <c r="U22" s="390"/>
      <c r="V22" s="390"/>
      <c r="W22" s="390"/>
      <c r="X22" s="390"/>
      <c r="Y22" s="390"/>
      <c r="Z22" s="390"/>
      <c r="AA22" s="390"/>
      <c r="AB22" s="390"/>
      <c r="AC22" s="390"/>
      <c r="AD22" s="390"/>
      <c r="AE22" s="390"/>
      <c r="AF22" s="390"/>
      <c r="AG22" s="390"/>
      <c r="AH22" s="390"/>
      <c r="AI22" s="390"/>
      <c r="AJ22" s="390"/>
      <c r="AK22" s="390"/>
      <c r="AL22" s="390"/>
      <c r="AM22" s="390"/>
      <c r="AN22" s="390"/>
      <c r="AO22" s="390"/>
      <c r="AP22" s="390"/>
      <c r="AQ22" s="390"/>
      <c r="AR22" s="385"/>
      <c r="AS22" s="391">
        <f t="array" ref="AS22">SUM(COUNTIF(N22:AR22, {"◎","〇","☆","共","特","浴"}))</f>
        <v>0</v>
      </c>
      <c r="AT22" s="392"/>
      <c r="AU22" s="393"/>
      <c r="AV22" s="393"/>
      <c r="AW22" s="393"/>
      <c r="AX22" s="393"/>
      <c r="AY22" s="393"/>
      <c r="AZ22" s="393"/>
      <c r="BA22" s="393"/>
      <c r="BB22" s="394"/>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2" t="str">
        <f t="shared" si="4"/>
        <v/>
      </c>
      <c r="C23" s="381" t="str">
        <f t="shared" si="5"/>
        <v/>
      </c>
      <c r="D23" s="186"/>
      <c r="E23" s="372" t="str">
        <f t="shared" si="6"/>
        <v/>
      </c>
      <c r="F23" s="381" t="str">
        <f t="shared" si="7"/>
        <v/>
      </c>
      <c r="G23" s="186"/>
      <c r="H23" s="186"/>
      <c r="I23" s="168" t="b">
        <v>0</v>
      </c>
      <c r="J23" s="362"/>
      <c r="K23" s="382"/>
      <c r="L23" s="383"/>
      <c r="M23" s="389"/>
      <c r="N23" s="390"/>
      <c r="O23" s="390"/>
      <c r="P23" s="390"/>
      <c r="Q23" s="390"/>
      <c r="R23" s="390"/>
      <c r="S23" s="390"/>
      <c r="T23" s="390"/>
      <c r="U23" s="390"/>
      <c r="V23" s="390"/>
      <c r="W23" s="390"/>
      <c r="X23" s="390"/>
      <c r="Y23" s="390"/>
      <c r="Z23" s="390"/>
      <c r="AA23" s="390"/>
      <c r="AB23" s="390"/>
      <c r="AC23" s="390"/>
      <c r="AD23" s="390"/>
      <c r="AE23" s="390"/>
      <c r="AF23" s="390"/>
      <c r="AG23" s="390"/>
      <c r="AH23" s="390"/>
      <c r="AI23" s="390"/>
      <c r="AJ23" s="390"/>
      <c r="AK23" s="390"/>
      <c r="AL23" s="390"/>
      <c r="AM23" s="390"/>
      <c r="AN23" s="390"/>
      <c r="AO23" s="390"/>
      <c r="AP23" s="390"/>
      <c r="AQ23" s="390"/>
      <c r="AR23" s="385"/>
      <c r="AS23" s="391">
        <f t="array" ref="AS23">SUM(COUNTIF(N23:AR23, {"◎","〇","☆","共","特","浴"}))</f>
        <v>0</v>
      </c>
      <c r="AT23" s="392"/>
      <c r="AU23" s="393"/>
      <c r="AV23" s="393"/>
      <c r="AW23" s="393"/>
      <c r="AX23" s="393"/>
      <c r="AY23" s="393"/>
      <c r="AZ23" s="393"/>
      <c r="BA23" s="393"/>
      <c r="BB23" s="394"/>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2" t="str">
        <f t="shared" si="4"/>
        <v/>
      </c>
      <c r="C24" s="381" t="str">
        <f t="shared" si="5"/>
        <v/>
      </c>
      <c r="D24" s="186"/>
      <c r="E24" s="372" t="str">
        <f t="shared" si="6"/>
        <v/>
      </c>
      <c r="F24" s="381" t="str">
        <f t="shared" si="7"/>
        <v/>
      </c>
      <c r="G24" s="186"/>
      <c r="H24" s="186"/>
      <c r="I24" s="168" t="b">
        <v>0</v>
      </c>
      <c r="J24" s="362"/>
      <c r="K24" s="382"/>
      <c r="L24" s="383"/>
      <c r="M24" s="389"/>
      <c r="N24" s="390"/>
      <c r="O24" s="390"/>
      <c r="P24" s="390"/>
      <c r="Q24" s="390"/>
      <c r="R24" s="390"/>
      <c r="S24" s="390"/>
      <c r="T24" s="390"/>
      <c r="U24" s="390"/>
      <c r="V24" s="390"/>
      <c r="W24" s="390"/>
      <c r="X24" s="390"/>
      <c r="Y24" s="390"/>
      <c r="Z24" s="390"/>
      <c r="AA24" s="390"/>
      <c r="AB24" s="390"/>
      <c r="AC24" s="390"/>
      <c r="AD24" s="390"/>
      <c r="AE24" s="390"/>
      <c r="AF24" s="390"/>
      <c r="AG24" s="390"/>
      <c r="AH24" s="390"/>
      <c r="AI24" s="390"/>
      <c r="AJ24" s="390"/>
      <c r="AK24" s="390"/>
      <c r="AL24" s="390"/>
      <c r="AM24" s="390"/>
      <c r="AN24" s="390"/>
      <c r="AO24" s="390"/>
      <c r="AP24" s="390"/>
      <c r="AQ24" s="390"/>
      <c r="AR24" s="385"/>
      <c r="AS24" s="391">
        <f t="array" ref="AS24">SUM(COUNTIF(N24:AR24, {"◎","〇","☆","共","特","浴"}))</f>
        <v>0</v>
      </c>
      <c r="AT24" s="392"/>
      <c r="AU24" s="393"/>
      <c r="AV24" s="393"/>
      <c r="AW24" s="393"/>
      <c r="AX24" s="393"/>
      <c r="AY24" s="393"/>
      <c r="AZ24" s="393"/>
      <c r="BA24" s="393"/>
      <c r="BB24" s="394"/>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2" t="str">
        <f t="shared" si="4"/>
        <v/>
      </c>
      <c r="C25" s="381" t="str">
        <f t="shared" si="5"/>
        <v/>
      </c>
      <c r="D25" s="186"/>
      <c r="E25" s="372" t="str">
        <f t="shared" si="6"/>
        <v/>
      </c>
      <c r="F25" s="381" t="str">
        <f t="shared" si="7"/>
        <v/>
      </c>
      <c r="G25" s="186"/>
      <c r="H25" s="186"/>
      <c r="I25" s="168" t="b">
        <v>0</v>
      </c>
      <c r="J25" s="362"/>
      <c r="K25" s="382"/>
      <c r="L25" s="383"/>
      <c r="M25" s="389"/>
      <c r="N25" s="390"/>
      <c r="O25" s="390"/>
      <c r="P25" s="390"/>
      <c r="Q25" s="390"/>
      <c r="R25" s="390"/>
      <c r="S25" s="390"/>
      <c r="T25" s="390"/>
      <c r="U25" s="390"/>
      <c r="V25" s="390"/>
      <c r="W25" s="390"/>
      <c r="X25" s="390"/>
      <c r="Y25" s="390"/>
      <c r="Z25" s="390"/>
      <c r="AA25" s="390"/>
      <c r="AB25" s="390"/>
      <c r="AC25" s="390"/>
      <c r="AD25" s="390"/>
      <c r="AE25" s="390"/>
      <c r="AF25" s="390"/>
      <c r="AG25" s="390"/>
      <c r="AH25" s="390"/>
      <c r="AI25" s="390"/>
      <c r="AJ25" s="390"/>
      <c r="AK25" s="390"/>
      <c r="AL25" s="390"/>
      <c r="AM25" s="390"/>
      <c r="AN25" s="390"/>
      <c r="AO25" s="390"/>
      <c r="AP25" s="390"/>
      <c r="AQ25" s="390"/>
      <c r="AR25" s="385"/>
      <c r="AS25" s="391">
        <f t="array" ref="AS25">SUM(COUNTIF(N25:AR25, {"◎","〇","☆","共","特","浴"}))</f>
        <v>0</v>
      </c>
      <c r="AT25" s="392"/>
      <c r="AU25" s="393"/>
      <c r="AV25" s="393"/>
      <c r="AW25" s="393"/>
      <c r="AX25" s="393"/>
      <c r="AY25" s="393"/>
      <c r="AZ25" s="393"/>
      <c r="BA25" s="393"/>
      <c r="BB25" s="394"/>
      <c r="BC25" s="74"/>
      <c r="BD25" s="74"/>
      <c r="BE25" s="74"/>
      <c r="BF25" s="74"/>
      <c r="BG25" s="74"/>
      <c r="BH25" s="71"/>
      <c r="BI25" s="186"/>
      <c r="BJ25" s="213"/>
      <c r="BK25" s="166" t="str">
        <f>IFERROR(__xludf.DUMMYFUNCTION("""COMPUTED_VALUE"""),"④R8_4月報")</f>
        <v>④R8_4月報</v>
      </c>
      <c r="BL25" s="396"/>
      <c r="BM25" s="186"/>
      <c r="BN25" s="186"/>
      <c r="BO25" s="186"/>
      <c r="BP25" s="186"/>
      <c r="BQ25" s="186"/>
      <c r="BR25" s="186"/>
      <c r="BS25" s="186"/>
      <c r="BT25" s="186"/>
      <c r="BU25" s="186"/>
      <c r="BV25" s="186"/>
      <c r="BW25" s="186"/>
      <c r="BX25" s="186"/>
    </row>
    <row r="26" hidden="1" outlineLevel="1">
      <c r="A26" s="186"/>
      <c r="B26" s="372" t="str">
        <f t="shared" si="4"/>
        <v/>
      </c>
      <c r="C26" s="381" t="str">
        <f t="shared" si="5"/>
        <v/>
      </c>
      <c r="D26" s="186"/>
      <c r="E26" s="372" t="str">
        <f t="shared" si="6"/>
        <v/>
      </c>
      <c r="F26" s="381" t="str">
        <f t="shared" si="7"/>
        <v/>
      </c>
      <c r="G26" s="186"/>
      <c r="H26" s="186"/>
      <c r="I26" s="168" t="b">
        <v>0</v>
      </c>
      <c r="J26" s="362"/>
      <c r="K26" s="382"/>
      <c r="L26" s="383"/>
      <c r="M26" s="389"/>
      <c r="N26" s="390"/>
      <c r="O26" s="390"/>
      <c r="P26" s="390"/>
      <c r="Q26" s="390"/>
      <c r="R26" s="390"/>
      <c r="S26" s="390"/>
      <c r="T26" s="390"/>
      <c r="U26" s="390"/>
      <c r="V26" s="390"/>
      <c r="W26" s="390"/>
      <c r="X26" s="390"/>
      <c r="Y26" s="390"/>
      <c r="Z26" s="390"/>
      <c r="AA26" s="390"/>
      <c r="AB26" s="390"/>
      <c r="AC26" s="390"/>
      <c r="AD26" s="390"/>
      <c r="AE26" s="390"/>
      <c r="AF26" s="390"/>
      <c r="AG26" s="390"/>
      <c r="AH26" s="390"/>
      <c r="AI26" s="390"/>
      <c r="AJ26" s="390"/>
      <c r="AK26" s="390"/>
      <c r="AL26" s="390"/>
      <c r="AM26" s="390"/>
      <c r="AN26" s="390"/>
      <c r="AO26" s="390"/>
      <c r="AP26" s="390"/>
      <c r="AQ26" s="390"/>
      <c r="AR26" s="385"/>
      <c r="AS26" s="391">
        <f t="array" ref="AS26">SUM(COUNTIF(N26:AR26, {"◎","〇","☆","共","特","浴"}))</f>
        <v>0</v>
      </c>
      <c r="AT26" s="392"/>
      <c r="AU26" s="393"/>
      <c r="AV26" s="393"/>
      <c r="AW26" s="393"/>
      <c r="AX26" s="393"/>
      <c r="AY26" s="393"/>
      <c r="AZ26" s="393"/>
      <c r="BA26" s="393"/>
      <c r="BB26" s="394"/>
      <c r="BC26" s="74"/>
      <c r="BD26" s="74"/>
      <c r="BE26" s="74"/>
      <c r="BF26" s="74"/>
      <c r="BG26" s="74"/>
      <c r="BH26" s="71"/>
      <c r="BI26" s="186"/>
      <c r="BJ26" s="213"/>
      <c r="BK26" s="168" t="str">
        <f>IFERROR(__xludf.DUMMYFUNCTION("""COMPUTED_VALUE"""),"①R8_5集計")</f>
        <v>①R8_5集計</v>
      </c>
      <c r="BL26" s="396"/>
      <c r="BM26" s="186"/>
      <c r="BN26" s="186"/>
      <c r="BO26" s="186"/>
      <c r="BP26" s="186"/>
      <c r="BQ26" s="186"/>
      <c r="BR26" s="186"/>
      <c r="BS26" s="186"/>
      <c r="BT26" s="186"/>
      <c r="BU26" s="186"/>
      <c r="BV26" s="186"/>
      <c r="BW26" s="186"/>
      <c r="BX26" s="186"/>
    </row>
    <row r="27" hidden="1" outlineLevel="1">
      <c r="A27" s="186"/>
      <c r="B27" s="372" t="str">
        <f t="shared" si="4"/>
        <v/>
      </c>
      <c r="C27" s="381" t="str">
        <f t="shared" si="5"/>
        <v/>
      </c>
      <c r="D27" s="186"/>
      <c r="E27" s="372" t="str">
        <f t="shared" si="6"/>
        <v/>
      </c>
      <c r="F27" s="381" t="str">
        <f t="shared" si="7"/>
        <v/>
      </c>
      <c r="G27" s="186"/>
      <c r="H27" s="186"/>
      <c r="I27" s="168" t="b">
        <v>0</v>
      </c>
      <c r="J27" s="362"/>
      <c r="K27" s="382"/>
      <c r="L27" s="383"/>
      <c r="M27" s="389"/>
      <c r="N27" s="390"/>
      <c r="O27" s="390"/>
      <c r="P27" s="390"/>
      <c r="Q27" s="390"/>
      <c r="R27" s="390"/>
      <c r="S27" s="390"/>
      <c r="T27" s="390"/>
      <c r="U27" s="390"/>
      <c r="V27" s="390"/>
      <c r="W27" s="390"/>
      <c r="X27" s="390"/>
      <c r="Y27" s="390"/>
      <c r="Z27" s="390"/>
      <c r="AA27" s="390"/>
      <c r="AB27" s="390"/>
      <c r="AC27" s="390"/>
      <c r="AD27" s="390"/>
      <c r="AE27" s="390"/>
      <c r="AF27" s="390"/>
      <c r="AG27" s="390"/>
      <c r="AH27" s="390"/>
      <c r="AI27" s="390"/>
      <c r="AJ27" s="390"/>
      <c r="AK27" s="390"/>
      <c r="AL27" s="390"/>
      <c r="AM27" s="390"/>
      <c r="AN27" s="390"/>
      <c r="AO27" s="390"/>
      <c r="AP27" s="390"/>
      <c r="AQ27" s="390"/>
      <c r="AR27" s="385"/>
      <c r="AS27" s="391">
        <f t="array" ref="AS27">SUM(COUNTIF(N27:AR27, {"◎","〇","☆","共","特","浴"}))</f>
        <v>0</v>
      </c>
      <c r="AT27" s="392"/>
      <c r="AU27" s="393"/>
      <c r="AV27" s="393"/>
      <c r="AW27" s="393"/>
      <c r="AX27" s="393"/>
      <c r="AY27" s="393"/>
      <c r="AZ27" s="393"/>
      <c r="BA27" s="393"/>
      <c r="BB27" s="394"/>
      <c r="BC27" s="74"/>
      <c r="BD27" s="74"/>
      <c r="BE27" s="74"/>
      <c r="BF27" s="74"/>
      <c r="BG27" s="74"/>
      <c r="BH27" s="71"/>
      <c r="BI27" s="186"/>
      <c r="BJ27" s="213"/>
      <c r="BK27" s="168" t="str">
        <f>IFERROR(__xludf.DUMMYFUNCTION("""COMPUTED_VALUE"""),"②R8_5シフト")</f>
        <v>②R8_5シフト</v>
      </c>
      <c r="BL27" s="396"/>
      <c r="BM27" s="186"/>
      <c r="BN27" s="186"/>
      <c r="BO27" s="186"/>
      <c r="BP27" s="186"/>
      <c r="BQ27" s="186"/>
      <c r="BR27" s="186"/>
      <c r="BS27" s="186"/>
      <c r="BT27" s="186"/>
      <c r="BU27" s="186"/>
      <c r="BV27" s="186"/>
      <c r="BW27" s="186"/>
      <c r="BX27" s="186"/>
    </row>
    <row r="28" hidden="1" outlineLevel="1">
      <c r="A28" s="186"/>
      <c r="B28" s="372" t="str">
        <f t="shared" si="4"/>
        <v/>
      </c>
      <c r="C28" s="381" t="str">
        <f t="shared" si="5"/>
        <v/>
      </c>
      <c r="D28" s="186"/>
      <c r="E28" s="372" t="str">
        <f t="shared" si="6"/>
        <v/>
      </c>
      <c r="F28" s="381" t="str">
        <f t="shared" si="7"/>
        <v/>
      </c>
      <c r="G28" s="186"/>
      <c r="H28" s="186"/>
      <c r="I28" s="168" t="b">
        <v>0</v>
      </c>
      <c r="J28" s="362"/>
      <c r="K28" s="382"/>
      <c r="L28" s="383"/>
      <c r="M28" s="389"/>
      <c r="N28" s="390"/>
      <c r="O28" s="390"/>
      <c r="P28" s="390"/>
      <c r="Q28" s="390"/>
      <c r="R28" s="390"/>
      <c r="S28" s="390"/>
      <c r="T28" s="390"/>
      <c r="U28" s="390"/>
      <c r="V28" s="390"/>
      <c r="W28" s="390"/>
      <c r="X28" s="390"/>
      <c r="Y28" s="390"/>
      <c r="Z28" s="390"/>
      <c r="AA28" s="390"/>
      <c r="AB28" s="390"/>
      <c r="AC28" s="390"/>
      <c r="AD28" s="390"/>
      <c r="AE28" s="390"/>
      <c r="AF28" s="390"/>
      <c r="AG28" s="390"/>
      <c r="AH28" s="390"/>
      <c r="AI28" s="390"/>
      <c r="AJ28" s="390"/>
      <c r="AK28" s="390"/>
      <c r="AL28" s="390"/>
      <c r="AM28" s="390"/>
      <c r="AN28" s="390"/>
      <c r="AO28" s="390"/>
      <c r="AP28" s="390"/>
      <c r="AQ28" s="390"/>
      <c r="AR28" s="385"/>
      <c r="AS28" s="391">
        <f t="array" ref="AS28">SUM(COUNTIF(N28:AR28, {"◎","〇","☆","共","特","浴"}))</f>
        <v>0</v>
      </c>
      <c r="AT28" s="392"/>
      <c r="AU28" s="393"/>
      <c r="AV28" s="393"/>
      <c r="AW28" s="393"/>
      <c r="AX28" s="393"/>
      <c r="AY28" s="393"/>
      <c r="AZ28" s="393"/>
      <c r="BA28" s="393"/>
      <c r="BB28" s="394"/>
      <c r="BC28" s="74"/>
      <c r="BD28" s="74"/>
      <c r="BE28" s="74"/>
      <c r="BF28" s="74"/>
      <c r="BG28" s="74"/>
      <c r="BH28" s="71"/>
      <c r="BI28" s="186"/>
      <c r="BJ28" s="213"/>
      <c r="BK28" s="168" t="str">
        <f>IFERROR(__xludf.DUMMYFUNCTION("""COMPUTED_VALUE"""),"③R8_5日報")</f>
        <v>③R8_5日報</v>
      </c>
      <c r="BL28" s="396"/>
      <c r="BM28" s="186"/>
      <c r="BN28" s="186"/>
      <c r="BO28" s="186"/>
      <c r="BP28" s="186"/>
      <c r="BQ28" s="186"/>
      <c r="BR28" s="186"/>
      <c r="BS28" s="186"/>
      <c r="BT28" s="186"/>
      <c r="BU28" s="186"/>
      <c r="BV28" s="186"/>
      <c r="BW28" s="186"/>
      <c r="BX28" s="186"/>
    </row>
    <row r="29" hidden="1" outlineLevel="1">
      <c r="A29" s="186"/>
      <c r="B29" s="372" t="str">
        <f t="shared" si="4"/>
        <v/>
      </c>
      <c r="C29" s="381" t="str">
        <f t="shared" si="5"/>
        <v/>
      </c>
      <c r="D29" s="186"/>
      <c r="E29" s="372" t="str">
        <f t="shared" si="6"/>
        <v/>
      </c>
      <c r="F29" s="381" t="str">
        <f t="shared" si="7"/>
        <v/>
      </c>
      <c r="G29" s="186"/>
      <c r="H29" s="186"/>
      <c r="I29" s="168" t="b">
        <v>0</v>
      </c>
      <c r="J29" s="362"/>
      <c r="K29" s="382"/>
      <c r="L29" s="383"/>
      <c r="M29" s="389"/>
      <c r="N29" s="390"/>
      <c r="O29" s="390"/>
      <c r="P29" s="390"/>
      <c r="Q29" s="390"/>
      <c r="R29" s="390"/>
      <c r="S29" s="390"/>
      <c r="T29" s="390"/>
      <c r="U29" s="390"/>
      <c r="V29" s="390"/>
      <c r="W29" s="390"/>
      <c r="X29" s="390"/>
      <c r="Y29" s="390"/>
      <c r="Z29" s="390"/>
      <c r="AA29" s="390"/>
      <c r="AB29" s="390"/>
      <c r="AC29" s="390"/>
      <c r="AD29" s="390"/>
      <c r="AE29" s="390"/>
      <c r="AF29" s="390"/>
      <c r="AG29" s="390"/>
      <c r="AH29" s="390"/>
      <c r="AI29" s="390"/>
      <c r="AJ29" s="390"/>
      <c r="AK29" s="390"/>
      <c r="AL29" s="390"/>
      <c r="AM29" s="390"/>
      <c r="AN29" s="390"/>
      <c r="AO29" s="390"/>
      <c r="AP29" s="390"/>
      <c r="AQ29" s="390"/>
      <c r="AR29" s="385"/>
      <c r="AS29" s="391">
        <f t="array" ref="AS29">SUM(COUNTIF(N29:AR29, {"◎","〇","☆","共","特","浴"}))</f>
        <v>0</v>
      </c>
      <c r="AT29" s="392"/>
      <c r="AU29" s="393"/>
      <c r="AV29" s="393"/>
      <c r="AW29" s="393"/>
      <c r="AX29" s="393"/>
      <c r="AY29" s="393"/>
      <c r="AZ29" s="393"/>
      <c r="BA29" s="393"/>
      <c r="BB29" s="394"/>
      <c r="BC29" s="74"/>
      <c r="BD29" s="74"/>
      <c r="BE29" s="74"/>
      <c r="BF29" s="74"/>
      <c r="BG29" s="74"/>
      <c r="BH29" s="71"/>
      <c r="BI29" s="186"/>
      <c r="BJ29" s="213"/>
      <c r="BK29" s="168" t="str">
        <f>IFERROR(__xludf.DUMMYFUNCTION("""COMPUTED_VALUE"""),"④R8_5月報")</f>
        <v>④R8_5月報</v>
      </c>
      <c r="BL29" s="396"/>
      <c r="BM29" s="186"/>
      <c r="BN29" s="186"/>
      <c r="BO29" s="186"/>
      <c r="BP29" s="186"/>
      <c r="BQ29" s="186"/>
      <c r="BR29" s="186"/>
      <c r="BS29" s="186"/>
      <c r="BT29" s="186"/>
      <c r="BU29" s="186"/>
      <c r="BV29" s="186"/>
      <c r="BW29" s="186"/>
      <c r="BX29" s="186"/>
    </row>
    <row r="30" collapsed="1">
      <c r="A30" s="186"/>
      <c r="B30" s="372" t="str">
        <f t="shared" si="4"/>
        <v/>
      </c>
      <c r="C30" s="381" t="str">
        <f t="shared" si="5"/>
        <v/>
      </c>
      <c r="D30" s="186"/>
      <c r="E30" s="372" t="str">
        <f t="shared" si="6"/>
        <v/>
      </c>
      <c r="F30" s="381" t="str">
        <f t="shared" si="7"/>
        <v/>
      </c>
      <c r="G30" s="186"/>
      <c r="H30" s="186"/>
      <c r="I30" s="168" t="b">
        <v>0</v>
      </c>
      <c r="J30" s="362"/>
      <c r="K30" s="382"/>
      <c r="L30" s="383"/>
      <c r="M30" s="389"/>
      <c r="N30" s="390"/>
      <c r="O30" s="390"/>
      <c r="P30" s="390"/>
      <c r="Q30" s="390"/>
      <c r="R30" s="390"/>
      <c r="S30" s="390"/>
      <c r="T30" s="390"/>
      <c r="U30" s="390"/>
      <c r="V30" s="390"/>
      <c r="W30" s="390"/>
      <c r="X30" s="390"/>
      <c r="Y30" s="390"/>
      <c r="Z30" s="390"/>
      <c r="AA30" s="390"/>
      <c r="AB30" s="390"/>
      <c r="AC30" s="390"/>
      <c r="AD30" s="390"/>
      <c r="AE30" s="390"/>
      <c r="AF30" s="390"/>
      <c r="AG30" s="390"/>
      <c r="AH30" s="390"/>
      <c r="AI30" s="390"/>
      <c r="AJ30" s="390"/>
      <c r="AK30" s="390"/>
      <c r="AL30" s="390"/>
      <c r="AM30" s="390"/>
      <c r="AN30" s="390"/>
      <c r="AO30" s="390"/>
      <c r="AP30" s="390"/>
      <c r="AQ30" s="390"/>
      <c r="AR30" s="385"/>
      <c r="AS30" s="391">
        <f t="array" ref="AS30">SUM(COUNTIF(N30:AR30, {"◎","〇","☆","共","特","浴"}))</f>
        <v>0</v>
      </c>
      <c r="AT30" s="392"/>
      <c r="AU30" s="393"/>
      <c r="AV30" s="393"/>
      <c r="AW30" s="393"/>
      <c r="AX30" s="393"/>
      <c r="AY30" s="393"/>
      <c r="AZ30" s="393"/>
      <c r="BA30" s="393"/>
      <c r="BB30" s="394"/>
      <c r="BC30" s="74"/>
      <c r="BD30" s="74"/>
      <c r="BE30" s="74"/>
      <c r="BF30" s="74"/>
      <c r="BG30" s="74"/>
      <c r="BH30" s="71"/>
      <c r="BI30" s="186"/>
      <c r="BJ30" s="213"/>
      <c r="BK30" s="168" t="str">
        <f>IFERROR(__xludf.DUMMYFUNCTION("""COMPUTED_VALUE"""),"①R8_6集計")</f>
        <v>①R8_6集計</v>
      </c>
      <c r="BL30" s="396"/>
      <c r="BM30" s="186"/>
      <c r="BN30" s="186"/>
      <c r="BO30" s="186"/>
      <c r="BP30" s="186"/>
      <c r="BQ30" s="186"/>
      <c r="BR30" s="186"/>
      <c r="BS30" s="186"/>
      <c r="BT30" s="186"/>
      <c r="BU30" s="186"/>
      <c r="BV30" s="186"/>
      <c r="BW30" s="186"/>
      <c r="BX30" s="186"/>
    </row>
    <row r="31" hidden="1" outlineLevel="1">
      <c r="A31" s="186"/>
      <c r="B31" s="372" t="str">
        <f t="shared" si="4"/>
        <v/>
      </c>
      <c r="C31" s="381" t="str">
        <f t="shared" si="5"/>
        <v/>
      </c>
      <c r="D31" s="186"/>
      <c r="E31" s="372" t="str">
        <f t="shared" si="6"/>
        <v/>
      </c>
      <c r="F31" s="381" t="str">
        <f t="shared" si="7"/>
        <v/>
      </c>
      <c r="G31" s="186"/>
      <c r="H31" s="186"/>
      <c r="I31" s="168" t="b">
        <v>0</v>
      </c>
      <c r="J31" s="362"/>
      <c r="K31" s="382"/>
      <c r="L31" s="383"/>
      <c r="M31" s="389"/>
      <c r="N31" s="390"/>
      <c r="O31" s="390"/>
      <c r="P31" s="390"/>
      <c r="Q31" s="390"/>
      <c r="R31" s="390"/>
      <c r="S31" s="390"/>
      <c r="T31" s="390"/>
      <c r="U31" s="390"/>
      <c r="V31" s="390"/>
      <c r="W31" s="390"/>
      <c r="X31" s="390"/>
      <c r="Y31" s="390"/>
      <c r="Z31" s="390"/>
      <c r="AA31" s="390"/>
      <c r="AB31" s="390"/>
      <c r="AC31" s="390"/>
      <c r="AD31" s="390"/>
      <c r="AE31" s="390"/>
      <c r="AF31" s="390"/>
      <c r="AG31" s="390"/>
      <c r="AH31" s="390"/>
      <c r="AI31" s="390"/>
      <c r="AJ31" s="390"/>
      <c r="AK31" s="390"/>
      <c r="AL31" s="390"/>
      <c r="AM31" s="390"/>
      <c r="AN31" s="390"/>
      <c r="AO31" s="390"/>
      <c r="AP31" s="390"/>
      <c r="AQ31" s="390"/>
      <c r="AR31" s="385"/>
      <c r="AS31" s="391">
        <f t="array" ref="AS31">SUM(COUNTIF(N31:AR31, {"◎","〇","☆","共","特","浴"}))</f>
        <v>0</v>
      </c>
      <c r="AT31" s="392"/>
      <c r="AU31" s="393"/>
      <c r="AV31" s="393"/>
      <c r="AW31" s="393"/>
      <c r="AX31" s="393"/>
      <c r="AY31" s="393"/>
      <c r="AZ31" s="393"/>
      <c r="BA31" s="393"/>
      <c r="BB31" s="394"/>
      <c r="BC31" s="74"/>
      <c r="BD31" s="74"/>
      <c r="BE31" s="74"/>
      <c r="BF31" s="74"/>
      <c r="BG31" s="74"/>
      <c r="BH31" s="71"/>
      <c r="BI31" s="186"/>
      <c r="BJ31" s="213"/>
      <c r="BK31" s="168" t="str">
        <f>IFERROR(__xludf.DUMMYFUNCTION("""COMPUTED_VALUE"""),"②R8_6シフト")</f>
        <v>②R8_6シフト</v>
      </c>
      <c r="BL31" s="396"/>
      <c r="BM31" s="186"/>
      <c r="BN31" s="186"/>
      <c r="BO31" s="186"/>
      <c r="BP31" s="186"/>
      <c r="BQ31" s="186"/>
      <c r="BR31" s="186"/>
      <c r="BS31" s="186"/>
      <c r="BT31" s="186"/>
      <c r="BU31" s="186"/>
      <c r="BV31" s="186"/>
      <c r="BW31" s="186"/>
      <c r="BX31" s="186"/>
    </row>
    <row r="32" hidden="1" outlineLevel="1">
      <c r="A32" s="186"/>
      <c r="B32" s="372" t="str">
        <f t="shared" si="4"/>
        <v/>
      </c>
      <c r="C32" s="381" t="str">
        <f t="shared" si="5"/>
        <v/>
      </c>
      <c r="D32" s="186"/>
      <c r="E32" s="372" t="str">
        <f t="shared" si="6"/>
        <v/>
      </c>
      <c r="F32" s="381" t="str">
        <f t="shared" si="7"/>
        <v/>
      </c>
      <c r="G32" s="186"/>
      <c r="H32" s="186"/>
      <c r="I32" s="168" t="b">
        <v>0</v>
      </c>
      <c r="J32" s="362"/>
      <c r="K32" s="382"/>
      <c r="L32" s="383"/>
      <c r="M32" s="389"/>
      <c r="N32" s="390"/>
      <c r="O32" s="390"/>
      <c r="P32" s="390"/>
      <c r="Q32" s="390"/>
      <c r="R32" s="390"/>
      <c r="S32" s="390"/>
      <c r="T32" s="390"/>
      <c r="U32" s="390"/>
      <c r="V32" s="390"/>
      <c r="W32" s="390"/>
      <c r="X32" s="390"/>
      <c r="Y32" s="390"/>
      <c r="Z32" s="390"/>
      <c r="AA32" s="390"/>
      <c r="AB32" s="390"/>
      <c r="AC32" s="390"/>
      <c r="AD32" s="390"/>
      <c r="AE32" s="390"/>
      <c r="AF32" s="390"/>
      <c r="AG32" s="390"/>
      <c r="AH32" s="390"/>
      <c r="AI32" s="390"/>
      <c r="AJ32" s="390"/>
      <c r="AK32" s="390"/>
      <c r="AL32" s="390"/>
      <c r="AM32" s="390"/>
      <c r="AN32" s="390"/>
      <c r="AO32" s="390"/>
      <c r="AP32" s="390"/>
      <c r="AQ32" s="390"/>
      <c r="AR32" s="385"/>
      <c r="AS32" s="391">
        <f t="array" ref="AS32">SUM(COUNTIF(N32:AR32, {"◎","〇","☆","共","特","浴"}))</f>
        <v>0</v>
      </c>
      <c r="AT32" s="392"/>
      <c r="AU32" s="393"/>
      <c r="AV32" s="393"/>
      <c r="AW32" s="393"/>
      <c r="AX32" s="393"/>
      <c r="AY32" s="393"/>
      <c r="AZ32" s="393"/>
      <c r="BA32" s="393"/>
      <c r="BB32" s="394"/>
      <c r="BC32" s="74"/>
      <c r="BD32" s="74"/>
      <c r="BE32" s="74"/>
      <c r="BF32" s="74"/>
      <c r="BG32" s="74"/>
      <c r="BH32" s="71"/>
      <c r="BI32" s="186"/>
      <c r="BJ32" s="213"/>
      <c r="BK32" s="168" t="str">
        <f>IFERROR(__xludf.DUMMYFUNCTION("""COMPUTED_VALUE"""),"③R8_6日報")</f>
        <v>③R8_6日報</v>
      </c>
      <c r="BL32" s="396"/>
      <c r="BM32" s="186"/>
      <c r="BN32" s="186"/>
      <c r="BO32" s="186"/>
      <c r="BP32" s="186"/>
      <c r="BQ32" s="186"/>
      <c r="BR32" s="186"/>
      <c r="BS32" s="186"/>
      <c r="BT32" s="186"/>
      <c r="BU32" s="186"/>
      <c r="BV32" s="186"/>
      <c r="BW32" s="186"/>
      <c r="BX32" s="186"/>
    </row>
    <row r="33" hidden="1" outlineLevel="1">
      <c r="A33" s="186"/>
      <c r="B33" s="372" t="str">
        <f t="shared" si="4"/>
        <v/>
      </c>
      <c r="C33" s="381" t="str">
        <f t="shared" si="5"/>
        <v/>
      </c>
      <c r="D33" s="186"/>
      <c r="E33" s="372" t="str">
        <f t="shared" si="6"/>
        <v/>
      </c>
      <c r="F33" s="381" t="str">
        <f t="shared" si="7"/>
        <v/>
      </c>
      <c r="G33" s="186"/>
      <c r="H33" s="186"/>
      <c r="I33" s="168" t="b">
        <v>0</v>
      </c>
      <c r="J33" s="362"/>
      <c r="K33" s="382"/>
      <c r="L33" s="383"/>
      <c r="M33" s="389"/>
      <c r="N33" s="390"/>
      <c r="O33" s="390"/>
      <c r="P33" s="390"/>
      <c r="Q33" s="390"/>
      <c r="R33" s="390"/>
      <c r="S33" s="390"/>
      <c r="T33" s="390"/>
      <c r="U33" s="390"/>
      <c r="V33" s="390"/>
      <c r="W33" s="390"/>
      <c r="X33" s="390"/>
      <c r="Y33" s="390"/>
      <c r="Z33" s="390"/>
      <c r="AA33" s="390"/>
      <c r="AB33" s="390"/>
      <c r="AC33" s="390"/>
      <c r="AD33" s="390"/>
      <c r="AE33" s="390"/>
      <c r="AF33" s="390"/>
      <c r="AG33" s="390"/>
      <c r="AH33" s="390"/>
      <c r="AI33" s="390"/>
      <c r="AJ33" s="390"/>
      <c r="AK33" s="390"/>
      <c r="AL33" s="390"/>
      <c r="AM33" s="390"/>
      <c r="AN33" s="390"/>
      <c r="AO33" s="390"/>
      <c r="AP33" s="390"/>
      <c r="AQ33" s="390"/>
      <c r="AR33" s="385"/>
      <c r="AS33" s="391">
        <f t="array" ref="AS33">SUM(COUNTIF(N33:AR33, {"◎","〇","☆","共","特","浴"}))</f>
        <v>0</v>
      </c>
      <c r="AT33" s="392"/>
      <c r="AU33" s="393"/>
      <c r="AV33" s="393"/>
      <c r="AW33" s="393"/>
      <c r="AX33" s="393"/>
      <c r="AY33" s="393"/>
      <c r="AZ33" s="393"/>
      <c r="BA33" s="393"/>
      <c r="BB33" s="394"/>
      <c r="BC33" s="74"/>
      <c r="BD33" s="74"/>
      <c r="BE33" s="74"/>
      <c r="BF33" s="74"/>
      <c r="BG33" s="74"/>
      <c r="BH33" s="71"/>
      <c r="BI33" s="186"/>
      <c r="BJ33" s="213"/>
      <c r="BK33" s="168" t="str">
        <f>IFERROR(__xludf.DUMMYFUNCTION("""COMPUTED_VALUE"""),"④R8_6月報")</f>
        <v>④R8_6月報</v>
      </c>
      <c r="BL33" s="396"/>
      <c r="BM33" s="186"/>
      <c r="BN33" s="186"/>
      <c r="BO33" s="186"/>
      <c r="BP33" s="186"/>
      <c r="BQ33" s="186"/>
      <c r="BR33" s="186"/>
      <c r="BS33" s="186"/>
      <c r="BT33" s="186"/>
      <c r="BU33" s="186"/>
      <c r="BV33" s="186"/>
      <c r="BW33" s="186"/>
      <c r="BX33" s="186"/>
    </row>
    <row r="34" hidden="1" outlineLevel="1">
      <c r="A34" s="186"/>
      <c r="B34" s="372" t="str">
        <f t="shared" si="4"/>
        <v/>
      </c>
      <c r="C34" s="381" t="str">
        <f t="shared" si="5"/>
        <v/>
      </c>
      <c r="D34" s="186"/>
      <c r="E34" s="372" t="str">
        <f t="shared" si="6"/>
        <v/>
      </c>
      <c r="F34" s="381" t="str">
        <f t="shared" si="7"/>
        <v/>
      </c>
      <c r="G34" s="186"/>
      <c r="H34" s="186"/>
      <c r="I34" s="168" t="b">
        <v>0</v>
      </c>
      <c r="J34" s="362"/>
      <c r="K34" s="397"/>
      <c r="L34" s="383"/>
      <c r="M34" s="389"/>
      <c r="N34" s="390"/>
      <c r="O34" s="385"/>
      <c r="P34" s="390"/>
      <c r="Q34" s="385"/>
      <c r="R34" s="385"/>
      <c r="S34" s="385"/>
      <c r="T34" s="385"/>
      <c r="U34" s="385"/>
      <c r="V34" s="385"/>
      <c r="W34" s="385"/>
      <c r="X34" s="385"/>
      <c r="Y34" s="385"/>
      <c r="Z34" s="385"/>
      <c r="AA34" s="385"/>
      <c r="AB34" s="385"/>
      <c r="AC34" s="385"/>
      <c r="AD34" s="385"/>
      <c r="AE34" s="385"/>
      <c r="AF34" s="385"/>
      <c r="AG34" s="385"/>
      <c r="AH34" s="385"/>
      <c r="AI34" s="385"/>
      <c r="AJ34" s="385"/>
      <c r="AK34" s="385"/>
      <c r="AL34" s="385"/>
      <c r="AM34" s="385"/>
      <c r="AN34" s="385"/>
      <c r="AO34" s="385"/>
      <c r="AP34" s="385"/>
      <c r="AQ34" s="385"/>
      <c r="AR34" s="385"/>
      <c r="AS34" s="391">
        <f t="array" ref="AS34">SUM(COUNTIF(N34:AR34, {"◎","〇","☆","共","特","浴"}))</f>
        <v>0</v>
      </c>
      <c r="AT34" s="395"/>
      <c r="AU34" s="393"/>
      <c r="AV34" s="393"/>
      <c r="AW34" s="393"/>
      <c r="AX34" s="393"/>
      <c r="AY34" s="393"/>
      <c r="AZ34" s="393"/>
      <c r="BA34" s="393"/>
      <c r="BB34" s="394"/>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6"/>
      <c r="BM34" s="186"/>
      <c r="BN34" s="186"/>
      <c r="BO34" s="186"/>
      <c r="BP34" s="186"/>
      <c r="BQ34" s="186"/>
      <c r="BR34" s="186"/>
      <c r="BS34" s="186"/>
      <c r="BT34" s="186"/>
      <c r="BU34" s="186"/>
      <c r="BV34" s="186"/>
      <c r="BW34" s="186"/>
      <c r="BX34" s="186"/>
    </row>
    <row r="35" hidden="1" outlineLevel="1">
      <c r="A35" s="186"/>
      <c r="B35" s="372" t="str">
        <f t="shared" si="4"/>
        <v/>
      </c>
      <c r="C35" s="381" t="str">
        <f t="shared" si="5"/>
        <v/>
      </c>
      <c r="D35" s="186"/>
      <c r="E35" s="372" t="str">
        <f t="shared" si="6"/>
        <v/>
      </c>
      <c r="F35" s="381" t="str">
        <f t="shared" si="7"/>
        <v/>
      </c>
      <c r="G35" s="186"/>
      <c r="H35" s="186"/>
      <c r="I35" s="168" t="b">
        <v>0</v>
      </c>
      <c r="J35" s="362"/>
      <c r="K35" s="397"/>
      <c r="L35" s="383"/>
      <c r="M35" s="389"/>
      <c r="N35" s="390"/>
      <c r="O35" s="390"/>
      <c r="P35" s="390"/>
      <c r="Q35" s="390"/>
      <c r="R35" s="390"/>
      <c r="S35" s="390"/>
      <c r="T35" s="390"/>
      <c r="U35" s="390"/>
      <c r="V35" s="390"/>
      <c r="W35" s="390"/>
      <c r="X35" s="390"/>
      <c r="Y35" s="390"/>
      <c r="Z35" s="390"/>
      <c r="AA35" s="390"/>
      <c r="AB35" s="390"/>
      <c r="AC35" s="390"/>
      <c r="AD35" s="390"/>
      <c r="AE35" s="390"/>
      <c r="AF35" s="390"/>
      <c r="AG35" s="390"/>
      <c r="AH35" s="390"/>
      <c r="AI35" s="390"/>
      <c r="AJ35" s="390"/>
      <c r="AK35" s="390"/>
      <c r="AL35" s="390"/>
      <c r="AM35" s="390"/>
      <c r="AN35" s="390"/>
      <c r="AO35" s="390"/>
      <c r="AP35" s="390"/>
      <c r="AQ35" s="385"/>
      <c r="AR35" s="385"/>
      <c r="AS35" s="391">
        <f t="array" ref="AS35">SUM(COUNTIF(N35:AR35, {"◎","〇","☆","共","特","浴"}))</f>
        <v>0</v>
      </c>
      <c r="AT35" s="395"/>
      <c r="AU35" s="393"/>
      <c r="AV35" s="393"/>
      <c r="AW35" s="393"/>
      <c r="AX35" s="393"/>
      <c r="AY35" s="393"/>
      <c r="AZ35" s="393"/>
      <c r="BA35" s="393"/>
      <c r="BB35" s="394"/>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6"/>
      <c r="BM35" s="186"/>
      <c r="BN35" s="186"/>
      <c r="BO35" s="186"/>
      <c r="BP35" s="186"/>
      <c r="BQ35" s="186"/>
      <c r="BR35" s="186"/>
      <c r="BS35" s="186"/>
      <c r="BT35" s="186"/>
      <c r="BU35" s="186"/>
      <c r="BV35" s="186"/>
      <c r="BW35" s="186"/>
      <c r="BX35" s="186"/>
    </row>
    <row r="36" hidden="1" outlineLevel="1">
      <c r="A36" s="186"/>
      <c r="B36" s="372" t="str">
        <f t="shared" si="4"/>
        <v/>
      </c>
      <c r="C36" s="381" t="str">
        <f t="shared" si="5"/>
        <v/>
      </c>
      <c r="D36" s="186"/>
      <c r="E36" s="372" t="str">
        <f t="shared" si="6"/>
        <v/>
      </c>
      <c r="F36" s="381" t="str">
        <f t="shared" si="7"/>
        <v/>
      </c>
      <c r="G36" s="186"/>
      <c r="H36" s="186"/>
      <c r="I36" s="168" t="b">
        <v>0</v>
      </c>
      <c r="J36" s="362"/>
      <c r="K36" s="382"/>
      <c r="L36" s="383"/>
      <c r="M36" s="389"/>
      <c r="N36" s="390"/>
      <c r="O36" s="390"/>
      <c r="P36" s="390"/>
      <c r="Q36" s="390"/>
      <c r="R36" s="390"/>
      <c r="S36" s="390"/>
      <c r="T36" s="390"/>
      <c r="U36" s="390"/>
      <c r="V36" s="390"/>
      <c r="W36" s="390"/>
      <c r="X36" s="390"/>
      <c r="Y36" s="390"/>
      <c r="Z36" s="390"/>
      <c r="AA36" s="390"/>
      <c r="AB36" s="390"/>
      <c r="AC36" s="390"/>
      <c r="AD36" s="390"/>
      <c r="AE36" s="390"/>
      <c r="AF36" s="390"/>
      <c r="AG36" s="390"/>
      <c r="AH36" s="390"/>
      <c r="AI36" s="390"/>
      <c r="AJ36" s="390"/>
      <c r="AK36" s="390"/>
      <c r="AL36" s="390"/>
      <c r="AM36" s="390"/>
      <c r="AN36" s="390"/>
      <c r="AO36" s="390"/>
      <c r="AP36" s="390"/>
      <c r="AQ36" s="385"/>
      <c r="AR36" s="385"/>
      <c r="AS36" s="391">
        <f t="array" ref="AS36">SUM(COUNTIF(N36:AR36, {"◎","〇","☆","共","特","浴"}))</f>
        <v>0</v>
      </c>
      <c r="AT36" s="395"/>
      <c r="AU36" s="393"/>
      <c r="AV36" s="393"/>
      <c r="AW36" s="393"/>
      <c r="AX36" s="393"/>
      <c r="AY36" s="393"/>
      <c r="AZ36" s="393"/>
      <c r="BA36" s="393"/>
      <c r="BB36" s="394"/>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6"/>
      <c r="BM36" s="186"/>
      <c r="BN36" s="186"/>
      <c r="BO36" s="186"/>
      <c r="BP36" s="186"/>
      <c r="BQ36" s="186"/>
      <c r="BR36" s="186"/>
      <c r="BS36" s="186"/>
      <c r="BT36" s="186"/>
      <c r="BU36" s="186"/>
      <c r="BV36" s="186"/>
      <c r="BW36" s="186"/>
      <c r="BX36" s="186"/>
    </row>
    <row r="37" hidden="1" outlineLevel="1">
      <c r="A37" s="186"/>
      <c r="B37" s="372" t="str">
        <f t="shared" si="4"/>
        <v/>
      </c>
      <c r="C37" s="381" t="str">
        <f t="shared" si="5"/>
        <v/>
      </c>
      <c r="D37" s="186"/>
      <c r="E37" s="372" t="str">
        <f t="shared" si="6"/>
        <v/>
      </c>
      <c r="F37" s="381" t="str">
        <f t="shared" si="7"/>
        <v/>
      </c>
      <c r="G37" s="186"/>
      <c r="H37" s="186"/>
      <c r="I37" s="168" t="b">
        <v>0</v>
      </c>
      <c r="J37" s="362"/>
      <c r="K37" s="382"/>
      <c r="L37" s="383"/>
      <c r="M37" s="389"/>
      <c r="N37" s="390"/>
      <c r="O37" s="390"/>
      <c r="P37" s="390"/>
      <c r="Q37" s="390"/>
      <c r="R37" s="390"/>
      <c r="S37" s="390"/>
      <c r="T37" s="390"/>
      <c r="U37" s="390"/>
      <c r="V37" s="390"/>
      <c r="W37" s="390"/>
      <c r="X37" s="390"/>
      <c r="Y37" s="390"/>
      <c r="Z37" s="390"/>
      <c r="AA37" s="390"/>
      <c r="AB37" s="390"/>
      <c r="AC37" s="390"/>
      <c r="AD37" s="390"/>
      <c r="AE37" s="390"/>
      <c r="AF37" s="390"/>
      <c r="AG37" s="390"/>
      <c r="AH37" s="390"/>
      <c r="AI37" s="390"/>
      <c r="AJ37" s="390"/>
      <c r="AK37" s="390"/>
      <c r="AL37" s="390"/>
      <c r="AM37" s="390"/>
      <c r="AN37" s="390"/>
      <c r="AO37" s="390"/>
      <c r="AP37" s="385"/>
      <c r="AQ37" s="385"/>
      <c r="AR37" s="385"/>
      <c r="AS37" s="391">
        <f t="array" ref="AS37">SUM(COUNTIF(N37:AR37, {"◎","〇","☆","共","特","浴"}))</f>
        <v>0</v>
      </c>
      <c r="AT37" s="395"/>
      <c r="AU37" s="393"/>
      <c r="AV37" s="393"/>
      <c r="AW37" s="393"/>
      <c r="AX37" s="393"/>
      <c r="AY37" s="393"/>
      <c r="AZ37" s="393"/>
      <c r="BA37" s="393"/>
      <c r="BB37" s="394"/>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6"/>
      <c r="BM37" s="186"/>
      <c r="BN37" s="186"/>
      <c r="BO37" s="186"/>
      <c r="BP37" s="186"/>
      <c r="BQ37" s="186"/>
      <c r="BR37" s="186"/>
      <c r="BS37" s="186"/>
      <c r="BT37" s="186"/>
      <c r="BU37" s="186"/>
      <c r="BV37" s="186"/>
      <c r="BW37" s="186"/>
      <c r="BX37" s="186"/>
    </row>
    <row r="38" hidden="1" outlineLevel="1">
      <c r="A38" s="186"/>
      <c r="B38" s="372" t="str">
        <f t="shared" si="4"/>
        <v/>
      </c>
      <c r="C38" s="381" t="str">
        <f t="shared" si="5"/>
        <v/>
      </c>
      <c r="D38" s="186"/>
      <c r="E38" s="372" t="str">
        <f t="shared" si="6"/>
        <v/>
      </c>
      <c r="F38" s="381" t="str">
        <f t="shared" si="7"/>
        <v/>
      </c>
      <c r="G38" s="186"/>
      <c r="H38" s="186"/>
      <c r="I38" s="168" t="b">
        <v>0</v>
      </c>
      <c r="J38" s="362"/>
      <c r="K38" s="382"/>
      <c r="L38" s="383"/>
      <c r="M38" s="389"/>
      <c r="N38" s="390"/>
      <c r="O38" s="390"/>
      <c r="P38" s="390"/>
      <c r="Q38" s="390"/>
      <c r="R38" s="390"/>
      <c r="S38" s="390"/>
      <c r="T38" s="390"/>
      <c r="U38" s="390"/>
      <c r="V38" s="390"/>
      <c r="W38" s="390"/>
      <c r="X38" s="390"/>
      <c r="Y38" s="390"/>
      <c r="Z38" s="390"/>
      <c r="AA38" s="390"/>
      <c r="AB38" s="390"/>
      <c r="AC38" s="390"/>
      <c r="AD38" s="390"/>
      <c r="AE38" s="390"/>
      <c r="AF38" s="390"/>
      <c r="AG38" s="390"/>
      <c r="AH38" s="390"/>
      <c r="AI38" s="390"/>
      <c r="AJ38" s="390"/>
      <c r="AK38" s="390"/>
      <c r="AL38" s="390"/>
      <c r="AM38" s="390"/>
      <c r="AN38" s="390"/>
      <c r="AO38" s="390"/>
      <c r="AP38" s="385"/>
      <c r="AQ38" s="385"/>
      <c r="AR38" s="385"/>
      <c r="AS38" s="391">
        <f t="array" ref="AS38">SUM(COUNTIF(N38:AR38, {"◎","〇","☆","共","特","浴"}))</f>
        <v>0</v>
      </c>
      <c r="AT38" s="395"/>
      <c r="AU38" s="393"/>
      <c r="AV38" s="393"/>
      <c r="AW38" s="393"/>
      <c r="AX38" s="393"/>
      <c r="AY38" s="393"/>
      <c r="AZ38" s="393"/>
      <c r="BA38" s="393"/>
      <c r="BB38" s="394"/>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6"/>
      <c r="BM38" s="186"/>
      <c r="BN38" s="186"/>
      <c r="BO38" s="186"/>
      <c r="BP38" s="186"/>
      <c r="BQ38" s="186"/>
      <c r="BR38" s="186"/>
      <c r="BS38" s="186"/>
      <c r="BT38" s="186"/>
      <c r="BU38" s="186"/>
      <c r="BV38" s="186"/>
      <c r="BW38" s="186"/>
      <c r="BX38" s="186"/>
    </row>
    <row r="39" hidden="1" outlineLevel="1">
      <c r="A39" s="186"/>
      <c r="B39" s="372" t="str">
        <f t="shared" si="4"/>
        <v/>
      </c>
      <c r="C39" s="381" t="str">
        <f t="shared" si="5"/>
        <v/>
      </c>
      <c r="D39" s="186"/>
      <c r="E39" s="372" t="str">
        <f t="shared" si="6"/>
        <v/>
      </c>
      <c r="F39" s="381" t="str">
        <f t="shared" si="7"/>
        <v/>
      </c>
      <c r="G39" s="186"/>
      <c r="H39" s="186"/>
      <c r="I39" s="168" t="b">
        <v>0</v>
      </c>
      <c r="J39" s="362"/>
      <c r="K39" s="397"/>
      <c r="L39" s="383"/>
      <c r="M39" s="389"/>
      <c r="N39" s="390"/>
      <c r="O39" s="390"/>
      <c r="P39" s="390"/>
      <c r="Q39" s="390"/>
      <c r="R39" s="390"/>
      <c r="S39" s="390"/>
      <c r="T39" s="390"/>
      <c r="U39" s="390"/>
      <c r="V39" s="390"/>
      <c r="W39" s="390"/>
      <c r="X39" s="390"/>
      <c r="Y39" s="390"/>
      <c r="Z39" s="390"/>
      <c r="AA39" s="390"/>
      <c r="AB39" s="390"/>
      <c r="AC39" s="390"/>
      <c r="AD39" s="390"/>
      <c r="AE39" s="390"/>
      <c r="AF39" s="390"/>
      <c r="AG39" s="390"/>
      <c r="AH39" s="390"/>
      <c r="AI39" s="390"/>
      <c r="AJ39" s="390"/>
      <c r="AK39" s="390"/>
      <c r="AL39" s="390"/>
      <c r="AM39" s="390"/>
      <c r="AN39" s="390"/>
      <c r="AO39" s="390"/>
      <c r="AP39" s="385"/>
      <c r="AQ39" s="385"/>
      <c r="AR39" s="385"/>
      <c r="AS39" s="391">
        <f t="array" ref="AS39">SUM(COUNTIF(N39:AR39, {"◎","〇","☆","共","特","浴"}))</f>
        <v>0</v>
      </c>
      <c r="AT39" s="395"/>
      <c r="AU39" s="393"/>
      <c r="AV39" s="393"/>
      <c r="AW39" s="393"/>
      <c r="AX39" s="393"/>
      <c r="AY39" s="393"/>
      <c r="AZ39" s="393"/>
      <c r="BA39" s="393"/>
      <c r="BB39" s="394"/>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6"/>
      <c r="BM39" s="186"/>
      <c r="BN39" s="186"/>
      <c r="BO39" s="186"/>
      <c r="BP39" s="186"/>
      <c r="BQ39" s="186"/>
      <c r="BR39" s="186"/>
      <c r="BS39" s="186"/>
      <c r="BT39" s="186"/>
      <c r="BU39" s="186"/>
      <c r="BV39" s="186"/>
      <c r="BW39" s="186"/>
      <c r="BX39" s="186"/>
    </row>
    <row r="40" hidden="1" outlineLevel="1">
      <c r="A40" s="186"/>
      <c r="B40" s="372" t="str">
        <f t="shared" si="4"/>
        <v/>
      </c>
      <c r="C40" s="381" t="str">
        <f t="shared" si="5"/>
        <v/>
      </c>
      <c r="D40" s="186"/>
      <c r="E40" s="372" t="str">
        <f t="shared" si="6"/>
        <v/>
      </c>
      <c r="F40" s="381" t="str">
        <f t="shared" si="7"/>
        <v/>
      </c>
      <c r="G40" s="186"/>
      <c r="H40" s="186"/>
      <c r="I40" s="168" t="b">
        <v>0</v>
      </c>
      <c r="J40" s="362"/>
      <c r="K40" s="397"/>
      <c r="L40" s="383"/>
      <c r="M40" s="389"/>
      <c r="N40" s="390"/>
      <c r="O40" s="390"/>
      <c r="P40" s="390"/>
      <c r="Q40" s="390"/>
      <c r="R40" s="390"/>
      <c r="S40" s="390"/>
      <c r="T40" s="390"/>
      <c r="U40" s="390"/>
      <c r="V40" s="390"/>
      <c r="W40" s="390"/>
      <c r="X40" s="390"/>
      <c r="Y40" s="390"/>
      <c r="Z40" s="390"/>
      <c r="AA40" s="390"/>
      <c r="AB40" s="390"/>
      <c r="AC40" s="390"/>
      <c r="AD40" s="390"/>
      <c r="AE40" s="390"/>
      <c r="AF40" s="390"/>
      <c r="AG40" s="390"/>
      <c r="AH40" s="390"/>
      <c r="AI40" s="390"/>
      <c r="AJ40" s="390"/>
      <c r="AK40" s="390"/>
      <c r="AL40" s="390"/>
      <c r="AM40" s="390"/>
      <c r="AN40" s="390"/>
      <c r="AO40" s="390"/>
      <c r="AP40" s="385"/>
      <c r="AQ40" s="385"/>
      <c r="AR40" s="385"/>
      <c r="AS40" s="391">
        <f t="array" ref="AS40">SUM(COUNTIF(N40:AR40, {"◎","〇","☆","共","特","浴"}))</f>
        <v>0</v>
      </c>
      <c r="AT40" s="395"/>
      <c r="AU40" s="393"/>
      <c r="AV40" s="393"/>
      <c r="AW40" s="393"/>
      <c r="AX40" s="393"/>
      <c r="AY40" s="393"/>
      <c r="AZ40" s="393"/>
      <c r="BA40" s="393"/>
      <c r="BB40" s="394"/>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6"/>
      <c r="BM40" s="186"/>
      <c r="BN40" s="186"/>
      <c r="BO40" s="186"/>
      <c r="BP40" s="186"/>
      <c r="BQ40" s="186"/>
      <c r="BR40" s="186"/>
      <c r="BS40" s="186"/>
      <c r="BT40" s="186"/>
      <c r="BU40" s="186"/>
      <c r="BV40" s="186"/>
      <c r="BW40" s="186"/>
      <c r="BX40" s="186"/>
    </row>
    <row r="41">
      <c r="A41" s="186"/>
      <c r="B41" s="372" t="str">
        <f t="shared" si="4"/>
        <v>メイド数</v>
      </c>
      <c r="C41" s="381" t="str">
        <f t="shared" si="5"/>
        <v>#N/A</v>
      </c>
      <c r="D41" s="186"/>
      <c r="E41" s="372" t="str">
        <f t="shared" si="6"/>
        <v>メイド数</v>
      </c>
      <c r="F41" s="381" t="str">
        <f t="shared" si="7"/>
        <v>#N/A</v>
      </c>
      <c r="G41" s="186"/>
      <c r="H41" s="186"/>
      <c r="I41" s="168" t="b">
        <v>0</v>
      </c>
      <c r="J41" s="362"/>
      <c r="K41" s="382" t="s">
        <v>240</v>
      </c>
      <c r="L41" s="383" t="s">
        <v>241</v>
      </c>
      <c r="M41" s="384" t="s">
        <v>119</v>
      </c>
      <c r="N41" s="385">
        <f t="shared" ref="N41:P41" si="8">COUNTIF(N45:N104,"〇")+countif(N14:N40,"〇")</f>
        <v>0</v>
      </c>
      <c r="O41" s="385">
        <f t="shared" si="8"/>
        <v>0</v>
      </c>
      <c r="P41" s="385">
        <f t="shared" si="8"/>
        <v>0</v>
      </c>
      <c r="Q41" s="385">
        <f t="shared" ref="Q41:AR41" si="9">COUNTIF(Q45:Q104,"〇")+countif(Q$11:Q$40,"〇")</f>
        <v>0</v>
      </c>
      <c r="R41" s="385">
        <f t="shared" si="9"/>
        <v>0</v>
      </c>
      <c r="S41" s="385">
        <f t="shared" si="9"/>
        <v>0</v>
      </c>
      <c r="T41" s="385">
        <f t="shared" si="9"/>
        <v>0</v>
      </c>
      <c r="U41" s="385">
        <f t="shared" si="9"/>
        <v>0</v>
      </c>
      <c r="V41" s="385">
        <f t="shared" si="9"/>
        <v>0</v>
      </c>
      <c r="W41" s="385">
        <f t="shared" si="9"/>
        <v>0</v>
      </c>
      <c r="X41" s="385">
        <f t="shared" si="9"/>
        <v>0</v>
      </c>
      <c r="Y41" s="385">
        <f t="shared" si="9"/>
        <v>0</v>
      </c>
      <c r="Z41" s="385">
        <f t="shared" si="9"/>
        <v>0</v>
      </c>
      <c r="AA41" s="385">
        <f t="shared" si="9"/>
        <v>0</v>
      </c>
      <c r="AB41" s="385">
        <f t="shared" si="9"/>
        <v>0</v>
      </c>
      <c r="AC41" s="385">
        <f t="shared" si="9"/>
        <v>0</v>
      </c>
      <c r="AD41" s="385">
        <f t="shared" si="9"/>
        <v>0</v>
      </c>
      <c r="AE41" s="385">
        <f t="shared" si="9"/>
        <v>0</v>
      </c>
      <c r="AF41" s="385">
        <f t="shared" si="9"/>
        <v>0</v>
      </c>
      <c r="AG41" s="385">
        <f t="shared" si="9"/>
        <v>0</v>
      </c>
      <c r="AH41" s="385">
        <f t="shared" si="9"/>
        <v>0</v>
      </c>
      <c r="AI41" s="385">
        <f t="shared" si="9"/>
        <v>0</v>
      </c>
      <c r="AJ41" s="385">
        <f t="shared" si="9"/>
        <v>0</v>
      </c>
      <c r="AK41" s="385">
        <f t="shared" si="9"/>
        <v>0</v>
      </c>
      <c r="AL41" s="385">
        <f t="shared" si="9"/>
        <v>0</v>
      </c>
      <c r="AM41" s="385">
        <f t="shared" si="9"/>
        <v>0</v>
      </c>
      <c r="AN41" s="385">
        <f t="shared" si="9"/>
        <v>0</v>
      </c>
      <c r="AO41" s="385">
        <f t="shared" si="9"/>
        <v>0</v>
      </c>
      <c r="AP41" s="385">
        <f t="shared" si="9"/>
        <v>0</v>
      </c>
      <c r="AQ41" s="385">
        <f t="shared" si="9"/>
        <v>0</v>
      </c>
      <c r="AR41" s="385">
        <f t="shared" si="9"/>
        <v>0</v>
      </c>
      <c r="AS41" s="390" t="s">
        <v>230</v>
      </c>
      <c r="AT41" s="390" t="s">
        <v>230</v>
      </c>
      <c r="AU41" s="385">
        <f t="shared" ref="AU41:BA41" si="10">COUNTIF(AU45:AU104,"〇")+countif(AU$11:AU$40,"〇")</f>
        <v>0</v>
      </c>
      <c r="AV41" s="385">
        <f t="shared" si="10"/>
        <v>0</v>
      </c>
      <c r="AW41" s="385">
        <f t="shared" si="10"/>
        <v>0</v>
      </c>
      <c r="AX41" s="385">
        <f t="shared" si="10"/>
        <v>0</v>
      </c>
      <c r="AY41" s="385">
        <f t="shared" si="10"/>
        <v>0</v>
      </c>
      <c r="AZ41" s="385">
        <f t="shared" si="10"/>
        <v>0</v>
      </c>
      <c r="BA41" s="385">
        <f t="shared" si="10"/>
        <v>0</v>
      </c>
      <c r="BB41" s="394"/>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6"/>
      <c r="BM41" s="186"/>
      <c r="BN41" s="186"/>
      <c r="BO41" s="186"/>
      <c r="BP41" s="186"/>
      <c r="BQ41" s="186"/>
      <c r="BR41" s="186"/>
      <c r="BS41" s="186"/>
      <c r="BT41" s="186"/>
      <c r="BU41" s="186"/>
      <c r="BV41" s="186"/>
      <c r="BW41" s="186"/>
      <c r="BX41" s="186"/>
    </row>
    <row r="42">
      <c r="A42" s="186"/>
      <c r="B42" s="372" t="str">
        <f t="shared" si="4"/>
        <v>パブリック数</v>
      </c>
      <c r="C42" s="381" t="str">
        <f t="shared" si="5"/>
        <v>#N/A</v>
      </c>
      <c r="D42" s="186"/>
      <c r="E42" s="372" t="str">
        <f t="shared" si="6"/>
        <v>パブリック数</v>
      </c>
      <c r="F42" s="381" t="str">
        <f t="shared" si="7"/>
        <v>#N/A</v>
      </c>
      <c r="G42" s="186"/>
      <c r="H42" s="186"/>
      <c r="I42" s="168" t="b">
        <v>0</v>
      </c>
      <c r="J42" s="362"/>
      <c r="K42" s="382" t="s">
        <v>242</v>
      </c>
      <c r="L42" s="383" t="s">
        <v>241</v>
      </c>
      <c r="M42" s="384" t="s">
        <v>192</v>
      </c>
      <c r="N42" s="390">
        <f t="shared" ref="N42:AR42" si="11">COUNTIF(N45:N104,"共")+countif(N$11:N$40,"共")</f>
        <v>0</v>
      </c>
      <c r="O42" s="390">
        <f t="shared" si="11"/>
        <v>0</v>
      </c>
      <c r="P42" s="390">
        <f t="shared" si="11"/>
        <v>0</v>
      </c>
      <c r="Q42" s="390">
        <f t="shared" si="11"/>
        <v>0</v>
      </c>
      <c r="R42" s="390">
        <f t="shared" si="11"/>
        <v>0</v>
      </c>
      <c r="S42" s="390">
        <f t="shared" si="11"/>
        <v>0</v>
      </c>
      <c r="T42" s="390">
        <f t="shared" si="11"/>
        <v>0</v>
      </c>
      <c r="U42" s="390">
        <f t="shared" si="11"/>
        <v>0</v>
      </c>
      <c r="V42" s="390">
        <f t="shared" si="11"/>
        <v>0</v>
      </c>
      <c r="W42" s="390">
        <f t="shared" si="11"/>
        <v>0</v>
      </c>
      <c r="X42" s="390">
        <f t="shared" si="11"/>
        <v>0</v>
      </c>
      <c r="Y42" s="390">
        <f t="shared" si="11"/>
        <v>0</v>
      </c>
      <c r="Z42" s="390">
        <f t="shared" si="11"/>
        <v>0</v>
      </c>
      <c r="AA42" s="390">
        <f t="shared" si="11"/>
        <v>0</v>
      </c>
      <c r="AB42" s="390">
        <f t="shared" si="11"/>
        <v>0</v>
      </c>
      <c r="AC42" s="390">
        <f t="shared" si="11"/>
        <v>0</v>
      </c>
      <c r="AD42" s="390">
        <f t="shared" si="11"/>
        <v>0</v>
      </c>
      <c r="AE42" s="390">
        <f t="shared" si="11"/>
        <v>0</v>
      </c>
      <c r="AF42" s="390">
        <f t="shared" si="11"/>
        <v>0</v>
      </c>
      <c r="AG42" s="390">
        <f t="shared" si="11"/>
        <v>0</v>
      </c>
      <c r="AH42" s="390">
        <f t="shared" si="11"/>
        <v>0</v>
      </c>
      <c r="AI42" s="390">
        <f t="shared" si="11"/>
        <v>0</v>
      </c>
      <c r="AJ42" s="390">
        <f t="shared" si="11"/>
        <v>0</v>
      </c>
      <c r="AK42" s="390">
        <f t="shared" si="11"/>
        <v>0</v>
      </c>
      <c r="AL42" s="390">
        <f t="shared" si="11"/>
        <v>0</v>
      </c>
      <c r="AM42" s="390">
        <f t="shared" si="11"/>
        <v>0</v>
      </c>
      <c r="AN42" s="390">
        <f t="shared" si="11"/>
        <v>0</v>
      </c>
      <c r="AO42" s="390">
        <f t="shared" si="11"/>
        <v>0</v>
      </c>
      <c r="AP42" s="390">
        <f t="shared" si="11"/>
        <v>0</v>
      </c>
      <c r="AQ42" s="390">
        <f t="shared" si="11"/>
        <v>0</v>
      </c>
      <c r="AR42" s="390">
        <f t="shared" si="11"/>
        <v>0</v>
      </c>
      <c r="AS42" s="390" t="s">
        <v>230</v>
      </c>
      <c r="AT42" s="390" t="s">
        <v>230</v>
      </c>
      <c r="AU42" s="390">
        <f t="shared" ref="AU42:BA42" si="12">COUNTIF(AU45:AU104,"共")+countif(AU$11:AU$40,"共")</f>
        <v>0</v>
      </c>
      <c r="AV42" s="390">
        <f t="shared" si="12"/>
        <v>0</v>
      </c>
      <c r="AW42" s="390">
        <f t="shared" si="12"/>
        <v>0</v>
      </c>
      <c r="AX42" s="390">
        <f t="shared" si="12"/>
        <v>0</v>
      </c>
      <c r="AY42" s="390">
        <f t="shared" si="12"/>
        <v>0</v>
      </c>
      <c r="AZ42" s="390">
        <f t="shared" si="12"/>
        <v>0</v>
      </c>
      <c r="BA42" s="390">
        <f t="shared" si="12"/>
        <v>0</v>
      </c>
      <c r="BB42" s="394"/>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6"/>
      <c r="BM42" s="186"/>
      <c r="BN42" s="186"/>
      <c r="BO42" s="186"/>
      <c r="BP42" s="186"/>
      <c r="BQ42" s="186"/>
      <c r="BR42" s="186"/>
      <c r="BS42" s="186"/>
      <c r="BT42" s="186"/>
      <c r="BU42" s="186"/>
      <c r="BV42" s="186"/>
      <c r="BW42" s="186"/>
      <c r="BX42" s="186"/>
    </row>
    <row r="43">
      <c r="A43" s="186"/>
      <c r="B43" s="372" t="str">
        <f t="shared" si="4"/>
        <v>合計清掃数</v>
      </c>
      <c r="C43" s="381" t="str">
        <f t="shared" si="5"/>
        <v>#N/A</v>
      </c>
      <c r="D43" s="186"/>
      <c r="E43" s="372" t="str">
        <f t="shared" si="6"/>
        <v>合計清掃数</v>
      </c>
      <c r="F43" s="381" t="str">
        <f t="shared" si="7"/>
        <v>#N/A</v>
      </c>
      <c r="G43" s="186"/>
      <c r="H43" s="186"/>
      <c r="I43" s="398" t="b">
        <v>0</v>
      </c>
      <c r="J43" s="362"/>
      <c r="K43" s="399" t="s">
        <v>243</v>
      </c>
      <c r="L43" s="400" t="s">
        <v>244</v>
      </c>
      <c r="M43" s="401"/>
      <c r="N43" s="385">
        <f t="shared" ref="N43:AR43" si="13">sumif(N45:N104,"〇",$J45:$J104)+sumif(N11:N40,"〇",$J11:$J40)</f>
        <v>0</v>
      </c>
      <c r="O43" s="385">
        <f t="shared" si="13"/>
        <v>0</v>
      </c>
      <c r="P43" s="385">
        <f t="shared" si="13"/>
        <v>0</v>
      </c>
      <c r="Q43" s="385">
        <f t="shared" si="13"/>
        <v>0</v>
      </c>
      <c r="R43" s="385">
        <f t="shared" si="13"/>
        <v>0</v>
      </c>
      <c r="S43" s="385">
        <f t="shared" si="13"/>
        <v>0</v>
      </c>
      <c r="T43" s="385">
        <f t="shared" si="13"/>
        <v>0</v>
      </c>
      <c r="U43" s="385">
        <f t="shared" si="13"/>
        <v>0</v>
      </c>
      <c r="V43" s="385">
        <f t="shared" si="13"/>
        <v>0</v>
      </c>
      <c r="W43" s="385">
        <f t="shared" si="13"/>
        <v>0</v>
      </c>
      <c r="X43" s="385">
        <f t="shared" si="13"/>
        <v>0</v>
      </c>
      <c r="Y43" s="385">
        <f t="shared" si="13"/>
        <v>0</v>
      </c>
      <c r="Z43" s="385">
        <f t="shared" si="13"/>
        <v>0</v>
      </c>
      <c r="AA43" s="385">
        <f t="shared" si="13"/>
        <v>0</v>
      </c>
      <c r="AB43" s="385">
        <f t="shared" si="13"/>
        <v>0</v>
      </c>
      <c r="AC43" s="385">
        <f t="shared" si="13"/>
        <v>0</v>
      </c>
      <c r="AD43" s="385">
        <f t="shared" si="13"/>
        <v>0</v>
      </c>
      <c r="AE43" s="385">
        <f t="shared" si="13"/>
        <v>0</v>
      </c>
      <c r="AF43" s="385">
        <f t="shared" si="13"/>
        <v>0</v>
      </c>
      <c r="AG43" s="385">
        <f t="shared" si="13"/>
        <v>0</v>
      </c>
      <c r="AH43" s="385">
        <f t="shared" si="13"/>
        <v>0</v>
      </c>
      <c r="AI43" s="385">
        <f t="shared" si="13"/>
        <v>0</v>
      </c>
      <c r="AJ43" s="385">
        <f t="shared" si="13"/>
        <v>0</v>
      </c>
      <c r="AK43" s="385">
        <f t="shared" si="13"/>
        <v>0</v>
      </c>
      <c r="AL43" s="385">
        <f t="shared" si="13"/>
        <v>0</v>
      </c>
      <c r="AM43" s="385">
        <f t="shared" si="13"/>
        <v>0</v>
      </c>
      <c r="AN43" s="385">
        <f t="shared" si="13"/>
        <v>0</v>
      </c>
      <c r="AO43" s="385">
        <f t="shared" si="13"/>
        <v>0</v>
      </c>
      <c r="AP43" s="385">
        <f t="shared" si="13"/>
        <v>0</v>
      </c>
      <c r="AQ43" s="385">
        <f t="shared" si="13"/>
        <v>0</v>
      </c>
      <c r="AR43" s="385">
        <f t="shared" si="13"/>
        <v>0</v>
      </c>
      <c r="AS43" s="368" t="s">
        <v>230</v>
      </c>
      <c r="AT43" s="390" t="s">
        <v>230</v>
      </c>
      <c r="AU43" s="402"/>
      <c r="AV43" s="402"/>
      <c r="AW43" s="402"/>
      <c r="AX43" s="402"/>
      <c r="AY43" s="402"/>
      <c r="AZ43" s="402"/>
      <c r="BA43" s="402"/>
      <c r="BB43" s="394"/>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6"/>
      <c r="BM43" s="186"/>
      <c r="BN43" s="186"/>
      <c r="BO43" s="186"/>
      <c r="BP43" s="186"/>
      <c r="BQ43" s="186"/>
      <c r="BR43" s="186"/>
      <c r="BS43" s="186"/>
      <c r="BT43" s="186"/>
      <c r="BU43" s="186"/>
      <c r="BV43" s="186"/>
      <c r="BW43" s="186"/>
      <c r="BX43" s="186"/>
    </row>
    <row r="44">
      <c r="A44" s="186"/>
      <c r="B44" s="372" t="str">
        <f t="shared" si="4"/>
        <v>稼働予定</v>
      </c>
      <c r="C44" s="381" t="str">
        <f t="shared" si="5"/>
        <v>#N/A</v>
      </c>
      <c r="D44" s="186"/>
      <c r="E44" s="372" t="str">
        <f t="shared" si="6"/>
        <v>稼働予定</v>
      </c>
      <c r="F44" s="381" t="str">
        <f t="shared" si="7"/>
        <v>#N/A</v>
      </c>
      <c r="G44" s="186"/>
      <c r="H44" s="186"/>
      <c r="I44" s="168" t="b">
        <v>0</v>
      </c>
      <c r="J44" s="362"/>
      <c r="K44" s="382" t="s">
        <v>245</v>
      </c>
      <c r="L44" s="383" t="s">
        <v>244</v>
      </c>
      <c r="M44" s="384" t="s">
        <v>246</v>
      </c>
      <c r="N44" s="385"/>
      <c r="O44" s="385"/>
      <c r="P44" s="385"/>
      <c r="Q44" s="385"/>
      <c r="R44" s="385"/>
      <c r="S44" s="385"/>
      <c r="T44" s="385"/>
      <c r="U44" s="385"/>
      <c r="V44" s="385"/>
      <c r="W44" s="390"/>
      <c r="X44" s="385"/>
      <c r="Y44" s="385"/>
      <c r="Z44" s="385"/>
      <c r="AA44" s="385"/>
      <c r="AB44" s="385"/>
      <c r="AC44" s="385"/>
      <c r="AD44" s="385"/>
      <c r="AE44" s="385"/>
      <c r="AF44" s="385"/>
      <c r="AG44" s="385"/>
      <c r="AH44" s="385"/>
      <c r="AI44" s="385"/>
      <c r="AJ44" s="385"/>
      <c r="AK44" s="385"/>
      <c r="AL44" s="385"/>
      <c r="AM44" s="385"/>
      <c r="AN44" s="385"/>
      <c r="AO44" s="385"/>
      <c r="AP44" s="385"/>
      <c r="AQ44" s="385"/>
      <c r="AR44" s="385"/>
      <c r="AS44" s="368" t="s">
        <v>230</v>
      </c>
      <c r="AT44" s="390" t="s">
        <v>230</v>
      </c>
      <c r="AU44" s="393"/>
      <c r="AV44" s="393"/>
      <c r="AW44" s="393"/>
      <c r="AX44" s="393"/>
      <c r="AY44" s="393"/>
      <c r="AZ44" s="393"/>
      <c r="BA44" s="393"/>
      <c r="BB44" s="394"/>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6"/>
      <c r="BM44" s="186"/>
      <c r="BN44" s="186"/>
      <c r="BO44" s="186"/>
      <c r="BP44" s="186"/>
      <c r="BQ44" s="186"/>
      <c r="BR44" s="186"/>
      <c r="BS44" s="186"/>
      <c r="BT44" s="186"/>
      <c r="BU44" s="186"/>
      <c r="BV44" s="186"/>
      <c r="BW44" s="186"/>
      <c r="BX44" s="186"/>
    </row>
    <row r="45">
      <c r="A45" s="186"/>
      <c r="B45" s="372" t="str">
        <f t="shared" si="4"/>
        <v/>
      </c>
      <c r="C45" s="381" t="str">
        <f t="shared" si="5"/>
        <v/>
      </c>
      <c r="D45" s="186"/>
      <c r="E45" s="372" t="str">
        <f t="shared" si="6"/>
        <v/>
      </c>
      <c r="F45" s="381" t="str">
        <f t="shared" si="7"/>
        <v/>
      </c>
      <c r="G45" s="186"/>
      <c r="H45" s="186"/>
      <c r="I45" s="168" t="b">
        <v>0</v>
      </c>
      <c r="J45" s="362"/>
      <c r="K45" s="382"/>
      <c r="L45" s="383"/>
      <c r="M45" s="389"/>
      <c r="N45" s="390"/>
      <c r="O45" s="390"/>
      <c r="P45" s="390"/>
      <c r="Q45" s="390"/>
      <c r="R45" s="390"/>
      <c r="S45" s="390"/>
      <c r="T45" s="390"/>
      <c r="U45" s="390"/>
      <c r="V45" s="390"/>
      <c r="W45" s="390"/>
      <c r="X45" s="390"/>
      <c r="Y45" s="390"/>
      <c r="Z45" s="390"/>
      <c r="AA45" s="390"/>
      <c r="AB45" s="390"/>
      <c r="AC45" s="390"/>
      <c r="AD45" s="390"/>
      <c r="AE45" s="390"/>
      <c r="AF45" s="390"/>
      <c r="AG45" s="390"/>
      <c r="AH45" s="390"/>
      <c r="AI45" s="390"/>
      <c r="AJ45" s="390"/>
      <c r="AK45" s="390"/>
      <c r="AL45" s="390"/>
      <c r="AM45" s="390"/>
      <c r="AN45" s="390"/>
      <c r="AO45" s="390"/>
      <c r="AP45" s="390"/>
      <c r="AQ45" s="390"/>
      <c r="AR45" s="385"/>
      <c r="AS45" s="391">
        <f t="array" ref="AS45">SUM(COUNTIF(N45:AR45, {"◎","〇","☆","共","特","浴"}))</f>
        <v>0</v>
      </c>
      <c r="AT45" s="395"/>
      <c r="AU45" s="393"/>
      <c r="AV45" s="393"/>
      <c r="AW45" s="393"/>
      <c r="AX45" s="393"/>
      <c r="AY45" s="393"/>
      <c r="AZ45" s="393"/>
      <c r="BA45" s="393"/>
      <c r="BB45" s="394"/>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6"/>
      <c r="BM45" s="186"/>
      <c r="BN45" s="186"/>
      <c r="BO45" s="186"/>
      <c r="BP45" s="186"/>
      <c r="BQ45" s="186"/>
      <c r="BR45" s="186"/>
      <c r="BS45" s="186"/>
      <c r="BT45" s="186"/>
      <c r="BU45" s="186"/>
      <c r="BV45" s="186"/>
      <c r="BW45" s="186"/>
      <c r="BX45" s="186"/>
    </row>
    <row r="46">
      <c r="A46" s="186"/>
      <c r="B46" s="372" t="str">
        <f t="shared" si="4"/>
        <v/>
      </c>
      <c r="C46" s="381" t="str">
        <f t="shared" si="5"/>
        <v/>
      </c>
      <c r="D46" s="186"/>
      <c r="E46" s="372" t="str">
        <f t="shared" si="6"/>
        <v/>
      </c>
      <c r="F46" s="381" t="str">
        <f t="shared" si="7"/>
        <v/>
      </c>
      <c r="G46" s="186"/>
      <c r="H46" s="186"/>
      <c r="I46" s="168" t="b">
        <v>0</v>
      </c>
      <c r="J46" s="362"/>
      <c r="K46" s="382"/>
      <c r="L46" s="383"/>
      <c r="M46" s="389"/>
      <c r="N46" s="390"/>
      <c r="O46" s="390"/>
      <c r="P46" s="390"/>
      <c r="Q46" s="390"/>
      <c r="R46" s="390"/>
      <c r="S46" s="390"/>
      <c r="T46" s="390"/>
      <c r="U46" s="390"/>
      <c r="V46" s="390"/>
      <c r="W46" s="390"/>
      <c r="X46" s="390"/>
      <c r="Y46" s="390"/>
      <c r="Z46" s="390"/>
      <c r="AA46" s="390"/>
      <c r="AB46" s="390"/>
      <c r="AC46" s="390"/>
      <c r="AD46" s="390"/>
      <c r="AE46" s="390"/>
      <c r="AF46" s="390"/>
      <c r="AG46" s="390"/>
      <c r="AH46" s="390"/>
      <c r="AI46" s="390"/>
      <c r="AJ46" s="390"/>
      <c r="AK46" s="390"/>
      <c r="AL46" s="390"/>
      <c r="AM46" s="390"/>
      <c r="AN46" s="390"/>
      <c r="AO46" s="390"/>
      <c r="AP46" s="390"/>
      <c r="AQ46" s="390"/>
      <c r="AR46" s="385"/>
      <c r="AS46" s="391">
        <f t="array" ref="AS46">SUM(COUNTIF(N46:AR46, {"◎","〇","☆","共","特","浴"}))</f>
        <v>0</v>
      </c>
      <c r="AT46" s="395"/>
      <c r="AU46" s="393"/>
      <c r="AV46" s="393"/>
      <c r="AW46" s="393"/>
      <c r="AX46" s="393"/>
      <c r="AY46" s="393"/>
      <c r="AZ46" s="393"/>
      <c r="BA46" s="393"/>
      <c r="BB46" s="394"/>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6"/>
      <c r="BM46" s="186"/>
      <c r="BN46" s="186"/>
      <c r="BO46" s="186"/>
      <c r="BP46" s="186"/>
      <c r="BQ46" s="186"/>
      <c r="BR46" s="186"/>
      <c r="BS46" s="186"/>
      <c r="BT46" s="186"/>
      <c r="BU46" s="186"/>
      <c r="BV46" s="186"/>
      <c r="BW46" s="186"/>
      <c r="BX46" s="186"/>
    </row>
    <row r="47">
      <c r="A47" s="186"/>
      <c r="B47" s="372" t="str">
        <f t="shared" si="4"/>
        <v/>
      </c>
      <c r="C47" s="381" t="str">
        <f t="shared" si="5"/>
        <v/>
      </c>
      <c r="D47" s="186"/>
      <c r="E47" s="372" t="str">
        <f t="shared" si="6"/>
        <v/>
      </c>
      <c r="F47" s="381" t="str">
        <f t="shared" si="7"/>
        <v/>
      </c>
      <c r="G47" s="186"/>
      <c r="H47" s="186"/>
      <c r="I47" s="168" t="b">
        <v>0</v>
      </c>
      <c r="J47" s="362"/>
      <c r="K47" s="382"/>
      <c r="L47" s="383"/>
      <c r="M47" s="389"/>
      <c r="N47" s="390"/>
      <c r="O47" s="390"/>
      <c r="P47" s="390"/>
      <c r="Q47" s="390"/>
      <c r="R47" s="390"/>
      <c r="S47" s="390"/>
      <c r="T47" s="390"/>
      <c r="U47" s="390"/>
      <c r="V47" s="390"/>
      <c r="W47" s="390"/>
      <c r="X47" s="390"/>
      <c r="Y47" s="390"/>
      <c r="Z47" s="390"/>
      <c r="AA47" s="390"/>
      <c r="AB47" s="390"/>
      <c r="AC47" s="390"/>
      <c r="AD47" s="390"/>
      <c r="AE47" s="390"/>
      <c r="AF47" s="390"/>
      <c r="AG47" s="390"/>
      <c r="AH47" s="390"/>
      <c r="AI47" s="390"/>
      <c r="AJ47" s="390"/>
      <c r="AK47" s="390"/>
      <c r="AL47" s="390"/>
      <c r="AM47" s="390"/>
      <c r="AN47" s="390"/>
      <c r="AO47" s="390"/>
      <c r="AP47" s="390"/>
      <c r="AQ47" s="390"/>
      <c r="AR47" s="385"/>
      <c r="AS47" s="391">
        <f t="array" ref="AS47">SUM(COUNTIF(N47:AR47, {"◎","〇","☆","共","特","浴"}))</f>
        <v>0</v>
      </c>
      <c r="AT47" s="392"/>
      <c r="AU47" s="393"/>
      <c r="AV47" s="393"/>
      <c r="AW47" s="393"/>
      <c r="AX47" s="393"/>
      <c r="AY47" s="393"/>
      <c r="AZ47" s="393"/>
      <c r="BA47" s="393"/>
      <c r="BB47" s="394"/>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6"/>
      <c r="BM47" s="186"/>
      <c r="BN47" s="186"/>
      <c r="BO47" s="186"/>
      <c r="BP47" s="186"/>
      <c r="BQ47" s="186"/>
      <c r="BR47" s="186"/>
      <c r="BS47" s="186"/>
      <c r="BT47" s="186"/>
      <c r="BU47" s="186"/>
      <c r="BV47" s="186"/>
      <c r="BW47" s="186"/>
      <c r="BX47" s="186"/>
    </row>
    <row r="48">
      <c r="A48" s="186"/>
      <c r="B48" s="372" t="str">
        <f t="shared" si="4"/>
        <v/>
      </c>
      <c r="C48" s="381" t="str">
        <f t="shared" si="5"/>
        <v/>
      </c>
      <c r="D48" s="186"/>
      <c r="E48" s="372" t="str">
        <f t="shared" si="6"/>
        <v/>
      </c>
      <c r="F48" s="381" t="str">
        <f t="shared" si="7"/>
        <v/>
      </c>
      <c r="G48" s="186"/>
      <c r="H48" s="186"/>
      <c r="I48" s="168" t="b">
        <v>0</v>
      </c>
      <c r="J48" s="362"/>
      <c r="K48" s="382"/>
      <c r="L48" s="383"/>
      <c r="M48" s="389"/>
      <c r="N48" s="390"/>
      <c r="O48" s="390"/>
      <c r="P48" s="390"/>
      <c r="Q48" s="390"/>
      <c r="R48" s="390"/>
      <c r="S48" s="390"/>
      <c r="T48" s="390"/>
      <c r="U48" s="390"/>
      <c r="V48" s="390"/>
      <c r="W48" s="390"/>
      <c r="X48" s="390"/>
      <c r="Y48" s="390"/>
      <c r="Z48" s="390"/>
      <c r="AA48" s="390"/>
      <c r="AB48" s="390"/>
      <c r="AC48" s="390"/>
      <c r="AD48" s="390"/>
      <c r="AE48" s="390"/>
      <c r="AF48" s="390"/>
      <c r="AG48" s="390"/>
      <c r="AH48" s="390"/>
      <c r="AI48" s="390"/>
      <c r="AJ48" s="390"/>
      <c r="AK48" s="390"/>
      <c r="AL48" s="390"/>
      <c r="AM48" s="390"/>
      <c r="AN48" s="390"/>
      <c r="AO48" s="390"/>
      <c r="AP48" s="390"/>
      <c r="AQ48" s="390"/>
      <c r="AR48" s="385"/>
      <c r="AS48" s="391">
        <f t="array" ref="AS48">SUM(COUNTIF(N48:AR48, {"◎","〇","☆","共","特","浴"}))</f>
        <v>0</v>
      </c>
      <c r="AT48" s="395"/>
      <c r="AU48" s="393"/>
      <c r="AV48" s="393"/>
      <c r="AW48" s="393"/>
      <c r="AX48" s="393"/>
      <c r="AY48" s="393"/>
      <c r="AZ48" s="393"/>
      <c r="BA48" s="393"/>
      <c r="BB48" s="394"/>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6"/>
      <c r="BM48" s="186"/>
      <c r="BN48" s="186"/>
      <c r="BO48" s="186"/>
      <c r="BP48" s="186"/>
      <c r="BQ48" s="186"/>
      <c r="BR48" s="186"/>
      <c r="BS48" s="186"/>
      <c r="BT48" s="186"/>
      <c r="BU48" s="186"/>
      <c r="BV48" s="186"/>
      <c r="BW48" s="186"/>
      <c r="BX48" s="186"/>
    </row>
    <row r="49">
      <c r="A49" s="186"/>
      <c r="B49" s="372" t="str">
        <f t="shared" si="4"/>
        <v/>
      </c>
      <c r="C49" s="381" t="str">
        <f t="shared" si="5"/>
        <v/>
      </c>
      <c r="D49" s="186"/>
      <c r="E49" s="372" t="str">
        <f t="shared" si="6"/>
        <v/>
      </c>
      <c r="F49" s="381" t="str">
        <f t="shared" si="7"/>
        <v/>
      </c>
      <c r="G49" s="186"/>
      <c r="H49" s="186"/>
      <c r="I49" s="168" t="b">
        <v>0</v>
      </c>
      <c r="J49" s="362"/>
      <c r="K49" s="382"/>
      <c r="L49" s="383"/>
      <c r="M49" s="389"/>
      <c r="N49" s="390"/>
      <c r="O49" s="390"/>
      <c r="P49" s="385"/>
      <c r="Q49" s="390"/>
      <c r="R49" s="390"/>
      <c r="S49" s="390"/>
      <c r="T49" s="390"/>
      <c r="U49" s="390"/>
      <c r="V49" s="390"/>
      <c r="W49" s="390"/>
      <c r="X49" s="390"/>
      <c r="Y49" s="390"/>
      <c r="Z49" s="390"/>
      <c r="AA49" s="390"/>
      <c r="AB49" s="390"/>
      <c r="AC49" s="390"/>
      <c r="AD49" s="390"/>
      <c r="AE49" s="390"/>
      <c r="AF49" s="390"/>
      <c r="AG49" s="390"/>
      <c r="AH49" s="390"/>
      <c r="AI49" s="390"/>
      <c r="AJ49" s="390"/>
      <c r="AK49" s="390"/>
      <c r="AL49" s="390"/>
      <c r="AM49" s="390"/>
      <c r="AN49" s="390"/>
      <c r="AO49" s="390"/>
      <c r="AP49" s="390"/>
      <c r="AQ49" s="385"/>
      <c r="AR49" s="385"/>
      <c r="AS49" s="391">
        <f t="array" ref="AS49">SUM(COUNTIF(N49:AR49, {"◎","〇","☆","共","特","浴"}))</f>
        <v>0</v>
      </c>
      <c r="AT49" s="395"/>
      <c r="AU49" s="393"/>
      <c r="AV49" s="393"/>
      <c r="AW49" s="393"/>
      <c r="AX49" s="393"/>
      <c r="AY49" s="393"/>
      <c r="AZ49" s="393"/>
      <c r="BA49" s="393"/>
      <c r="BB49" s="394"/>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6"/>
      <c r="BM49" s="186"/>
      <c r="BN49" s="186"/>
      <c r="BO49" s="186"/>
      <c r="BP49" s="186"/>
      <c r="BQ49" s="186"/>
      <c r="BR49" s="186"/>
      <c r="BS49" s="186"/>
      <c r="BT49" s="186"/>
      <c r="BU49" s="186"/>
      <c r="BV49" s="186"/>
      <c r="BW49" s="186"/>
      <c r="BX49" s="186"/>
    </row>
    <row r="50">
      <c r="A50" s="186"/>
      <c r="B50" s="372" t="str">
        <f t="shared" si="4"/>
        <v/>
      </c>
      <c r="C50" s="381" t="str">
        <f t="shared" si="5"/>
        <v/>
      </c>
      <c r="D50" s="186"/>
      <c r="E50" s="372" t="str">
        <f t="shared" si="6"/>
        <v/>
      </c>
      <c r="F50" s="381" t="str">
        <f t="shared" si="7"/>
        <v/>
      </c>
      <c r="G50" s="186"/>
      <c r="H50" s="186"/>
      <c r="I50" s="168" t="b">
        <v>0</v>
      </c>
      <c r="J50" s="362"/>
      <c r="K50" s="382"/>
      <c r="L50" s="383"/>
      <c r="M50" s="389"/>
      <c r="N50" s="385"/>
      <c r="O50" s="385"/>
      <c r="P50" s="385"/>
      <c r="Q50" s="385"/>
      <c r="R50" s="390"/>
      <c r="S50" s="385"/>
      <c r="T50" s="385"/>
      <c r="U50" s="385"/>
      <c r="V50" s="385"/>
      <c r="W50" s="385"/>
      <c r="X50" s="390"/>
      <c r="Y50" s="390"/>
      <c r="Z50" s="390"/>
      <c r="AA50" s="390"/>
      <c r="AB50" s="385"/>
      <c r="AC50" s="385"/>
      <c r="AD50" s="385"/>
      <c r="AE50" s="390"/>
      <c r="AF50" s="390"/>
      <c r="AG50" s="390"/>
      <c r="AH50" s="390"/>
      <c r="AI50" s="385"/>
      <c r="AJ50" s="385"/>
      <c r="AK50" s="385"/>
      <c r="AL50" s="390"/>
      <c r="AM50" s="390"/>
      <c r="AN50" s="390"/>
      <c r="AO50" s="390"/>
      <c r="AP50" s="390"/>
      <c r="AQ50" s="385"/>
      <c r="AR50" s="385"/>
      <c r="AS50" s="391">
        <f t="array" ref="AS50">SUM(COUNTIF(N50:AR50, {"◎","〇","☆","共","特","浴"}))</f>
        <v>0</v>
      </c>
      <c r="AT50" s="395"/>
      <c r="AU50" s="393"/>
      <c r="AV50" s="393"/>
      <c r="AW50" s="393"/>
      <c r="AX50" s="393"/>
      <c r="AY50" s="393"/>
      <c r="AZ50" s="393"/>
      <c r="BA50" s="393"/>
      <c r="BB50" s="394"/>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6"/>
      <c r="BM50" s="186"/>
      <c r="BN50" s="186"/>
      <c r="BO50" s="186"/>
      <c r="BP50" s="186"/>
      <c r="BQ50" s="186"/>
      <c r="BR50" s="186"/>
      <c r="BS50" s="186"/>
      <c r="BT50" s="186"/>
      <c r="BU50" s="186"/>
      <c r="BV50" s="186"/>
      <c r="BW50" s="186"/>
      <c r="BX50" s="186"/>
    </row>
    <row r="51">
      <c r="A51" s="186"/>
      <c r="B51" s="372" t="str">
        <f t="shared" si="4"/>
        <v/>
      </c>
      <c r="C51" s="381" t="str">
        <f t="shared" si="5"/>
        <v/>
      </c>
      <c r="D51" s="186"/>
      <c r="E51" s="372" t="str">
        <f t="shared" si="6"/>
        <v/>
      </c>
      <c r="F51" s="381" t="str">
        <f t="shared" si="7"/>
        <v/>
      </c>
      <c r="G51" s="186"/>
      <c r="H51" s="186"/>
      <c r="I51" s="168" t="b">
        <v>0</v>
      </c>
      <c r="J51" s="362"/>
      <c r="K51" s="382"/>
      <c r="L51" s="383"/>
      <c r="M51" s="389"/>
      <c r="N51" s="390"/>
      <c r="O51" s="390"/>
      <c r="P51" s="390"/>
      <c r="Q51" s="390"/>
      <c r="R51" s="390"/>
      <c r="S51" s="390"/>
      <c r="T51" s="390"/>
      <c r="U51" s="390"/>
      <c r="V51" s="390"/>
      <c r="W51" s="390"/>
      <c r="X51" s="390"/>
      <c r="Y51" s="390"/>
      <c r="Z51" s="390"/>
      <c r="AA51" s="390"/>
      <c r="AB51" s="390"/>
      <c r="AC51" s="390"/>
      <c r="AD51" s="390"/>
      <c r="AE51" s="390"/>
      <c r="AF51" s="390"/>
      <c r="AG51" s="390"/>
      <c r="AH51" s="390"/>
      <c r="AI51" s="390"/>
      <c r="AJ51" s="390"/>
      <c r="AK51" s="390"/>
      <c r="AL51" s="390"/>
      <c r="AM51" s="390"/>
      <c r="AN51" s="390"/>
      <c r="AO51" s="390"/>
      <c r="AP51" s="390"/>
      <c r="AQ51" s="390"/>
      <c r="AR51" s="385"/>
      <c r="AS51" s="391">
        <f t="array" ref="AS51">SUM(COUNTIF(N51:AR51, {"◎","〇","☆","共","特","浴"}))</f>
        <v>0</v>
      </c>
      <c r="AT51" s="395"/>
      <c r="AU51" s="393"/>
      <c r="AV51" s="393"/>
      <c r="AW51" s="393"/>
      <c r="AX51" s="393"/>
      <c r="AY51" s="393"/>
      <c r="AZ51" s="393"/>
      <c r="BA51" s="393"/>
      <c r="BB51" s="394"/>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6"/>
      <c r="BM51" s="186"/>
      <c r="BN51" s="186"/>
      <c r="BO51" s="186"/>
      <c r="BP51" s="186"/>
      <c r="BQ51" s="186"/>
      <c r="BR51" s="186"/>
      <c r="BS51" s="186"/>
      <c r="BT51" s="186"/>
      <c r="BU51" s="186"/>
      <c r="BV51" s="186"/>
      <c r="BW51" s="186"/>
      <c r="BX51" s="186"/>
    </row>
    <row r="52">
      <c r="A52" s="186"/>
      <c r="B52" s="372" t="str">
        <f t="shared" si="4"/>
        <v/>
      </c>
      <c r="C52" s="381" t="str">
        <f t="shared" si="5"/>
        <v/>
      </c>
      <c r="D52" s="186"/>
      <c r="E52" s="372" t="str">
        <f t="shared" si="6"/>
        <v/>
      </c>
      <c r="F52" s="381" t="str">
        <f t="shared" si="7"/>
        <v/>
      </c>
      <c r="G52" s="186"/>
      <c r="H52" s="186"/>
      <c r="I52" s="168" t="b">
        <v>0</v>
      </c>
      <c r="J52" s="362"/>
      <c r="K52" s="382"/>
      <c r="L52" s="383"/>
      <c r="M52" s="384"/>
      <c r="N52" s="390"/>
      <c r="O52" s="390"/>
      <c r="P52" s="390"/>
      <c r="Q52" s="390"/>
      <c r="R52" s="390"/>
      <c r="S52" s="390"/>
      <c r="T52" s="390"/>
      <c r="U52" s="390"/>
      <c r="V52" s="390"/>
      <c r="W52" s="390"/>
      <c r="X52" s="390"/>
      <c r="Y52" s="390"/>
      <c r="Z52" s="390"/>
      <c r="AA52" s="390"/>
      <c r="AB52" s="390"/>
      <c r="AC52" s="390"/>
      <c r="AD52" s="390"/>
      <c r="AE52" s="390"/>
      <c r="AF52" s="390"/>
      <c r="AG52" s="390"/>
      <c r="AH52" s="390"/>
      <c r="AI52" s="390"/>
      <c r="AJ52" s="390"/>
      <c r="AK52" s="390"/>
      <c r="AL52" s="390"/>
      <c r="AM52" s="390"/>
      <c r="AN52" s="390"/>
      <c r="AO52" s="390"/>
      <c r="AP52" s="390"/>
      <c r="AQ52" s="390"/>
      <c r="AR52" s="385"/>
      <c r="AS52" s="391">
        <f t="array" ref="AS52">SUM(COUNTIF(N52:AR52, {"◎","〇","☆","共","特","浴"}))</f>
        <v>0</v>
      </c>
      <c r="AT52" s="392"/>
      <c r="AU52" s="393"/>
      <c r="AV52" s="393"/>
      <c r="AW52" s="393"/>
      <c r="AX52" s="393"/>
      <c r="AY52" s="393"/>
      <c r="AZ52" s="393"/>
      <c r="BA52" s="393"/>
      <c r="BB52" s="394"/>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6"/>
      <c r="BM52" s="186"/>
      <c r="BN52" s="186"/>
      <c r="BO52" s="186"/>
      <c r="BP52" s="186"/>
      <c r="BQ52" s="186"/>
      <c r="BR52" s="186"/>
      <c r="BS52" s="186"/>
      <c r="BT52" s="186"/>
      <c r="BU52" s="186"/>
      <c r="BV52" s="186"/>
      <c r="BW52" s="186"/>
      <c r="BX52" s="186"/>
    </row>
    <row r="53">
      <c r="A53" s="186"/>
      <c r="B53" s="372" t="str">
        <f t="shared" si="4"/>
        <v/>
      </c>
      <c r="C53" s="381" t="str">
        <f t="shared" si="5"/>
        <v/>
      </c>
      <c r="D53" s="186"/>
      <c r="E53" s="372" t="str">
        <f t="shared" si="6"/>
        <v/>
      </c>
      <c r="F53" s="381" t="str">
        <f t="shared" si="7"/>
        <v/>
      </c>
      <c r="G53" s="186"/>
      <c r="H53" s="186"/>
      <c r="I53" s="168" t="b">
        <v>0</v>
      </c>
      <c r="J53" s="362"/>
      <c r="K53" s="382"/>
      <c r="L53" s="383"/>
      <c r="M53" s="384"/>
      <c r="N53" s="390"/>
      <c r="O53" s="390"/>
      <c r="P53" s="390"/>
      <c r="Q53" s="390"/>
      <c r="R53" s="390"/>
      <c r="S53" s="390"/>
      <c r="T53" s="390"/>
      <c r="U53" s="390"/>
      <c r="V53" s="390"/>
      <c r="W53" s="390"/>
      <c r="X53" s="390"/>
      <c r="Y53" s="390"/>
      <c r="Z53" s="390"/>
      <c r="AA53" s="390"/>
      <c r="AB53" s="390"/>
      <c r="AC53" s="390"/>
      <c r="AD53" s="390"/>
      <c r="AE53" s="390"/>
      <c r="AF53" s="390"/>
      <c r="AG53" s="390"/>
      <c r="AH53" s="390"/>
      <c r="AI53" s="390"/>
      <c r="AJ53" s="390"/>
      <c r="AK53" s="390"/>
      <c r="AL53" s="390"/>
      <c r="AM53" s="390"/>
      <c r="AN53" s="390"/>
      <c r="AO53" s="390"/>
      <c r="AP53" s="390"/>
      <c r="AQ53" s="390"/>
      <c r="AR53" s="385"/>
      <c r="AS53" s="391">
        <f t="array" ref="AS53">SUM(COUNTIF(N53:AR53, {"◎","〇","☆","共","特","浴"}))</f>
        <v>0</v>
      </c>
      <c r="AT53" s="392"/>
      <c r="AU53" s="393"/>
      <c r="AV53" s="393"/>
      <c r="AW53" s="393"/>
      <c r="AX53" s="393"/>
      <c r="AY53" s="393"/>
      <c r="AZ53" s="393"/>
      <c r="BA53" s="393"/>
      <c r="BB53" s="394"/>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6"/>
      <c r="BM53" s="186"/>
      <c r="BN53" s="186"/>
      <c r="BO53" s="186"/>
      <c r="BP53" s="186"/>
      <c r="BQ53" s="186"/>
      <c r="BR53" s="186"/>
      <c r="BS53" s="186"/>
      <c r="BT53" s="186"/>
      <c r="BU53" s="186"/>
      <c r="BV53" s="186"/>
      <c r="BW53" s="186"/>
      <c r="BX53" s="186"/>
    </row>
    <row r="54">
      <c r="A54" s="186"/>
      <c r="B54" s="372" t="str">
        <f t="shared" si="4"/>
        <v/>
      </c>
      <c r="C54" s="381" t="str">
        <f t="shared" si="5"/>
        <v/>
      </c>
      <c r="D54" s="186"/>
      <c r="E54" s="372" t="str">
        <f t="shared" si="6"/>
        <v/>
      </c>
      <c r="F54" s="381" t="str">
        <f t="shared" si="7"/>
        <v/>
      </c>
      <c r="G54" s="186"/>
      <c r="H54" s="186"/>
      <c r="I54" s="168" t="b">
        <v>0</v>
      </c>
      <c r="J54" s="362"/>
      <c r="K54" s="382"/>
      <c r="L54" s="383"/>
      <c r="M54" s="389"/>
      <c r="N54" s="390"/>
      <c r="O54" s="390"/>
      <c r="P54" s="390"/>
      <c r="Q54" s="390"/>
      <c r="R54" s="390"/>
      <c r="S54" s="390"/>
      <c r="T54" s="390"/>
      <c r="U54" s="390"/>
      <c r="V54" s="390"/>
      <c r="W54" s="390"/>
      <c r="X54" s="390"/>
      <c r="Y54" s="390"/>
      <c r="Z54" s="390"/>
      <c r="AA54" s="390"/>
      <c r="AB54" s="390"/>
      <c r="AC54" s="390"/>
      <c r="AD54" s="390"/>
      <c r="AE54" s="390"/>
      <c r="AF54" s="390"/>
      <c r="AG54" s="390"/>
      <c r="AH54" s="390"/>
      <c r="AI54" s="390"/>
      <c r="AJ54" s="390"/>
      <c r="AK54" s="390"/>
      <c r="AL54" s="390"/>
      <c r="AM54" s="390"/>
      <c r="AN54" s="390"/>
      <c r="AO54" s="390"/>
      <c r="AP54" s="390"/>
      <c r="AQ54" s="390"/>
      <c r="AR54" s="385"/>
      <c r="AS54" s="391">
        <f t="array" ref="AS54">SUM(COUNTIF(N54:AR54, {"◎","〇","☆","共","特","浴"}))</f>
        <v>0</v>
      </c>
      <c r="AT54" s="392"/>
      <c r="AU54" s="393"/>
      <c r="AV54" s="393"/>
      <c r="AW54" s="393"/>
      <c r="AX54" s="393"/>
      <c r="AY54" s="393"/>
      <c r="AZ54" s="393"/>
      <c r="BA54" s="393"/>
      <c r="BB54" s="394"/>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6"/>
      <c r="BM54" s="186"/>
      <c r="BN54" s="186"/>
      <c r="BO54" s="186"/>
      <c r="BP54" s="186"/>
      <c r="BQ54" s="186"/>
      <c r="BR54" s="186"/>
      <c r="BS54" s="186"/>
      <c r="BT54" s="186"/>
      <c r="BU54" s="186"/>
      <c r="BV54" s="186"/>
      <c r="BW54" s="186"/>
      <c r="BX54" s="186"/>
    </row>
    <row r="55">
      <c r="A55" s="186"/>
      <c r="B55" s="372" t="str">
        <f t="shared" si="4"/>
        <v/>
      </c>
      <c r="C55" s="381" t="str">
        <f t="shared" si="5"/>
        <v/>
      </c>
      <c r="D55" s="186"/>
      <c r="E55" s="372" t="str">
        <f t="shared" si="6"/>
        <v/>
      </c>
      <c r="F55" s="381" t="str">
        <f t="shared" si="7"/>
        <v/>
      </c>
      <c r="G55" s="186"/>
      <c r="H55" s="186"/>
      <c r="I55" s="168" t="b">
        <v>0</v>
      </c>
      <c r="J55" s="362"/>
      <c r="K55" s="382"/>
      <c r="L55" s="383"/>
      <c r="M55" s="389"/>
      <c r="N55" s="390"/>
      <c r="O55" s="390"/>
      <c r="P55" s="390"/>
      <c r="Q55" s="390"/>
      <c r="R55" s="390"/>
      <c r="S55" s="390"/>
      <c r="T55" s="390"/>
      <c r="U55" s="390"/>
      <c r="V55" s="390"/>
      <c r="W55" s="390"/>
      <c r="X55" s="390"/>
      <c r="Y55" s="390"/>
      <c r="Z55" s="390"/>
      <c r="AA55" s="390"/>
      <c r="AB55" s="390"/>
      <c r="AC55" s="390"/>
      <c r="AD55" s="390"/>
      <c r="AE55" s="390"/>
      <c r="AF55" s="390"/>
      <c r="AG55" s="390"/>
      <c r="AH55" s="390"/>
      <c r="AI55" s="390"/>
      <c r="AJ55" s="390"/>
      <c r="AK55" s="390"/>
      <c r="AL55" s="390"/>
      <c r="AM55" s="390"/>
      <c r="AN55" s="390"/>
      <c r="AO55" s="390"/>
      <c r="AP55" s="390"/>
      <c r="AQ55" s="390"/>
      <c r="AR55" s="390"/>
      <c r="AS55" s="391">
        <f t="array" ref="AS55">SUM(COUNTIF(N55:AR55, {"◎","〇","☆","共","特","浴"}))</f>
        <v>0</v>
      </c>
      <c r="AT55" s="392"/>
      <c r="AU55" s="393"/>
      <c r="AV55" s="393"/>
      <c r="AW55" s="393"/>
      <c r="AX55" s="393"/>
      <c r="AY55" s="393"/>
      <c r="AZ55" s="393"/>
      <c r="BA55" s="393"/>
      <c r="BB55" s="394"/>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6"/>
      <c r="BM55" s="186"/>
      <c r="BN55" s="186"/>
      <c r="BO55" s="186"/>
      <c r="BP55" s="186"/>
      <c r="BQ55" s="186"/>
      <c r="BR55" s="186"/>
      <c r="BS55" s="186"/>
      <c r="BT55" s="186"/>
      <c r="BU55" s="186"/>
      <c r="BV55" s="186"/>
      <c r="BW55" s="186"/>
      <c r="BX55" s="186"/>
    </row>
    <row r="56">
      <c r="A56" s="186"/>
      <c r="B56" s="372" t="str">
        <f t="shared" si="4"/>
        <v/>
      </c>
      <c r="C56" s="381" t="str">
        <f t="shared" si="5"/>
        <v/>
      </c>
      <c r="D56" s="186"/>
      <c r="E56" s="372" t="str">
        <f t="shared" si="6"/>
        <v/>
      </c>
      <c r="F56" s="381" t="str">
        <f t="shared" si="7"/>
        <v/>
      </c>
      <c r="G56" s="186"/>
      <c r="H56" s="186"/>
      <c r="I56" s="168" t="b">
        <v>0</v>
      </c>
      <c r="J56" s="362"/>
      <c r="K56" s="382"/>
      <c r="L56" s="383"/>
      <c r="M56" s="389"/>
      <c r="N56" s="390"/>
      <c r="O56" s="390"/>
      <c r="P56" s="390"/>
      <c r="Q56" s="390"/>
      <c r="R56" s="390"/>
      <c r="S56" s="390"/>
      <c r="T56" s="390"/>
      <c r="U56" s="390"/>
      <c r="V56" s="390"/>
      <c r="W56" s="390"/>
      <c r="X56" s="390"/>
      <c r="Y56" s="390"/>
      <c r="Z56" s="390"/>
      <c r="AA56" s="390"/>
      <c r="AB56" s="390"/>
      <c r="AC56" s="390"/>
      <c r="AD56" s="390"/>
      <c r="AE56" s="390"/>
      <c r="AF56" s="390"/>
      <c r="AG56" s="390"/>
      <c r="AH56" s="390"/>
      <c r="AI56" s="390"/>
      <c r="AJ56" s="390"/>
      <c r="AK56" s="390"/>
      <c r="AL56" s="390"/>
      <c r="AM56" s="390"/>
      <c r="AN56" s="390"/>
      <c r="AO56" s="390"/>
      <c r="AP56" s="390"/>
      <c r="AQ56" s="390"/>
      <c r="AR56" s="385"/>
      <c r="AS56" s="391">
        <f t="array" ref="AS56">SUM(COUNTIF(N56:AR56, {"◎","〇","☆","共","特","浴"}))</f>
        <v>0</v>
      </c>
      <c r="AT56" s="395"/>
      <c r="AU56" s="393"/>
      <c r="AV56" s="393"/>
      <c r="AW56" s="393"/>
      <c r="AX56" s="393"/>
      <c r="AY56" s="393"/>
      <c r="AZ56" s="393"/>
      <c r="BA56" s="393"/>
      <c r="BB56" s="394"/>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6"/>
      <c r="BM56" s="186"/>
      <c r="BN56" s="186"/>
      <c r="BO56" s="186"/>
      <c r="BP56" s="186"/>
      <c r="BQ56" s="186"/>
      <c r="BR56" s="186"/>
      <c r="BS56" s="186"/>
      <c r="BT56" s="186"/>
      <c r="BU56" s="186"/>
      <c r="BV56" s="186"/>
      <c r="BW56" s="186"/>
      <c r="BX56" s="186"/>
    </row>
    <row r="57">
      <c r="A57" s="186"/>
      <c r="B57" s="372" t="str">
        <f t="shared" si="4"/>
        <v/>
      </c>
      <c r="C57" s="381" t="str">
        <f t="shared" si="5"/>
        <v/>
      </c>
      <c r="D57" s="186"/>
      <c r="E57" s="372" t="str">
        <f t="shared" si="6"/>
        <v/>
      </c>
      <c r="F57" s="381" t="str">
        <f t="shared" si="7"/>
        <v/>
      </c>
      <c r="G57" s="186"/>
      <c r="H57" s="186"/>
      <c r="I57" s="168" t="b">
        <v>0</v>
      </c>
      <c r="J57" s="362"/>
      <c r="K57" s="382"/>
      <c r="L57" s="383"/>
      <c r="M57" s="389"/>
      <c r="N57" s="390"/>
      <c r="O57" s="390"/>
      <c r="P57" s="390"/>
      <c r="Q57" s="390"/>
      <c r="R57" s="390"/>
      <c r="S57" s="390"/>
      <c r="T57" s="385"/>
      <c r="U57" s="390"/>
      <c r="V57" s="390"/>
      <c r="W57" s="390"/>
      <c r="X57" s="390"/>
      <c r="Y57" s="390"/>
      <c r="Z57" s="390"/>
      <c r="AA57" s="385"/>
      <c r="AB57" s="390"/>
      <c r="AC57" s="390"/>
      <c r="AD57" s="390"/>
      <c r="AE57" s="390"/>
      <c r="AF57" s="390"/>
      <c r="AG57" s="390"/>
      <c r="AH57" s="390"/>
      <c r="AI57" s="390"/>
      <c r="AJ57" s="390"/>
      <c r="AK57" s="390"/>
      <c r="AL57" s="390"/>
      <c r="AM57" s="390"/>
      <c r="AN57" s="390"/>
      <c r="AO57" s="385"/>
      <c r="AP57" s="385"/>
      <c r="AQ57" s="385"/>
      <c r="AR57" s="385"/>
      <c r="AS57" s="391">
        <f t="array" ref="AS57">SUM(COUNTIF(N57:AR57, {"◎","〇","☆","共","特","浴"}))</f>
        <v>0</v>
      </c>
      <c r="AT57" s="395"/>
      <c r="AU57" s="393"/>
      <c r="AV57" s="393"/>
      <c r="AW57" s="393"/>
      <c r="AX57" s="393"/>
      <c r="AY57" s="393"/>
      <c r="AZ57" s="393"/>
      <c r="BA57" s="393"/>
      <c r="BB57" s="394"/>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6"/>
      <c r="BM57" s="186"/>
      <c r="BN57" s="186"/>
      <c r="BO57" s="186"/>
      <c r="BP57" s="186"/>
      <c r="BQ57" s="186"/>
      <c r="BR57" s="186"/>
      <c r="BS57" s="186"/>
      <c r="BT57" s="186"/>
      <c r="BU57" s="186"/>
      <c r="BV57" s="186"/>
      <c r="BW57" s="186"/>
      <c r="BX57" s="186"/>
    </row>
    <row r="58">
      <c r="A58" s="186"/>
      <c r="B58" s="372" t="str">
        <f t="shared" si="4"/>
        <v/>
      </c>
      <c r="C58" s="381" t="str">
        <f t="shared" si="5"/>
        <v/>
      </c>
      <c r="D58" s="186"/>
      <c r="E58" s="372" t="str">
        <f t="shared" si="6"/>
        <v/>
      </c>
      <c r="F58" s="381" t="str">
        <f t="shared" si="7"/>
        <v/>
      </c>
      <c r="G58" s="186"/>
      <c r="H58" s="186"/>
      <c r="I58" s="168" t="b">
        <v>0</v>
      </c>
      <c r="J58" s="362"/>
      <c r="K58" s="382"/>
      <c r="L58" s="383"/>
      <c r="M58" s="389"/>
      <c r="N58" s="390"/>
      <c r="O58" s="390"/>
      <c r="P58" s="390"/>
      <c r="Q58" s="385"/>
      <c r="R58" s="390"/>
      <c r="S58" s="390"/>
      <c r="T58" s="390"/>
      <c r="U58" s="390"/>
      <c r="V58" s="390"/>
      <c r="W58" s="390"/>
      <c r="X58" s="390"/>
      <c r="Y58" s="390"/>
      <c r="Z58" s="390"/>
      <c r="AA58" s="390"/>
      <c r="AB58" s="390"/>
      <c r="AC58" s="390"/>
      <c r="AD58" s="390"/>
      <c r="AE58" s="390"/>
      <c r="AF58" s="390"/>
      <c r="AG58" s="390"/>
      <c r="AH58" s="390"/>
      <c r="AI58" s="385"/>
      <c r="AJ58" s="390"/>
      <c r="AK58" s="390"/>
      <c r="AL58" s="385"/>
      <c r="AM58" s="390"/>
      <c r="AN58" s="390"/>
      <c r="AO58" s="390"/>
      <c r="AP58" s="390"/>
      <c r="AQ58" s="390"/>
      <c r="AR58" s="385"/>
      <c r="AS58" s="391">
        <f t="array" ref="AS58">SUM(COUNTIF(N58:AR58, {"◎","〇","☆","共","特","浴"}))</f>
        <v>0</v>
      </c>
      <c r="AT58" s="395"/>
      <c r="AU58" s="393"/>
      <c r="AV58" s="393"/>
      <c r="AW58" s="393"/>
      <c r="AX58" s="393"/>
      <c r="AY58" s="393"/>
      <c r="AZ58" s="393"/>
      <c r="BA58" s="393"/>
      <c r="BB58" s="394"/>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6"/>
      <c r="BM58" s="186"/>
      <c r="BN58" s="186"/>
      <c r="BO58" s="186"/>
      <c r="BP58" s="186"/>
      <c r="BQ58" s="186"/>
      <c r="BR58" s="186"/>
      <c r="BS58" s="186"/>
      <c r="BT58" s="186"/>
      <c r="BU58" s="186"/>
      <c r="BV58" s="186"/>
      <c r="BW58" s="186"/>
      <c r="BX58" s="186"/>
    </row>
    <row r="59">
      <c r="A59" s="186"/>
      <c r="B59" s="372" t="str">
        <f t="shared" si="4"/>
        <v/>
      </c>
      <c r="C59" s="381" t="str">
        <f t="shared" si="5"/>
        <v/>
      </c>
      <c r="D59" s="186"/>
      <c r="E59" s="372" t="str">
        <f t="shared" si="6"/>
        <v/>
      </c>
      <c r="F59" s="381" t="str">
        <f t="shared" si="7"/>
        <v/>
      </c>
      <c r="G59" s="186"/>
      <c r="H59" s="186"/>
      <c r="I59" s="168" t="b">
        <v>0</v>
      </c>
      <c r="J59" s="362"/>
      <c r="K59" s="382"/>
      <c r="L59" s="383"/>
      <c r="M59" s="389"/>
      <c r="N59" s="390"/>
      <c r="O59" s="385"/>
      <c r="P59" s="390"/>
      <c r="Q59" s="390"/>
      <c r="R59" s="390"/>
      <c r="S59" s="390"/>
      <c r="T59" s="385"/>
      <c r="U59" s="385"/>
      <c r="V59" s="385"/>
      <c r="W59" s="390"/>
      <c r="X59" s="390"/>
      <c r="Y59" s="390"/>
      <c r="Z59" s="390"/>
      <c r="AA59" s="385"/>
      <c r="AB59" s="390"/>
      <c r="AC59" s="390"/>
      <c r="AD59" s="390"/>
      <c r="AE59" s="390"/>
      <c r="AF59" s="390"/>
      <c r="AG59" s="390"/>
      <c r="AH59" s="390"/>
      <c r="AI59" s="390"/>
      <c r="AJ59" s="390"/>
      <c r="AK59" s="390"/>
      <c r="AL59" s="390"/>
      <c r="AM59" s="390"/>
      <c r="AN59" s="390"/>
      <c r="AO59" s="390"/>
      <c r="AP59" s="390"/>
      <c r="AQ59" s="390"/>
      <c r="AR59" s="385"/>
      <c r="AS59" s="391">
        <f t="array" ref="AS59">SUM(COUNTIF(N59:AR59, {"◎","〇","☆","共","特","浴"}))</f>
        <v>0</v>
      </c>
      <c r="AT59" s="395"/>
      <c r="AU59" s="393"/>
      <c r="AV59" s="393"/>
      <c r="AW59" s="393"/>
      <c r="AX59" s="393"/>
      <c r="AY59" s="393"/>
      <c r="AZ59" s="393"/>
      <c r="BA59" s="393"/>
      <c r="BB59" s="394"/>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6"/>
      <c r="BM59" s="186"/>
      <c r="BN59" s="186"/>
      <c r="BO59" s="186"/>
      <c r="BP59" s="186"/>
      <c r="BQ59" s="186"/>
      <c r="BR59" s="186"/>
      <c r="BS59" s="186"/>
      <c r="BT59" s="186"/>
      <c r="BU59" s="186"/>
      <c r="BV59" s="186"/>
      <c r="BW59" s="186"/>
      <c r="BX59" s="186"/>
    </row>
    <row r="60">
      <c r="A60" s="186"/>
      <c r="B60" s="372" t="str">
        <f t="shared" si="4"/>
        <v/>
      </c>
      <c r="C60" s="381" t="str">
        <f t="shared" si="5"/>
        <v/>
      </c>
      <c r="D60" s="186"/>
      <c r="E60" s="372" t="str">
        <f t="shared" si="6"/>
        <v/>
      </c>
      <c r="F60" s="381" t="str">
        <f t="shared" si="7"/>
        <v/>
      </c>
      <c r="G60" s="186"/>
      <c r="H60" s="186"/>
      <c r="I60" s="168" t="b">
        <v>0</v>
      </c>
      <c r="J60" s="362"/>
      <c r="K60" s="382"/>
      <c r="L60" s="383"/>
      <c r="M60" s="389"/>
      <c r="N60" s="390"/>
      <c r="O60" s="390"/>
      <c r="P60" s="390"/>
      <c r="Q60" s="390"/>
      <c r="R60" s="385"/>
      <c r="S60" s="390"/>
      <c r="T60" s="390"/>
      <c r="U60" s="390"/>
      <c r="V60" s="390"/>
      <c r="W60" s="390"/>
      <c r="X60" s="390"/>
      <c r="Y60" s="385"/>
      <c r="Z60" s="390"/>
      <c r="AA60" s="390"/>
      <c r="AB60" s="390"/>
      <c r="AC60" s="390"/>
      <c r="AD60" s="390"/>
      <c r="AE60" s="390"/>
      <c r="AF60" s="385"/>
      <c r="AG60" s="390"/>
      <c r="AH60" s="390"/>
      <c r="AI60" s="390"/>
      <c r="AJ60" s="390"/>
      <c r="AK60" s="390"/>
      <c r="AL60" s="390"/>
      <c r="AM60" s="385"/>
      <c r="AN60" s="390"/>
      <c r="AO60" s="390"/>
      <c r="AP60" s="390"/>
      <c r="AQ60" s="385"/>
      <c r="AR60" s="390"/>
      <c r="AS60" s="391">
        <f t="array" ref="AS60">SUM(COUNTIF(N60:AR60, {"◎","〇","☆","共","特","浴"}))</f>
        <v>0</v>
      </c>
      <c r="AT60" s="395"/>
      <c r="AU60" s="393"/>
      <c r="AV60" s="393"/>
      <c r="AW60" s="393"/>
      <c r="AX60" s="393"/>
      <c r="AY60" s="393"/>
      <c r="AZ60" s="393"/>
      <c r="BA60" s="393"/>
      <c r="BB60" s="394"/>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6"/>
      <c r="BM60" s="186"/>
      <c r="BN60" s="186"/>
      <c r="BO60" s="186"/>
      <c r="BP60" s="186"/>
      <c r="BQ60" s="186"/>
      <c r="BR60" s="186"/>
      <c r="BS60" s="186"/>
      <c r="BT60" s="186"/>
      <c r="BU60" s="186"/>
      <c r="BV60" s="186"/>
      <c r="BW60" s="186"/>
      <c r="BX60" s="186"/>
    </row>
    <row r="61">
      <c r="A61" s="186"/>
      <c r="B61" s="372" t="str">
        <f t="shared" si="4"/>
        <v/>
      </c>
      <c r="C61" s="381" t="str">
        <f t="shared" si="5"/>
        <v/>
      </c>
      <c r="D61" s="186"/>
      <c r="E61" s="372" t="str">
        <f t="shared" si="6"/>
        <v/>
      </c>
      <c r="F61" s="381" t="str">
        <f t="shared" si="7"/>
        <v/>
      </c>
      <c r="G61" s="186"/>
      <c r="H61" s="186"/>
      <c r="I61" s="168" t="b">
        <v>0</v>
      </c>
      <c r="J61" s="362"/>
      <c r="K61" s="382"/>
      <c r="L61" s="383"/>
      <c r="M61" s="389"/>
      <c r="N61" s="390"/>
      <c r="O61" s="390"/>
      <c r="P61" s="390"/>
      <c r="Q61" s="390"/>
      <c r="R61" s="390"/>
      <c r="S61" s="390"/>
      <c r="T61" s="390"/>
      <c r="U61" s="390"/>
      <c r="V61" s="390"/>
      <c r="W61" s="390"/>
      <c r="X61" s="390"/>
      <c r="Y61" s="390"/>
      <c r="Z61" s="390"/>
      <c r="AA61" s="390"/>
      <c r="AB61" s="390"/>
      <c r="AC61" s="390"/>
      <c r="AD61" s="390"/>
      <c r="AE61" s="390"/>
      <c r="AF61" s="390"/>
      <c r="AG61" s="390"/>
      <c r="AH61" s="390"/>
      <c r="AI61" s="390"/>
      <c r="AJ61" s="390"/>
      <c r="AK61" s="390"/>
      <c r="AL61" s="390"/>
      <c r="AM61" s="390"/>
      <c r="AN61" s="390"/>
      <c r="AO61" s="390"/>
      <c r="AP61" s="390"/>
      <c r="AQ61" s="390"/>
      <c r="AR61" s="390"/>
      <c r="AS61" s="391">
        <f t="array" ref="AS61">SUM(COUNTIF(N61:AR61, {"◎","〇","☆","共","特","浴"}))</f>
        <v>0</v>
      </c>
      <c r="AT61" s="395"/>
      <c r="AU61" s="393"/>
      <c r="AV61" s="393"/>
      <c r="AW61" s="393"/>
      <c r="AX61" s="393"/>
      <c r="AY61" s="393"/>
      <c r="AZ61" s="393"/>
      <c r="BA61" s="393"/>
      <c r="BB61" s="394"/>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6"/>
      <c r="BM61" s="186"/>
      <c r="BN61" s="186"/>
      <c r="BO61" s="186"/>
      <c r="BP61" s="186"/>
      <c r="BQ61" s="186"/>
      <c r="BR61" s="186"/>
      <c r="BS61" s="186"/>
      <c r="BT61" s="186"/>
      <c r="BU61" s="186"/>
      <c r="BV61" s="186"/>
      <c r="BW61" s="186"/>
      <c r="BX61" s="186"/>
    </row>
    <row r="62">
      <c r="A62" s="186"/>
      <c r="B62" s="372" t="str">
        <f t="shared" si="4"/>
        <v/>
      </c>
      <c r="C62" s="381" t="str">
        <f t="shared" si="5"/>
        <v/>
      </c>
      <c r="D62" s="186"/>
      <c r="E62" s="372" t="str">
        <f t="shared" si="6"/>
        <v/>
      </c>
      <c r="F62" s="381" t="str">
        <f t="shared" si="7"/>
        <v/>
      </c>
      <c r="G62" s="186"/>
      <c r="H62" s="186"/>
      <c r="I62" s="168" t="b">
        <v>0</v>
      </c>
      <c r="J62" s="362"/>
      <c r="K62" s="382"/>
      <c r="L62" s="383"/>
      <c r="M62" s="389"/>
      <c r="N62" s="390"/>
      <c r="O62" s="390"/>
      <c r="P62" s="390"/>
      <c r="Q62" s="390"/>
      <c r="R62" s="390"/>
      <c r="S62" s="390"/>
      <c r="T62" s="390"/>
      <c r="U62" s="390"/>
      <c r="V62" s="390"/>
      <c r="W62" s="390"/>
      <c r="X62" s="390"/>
      <c r="Y62" s="390"/>
      <c r="Z62" s="390"/>
      <c r="AA62" s="390"/>
      <c r="AB62" s="390"/>
      <c r="AC62" s="390"/>
      <c r="AD62" s="390"/>
      <c r="AE62" s="390"/>
      <c r="AF62" s="390"/>
      <c r="AG62" s="390"/>
      <c r="AH62" s="390"/>
      <c r="AI62" s="390"/>
      <c r="AJ62" s="390"/>
      <c r="AK62" s="390"/>
      <c r="AL62" s="390"/>
      <c r="AM62" s="390"/>
      <c r="AN62" s="390"/>
      <c r="AO62" s="390"/>
      <c r="AP62" s="390"/>
      <c r="AQ62" s="390"/>
      <c r="AR62" s="385"/>
      <c r="AS62" s="391">
        <f t="array" ref="AS62">SUM(COUNTIF(N62:AR62, {"◎","〇","☆","共","特","浴"}))</f>
        <v>0</v>
      </c>
      <c r="AT62" s="395"/>
      <c r="AU62" s="393"/>
      <c r="AV62" s="393"/>
      <c r="AW62" s="393"/>
      <c r="AX62" s="393"/>
      <c r="AY62" s="393"/>
      <c r="AZ62" s="393"/>
      <c r="BA62" s="393"/>
      <c r="BB62" s="394"/>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6"/>
      <c r="BM62" s="186"/>
      <c r="BN62" s="186"/>
      <c r="BO62" s="186"/>
      <c r="BP62" s="186"/>
      <c r="BQ62" s="186"/>
      <c r="BR62" s="186"/>
      <c r="BS62" s="186"/>
      <c r="BT62" s="186"/>
      <c r="BU62" s="186"/>
      <c r="BV62" s="186"/>
      <c r="BW62" s="186"/>
      <c r="BX62" s="186"/>
    </row>
    <row r="63">
      <c r="A63" s="186"/>
      <c r="B63" s="372" t="str">
        <f t="shared" si="4"/>
        <v/>
      </c>
      <c r="C63" s="381" t="str">
        <f t="shared" si="5"/>
        <v/>
      </c>
      <c r="D63" s="186"/>
      <c r="E63" s="372" t="str">
        <f t="shared" si="6"/>
        <v/>
      </c>
      <c r="F63" s="381" t="str">
        <f t="shared" si="7"/>
        <v/>
      </c>
      <c r="G63" s="186"/>
      <c r="H63" s="186"/>
      <c r="I63" s="168" t="b">
        <v>0</v>
      </c>
      <c r="J63" s="362"/>
      <c r="K63" s="382"/>
      <c r="L63" s="383"/>
      <c r="M63" s="389"/>
      <c r="N63" s="390"/>
      <c r="O63" s="390"/>
      <c r="P63" s="390"/>
      <c r="Q63" s="390"/>
      <c r="R63" s="390"/>
      <c r="S63" s="390"/>
      <c r="T63" s="390"/>
      <c r="U63" s="390"/>
      <c r="V63" s="390"/>
      <c r="W63" s="390"/>
      <c r="X63" s="390"/>
      <c r="Y63" s="390"/>
      <c r="Z63" s="390"/>
      <c r="AA63" s="390"/>
      <c r="AB63" s="390"/>
      <c r="AC63" s="390"/>
      <c r="AD63" s="390"/>
      <c r="AE63" s="390"/>
      <c r="AF63" s="390"/>
      <c r="AG63" s="390"/>
      <c r="AH63" s="390"/>
      <c r="AI63" s="390"/>
      <c r="AJ63" s="390"/>
      <c r="AK63" s="390"/>
      <c r="AL63" s="390"/>
      <c r="AM63" s="390"/>
      <c r="AN63" s="390"/>
      <c r="AO63" s="390"/>
      <c r="AP63" s="390"/>
      <c r="AQ63" s="390"/>
      <c r="AR63" s="385"/>
      <c r="AS63" s="391">
        <f t="array" ref="AS63">SUM(COUNTIF(N63:AR63, {"◎","〇","☆","共","特","浴"}))</f>
        <v>0</v>
      </c>
      <c r="AT63" s="395"/>
      <c r="AU63" s="393"/>
      <c r="AV63" s="393"/>
      <c r="AW63" s="393"/>
      <c r="AX63" s="393"/>
      <c r="AY63" s="393"/>
      <c r="AZ63" s="393"/>
      <c r="BA63" s="393"/>
      <c r="BB63" s="394"/>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6"/>
      <c r="BM63" s="186"/>
      <c r="BN63" s="186"/>
      <c r="BO63" s="186"/>
      <c r="BP63" s="186"/>
      <c r="BQ63" s="186"/>
      <c r="BR63" s="186"/>
      <c r="BS63" s="186"/>
      <c r="BT63" s="186"/>
      <c r="BU63" s="186"/>
      <c r="BV63" s="186"/>
      <c r="BW63" s="186"/>
      <c r="BX63" s="186"/>
    </row>
    <row r="64">
      <c r="A64" s="186"/>
      <c r="B64" s="372" t="str">
        <f t="shared" si="4"/>
        <v/>
      </c>
      <c r="C64" s="381" t="str">
        <f t="shared" si="5"/>
        <v/>
      </c>
      <c r="D64" s="186"/>
      <c r="E64" s="372" t="str">
        <f t="shared" si="6"/>
        <v/>
      </c>
      <c r="F64" s="381" t="str">
        <f t="shared" si="7"/>
        <v/>
      </c>
      <c r="G64" s="186"/>
      <c r="H64" s="186"/>
      <c r="I64" s="168" t="b">
        <v>0</v>
      </c>
      <c r="J64" s="362"/>
      <c r="K64" s="382"/>
      <c r="L64" s="383"/>
      <c r="M64" s="389"/>
      <c r="N64" s="390"/>
      <c r="O64" s="390"/>
      <c r="P64" s="390"/>
      <c r="Q64" s="390"/>
      <c r="R64" s="390"/>
      <c r="S64" s="390"/>
      <c r="T64" s="390"/>
      <c r="U64" s="390"/>
      <c r="V64" s="390"/>
      <c r="W64" s="390"/>
      <c r="X64" s="390"/>
      <c r="Y64" s="390"/>
      <c r="Z64" s="390"/>
      <c r="AA64" s="390"/>
      <c r="AB64" s="390"/>
      <c r="AC64" s="390"/>
      <c r="AD64" s="390"/>
      <c r="AE64" s="390"/>
      <c r="AF64" s="390"/>
      <c r="AG64" s="390"/>
      <c r="AH64" s="390"/>
      <c r="AI64" s="390"/>
      <c r="AJ64" s="390"/>
      <c r="AK64" s="390"/>
      <c r="AL64" s="390"/>
      <c r="AM64" s="390"/>
      <c r="AN64" s="390"/>
      <c r="AO64" s="390"/>
      <c r="AP64" s="385"/>
      <c r="AQ64" s="385"/>
      <c r="AR64" s="385"/>
      <c r="AS64" s="391">
        <f t="array" ref="AS64">SUM(COUNTIF(N64:AR64, {"◎","〇","☆","共","特","浴"}))</f>
        <v>0</v>
      </c>
      <c r="AT64" s="395"/>
      <c r="AU64" s="393"/>
      <c r="AV64" s="393"/>
      <c r="AW64" s="393"/>
      <c r="AX64" s="393"/>
      <c r="AY64" s="393"/>
      <c r="AZ64" s="393"/>
      <c r="BA64" s="393"/>
      <c r="BB64" s="394"/>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6"/>
      <c r="BM64" s="186"/>
      <c r="BN64" s="186"/>
      <c r="BO64" s="186"/>
      <c r="BP64" s="186"/>
      <c r="BQ64" s="186"/>
      <c r="BR64" s="186"/>
      <c r="BS64" s="186"/>
      <c r="BT64" s="186"/>
      <c r="BU64" s="186"/>
      <c r="BV64" s="186"/>
      <c r="BW64" s="186"/>
      <c r="BX64" s="186"/>
    </row>
    <row r="65">
      <c r="A65" s="186"/>
      <c r="B65" s="372" t="str">
        <f t="shared" si="4"/>
        <v/>
      </c>
      <c r="C65" s="381" t="str">
        <f t="shared" si="5"/>
        <v/>
      </c>
      <c r="D65" s="186"/>
      <c r="E65" s="372" t="str">
        <f t="shared" si="6"/>
        <v/>
      </c>
      <c r="F65" s="381" t="str">
        <f t="shared" si="7"/>
        <v/>
      </c>
      <c r="G65" s="186"/>
      <c r="H65" s="186"/>
      <c r="I65" s="168" t="b">
        <v>0</v>
      </c>
      <c r="J65" s="362"/>
      <c r="K65" s="382"/>
      <c r="L65" s="383"/>
      <c r="M65" s="389"/>
      <c r="N65" s="385"/>
      <c r="O65" s="385"/>
      <c r="P65" s="390"/>
      <c r="Q65" s="385"/>
      <c r="R65" s="385"/>
      <c r="S65" s="385"/>
      <c r="T65" s="390"/>
      <c r="U65" s="390"/>
      <c r="V65" s="390"/>
      <c r="W65" s="390"/>
      <c r="X65" s="390"/>
      <c r="Y65" s="390"/>
      <c r="Z65" s="390"/>
      <c r="AA65" s="390"/>
      <c r="AB65" s="390"/>
      <c r="AC65" s="390"/>
      <c r="AD65" s="390"/>
      <c r="AE65" s="390"/>
      <c r="AF65" s="390"/>
      <c r="AG65" s="385"/>
      <c r="AH65" s="390"/>
      <c r="AI65" s="385"/>
      <c r="AJ65" s="385"/>
      <c r="AK65" s="390"/>
      <c r="AL65" s="385"/>
      <c r="AM65" s="385"/>
      <c r="AN65" s="385"/>
      <c r="AO65" s="390"/>
      <c r="AP65" s="385"/>
      <c r="AQ65" s="385"/>
      <c r="AR65" s="385"/>
      <c r="AS65" s="391">
        <f t="array" ref="AS65">SUM(COUNTIF(N65:AR65, {"◎","〇","☆","共","特","浴"}))</f>
        <v>0</v>
      </c>
      <c r="AT65" s="395"/>
      <c r="AU65" s="393"/>
      <c r="AV65" s="393"/>
      <c r="AW65" s="393"/>
      <c r="AX65" s="393"/>
      <c r="AY65" s="393"/>
      <c r="AZ65" s="393"/>
      <c r="BA65" s="393"/>
      <c r="BB65" s="394"/>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6"/>
      <c r="BM65" s="186"/>
      <c r="BN65" s="186"/>
      <c r="BO65" s="186"/>
      <c r="BP65" s="186"/>
      <c r="BQ65" s="186"/>
      <c r="BR65" s="186"/>
      <c r="BS65" s="186"/>
      <c r="BT65" s="186"/>
      <c r="BU65" s="186"/>
      <c r="BV65" s="186"/>
      <c r="BW65" s="186"/>
      <c r="BX65" s="186"/>
    </row>
    <row r="66">
      <c r="A66" s="186"/>
      <c r="B66" s="372" t="str">
        <f t="shared" si="4"/>
        <v/>
      </c>
      <c r="C66" s="381" t="str">
        <f t="shared" si="5"/>
        <v/>
      </c>
      <c r="D66" s="186"/>
      <c r="E66" s="372" t="str">
        <f t="shared" si="6"/>
        <v/>
      </c>
      <c r="F66" s="381" t="str">
        <f t="shared" si="7"/>
        <v/>
      </c>
      <c r="G66" s="186"/>
      <c r="H66" s="186"/>
      <c r="I66" s="168" t="b">
        <v>0</v>
      </c>
      <c r="J66" s="362"/>
      <c r="K66" s="397"/>
      <c r="L66" s="403"/>
      <c r="M66" s="389"/>
      <c r="N66" s="385"/>
      <c r="O66" s="385"/>
      <c r="P66" s="385"/>
      <c r="Q66" s="385"/>
      <c r="R66" s="385"/>
      <c r="S66" s="385"/>
      <c r="T66" s="385"/>
      <c r="U66" s="390"/>
      <c r="V66" s="390"/>
      <c r="W66" s="390"/>
      <c r="X66" s="390"/>
      <c r="Y66" s="390"/>
      <c r="Z66" s="390"/>
      <c r="AA66" s="390"/>
      <c r="AB66" s="390"/>
      <c r="AC66" s="390"/>
      <c r="AD66" s="390"/>
      <c r="AE66" s="390"/>
      <c r="AF66" s="390"/>
      <c r="AG66" s="385"/>
      <c r="AH66" s="385"/>
      <c r="AI66" s="385"/>
      <c r="AJ66" s="385"/>
      <c r="AK66" s="385"/>
      <c r="AL66" s="385"/>
      <c r="AM66" s="385"/>
      <c r="AN66" s="385"/>
      <c r="AO66" s="385"/>
      <c r="AP66" s="385"/>
      <c r="AQ66" s="385"/>
      <c r="AR66" s="385"/>
      <c r="AS66" s="391">
        <f t="array" ref="AS66">SUM(COUNTIF(N66:AR66, {"◎","〇","☆","共","特","浴"}))</f>
        <v>0</v>
      </c>
      <c r="AT66" s="395"/>
      <c r="AU66" s="393"/>
      <c r="AV66" s="393"/>
      <c r="AW66" s="393"/>
      <c r="AX66" s="393"/>
      <c r="AY66" s="393"/>
      <c r="AZ66" s="393"/>
      <c r="BA66" s="393"/>
      <c r="BB66" s="394"/>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6"/>
      <c r="BM66" s="186"/>
      <c r="BN66" s="186"/>
      <c r="BO66" s="186"/>
      <c r="BP66" s="186"/>
      <c r="BQ66" s="186"/>
      <c r="BR66" s="186"/>
      <c r="BS66" s="186"/>
      <c r="BT66" s="186"/>
      <c r="BU66" s="186"/>
      <c r="BV66" s="186"/>
      <c r="BW66" s="186"/>
      <c r="BX66" s="186"/>
    </row>
    <row r="67">
      <c r="A67" s="186"/>
      <c r="B67" s="372" t="str">
        <f t="shared" si="4"/>
        <v/>
      </c>
      <c r="C67" s="381" t="str">
        <f t="shared" si="5"/>
        <v/>
      </c>
      <c r="D67" s="186"/>
      <c r="E67" s="372" t="str">
        <f t="shared" si="6"/>
        <v/>
      </c>
      <c r="F67" s="381" t="str">
        <f t="shared" si="7"/>
        <v/>
      </c>
      <c r="G67" s="186"/>
      <c r="H67" s="186"/>
      <c r="I67" s="168" t="b">
        <v>0</v>
      </c>
      <c r="J67" s="362"/>
      <c r="K67" s="397"/>
      <c r="L67" s="403"/>
      <c r="M67" s="389"/>
      <c r="N67" s="385"/>
      <c r="O67" s="385"/>
      <c r="P67" s="385"/>
      <c r="Q67" s="385"/>
      <c r="R67" s="385"/>
      <c r="S67" s="385"/>
      <c r="T67" s="385"/>
      <c r="U67" s="385"/>
      <c r="V67" s="385"/>
      <c r="W67" s="385"/>
      <c r="X67" s="385"/>
      <c r="Y67" s="385"/>
      <c r="Z67" s="385"/>
      <c r="AA67" s="385"/>
      <c r="AB67" s="385"/>
      <c r="AC67" s="385"/>
      <c r="AD67" s="385"/>
      <c r="AE67" s="385"/>
      <c r="AF67" s="385"/>
      <c r="AG67" s="385"/>
      <c r="AH67" s="385"/>
      <c r="AI67" s="385"/>
      <c r="AJ67" s="385"/>
      <c r="AK67" s="385"/>
      <c r="AL67" s="385"/>
      <c r="AM67" s="385"/>
      <c r="AN67" s="385"/>
      <c r="AO67" s="385"/>
      <c r="AP67" s="385"/>
      <c r="AQ67" s="385"/>
      <c r="AR67" s="385"/>
      <c r="AS67" s="391">
        <f t="array" ref="AS67">SUM(COUNTIF(N67:AR67, {"◎","〇","☆","共","特","浴"}))</f>
        <v>0</v>
      </c>
      <c r="AT67" s="395"/>
      <c r="AU67" s="393"/>
      <c r="AV67" s="393"/>
      <c r="AW67" s="393"/>
      <c r="AX67" s="393"/>
      <c r="AY67" s="393"/>
      <c r="AZ67" s="393"/>
      <c r="BA67" s="393"/>
      <c r="BB67" s="394"/>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6"/>
      <c r="BM67" s="186"/>
      <c r="BN67" s="186"/>
      <c r="BO67" s="186"/>
      <c r="BP67" s="186"/>
      <c r="BQ67" s="186"/>
      <c r="BR67" s="186"/>
      <c r="BS67" s="186"/>
      <c r="BT67" s="186"/>
      <c r="BU67" s="186"/>
      <c r="BV67" s="186"/>
      <c r="BW67" s="186"/>
      <c r="BX67" s="186"/>
    </row>
    <row r="68">
      <c r="A68" s="186"/>
      <c r="B68" s="372" t="str">
        <f t="shared" si="4"/>
        <v/>
      </c>
      <c r="C68" s="381" t="str">
        <f t="shared" si="5"/>
        <v/>
      </c>
      <c r="D68" s="186"/>
      <c r="E68" s="372" t="str">
        <f t="shared" si="6"/>
        <v/>
      </c>
      <c r="F68" s="381" t="str">
        <f t="shared" si="7"/>
        <v/>
      </c>
      <c r="G68" s="186"/>
      <c r="H68" s="186"/>
      <c r="I68" s="168" t="b">
        <v>0</v>
      </c>
      <c r="J68" s="362"/>
      <c r="K68" s="397"/>
      <c r="L68" s="403"/>
      <c r="M68" s="389"/>
      <c r="N68" s="390"/>
      <c r="O68" s="390"/>
      <c r="P68" s="390"/>
      <c r="Q68" s="390"/>
      <c r="R68" s="390"/>
      <c r="S68" s="390"/>
      <c r="T68" s="390"/>
      <c r="U68" s="390"/>
      <c r="V68" s="390"/>
      <c r="W68" s="390"/>
      <c r="X68" s="390"/>
      <c r="Y68" s="390"/>
      <c r="Z68" s="390"/>
      <c r="AA68" s="390"/>
      <c r="AB68" s="390"/>
      <c r="AC68" s="390"/>
      <c r="AD68" s="390"/>
      <c r="AE68" s="390"/>
      <c r="AF68" s="390"/>
      <c r="AG68" s="390"/>
      <c r="AH68" s="390"/>
      <c r="AI68" s="390"/>
      <c r="AJ68" s="390"/>
      <c r="AK68" s="390"/>
      <c r="AL68" s="390"/>
      <c r="AM68" s="390"/>
      <c r="AN68" s="390"/>
      <c r="AO68" s="390"/>
      <c r="AP68" s="385"/>
      <c r="AQ68" s="385"/>
      <c r="AR68" s="385"/>
      <c r="AS68" s="391">
        <f t="array" ref="AS68">SUM(COUNTIF(N68:AR68, {"◎","〇","☆","共","特","浴"}))</f>
        <v>0</v>
      </c>
      <c r="AT68" s="395"/>
      <c r="AU68" s="393"/>
      <c r="AV68" s="393"/>
      <c r="AW68" s="393"/>
      <c r="AX68" s="393"/>
      <c r="AY68" s="393"/>
      <c r="AZ68" s="393"/>
      <c r="BA68" s="393"/>
      <c r="BB68" s="394"/>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6"/>
      <c r="BM68" s="186"/>
      <c r="BN68" s="186"/>
      <c r="BO68" s="186"/>
      <c r="BP68" s="186"/>
      <c r="BQ68" s="186"/>
      <c r="BR68" s="186"/>
      <c r="BS68" s="186"/>
      <c r="BT68" s="186"/>
      <c r="BU68" s="186"/>
      <c r="BV68" s="186"/>
      <c r="BW68" s="186"/>
      <c r="BX68" s="186"/>
    </row>
    <row r="69">
      <c r="A69" s="186"/>
      <c r="B69" s="372" t="str">
        <f t="shared" si="4"/>
        <v/>
      </c>
      <c r="C69" s="381" t="str">
        <f t="shared" si="5"/>
        <v/>
      </c>
      <c r="D69" s="186"/>
      <c r="E69" s="372" t="str">
        <f t="shared" si="6"/>
        <v/>
      </c>
      <c r="F69" s="381" t="str">
        <f t="shared" si="7"/>
        <v/>
      </c>
      <c r="G69" s="186"/>
      <c r="H69" s="186"/>
      <c r="I69" s="168" t="b">
        <v>0</v>
      </c>
      <c r="J69" s="362"/>
      <c r="K69" s="382"/>
      <c r="L69" s="383"/>
      <c r="M69" s="389"/>
      <c r="N69" s="390"/>
      <c r="O69" s="390"/>
      <c r="P69" s="390"/>
      <c r="Q69" s="390"/>
      <c r="R69" s="390"/>
      <c r="S69" s="390"/>
      <c r="T69" s="390"/>
      <c r="U69" s="390"/>
      <c r="V69" s="390"/>
      <c r="W69" s="390"/>
      <c r="X69" s="390"/>
      <c r="Y69" s="390"/>
      <c r="Z69" s="390"/>
      <c r="AA69" s="390"/>
      <c r="AB69" s="390"/>
      <c r="AC69" s="390"/>
      <c r="AD69" s="390"/>
      <c r="AE69" s="390"/>
      <c r="AF69" s="390"/>
      <c r="AG69" s="390"/>
      <c r="AH69" s="390"/>
      <c r="AI69" s="390"/>
      <c r="AJ69" s="390"/>
      <c r="AK69" s="390"/>
      <c r="AL69" s="390"/>
      <c r="AM69" s="390"/>
      <c r="AN69" s="390"/>
      <c r="AO69" s="390"/>
      <c r="AP69" s="385"/>
      <c r="AQ69" s="385"/>
      <c r="AR69" s="385"/>
      <c r="AS69" s="391">
        <f t="array" ref="AS69">SUM(COUNTIF(N69:AR69, {"◎","〇","☆","共","特","浴"}))</f>
        <v>0</v>
      </c>
      <c r="AT69" s="395"/>
      <c r="AU69" s="393"/>
      <c r="AV69" s="393"/>
      <c r="AW69" s="393"/>
      <c r="AX69" s="393"/>
      <c r="AY69" s="393"/>
      <c r="AZ69" s="393"/>
      <c r="BA69" s="393"/>
      <c r="BB69" s="394"/>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6"/>
      <c r="BM69" s="186"/>
      <c r="BN69" s="186"/>
      <c r="BO69" s="186"/>
      <c r="BP69" s="186"/>
      <c r="BQ69" s="186"/>
      <c r="BR69" s="186"/>
      <c r="BS69" s="186"/>
      <c r="BT69" s="186"/>
      <c r="BU69" s="186"/>
      <c r="BV69" s="186"/>
      <c r="BW69" s="186"/>
      <c r="BX69" s="186"/>
    </row>
    <row r="70">
      <c r="A70" s="186"/>
      <c r="B70" s="372" t="str">
        <f t="shared" si="4"/>
        <v/>
      </c>
      <c r="C70" s="381" t="str">
        <f t="shared" si="5"/>
        <v/>
      </c>
      <c r="D70" s="186"/>
      <c r="E70" s="372" t="str">
        <f t="shared" si="6"/>
        <v/>
      </c>
      <c r="F70" s="381" t="str">
        <f t="shared" si="7"/>
        <v/>
      </c>
      <c r="G70" s="186"/>
      <c r="H70" s="186"/>
      <c r="I70" s="168" t="b">
        <v>0</v>
      </c>
      <c r="J70" s="362"/>
      <c r="K70" s="382"/>
      <c r="L70" s="383"/>
      <c r="M70" s="389"/>
      <c r="N70" s="390"/>
      <c r="O70" s="390"/>
      <c r="P70" s="390"/>
      <c r="Q70" s="390"/>
      <c r="R70" s="390"/>
      <c r="S70" s="390"/>
      <c r="T70" s="390"/>
      <c r="U70" s="390"/>
      <c r="V70" s="390"/>
      <c r="W70" s="390"/>
      <c r="X70" s="390"/>
      <c r="Y70" s="390"/>
      <c r="Z70" s="390"/>
      <c r="AA70" s="390"/>
      <c r="AB70" s="390"/>
      <c r="AC70" s="390"/>
      <c r="AD70" s="390"/>
      <c r="AE70" s="390"/>
      <c r="AF70" s="390"/>
      <c r="AG70" s="390"/>
      <c r="AH70" s="390"/>
      <c r="AI70" s="390"/>
      <c r="AJ70" s="390"/>
      <c r="AK70" s="390"/>
      <c r="AL70" s="390"/>
      <c r="AM70" s="390"/>
      <c r="AN70" s="390"/>
      <c r="AO70" s="390"/>
      <c r="AP70" s="385"/>
      <c r="AQ70" s="385"/>
      <c r="AR70" s="385"/>
      <c r="AS70" s="391">
        <f t="array" ref="AS70">SUM(COUNTIF(N70:AR70, {"◎","〇","☆","共","特","浴"}))</f>
        <v>0</v>
      </c>
      <c r="AT70" s="395"/>
      <c r="AU70" s="393"/>
      <c r="AV70" s="393"/>
      <c r="AW70" s="393"/>
      <c r="AX70" s="393"/>
      <c r="AY70" s="393"/>
      <c r="AZ70" s="393"/>
      <c r="BA70" s="393"/>
      <c r="BB70" s="394"/>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6"/>
      <c r="BM70" s="186"/>
      <c r="BN70" s="186"/>
      <c r="BO70" s="186"/>
      <c r="BP70" s="186"/>
      <c r="BQ70" s="186"/>
      <c r="BR70" s="186"/>
      <c r="BS70" s="186"/>
      <c r="BT70" s="186"/>
      <c r="BU70" s="186"/>
      <c r="BV70" s="186"/>
      <c r="BW70" s="186"/>
      <c r="BX70" s="186"/>
    </row>
    <row r="71">
      <c r="A71" s="186"/>
      <c r="B71" s="372" t="str">
        <f t="shared" si="4"/>
        <v/>
      </c>
      <c r="C71" s="381" t="str">
        <f t="shared" si="5"/>
        <v/>
      </c>
      <c r="D71" s="186"/>
      <c r="E71" s="372" t="str">
        <f t="shared" si="6"/>
        <v/>
      </c>
      <c r="F71" s="381" t="str">
        <f t="shared" si="7"/>
        <v/>
      </c>
      <c r="G71" s="186"/>
      <c r="H71" s="186"/>
      <c r="I71" s="168" t="b">
        <v>0</v>
      </c>
      <c r="J71" s="362"/>
      <c r="K71" s="382"/>
      <c r="L71" s="383"/>
      <c r="M71" s="389"/>
      <c r="N71" s="390"/>
      <c r="O71" s="390"/>
      <c r="P71" s="390"/>
      <c r="Q71" s="390"/>
      <c r="R71" s="390"/>
      <c r="S71" s="390"/>
      <c r="T71" s="390"/>
      <c r="U71" s="390"/>
      <c r="V71" s="390"/>
      <c r="W71" s="390"/>
      <c r="X71" s="390"/>
      <c r="Y71" s="390"/>
      <c r="Z71" s="390"/>
      <c r="AA71" s="390"/>
      <c r="AB71" s="390"/>
      <c r="AC71" s="390"/>
      <c r="AD71" s="390"/>
      <c r="AE71" s="390"/>
      <c r="AF71" s="390"/>
      <c r="AG71" s="390"/>
      <c r="AH71" s="390"/>
      <c r="AI71" s="390"/>
      <c r="AJ71" s="390"/>
      <c r="AK71" s="390"/>
      <c r="AL71" s="390"/>
      <c r="AM71" s="390"/>
      <c r="AN71" s="390"/>
      <c r="AO71" s="390"/>
      <c r="AP71" s="385"/>
      <c r="AQ71" s="385"/>
      <c r="AR71" s="385"/>
      <c r="AS71" s="391">
        <f t="array" ref="AS71">SUM(COUNTIF(N71:AR71, {"◎","〇","☆","共","特","浴"}))</f>
        <v>0</v>
      </c>
      <c r="AT71" s="395"/>
      <c r="AU71" s="393"/>
      <c r="AV71" s="393"/>
      <c r="AW71" s="393"/>
      <c r="AX71" s="393"/>
      <c r="AY71" s="393"/>
      <c r="AZ71" s="393"/>
      <c r="BA71" s="393"/>
      <c r="BB71" s="394"/>
      <c r="BC71" s="74"/>
      <c r="BD71" s="74"/>
      <c r="BE71" s="74"/>
      <c r="BF71" s="74"/>
      <c r="BG71" s="74"/>
      <c r="BH71" s="71"/>
      <c r="BI71" s="186"/>
      <c r="BJ71" s="213" t="str">
        <f t="array" ref="BJ71">IFERROR(INDEX('💻シート作成'!$D$6:$D171, MATCH(BK71, '💻シート作成'!$E$6:$E171, 0)), "")</f>
        <v/>
      </c>
      <c r="BK71" s="168"/>
      <c r="BL71" s="396"/>
      <c r="BM71" s="186"/>
      <c r="BN71" s="186"/>
      <c r="BO71" s="186"/>
      <c r="BP71" s="186"/>
      <c r="BQ71" s="186"/>
      <c r="BR71" s="186"/>
      <c r="BS71" s="186"/>
      <c r="BT71" s="186"/>
      <c r="BU71" s="186"/>
      <c r="BV71" s="186"/>
      <c r="BW71" s="186"/>
      <c r="BX71" s="186"/>
    </row>
    <row r="72">
      <c r="A72" s="186"/>
      <c r="B72" s="372" t="str">
        <f t="shared" si="4"/>
        <v/>
      </c>
      <c r="C72" s="381" t="str">
        <f t="shared" si="5"/>
        <v/>
      </c>
      <c r="D72" s="186"/>
      <c r="E72" s="372" t="str">
        <f t="shared" si="6"/>
        <v/>
      </c>
      <c r="F72" s="381" t="str">
        <f t="shared" si="7"/>
        <v/>
      </c>
      <c r="G72" s="186"/>
      <c r="H72" s="186"/>
      <c r="I72" s="168" t="b">
        <v>0</v>
      </c>
      <c r="J72" s="362"/>
      <c r="K72" s="397"/>
      <c r="L72" s="403"/>
      <c r="M72" s="389"/>
      <c r="N72" s="390"/>
      <c r="O72" s="390"/>
      <c r="P72" s="390"/>
      <c r="Q72" s="390"/>
      <c r="R72" s="390"/>
      <c r="S72" s="390"/>
      <c r="T72" s="390"/>
      <c r="U72" s="390"/>
      <c r="V72" s="390"/>
      <c r="W72" s="390"/>
      <c r="X72" s="390"/>
      <c r="Y72" s="390"/>
      <c r="Z72" s="390"/>
      <c r="AA72" s="390"/>
      <c r="AB72" s="390"/>
      <c r="AC72" s="390"/>
      <c r="AD72" s="390"/>
      <c r="AE72" s="390"/>
      <c r="AF72" s="390"/>
      <c r="AG72" s="390"/>
      <c r="AH72" s="390"/>
      <c r="AI72" s="390"/>
      <c r="AJ72" s="390"/>
      <c r="AK72" s="390"/>
      <c r="AL72" s="390"/>
      <c r="AM72" s="390"/>
      <c r="AN72" s="390"/>
      <c r="AO72" s="390"/>
      <c r="AP72" s="385"/>
      <c r="AQ72" s="385"/>
      <c r="AR72" s="385"/>
      <c r="AS72" s="391">
        <f t="array" ref="AS72">SUM(COUNTIF(N72:AR72, {"◎","〇","☆","共","特","浴"}))</f>
        <v>0</v>
      </c>
      <c r="AT72" s="395"/>
      <c r="AU72" s="393"/>
      <c r="AV72" s="393"/>
      <c r="AW72" s="393"/>
      <c r="AX72" s="393"/>
      <c r="AY72" s="393"/>
      <c r="AZ72" s="393"/>
      <c r="BA72" s="393"/>
      <c r="BB72" s="394"/>
      <c r="BC72" s="74"/>
      <c r="BD72" s="74"/>
      <c r="BE72" s="74"/>
      <c r="BF72" s="74"/>
      <c r="BG72" s="74"/>
      <c r="BH72" s="71"/>
      <c r="BI72" s="186"/>
      <c r="BJ72" s="213" t="str">
        <f t="array" ref="BJ72">IFERROR(INDEX('💻シート作成'!$D$6:$D171, MATCH(BK72, '💻シート作成'!$E$6:$E171, 0)), "")</f>
        <v/>
      </c>
      <c r="BK72" s="168"/>
      <c r="BL72" s="396"/>
      <c r="BM72" s="186"/>
      <c r="BN72" s="186"/>
      <c r="BO72" s="186"/>
      <c r="BP72" s="186"/>
      <c r="BQ72" s="186"/>
      <c r="BR72" s="186"/>
      <c r="BS72" s="186"/>
      <c r="BT72" s="186"/>
      <c r="BU72" s="186"/>
      <c r="BV72" s="186"/>
      <c r="BW72" s="186"/>
      <c r="BX72" s="186"/>
    </row>
    <row r="73">
      <c r="A73" s="186"/>
      <c r="B73" s="372" t="str">
        <f t="shared" si="4"/>
        <v/>
      </c>
      <c r="C73" s="381" t="str">
        <f t="shared" si="5"/>
        <v/>
      </c>
      <c r="D73" s="186"/>
      <c r="E73" s="372" t="str">
        <f t="shared" si="6"/>
        <v/>
      </c>
      <c r="F73" s="381" t="str">
        <f t="shared" si="7"/>
        <v/>
      </c>
      <c r="G73" s="186"/>
      <c r="H73" s="186"/>
      <c r="I73" s="168" t="b">
        <v>0</v>
      </c>
      <c r="J73" s="362"/>
      <c r="K73" s="397"/>
      <c r="L73" s="403"/>
      <c r="M73" s="389"/>
      <c r="N73" s="390"/>
      <c r="O73" s="390"/>
      <c r="P73" s="390"/>
      <c r="Q73" s="390"/>
      <c r="R73" s="390"/>
      <c r="S73" s="390"/>
      <c r="T73" s="390"/>
      <c r="U73" s="390"/>
      <c r="V73" s="390"/>
      <c r="W73" s="390"/>
      <c r="X73" s="390"/>
      <c r="Y73" s="390"/>
      <c r="Z73" s="390"/>
      <c r="AA73" s="390"/>
      <c r="AB73" s="390"/>
      <c r="AC73" s="390"/>
      <c r="AD73" s="390"/>
      <c r="AE73" s="390"/>
      <c r="AF73" s="390"/>
      <c r="AG73" s="390"/>
      <c r="AH73" s="390"/>
      <c r="AI73" s="390"/>
      <c r="AJ73" s="390"/>
      <c r="AK73" s="390"/>
      <c r="AL73" s="390"/>
      <c r="AM73" s="390"/>
      <c r="AN73" s="390"/>
      <c r="AO73" s="390"/>
      <c r="AP73" s="385"/>
      <c r="AQ73" s="385"/>
      <c r="AR73" s="385"/>
      <c r="AS73" s="391">
        <f t="array" ref="AS73">SUM(COUNTIF(N73:AR73, {"◎","〇","☆","共","特","浴"}))</f>
        <v>0</v>
      </c>
      <c r="AT73" s="395"/>
      <c r="AU73" s="393"/>
      <c r="AV73" s="393"/>
      <c r="AW73" s="393"/>
      <c r="AX73" s="393"/>
      <c r="AY73" s="393"/>
      <c r="AZ73" s="393"/>
      <c r="BA73" s="393"/>
      <c r="BB73" s="394"/>
      <c r="BC73" s="74"/>
      <c r="BD73" s="74"/>
      <c r="BE73" s="74"/>
      <c r="BF73" s="74"/>
      <c r="BG73" s="74"/>
      <c r="BH73" s="71"/>
      <c r="BI73" s="186"/>
      <c r="BJ73" s="213" t="str">
        <f t="array" ref="BJ73">IFERROR(INDEX('💻シート作成'!$D$6:$D171, MATCH(BK73, '💻シート作成'!$E$6:$E171, 0)), "")</f>
        <v/>
      </c>
      <c r="BK73" s="168"/>
      <c r="BL73" s="396"/>
      <c r="BM73" s="186"/>
      <c r="BN73" s="186"/>
      <c r="BO73" s="186"/>
      <c r="BP73" s="186"/>
      <c r="BQ73" s="186"/>
      <c r="BR73" s="186"/>
      <c r="BS73" s="186"/>
      <c r="BT73" s="186"/>
      <c r="BU73" s="186"/>
      <c r="BV73" s="186"/>
      <c r="BW73" s="186"/>
      <c r="BX73" s="186"/>
    </row>
    <row r="74">
      <c r="A74" s="186"/>
      <c r="B74" s="372" t="str">
        <f t="shared" si="4"/>
        <v/>
      </c>
      <c r="C74" s="381" t="str">
        <f t="shared" si="5"/>
        <v/>
      </c>
      <c r="D74" s="186"/>
      <c r="E74" s="372" t="str">
        <f t="shared" si="6"/>
        <v/>
      </c>
      <c r="F74" s="381" t="str">
        <f t="shared" si="7"/>
        <v/>
      </c>
      <c r="G74" s="186"/>
      <c r="H74" s="186"/>
      <c r="I74" s="168" t="b">
        <v>0</v>
      </c>
      <c r="J74" s="362"/>
      <c r="K74" s="397"/>
      <c r="L74" s="403"/>
      <c r="M74" s="389"/>
      <c r="N74" s="390"/>
      <c r="O74" s="390"/>
      <c r="P74" s="390"/>
      <c r="Q74" s="390"/>
      <c r="R74" s="390"/>
      <c r="S74" s="390"/>
      <c r="T74" s="390"/>
      <c r="U74" s="390"/>
      <c r="V74" s="390"/>
      <c r="W74" s="390"/>
      <c r="X74" s="390"/>
      <c r="Y74" s="390"/>
      <c r="Z74" s="390"/>
      <c r="AA74" s="390"/>
      <c r="AB74" s="390"/>
      <c r="AC74" s="390"/>
      <c r="AD74" s="390"/>
      <c r="AE74" s="390"/>
      <c r="AF74" s="390"/>
      <c r="AG74" s="390"/>
      <c r="AH74" s="390"/>
      <c r="AI74" s="390"/>
      <c r="AJ74" s="390"/>
      <c r="AK74" s="390"/>
      <c r="AL74" s="390"/>
      <c r="AM74" s="390"/>
      <c r="AN74" s="390"/>
      <c r="AO74" s="390"/>
      <c r="AP74" s="385"/>
      <c r="AQ74" s="385"/>
      <c r="AR74" s="385"/>
      <c r="AS74" s="391">
        <f t="array" ref="AS74">SUM(COUNTIF(N74:AR74, {"◎","〇","☆","共","特","浴"}))</f>
        <v>0</v>
      </c>
      <c r="AT74" s="395"/>
      <c r="AU74" s="393"/>
      <c r="AV74" s="393"/>
      <c r="AW74" s="393"/>
      <c r="AX74" s="393"/>
      <c r="AY74" s="393"/>
      <c r="AZ74" s="393"/>
      <c r="BA74" s="393"/>
      <c r="BB74" s="394"/>
      <c r="BC74" s="74"/>
      <c r="BD74" s="74"/>
      <c r="BE74" s="74"/>
      <c r="BF74" s="74"/>
      <c r="BG74" s="74"/>
      <c r="BH74" s="71"/>
      <c r="BI74" s="186"/>
      <c r="BJ74" s="213" t="str">
        <f t="array" ref="BJ74">IFERROR(INDEX('💻シート作成'!$D$6:$D171, MATCH(BK74, '💻シート作成'!$E$6:$E171, 0)), "")</f>
        <v/>
      </c>
      <c r="BK74" s="168"/>
      <c r="BL74" s="396"/>
      <c r="BM74" s="186"/>
      <c r="BN74" s="186"/>
      <c r="BO74" s="186"/>
      <c r="BP74" s="186"/>
      <c r="BQ74" s="186"/>
      <c r="BR74" s="186"/>
      <c r="BS74" s="186"/>
      <c r="BT74" s="186"/>
      <c r="BU74" s="186"/>
      <c r="BV74" s="186"/>
      <c r="BW74" s="186"/>
      <c r="BX74" s="186"/>
    </row>
    <row r="75">
      <c r="A75" s="186"/>
      <c r="B75" s="372" t="str">
        <f t="shared" si="4"/>
        <v/>
      </c>
      <c r="C75" s="381" t="str">
        <f t="shared" si="5"/>
        <v/>
      </c>
      <c r="D75" s="186"/>
      <c r="E75" s="372" t="str">
        <f t="shared" si="6"/>
        <v/>
      </c>
      <c r="F75" s="381" t="str">
        <f t="shared" si="7"/>
        <v/>
      </c>
      <c r="G75" s="186"/>
      <c r="H75" s="186"/>
      <c r="I75" s="168" t="b">
        <v>0</v>
      </c>
      <c r="J75" s="362"/>
      <c r="K75" s="397"/>
      <c r="L75" s="403"/>
      <c r="M75" s="389"/>
      <c r="N75" s="385"/>
      <c r="O75" s="385"/>
      <c r="P75" s="385"/>
      <c r="Q75" s="385"/>
      <c r="R75" s="385"/>
      <c r="S75" s="385"/>
      <c r="T75" s="385"/>
      <c r="U75" s="390"/>
      <c r="V75" s="390"/>
      <c r="W75" s="390"/>
      <c r="X75" s="390"/>
      <c r="Y75" s="390"/>
      <c r="Z75" s="390"/>
      <c r="AA75" s="390"/>
      <c r="AB75" s="390"/>
      <c r="AC75" s="390"/>
      <c r="AD75" s="390"/>
      <c r="AE75" s="390"/>
      <c r="AF75" s="390"/>
      <c r="AG75" s="385"/>
      <c r="AH75" s="385"/>
      <c r="AI75" s="385"/>
      <c r="AJ75" s="385"/>
      <c r="AK75" s="385"/>
      <c r="AL75" s="385"/>
      <c r="AM75" s="385"/>
      <c r="AN75" s="385"/>
      <c r="AO75" s="385"/>
      <c r="AP75" s="385"/>
      <c r="AQ75" s="385"/>
      <c r="AR75" s="385"/>
      <c r="AS75" s="391">
        <f t="array" ref="AS75">SUM(COUNTIF(N75:AR75, {"◎","〇","☆","共","特","浴"}))</f>
        <v>0</v>
      </c>
      <c r="AT75" s="395"/>
      <c r="AU75" s="393"/>
      <c r="AV75" s="393"/>
      <c r="AW75" s="393"/>
      <c r="AX75" s="393"/>
      <c r="AY75" s="393"/>
      <c r="AZ75" s="393"/>
      <c r="BA75" s="393"/>
      <c r="BB75" s="394"/>
      <c r="BC75" s="74"/>
      <c r="BD75" s="74"/>
      <c r="BE75" s="74"/>
      <c r="BF75" s="74"/>
      <c r="BG75" s="74"/>
      <c r="BH75" s="71"/>
      <c r="BI75" s="186"/>
      <c r="BJ75" s="213" t="str">
        <f t="array" ref="BJ75">IFERROR(INDEX('💻シート作成'!$D$6:$D171, MATCH(BK75, '💻シート作成'!$E$6:$E171, 0)), "")</f>
        <v/>
      </c>
      <c r="BK75" s="168"/>
      <c r="BL75" s="396"/>
      <c r="BM75" s="186"/>
      <c r="BN75" s="186"/>
      <c r="BO75" s="186"/>
      <c r="BP75" s="186"/>
      <c r="BQ75" s="186"/>
      <c r="BR75" s="186"/>
      <c r="BS75" s="186"/>
      <c r="BT75" s="186"/>
      <c r="BU75" s="186"/>
      <c r="BV75" s="186"/>
      <c r="BW75" s="186"/>
      <c r="BX75" s="186"/>
    </row>
    <row r="76">
      <c r="A76" s="186"/>
      <c r="B76" s="372" t="str">
        <f t="shared" si="4"/>
        <v/>
      </c>
      <c r="C76" s="381" t="str">
        <f t="shared" si="5"/>
        <v/>
      </c>
      <c r="D76" s="186"/>
      <c r="E76" s="372" t="str">
        <f t="shared" si="6"/>
        <v/>
      </c>
      <c r="F76" s="381" t="str">
        <f t="shared" si="7"/>
        <v/>
      </c>
      <c r="G76" s="186"/>
      <c r="H76" s="186"/>
      <c r="I76" s="168" t="b">
        <v>0</v>
      </c>
      <c r="J76" s="362"/>
      <c r="K76" s="397"/>
      <c r="L76" s="403"/>
      <c r="M76" s="389"/>
      <c r="N76" s="385"/>
      <c r="O76" s="385"/>
      <c r="P76" s="385"/>
      <c r="Q76" s="385"/>
      <c r="R76" s="385"/>
      <c r="S76" s="385"/>
      <c r="T76" s="385"/>
      <c r="U76" s="390"/>
      <c r="V76" s="390"/>
      <c r="W76" s="390"/>
      <c r="X76" s="390"/>
      <c r="Y76" s="390"/>
      <c r="Z76" s="390"/>
      <c r="AA76" s="390"/>
      <c r="AB76" s="390"/>
      <c r="AC76" s="390"/>
      <c r="AD76" s="390"/>
      <c r="AE76" s="390"/>
      <c r="AF76" s="390"/>
      <c r="AG76" s="385"/>
      <c r="AH76" s="385"/>
      <c r="AI76" s="385"/>
      <c r="AJ76" s="385"/>
      <c r="AK76" s="385"/>
      <c r="AL76" s="385"/>
      <c r="AM76" s="385"/>
      <c r="AN76" s="385"/>
      <c r="AO76" s="385"/>
      <c r="AP76" s="385"/>
      <c r="AQ76" s="385"/>
      <c r="AR76" s="385"/>
      <c r="AS76" s="391">
        <f t="array" ref="AS76">SUM(COUNTIF(N76:AR76, {"◎","〇","☆","共","特","浴"}))</f>
        <v>0</v>
      </c>
      <c r="AT76" s="395"/>
      <c r="AU76" s="393"/>
      <c r="AV76" s="393"/>
      <c r="AW76" s="393"/>
      <c r="AX76" s="393"/>
      <c r="AY76" s="393"/>
      <c r="AZ76" s="393"/>
      <c r="BA76" s="393"/>
      <c r="BB76" s="394"/>
      <c r="BC76" s="74"/>
      <c r="BD76" s="74"/>
      <c r="BE76" s="74"/>
      <c r="BF76" s="74"/>
      <c r="BG76" s="74"/>
      <c r="BH76" s="71"/>
      <c r="BI76" s="186"/>
      <c r="BJ76" s="213" t="str">
        <f t="array" ref="BJ76">IFERROR(INDEX('💻シート作成'!$D$6:$D171, MATCH(BK76, '💻シート作成'!$E$6:$E171, 0)), "")</f>
        <v/>
      </c>
      <c r="BK76" s="168"/>
      <c r="BL76" s="396"/>
      <c r="BM76" s="186"/>
      <c r="BN76" s="186"/>
      <c r="BO76" s="186"/>
      <c r="BP76" s="186"/>
      <c r="BQ76" s="186"/>
      <c r="BR76" s="186"/>
      <c r="BS76" s="186"/>
      <c r="BT76" s="186"/>
      <c r="BU76" s="186"/>
      <c r="BV76" s="186"/>
      <c r="BW76" s="186"/>
      <c r="BX76" s="186"/>
    </row>
    <row r="77">
      <c r="A77" s="186"/>
      <c r="B77" s="372" t="str">
        <f t="shared" si="4"/>
        <v/>
      </c>
      <c r="C77" s="381" t="str">
        <f t="shared" si="5"/>
        <v/>
      </c>
      <c r="D77" s="186"/>
      <c r="E77" s="372" t="str">
        <f t="shared" si="6"/>
        <v/>
      </c>
      <c r="F77" s="381" t="str">
        <f t="shared" si="7"/>
        <v/>
      </c>
      <c r="G77" s="186"/>
      <c r="H77" s="186"/>
      <c r="I77" s="168" t="b">
        <v>0</v>
      </c>
      <c r="J77" s="362"/>
      <c r="K77" s="397"/>
      <c r="L77" s="403"/>
      <c r="M77" s="389"/>
      <c r="N77" s="385"/>
      <c r="O77" s="385"/>
      <c r="P77" s="385"/>
      <c r="Q77" s="385"/>
      <c r="R77" s="385"/>
      <c r="S77" s="385"/>
      <c r="T77" s="385"/>
      <c r="U77" s="385"/>
      <c r="V77" s="385"/>
      <c r="W77" s="385"/>
      <c r="X77" s="385"/>
      <c r="Y77" s="385"/>
      <c r="Z77" s="385"/>
      <c r="AA77" s="385"/>
      <c r="AB77" s="385"/>
      <c r="AC77" s="385"/>
      <c r="AD77" s="385"/>
      <c r="AE77" s="385"/>
      <c r="AF77" s="385"/>
      <c r="AG77" s="385"/>
      <c r="AH77" s="385"/>
      <c r="AI77" s="385"/>
      <c r="AJ77" s="385"/>
      <c r="AK77" s="385"/>
      <c r="AL77" s="385"/>
      <c r="AM77" s="385"/>
      <c r="AN77" s="385"/>
      <c r="AO77" s="385"/>
      <c r="AP77" s="385"/>
      <c r="AQ77" s="385"/>
      <c r="AR77" s="385"/>
      <c r="AS77" s="391">
        <f t="array" ref="AS77">SUM(COUNTIF(N77:AR77, {"◎","〇","☆","共","特","浴"}))</f>
        <v>0</v>
      </c>
      <c r="AT77" s="395"/>
      <c r="AU77" s="393"/>
      <c r="AV77" s="393"/>
      <c r="AW77" s="393"/>
      <c r="AX77" s="393"/>
      <c r="AY77" s="393"/>
      <c r="AZ77" s="393"/>
      <c r="BA77" s="393"/>
      <c r="BB77" s="394"/>
      <c r="BC77" s="74"/>
      <c r="BD77" s="74"/>
      <c r="BE77" s="74"/>
      <c r="BF77" s="74"/>
      <c r="BG77" s="74"/>
      <c r="BH77" s="71"/>
      <c r="BI77" s="186"/>
      <c r="BJ77" s="213" t="str">
        <f t="array" ref="BJ77">IFERROR(INDEX('💻シート作成'!$D$6:$D171, MATCH(BK77, '💻シート作成'!$E$6:$E171, 0)), "")</f>
        <v/>
      </c>
      <c r="BK77" s="168"/>
      <c r="BL77" s="396"/>
      <c r="BM77" s="186"/>
      <c r="BN77" s="186"/>
      <c r="BO77" s="186"/>
      <c r="BP77" s="186"/>
      <c r="BQ77" s="186"/>
      <c r="BR77" s="186"/>
      <c r="BS77" s="186"/>
      <c r="BT77" s="186"/>
      <c r="BU77" s="186"/>
      <c r="BV77" s="186"/>
      <c r="BW77" s="186"/>
      <c r="BX77" s="186"/>
    </row>
    <row r="78">
      <c r="A78" s="186"/>
      <c r="B78" s="372" t="str">
        <f t="shared" si="4"/>
        <v/>
      </c>
      <c r="C78" s="381" t="str">
        <f t="shared" si="5"/>
        <v/>
      </c>
      <c r="D78" s="186"/>
      <c r="E78" s="372" t="str">
        <f t="shared" si="6"/>
        <v/>
      </c>
      <c r="F78" s="381" t="str">
        <f t="shared" si="7"/>
        <v/>
      </c>
      <c r="G78" s="186"/>
      <c r="H78" s="186"/>
      <c r="I78" s="168" t="b">
        <v>0</v>
      </c>
      <c r="J78" s="362"/>
      <c r="K78" s="397"/>
      <c r="L78" s="403"/>
      <c r="M78" s="389"/>
      <c r="N78" s="390"/>
      <c r="O78" s="390"/>
      <c r="P78" s="390"/>
      <c r="Q78" s="390"/>
      <c r="R78" s="390"/>
      <c r="S78" s="390"/>
      <c r="T78" s="390"/>
      <c r="U78" s="390"/>
      <c r="V78" s="390"/>
      <c r="W78" s="390"/>
      <c r="X78" s="390"/>
      <c r="Y78" s="390"/>
      <c r="Z78" s="390"/>
      <c r="AA78" s="390"/>
      <c r="AB78" s="390"/>
      <c r="AC78" s="390"/>
      <c r="AD78" s="390"/>
      <c r="AE78" s="390"/>
      <c r="AF78" s="390"/>
      <c r="AG78" s="390"/>
      <c r="AH78" s="390"/>
      <c r="AI78" s="390"/>
      <c r="AJ78" s="390"/>
      <c r="AK78" s="390"/>
      <c r="AL78" s="390"/>
      <c r="AM78" s="390"/>
      <c r="AN78" s="390"/>
      <c r="AO78" s="390"/>
      <c r="AP78" s="385"/>
      <c r="AQ78" s="385"/>
      <c r="AR78" s="385"/>
      <c r="AS78" s="391">
        <f t="array" ref="AS78">SUM(COUNTIF(N78:AR78, {"◎","〇","☆","共","特","浴"}))</f>
        <v>0</v>
      </c>
      <c r="AT78" s="395"/>
      <c r="AU78" s="393"/>
      <c r="AV78" s="393"/>
      <c r="AW78" s="393"/>
      <c r="AX78" s="393"/>
      <c r="AY78" s="393"/>
      <c r="AZ78" s="393"/>
      <c r="BA78" s="393"/>
      <c r="BB78" s="394"/>
      <c r="BC78" s="74"/>
      <c r="BD78" s="74"/>
      <c r="BE78" s="74"/>
      <c r="BF78" s="74"/>
      <c r="BG78" s="74"/>
      <c r="BH78" s="71"/>
      <c r="BI78" s="186"/>
      <c r="BJ78" s="213" t="str">
        <f t="array" ref="BJ78">IFERROR(INDEX('💻シート作成'!$D$6:$D171, MATCH(BK78, '💻シート作成'!$E$6:$E171, 0)), "")</f>
        <v/>
      </c>
      <c r="BK78" s="168"/>
      <c r="BL78" s="396"/>
      <c r="BM78" s="186"/>
      <c r="BN78" s="186"/>
      <c r="BO78" s="186"/>
      <c r="BP78" s="186"/>
      <c r="BQ78" s="186"/>
      <c r="BR78" s="186"/>
      <c r="BS78" s="186"/>
      <c r="BT78" s="186"/>
      <c r="BU78" s="186"/>
      <c r="BV78" s="186"/>
      <c r="BW78" s="186"/>
      <c r="BX78" s="186"/>
    </row>
    <row r="79">
      <c r="A79" s="186"/>
      <c r="B79" s="372" t="str">
        <f t="shared" si="4"/>
        <v/>
      </c>
      <c r="C79" s="381" t="str">
        <f t="shared" si="5"/>
        <v/>
      </c>
      <c r="D79" s="186"/>
      <c r="E79" s="372" t="str">
        <f t="shared" si="6"/>
        <v/>
      </c>
      <c r="F79" s="381" t="str">
        <f t="shared" si="7"/>
        <v/>
      </c>
      <c r="G79" s="186"/>
      <c r="H79" s="186"/>
      <c r="I79" s="168" t="b">
        <v>0</v>
      </c>
      <c r="J79" s="362"/>
      <c r="K79" s="382"/>
      <c r="L79" s="383"/>
      <c r="M79" s="389"/>
      <c r="N79" s="390"/>
      <c r="O79" s="390"/>
      <c r="P79" s="390"/>
      <c r="Q79" s="390"/>
      <c r="R79" s="390"/>
      <c r="S79" s="390"/>
      <c r="T79" s="390"/>
      <c r="U79" s="390"/>
      <c r="V79" s="390"/>
      <c r="W79" s="390"/>
      <c r="X79" s="390"/>
      <c r="Y79" s="390"/>
      <c r="Z79" s="390"/>
      <c r="AA79" s="390"/>
      <c r="AB79" s="390"/>
      <c r="AC79" s="390"/>
      <c r="AD79" s="390"/>
      <c r="AE79" s="390"/>
      <c r="AF79" s="390"/>
      <c r="AG79" s="390"/>
      <c r="AH79" s="390"/>
      <c r="AI79" s="390"/>
      <c r="AJ79" s="390"/>
      <c r="AK79" s="390"/>
      <c r="AL79" s="390"/>
      <c r="AM79" s="390"/>
      <c r="AN79" s="390"/>
      <c r="AO79" s="390"/>
      <c r="AP79" s="385"/>
      <c r="AQ79" s="385"/>
      <c r="AR79" s="385"/>
      <c r="AS79" s="391">
        <f t="array" ref="AS79">SUM(COUNTIF(N79:AR79, {"◎","〇","☆","共","特","浴"}))</f>
        <v>0</v>
      </c>
      <c r="AT79" s="395"/>
      <c r="AU79" s="393"/>
      <c r="AV79" s="393"/>
      <c r="AW79" s="393"/>
      <c r="AX79" s="393"/>
      <c r="AY79" s="393"/>
      <c r="AZ79" s="393"/>
      <c r="BA79" s="393"/>
      <c r="BB79" s="394"/>
      <c r="BC79" s="74"/>
      <c r="BD79" s="74"/>
      <c r="BE79" s="74"/>
      <c r="BF79" s="74"/>
      <c r="BG79" s="74"/>
      <c r="BH79" s="71"/>
      <c r="BI79" s="186"/>
      <c r="BJ79" s="213" t="str">
        <f t="array" ref="BJ79">IFERROR(INDEX('💻シート作成'!$D$6:$D171, MATCH(BK79, '💻シート作成'!$E$6:$E171, 0)), "")</f>
        <v/>
      </c>
      <c r="BK79" s="168"/>
      <c r="BL79" s="396"/>
      <c r="BM79" s="186"/>
      <c r="BN79" s="186"/>
      <c r="BO79" s="186"/>
      <c r="BP79" s="186"/>
      <c r="BQ79" s="186"/>
      <c r="BR79" s="186"/>
      <c r="BS79" s="186"/>
      <c r="BT79" s="186"/>
      <c r="BU79" s="186"/>
      <c r="BV79" s="186"/>
      <c r="BW79" s="186"/>
      <c r="BX79" s="186"/>
    </row>
    <row r="80">
      <c r="A80" s="186"/>
      <c r="B80" s="372" t="str">
        <f t="shared" si="4"/>
        <v/>
      </c>
      <c r="C80" s="381" t="str">
        <f t="shared" si="5"/>
        <v/>
      </c>
      <c r="D80" s="186"/>
      <c r="E80" s="372" t="str">
        <f t="shared" si="6"/>
        <v/>
      </c>
      <c r="F80" s="381" t="str">
        <f t="shared" si="7"/>
        <v/>
      </c>
      <c r="G80" s="186"/>
      <c r="H80" s="186"/>
      <c r="I80" s="168" t="b">
        <v>0</v>
      </c>
      <c r="J80" s="362"/>
      <c r="K80" s="382"/>
      <c r="L80" s="383"/>
      <c r="M80" s="389"/>
      <c r="N80" s="390"/>
      <c r="O80" s="390"/>
      <c r="P80" s="390"/>
      <c r="Q80" s="390"/>
      <c r="R80" s="390"/>
      <c r="S80" s="390"/>
      <c r="T80" s="390"/>
      <c r="U80" s="390"/>
      <c r="V80" s="390"/>
      <c r="W80" s="390"/>
      <c r="X80" s="390"/>
      <c r="Y80" s="390"/>
      <c r="Z80" s="390"/>
      <c r="AA80" s="390"/>
      <c r="AB80" s="390"/>
      <c r="AC80" s="390"/>
      <c r="AD80" s="390"/>
      <c r="AE80" s="390"/>
      <c r="AF80" s="390"/>
      <c r="AG80" s="390"/>
      <c r="AH80" s="390"/>
      <c r="AI80" s="390"/>
      <c r="AJ80" s="390"/>
      <c r="AK80" s="390"/>
      <c r="AL80" s="390"/>
      <c r="AM80" s="390"/>
      <c r="AN80" s="390"/>
      <c r="AO80" s="390"/>
      <c r="AP80" s="385"/>
      <c r="AQ80" s="385"/>
      <c r="AR80" s="385"/>
      <c r="AS80" s="391">
        <f t="array" ref="AS80">SUM(COUNTIF(N80:AR80, {"◎","〇","☆","共","特","浴"}))</f>
        <v>0</v>
      </c>
      <c r="AT80" s="395"/>
      <c r="AU80" s="393"/>
      <c r="AV80" s="393"/>
      <c r="AW80" s="393"/>
      <c r="AX80" s="393"/>
      <c r="AY80" s="393"/>
      <c r="AZ80" s="393"/>
      <c r="BA80" s="393"/>
      <c r="BB80" s="394"/>
      <c r="BC80" s="74"/>
      <c r="BD80" s="74"/>
      <c r="BE80" s="74"/>
      <c r="BF80" s="74"/>
      <c r="BG80" s="74"/>
      <c r="BH80" s="71"/>
      <c r="BI80" s="186"/>
      <c r="BJ80" s="213" t="str">
        <f t="array" ref="BJ80">IFERROR(INDEX('💻シート作成'!$D$6:$D171, MATCH(BK80, '💻シート作成'!$E$6:$E171, 0)), "")</f>
        <v/>
      </c>
      <c r="BK80" s="168"/>
      <c r="BL80" s="396"/>
      <c r="BM80" s="186"/>
      <c r="BN80" s="186"/>
      <c r="BO80" s="186"/>
      <c r="BP80" s="186"/>
      <c r="BQ80" s="186"/>
      <c r="BR80" s="186"/>
      <c r="BS80" s="186"/>
      <c r="BT80" s="186"/>
      <c r="BU80" s="186"/>
      <c r="BV80" s="186"/>
      <c r="BW80" s="186"/>
      <c r="BX80" s="186"/>
    </row>
    <row r="81">
      <c r="A81" s="186"/>
      <c r="B81" s="372" t="str">
        <f t="shared" si="4"/>
        <v/>
      </c>
      <c r="C81" s="381" t="str">
        <f t="shared" si="5"/>
        <v/>
      </c>
      <c r="D81" s="186"/>
      <c r="E81" s="372" t="str">
        <f t="shared" si="6"/>
        <v/>
      </c>
      <c r="F81" s="381" t="str">
        <f t="shared" si="7"/>
        <v/>
      </c>
      <c r="G81" s="186"/>
      <c r="H81" s="186"/>
      <c r="I81" s="168" t="b">
        <v>0</v>
      </c>
      <c r="J81" s="362"/>
      <c r="K81" s="382"/>
      <c r="L81" s="383"/>
      <c r="M81" s="389"/>
      <c r="N81" s="390"/>
      <c r="O81" s="390"/>
      <c r="P81" s="390"/>
      <c r="Q81" s="390"/>
      <c r="R81" s="390"/>
      <c r="S81" s="390"/>
      <c r="T81" s="390"/>
      <c r="U81" s="390"/>
      <c r="V81" s="390"/>
      <c r="W81" s="390"/>
      <c r="X81" s="390"/>
      <c r="Y81" s="390"/>
      <c r="Z81" s="390"/>
      <c r="AA81" s="390"/>
      <c r="AB81" s="390"/>
      <c r="AC81" s="390"/>
      <c r="AD81" s="390"/>
      <c r="AE81" s="390"/>
      <c r="AF81" s="390"/>
      <c r="AG81" s="390"/>
      <c r="AH81" s="390"/>
      <c r="AI81" s="390"/>
      <c r="AJ81" s="390"/>
      <c r="AK81" s="390"/>
      <c r="AL81" s="390"/>
      <c r="AM81" s="390"/>
      <c r="AN81" s="390"/>
      <c r="AO81" s="390"/>
      <c r="AP81" s="385"/>
      <c r="AQ81" s="385"/>
      <c r="AR81" s="385"/>
      <c r="AS81" s="391">
        <f t="array" ref="AS81">SUM(COUNTIF(N81:AR81, {"◎","〇","☆","共","特","浴"}))</f>
        <v>0</v>
      </c>
      <c r="AT81" s="395"/>
      <c r="AU81" s="393"/>
      <c r="AV81" s="393"/>
      <c r="AW81" s="393"/>
      <c r="AX81" s="393"/>
      <c r="AY81" s="393"/>
      <c r="AZ81" s="393"/>
      <c r="BA81" s="393"/>
      <c r="BB81" s="394"/>
      <c r="BC81" s="74"/>
      <c r="BD81" s="74"/>
      <c r="BE81" s="74"/>
      <c r="BF81" s="74"/>
      <c r="BG81" s="74"/>
      <c r="BH81" s="71"/>
      <c r="BI81" s="186"/>
      <c r="BJ81" s="213" t="str">
        <f t="array" ref="BJ81">IFERROR(INDEX('💻シート作成'!$D$6:$D171, MATCH(BK81, '💻シート作成'!$E$6:$E171, 0)), "")</f>
        <v/>
      </c>
      <c r="BK81" s="168"/>
      <c r="BL81" s="396"/>
      <c r="BM81" s="186"/>
      <c r="BN81" s="186"/>
      <c r="BO81" s="186"/>
      <c r="BP81" s="186"/>
      <c r="BQ81" s="186"/>
      <c r="BR81" s="186"/>
      <c r="BS81" s="186"/>
      <c r="BT81" s="186"/>
      <c r="BU81" s="186"/>
      <c r="BV81" s="186"/>
      <c r="BW81" s="186"/>
      <c r="BX81" s="186"/>
    </row>
    <row r="82">
      <c r="A82" s="186"/>
      <c r="B82" s="372" t="str">
        <f t="shared" si="4"/>
        <v/>
      </c>
      <c r="C82" s="381" t="str">
        <f t="shared" si="5"/>
        <v/>
      </c>
      <c r="D82" s="186"/>
      <c r="E82" s="372" t="str">
        <f t="shared" si="6"/>
        <v/>
      </c>
      <c r="F82" s="381" t="str">
        <f t="shared" si="7"/>
        <v/>
      </c>
      <c r="G82" s="186"/>
      <c r="H82" s="186"/>
      <c r="I82" s="168" t="b">
        <v>0</v>
      </c>
      <c r="J82" s="362"/>
      <c r="K82" s="397"/>
      <c r="L82" s="403"/>
      <c r="M82" s="389"/>
      <c r="N82" s="390"/>
      <c r="O82" s="390"/>
      <c r="P82" s="390"/>
      <c r="Q82" s="390"/>
      <c r="R82" s="390"/>
      <c r="S82" s="390"/>
      <c r="T82" s="390"/>
      <c r="U82" s="390"/>
      <c r="V82" s="390"/>
      <c r="W82" s="390"/>
      <c r="X82" s="390"/>
      <c r="Y82" s="390"/>
      <c r="Z82" s="390"/>
      <c r="AA82" s="390"/>
      <c r="AB82" s="390"/>
      <c r="AC82" s="390"/>
      <c r="AD82" s="390"/>
      <c r="AE82" s="390"/>
      <c r="AF82" s="390"/>
      <c r="AG82" s="390"/>
      <c r="AH82" s="390"/>
      <c r="AI82" s="390"/>
      <c r="AJ82" s="390"/>
      <c r="AK82" s="390"/>
      <c r="AL82" s="390"/>
      <c r="AM82" s="390"/>
      <c r="AN82" s="390"/>
      <c r="AO82" s="390"/>
      <c r="AP82" s="385"/>
      <c r="AQ82" s="385"/>
      <c r="AR82" s="385"/>
      <c r="AS82" s="391">
        <f t="array" ref="AS82">SUM(COUNTIF(N82:AR82, {"◎","〇","☆","共","特","浴"}))</f>
        <v>0</v>
      </c>
      <c r="AT82" s="395"/>
      <c r="AU82" s="393"/>
      <c r="AV82" s="393"/>
      <c r="AW82" s="393"/>
      <c r="AX82" s="393"/>
      <c r="AY82" s="393"/>
      <c r="AZ82" s="393"/>
      <c r="BA82" s="393"/>
      <c r="BB82" s="394"/>
      <c r="BC82" s="74"/>
      <c r="BD82" s="74"/>
      <c r="BE82" s="74"/>
      <c r="BF82" s="74"/>
      <c r="BG82" s="74"/>
      <c r="BH82" s="71"/>
      <c r="BI82" s="186"/>
      <c r="BJ82" s="213" t="str">
        <f t="array" ref="BJ82">IFERROR(INDEX('💻シート作成'!$D$6:$D171, MATCH(BK82, '💻シート作成'!$E$6:$E171, 0)), "")</f>
        <v/>
      </c>
      <c r="BK82" s="168"/>
      <c r="BL82" s="396"/>
      <c r="BM82" s="186"/>
      <c r="BN82" s="186"/>
      <c r="BO82" s="186"/>
      <c r="BP82" s="186"/>
      <c r="BQ82" s="186"/>
      <c r="BR82" s="186"/>
      <c r="BS82" s="186"/>
      <c r="BT82" s="186"/>
      <c r="BU82" s="186"/>
      <c r="BV82" s="186"/>
      <c r="BW82" s="186"/>
      <c r="BX82" s="186"/>
    </row>
    <row r="83">
      <c r="A83" s="186"/>
      <c r="B83" s="372" t="str">
        <f t="shared" si="4"/>
        <v/>
      </c>
      <c r="C83" s="381" t="str">
        <f t="shared" si="5"/>
        <v/>
      </c>
      <c r="D83" s="186"/>
      <c r="E83" s="372" t="str">
        <f t="shared" si="6"/>
        <v/>
      </c>
      <c r="F83" s="381" t="str">
        <f t="shared" si="7"/>
        <v/>
      </c>
      <c r="G83" s="186"/>
      <c r="H83" s="186"/>
      <c r="I83" s="168" t="b">
        <v>0</v>
      </c>
      <c r="J83" s="362"/>
      <c r="K83" s="397"/>
      <c r="L83" s="403"/>
      <c r="M83" s="389"/>
      <c r="N83" s="390"/>
      <c r="O83" s="390"/>
      <c r="P83" s="390"/>
      <c r="Q83" s="390"/>
      <c r="R83" s="390"/>
      <c r="S83" s="390"/>
      <c r="T83" s="390"/>
      <c r="U83" s="390"/>
      <c r="V83" s="390"/>
      <c r="W83" s="390"/>
      <c r="X83" s="390"/>
      <c r="Y83" s="390"/>
      <c r="Z83" s="390"/>
      <c r="AA83" s="390"/>
      <c r="AB83" s="390"/>
      <c r="AC83" s="390"/>
      <c r="AD83" s="390"/>
      <c r="AE83" s="390"/>
      <c r="AF83" s="390"/>
      <c r="AG83" s="390"/>
      <c r="AH83" s="390"/>
      <c r="AI83" s="390"/>
      <c r="AJ83" s="390"/>
      <c r="AK83" s="390"/>
      <c r="AL83" s="390"/>
      <c r="AM83" s="390"/>
      <c r="AN83" s="390"/>
      <c r="AO83" s="390"/>
      <c r="AP83" s="385"/>
      <c r="AQ83" s="385"/>
      <c r="AR83" s="385"/>
      <c r="AS83" s="391">
        <f t="array" ref="AS83">SUM(COUNTIF(N83:AR83, {"◎","〇","☆","共","特","浴"}))</f>
        <v>0</v>
      </c>
      <c r="AT83" s="395"/>
      <c r="AU83" s="393"/>
      <c r="AV83" s="393"/>
      <c r="AW83" s="393"/>
      <c r="AX83" s="393"/>
      <c r="AY83" s="393"/>
      <c r="AZ83" s="393"/>
      <c r="BA83" s="393"/>
      <c r="BB83" s="394"/>
      <c r="BC83" s="74"/>
      <c r="BD83" s="74"/>
      <c r="BE83" s="74"/>
      <c r="BF83" s="74"/>
      <c r="BG83" s="74"/>
      <c r="BH83" s="71"/>
      <c r="BI83" s="186"/>
      <c r="BJ83" s="213" t="str">
        <f t="array" ref="BJ83">IFERROR(INDEX('💻シート作成'!$D$6:$D171, MATCH(BK83, '💻シート作成'!$E$6:$E171, 0)), "")</f>
        <v/>
      </c>
      <c r="BK83" s="168"/>
      <c r="BL83" s="396"/>
      <c r="BM83" s="186"/>
      <c r="BN83" s="186"/>
      <c r="BO83" s="186"/>
      <c r="BP83" s="186"/>
      <c r="BQ83" s="186"/>
      <c r="BR83" s="186"/>
      <c r="BS83" s="186"/>
      <c r="BT83" s="186"/>
      <c r="BU83" s="186"/>
      <c r="BV83" s="186"/>
      <c r="BW83" s="186"/>
      <c r="BX83" s="186"/>
    </row>
    <row r="84">
      <c r="A84" s="186"/>
      <c r="B84" s="372" t="str">
        <f t="shared" si="4"/>
        <v/>
      </c>
      <c r="C84" s="381" t="str">
        <f t="shared" si="5"/>
        <v/>
      </c>
      <c r="D84" s="186"/>
      <c r="E84" s="372" t="str">
        <f t="shared" si="6"/>
        <v/>
      </c>
      <c r="F84" s="381" t="str">
        <f t="shared" si="7"/>
        <v/>
      </c>
      <c r="G84" s="186"/>
      <c r="H84" s="186"/>
      <c r="I84" s="168" t="b">
        <v>0</v>
      </c>
      <c r="J84" s="362"/>
      <c r="K84" s="397"/>
      <c r="L84" s="403"/>
      <c r="M84" s="389"/>
      <c r="N84" s="390"/>
      <c r="O84" s="390"/>
      <c r="P84" s="390"/>
      <c r="Q84" s="390"/>
      <c r="R84" s="390"/>
      <c r="S84" s="390"/>
      <c r="T84" s="390"/>
      <c r="U84" s="390"/>
      <c r="V84" s="390"/>
      <c r="W84" s="390"/>
      <c r="X84" s="390"/>
      <c r="Y84" s="390"/>
      <c r="Z84" s="390"/>
      <c r="AA84" s="390"/>
      <c r="AB84" s="390"/>
      <c r="AC84" s="390"/>
      <c r="AD84" s="390"/>
      <c r="AE84" s="390"/>
      <c r="AF84" s="390"/>
      <c r="AG84" s="390"/>
      <c r="AH84" s="390"/>
      <c r="AI84" s="390"/>
      <c r="AJ84" s="390"/>
      <c r="AK84" s="390"/>
      <c r="AL84" s="390"/>
      <c r="AM84" s="390"/>
      <c r="AN84" s="390"/>
      <c r="AO84" s="390"/>
      <c r="AP84" s="385"/>
      <c r="AQ84" s="385"/>
      <c r="AR84" s="385"/>
      <c r="AS84" s="391">
        <f t="array" ref="AS84">SUM(COUNTIF(N84:AR84, {"◎","〇","☆","共","特","浴"}))</f>
        <v>0</v>
      </c>
      <c r="AT84" s="395"/>
      <c r="AU84" s="393"/>
      <c r="AV84" s="393"/>
      <c r="AW84" s="393"/>
      <c r="AX84" s="393"/>
      <c r="AY84" s="393"/>
      <c r="AZ84" s="393"/>
      <c r="BA84" s="393"/>
      <c r="BB84" s="394"/>
      <c r="BC84" s="74"/>
      <c r="BD84" s="74"/>
      <c r="BE84" s="74"/>
      <c r="BF84" s="74"/>
      <c r="BG84" s="74"/>
      <c r="BH84" s="71"/>
      <c r="BI84" s="186"/>
      <c r="BJ84" s="213" t="str">
        <f t="array" ref="BJ84">IFERROR(INDEX('💻シート作成'!$D$6:$D171, MATCH(BK84, '💻シート作成'!$E$6:$E171, 0)), "")</f>
        <v/>
      </c>
      <c r="BK84" s="168"/>
      <c r="BL84" s="396"/>
      <c r="BM84" s="186"/>
      <c r="BN84" s="186"/>
      <c r="BO84" s="186"/>
      <c r="BP84" s="186"/>
      <c r="BQ84" s="186"/>
      <c r="BR84" s="186"/>
      <c r="BS84" s="186"/>
      <c r="BT84" s="186"/>
      <c r="BU84" s="186"/>
      <c r="BV84" s="186"/>
      <c r="BW84" s="186"/>
      <c r="BX84" s="186"/>
    </row>
    <row r="85">
      <c r="A85" s="186"/>
      <c r="B85" s="372" t="str">
        <f t="shared" si="4"/>
        <v/>
      </c>
      <c r="C85" s="381" t="str">
        <f t="shared" si="5"/>
        <v/>
      </c>
      <c r="D85" s="186"/>
      <c r="E85" s="372" t="str">
        <f t="shared" si="6"/>
        <v/>
      </c>
      <c r="F85" s="381" t="str">
        <f t="shared" si="7"/>
        <v/>
      </c>
      <c r="G85" s="186"/>
      <c r="H85" s="186"/>
      <c r="I85" s="168" t="b">
        <v>0</v>
      </c>
      <c r="J85" s="362"/>
      <c r="K85" s="397"/>
      <c r="L85" s="403"/>
      <c r="M85" s="389"/>
      <c r="N85" s="385"/>
      <c r="O85" s="385"/>
      <c r="P85" s="385"/>
      <c r="Q85" s="385"/>
      <c r="R85" s="385"/>
      <c r="S85" s="385"/>
      <c r="T85" s="385"/>
      <c r="U85" s="390"/>
      <c r="V85" s="390"/>
      <c r="W85" s="390"/>
      <c r="X85" s="390"/>
      <c r="Y85" s="390"/>
      <c r="Z85" s="390"/>
      <c r="AA85" s="390"/>
      <c r="AB85" s="390"/>
      <c r="AC85" s="390"/>
      <c r="AD85" s="390"/>
      <c r="AE85" s="390"/>
      <c r="AF85" s="390"/>
      <c r="AG85" s="385"/>
      <c r="AH85" s="385"/>
      <c r="AI85" s="385"/>
      <c r="AJ85" s="385"/>
      <c r="AK85" s="385"/>
      <c r="AL85" s="385"/>
      <c r="AM85" s="385"/>
      <c r="AN85" s="385"/>
      <c r="AO85" s="385"/>
      <c r="AP85" s="385"/>
      <c r="AQ85" s="385"/>
      <c r="AR85" s="385"/>
      <c r="AS85" s="391">
        <f t="array" ref="AS85">SUM(COUNTIF(N85:AR85, {"◎","〇","☆","共","特","浴"}))</f>
        <v>0</v>
      </c>
      <c r="AT85" s="395"/>
      <c r="AU85" s="393"/>
      <c r="AV85" s="393"/>
      <c r="AW85" s="393"/>
      <c r="AX85" s="393"/>
      <c r="AY85" s="393"/>
      <c r="AZ85" s="393"/>
      <c r="BA85" s="393"/>
      <c r="BB85" s="394"/>
      <c r="BC85" s="74"/>
      <c r="BD85" s="74"/>
      <c r="BE85" s="74"/>
      <c r="BF85" s="74"/>
      <c r="BG85" s="74"/>
      <c r="BH85" s="71"/>
      <c r="BI85" s="186"/>
      <c r="BJ85" s="213" t="str">
        <f t="array" ref="BJ85">IFERROR(INDEX('💻シート作成'!$D$6:$D171, MATCH(BK85, '💻シート作成'!$E$6:$E171, 0)), "")</f>
        <v/>
      </c>
      <c r="BK85" s="168"/>
      <c r="BL85" s="396"/>
      <c r="BM85" s="186"/>
      <c r="BN85" s="186"/>
      <c r="BO85" s="186"/>
      <c r="BP85" s="186"/>
      <c r="BQ85" s="186"/>
      <c r="BR85" s="186"/>
      <c r="BS85" s="186"/>
      <c r="BT85" s="186"/>
      <c r="BU85" s="186"/>
      <c r="BV85" s="186"/>
      <c r="BW85" s="186"/>
      <c r="BX85" s="186"/>
    </row>
    <row r="86">
      <c r="A86" s="186"/>
      <c r="B86" s="372" t="str">
        <f t="shared" si="4"/>
        <v/>
      </c>
      <c r="C86" s="381" t="str">
        <f t="shared" si="5"/>
        <v/>
      </c>
      <c r="D86" s="186"/>
      <c r="E86" s="372" t="str">
        <f t="shared" si="6"/>
        <v/>
      </c>
      <c r="F86" s="381" t="str">
        <f t="shared" si="7"/>
        <v/>
      </c>
      <c r="G86" s="186"/>
      <c r="H86" s="186"/>
      <c r="I86" s="168" t="b">
        <v>0</v>
      </c>
      <c r="J86" s="362"/>
      <c r="K86" s="397"/>
      <c r="L86" s="403"/>
      <c r="M86" s="389"/>
      <c r="N86" s="385"/>
      <c r="O86" s="385"/>
      <c r="P86" s="385"/>
      <c r="Q86" s="385"/>
      <c r="R86" s="385"/>
      <c r="S86" s="385"/>
      <c r="T86" s="385"/>
      <c r="U86" s="390"/>
      <c r="V86" s="390"/>
      <c r="W86" s="390"/>
      <c r="X86" s="390"/>
      <c r="Y86" s="390"/>
      <c r="Z86" s="390"/>
      <c r="AA86" s="390"/>
      <c r="AB86" s="390"/>
      <c r="AC86" s="390"/>
      <c r="AD86" s="390"/>
      <c r="AE86" s="390"/>
      <c r="AF86" s="390"/>
      <c r="AG86" s="385"/>
      <c r="AH86" s="385"/>
      <c r="AI86" s="385"/>
      <c r="AJ86" s="385"/>
      <c r="AK86" s="385"/>
      <c r="AL86" s="385"/>
      <c r="AM86" s="385"/>
      <c r="AN86" s="385"/>
      <c r="AO86" s="385"/>
      <c r="AP86" s="385"/>
      <c r="AQ86" s="385"/>
      <c r="AR86" s="385"/>
      <c r="AS86" s="391">
        <f t="array" ref="AS86">SUM(COUNTIF(N86:AR86, {"◎","〇","☆","共","特","浴"}))</f>
        <v>0</v>
      </c>
      <c r="AT86" s="395"/>
      <c r="AU86" s="393"/>
      <c r="AV86" s="393"/>
      <c r="AW86" s="393"/>
      <c r="AX86" s="393"/>
      <c r="AY86" s="393"/>
      <c r="AZ86" s="393"/>
      <c r="BA86" s="393"/>
      <c r="BB86" s="394"/>
      <c r="BC86" s="74"/>
      <c r="BD86" s="74"/>
      <c r="BE86" s="74"/>
      <c r="BF86" s="74"/>
      <c r="BG86" s="74"/>
      <c r="BH86" s="71"/>
      <c r="BI86" s="186"/>
      <c r="BJ86" s="213" t="str">
        <f t="array" ref="BJ86">IFERROR(INDEX('💻シート作成'!$D$6:$D171, MATCH(BK86, '💻シート作成'!$E$6:$E171, 0)), "")</f>
        <v/>
      </c>
      <c r="BK86" s="168"/>
      <c r="BL86" s="396"/>
      <c r="BM86" s="186"/>
      <c r="BN86" s="186"/>
      <c r="BO86" s="186"/>
      <c r="BP86" s="186"/>
      <c r="BQ86" s="186"/>
      <c r="BR86" s="186"/>
      <c r="BS86" s="186"/>
      <c r="BT86" s="186"/>
      <c r="BU86" s="186"/>
      <c r="BV86" s="186"/>
      <c r="BW86" s="186"/>
      <c r="BX86" s="186"/>
    </row>
    <row r="87">
      <c r="A87" s="186"/>
      <c r="B87" s="372" t="str">
        <f t="shared" si="4"/>
        <v/>
      </c>
      <c r="C87" s="381" t="str">
        <f t="shared" si="5"/>
        <v/>
      </c>
      <c r="D87" s="186"/>
      <c r="E87" s="372" t="str">
        <f t="shared" si="6"/>
        <v/>
      </c>
      <c r="F87" s="381" t="str">
        <f t="shared" si="7"/>
        <v/>
      </c>
      <c r="G87" s="186"/>
      <c r="H87" s="186"/>
      <c r="I87" s="168" t="b">
        <v>0</v>
      </c>
      <c r="J87" s="362"/>
      <c r="K87" s="397"/>
      <c r="L87" s="403"/>
      <c r="M87" s="389"/>
      <c r="N87" s="385"/>
      <c r="O87" s="385"/>
      <c r="P87" s="385"/>
      <c r="Q87" s="385"/>
      <c r="R87" s="385"/>
      <c r="S87" s="385"/>
      <c r="T87" s="385"/>
      <c r="U87" s="385"/>
      <c r="V87" s="385"/>
      <c r="W87" s="385"/>
      <c r="X87" s="385"/>
      <c r="Y87" s="385"/>
      <c r="Z87" s="385"/>
      <c r="AA87" s="385"/>
      <c r="AB87" s="385"/>
      <c r="AC87" s="385"/>
      <c r="AD87" s="385"/>
      <c r="AE87" s="385"/>
      <c r="AF87" s="385"/>
      <c r="AG87" s="385"/>
      <c r="AH87" s="385"/>
      <c r="AI87" s="385"/>
      <c r="AJ87" s="385"/>
      <c r="AK87" s="385"/>
      <c r="AL87" s="385"/>
      <c r="AM87" s="385"/>
      <c r="AN87" s="385"/>
      <c r="AO87" s="385"/>
      <c r="AP87" s="385"/>
      <c r="AQ87" s="385"/>
      <c r="AR87" s="385"/>
      <c r="AS87" s="391">
        <f t="array" ref="AS87">SUM(COUNTIF(N87:AR87, {"◎","〇","☆","共","特","浴"}))</f>
        <v>0</v>
      </c>
      <c r="AT87" s="395"/>
      <c r="AU87" s="393"/>
      <c r="AV87" s="393"/>
      <c r="AW87" s="393"/>
      <c r="AX87" s="393"/>
      <c r="AY87" s="393"/>
      <c r="AZ87" s="393"/>
      <c r="BA87" s="393"/>
      <c r="BB87" s="394"/>
      <c r="BC87" s="74"/>
      <c r="BD87" s="74"/>
      <c r="BE87" s="74"/>
      <c r="BF87" s="74"/>
      <c r="BG87" s="74"/>
      <c r="BH87" s="71"/>
      <c r="BI87" s="186"/>
      <c r="BJ87" s="213" t="str">
        <f t="array" ref="BJ87">IFERROR(INDEX('💻シート作成'!$D$6:$D171, MATCH(BK87, '💻シート作成'!$E$6:$E171, 0)), "")</f>
        <v/>
      </c>
      <c r="BK87" s="168"/>
      <c r="BL87" s="396"/>
      <c r="BM87" s="186"/>
      <c r="BN87" s="186"/>
      <c r="BO87" s="186"/>
      <c r="BP87" s="186"/>
      <c r="BQ87" s="186"/>
      <c r="BR87" s="186"/>
      <c r="BS87" s="186"/>
      <c r="BT87" s="186"/>
      <c r="BU87" s="186"/>
      <c r="BV87" s="186"/>
      <c r="BW87" s="186"/>
      <c r="BX87" s="186"/>
    </row>
    <row r="88">
      <c r="A88" s="186"/>
      <c r="B88" s="372" t="str">
        <f t="shared" si="4"/>
        <v/>
      </c>
      <c r="C88" s="381" t="str">
        <f t="shared" si="5"/>
        <v/>
      </c>
      <c r="D88" s="186"/>
      <c r="E88" s="372" t="str">
        <f t="shared" si="6"/>
        <v/>
      </c>
      <c r="F88" s="381" t="str">
        <f t="shared" si="7"/>
        <v/>
      </c>
      <c r="G88" s="186"/>
      <c r="H88" s="186"/>
      <c r="I88" s="168" t="b">
        <v>0</v>
      </c>
      <c r="J88" s="362"/>
      <c r="K88" s="397"/>
      <c r="L88" s="403"/>
      <c r="M88" s="389"/>
      <c r="N88" s="390"/>
      <c r="O88" s="390"/>
      <c r="P88" s="390"/>
      <c r="Q88" s="390"/>
      <c r="R88" s="390"/>
      <c r="S88" s="390"/>
      <c r="T88" s="390"/>
      <c r="U88" s="390"/>
      <c r="V88" s="390"/>
      <c r="W88" s="390"/>
      <c r="X88" s="390"/>
      <c r="Y88" s="390"/>
      <c r="Z88" s="390"/>
      <c r="AA88" s="390"/>
      <c r="AB88" s="390"/>
      <c r="AC88" s="390"/>
      <c r="AD88" s="390"/>
      <c r="AE88" s="390"/>
      <c r="AF88" s="390"/>
      <c r="AG88" s="390"/>
      <c r="AH88" s="390"/>
      <c r="AI88" s="390"/>
      <c r="AJ88" s="390"/>
      <c r="AK88" s="390"/>
      <c r="AL88" s="390"/>
      <c r="AM88" s="390"/>
      <c r="AN88" s="390"/>
      <c r="AO88" s="390"/>
      <c r="AP88" s="385"/>
      <c r="AQ88" s="385"/>
      <c r="AR88" s="385"/>
      <c r="AS88" s="391">
        <f t="array" ref="AS88">SUM(COUNTIF(N88:AR88, {"◎","〇","☆","共","特","浴"}))</f>
        <v>0</v>
      </c>
      <c r="AT88" s="395"/>
      <c r="AU88" s="393"/>
      <c r="AV88" s="393"/>
      <c r="AW88" s="393"/>
      <c r="AX88" s="393"/>
      <c r="AY88" s="393"/>
      <c r="AZ88" s="393"/>
      <c r="BA88" s="393"/>
      <c r="BB88" s="394"/>
      <c r="BC88" s="74"/>
      <c r="BD88" s="74"/>
      <c r="BE88" s="74"/>
      <c r="BF88" s="74"/>
      <c r="BG88" s="74"/>
      <c r="BH88" s="71"/>
      <c r="BI88" s="186"/>
      <c r="BJ88" s="213" t="str">
        <f t="array" ref="BJ88">IFERROR(INDEX('💻シート作成'!$D$6:$D171, MATCH(BK88, '💻シート作成'!$E$6:$E171, 0)), "")</f>
        <v/>
      </c>
      <c r="BK88" s="168"/>
      <c r="BL88" s="396"/>
      <c r="BM88" s="186"/>
      <c r="BN88" s="186"/>
      <c r="BO88" s="186"/>
      <c r="BP88" s="186"/>
      <c r="BQ88" s="186"/>
      <c r="BR88" s="186"/>
      <c r="BS88" s="186"/>
      <c r="BT88" s="186"/>
      <c r="BU88" s="186"/>
      <c r="BV88" s="186"/>
      <c r="BW88" s="186"/>
      <c r="BX88" s="186"/>
    </row>
    <row r="89">
      <c r="A89" s="186"/>
      <c r="B89" s="372" t="str">
        <f t="shared" si="4"/>
        <v/>
      </c>
      <c r="C89" s="381" t="str">
        <f t="shared" si="5"/>
        <v/>
      </c>
      <c r="D89" s="186"/>
      <c r="E89" s="372" t="str">
        <f t="shared" si="6"/>
        <v/>
      </c>
      <c r="F89" s="381" t="str">
        <f t="shared" si="7"/>
        <v/>
      </c>
      <c r="G89" s="186"/>
      <c r="H89" s="186"/>
      <c r="I89" s="168" t="b">
        <v>0</v>
      </c>
      <c r="J89" s="362"/>
      <c r="K89" s="382"/>
      <c r="L89" s="383"/>
      <c r="M89" s="389"/>
      <c r="N89" s="390"/>
      <c r="O89" s="390"/>
      <c r="P89" s="390"/>
      <c r="Q89" s="390"/>
      <c r="R89" s="390"/>
      <c r="S89" s="390"/>
      <c r="T89" s="390"/>
      <c r="U89" s="390"/>
      <c r="V89" s="390"/>
      <c r="W89" s="390"/>
      <c r="X89" s="390"/>
      <c r="Y89" s="390"/>
      <c r="Z89" s="390"/>
      <c r="AA89" s="390"/>
      <c r="AB89" s="390"/>
      <c r="AC89" s="390"/>
      <c r="AD89" s="390"/>
      <c r="AE89" s="390"/>
      <c r="AF89" s="390"/>
      <c r="AG89" s="390"/>
      <c r="AH89" s="390"/>
      <c r="AI89" s="390"/>
      <c r="AJ89" s="390"/>
      <c r="AK89" s="390"/>
      <c r="AL89" s="390"/>
      <c r="AM89" s="390"/>
      <c r="AN89" s="390"/>
      <c r="AO89" s="390"/>
      <c r="AP89" s="385"/>
      <c r="AQ89" s="385"/>
      <c r="AR89" s="385"/>
      <c r="AS89" s="391">
        <f t="array" ref="AS89">SUM(COUNTIF(N89:AR89, {"◎","〇","☆","共","特","浴"}))</f>
        <v>0</v>
      </c>
      <c r="AT89" s="395"/>
      <c r="AU89" s="393"/>
      <c r="AV89" s="393"/>
      <c r="AW89" s="393"/>
      <c r="AX89" s="393"/>
      <c r="AY89" s="393"/>
      <c r="AZ89" s="393"/>
      <c r="BA89" s="393"/>
      <c r="BB89" s="394"/>
      <c r="BC89" s="74"/>
      <c r="BD89" s="74"/>
      <c r="BE89" s="74"/>
      <c r="BF89" s="74"/>
      <c r="BG89" s="74"/>
      <c r="BH89" s="71"/>
      <c r="BI89" s="186"/>
      <c r="BJ89" s="213" t="str">
        <f t="array" ref="BJ89">IFERROR(INDEX('💻シート作成'!$D$6:$D171, MATCH(BK89, '💻シート作成'!$E$6:$E171, 0)), "")</f>
        <v/>
      </c>
      <c r="BK89" s="168"/>
      <c r="BL89" s="396"/>
      <c r="BM89" s="186"/>
      <c r="BN89" s="186"/>
      <c r="BO89" s="186"/>
      <c r="BP89" s="186"/>
      <c r="BQ89" s="186"/>
      <c r="BR89" s="186"/>
      <c r="BS89" s="186"/>
      <c r="BT89" s="186"/>
      <c r="BU89" s="186"/>
      <c r="BV89" s="186"/>
      <c r="BW89" s="186"/>
      <c r="BX89" s="186"/>
    </row>
    <row r="90">
      <c r="A90" s="186"/>
      <c r="B90" s="372" t="str">
        <f t="shared" si="4"/>
        <v/>
      </c>
      <c r="C90" s="381" t="str">
        <f t="shared" si="5"/>
        <v/>
      </c>
      <c r="D90" s="186"/>
      <c r="E90" s="372" t="str">
        <f t="shared" si="6"/>
        <v/>
      </c>
      <c r="F90" s="381" t="str">
        <f t="shared" si="7"/>
        <v/>
      </c>
      <c r="G90" s="186"/>
      <c r="H90" s="186"/>
      <c r="I90" s="168" t="b">
        <v>0</v>
      </c>
      <c r="J90" s="362"/>
      <c r="K90" s="382"/>
      <c r="L90" s="383"/>
      <c r="M90" s="389"/>
      <c r="N90" s="390"/>
      <c r="O90" s="390"/>
      <c r="P90" s="390"/>
      <c r="Q90" s="390"/>
      <c r="R90" s="390"/>
      <c r="S90" s="390"/>
      <c r="T90" s="390"/>
      <c r="U90" s="390"/>
      <c r="V90" s="390"/>
      <c r="W90" s="390"/>
      <c r="X90" s="390"/>
      <c r="Y90" s="390"/>
      <c r="Z90" s="390"/>
      <c r="AA90" s="390"/>
      <c r="AB90" s="390"/>
      <c r="AC90" s="390"/>
      <c r="AD90" s="390"/>
      <c r="AE90" s="390"/>
      <c r="AF90" s="390"/>
      <c r="AG90" s="390"/>
      <c r="AH90" s="390"/>
      <c r="AI90" s="390"/>
      <c r="AJ90" s="390"/>
      <c r="AK90" s="390"/>
      <c r="AL90" s="390"/>
      <c r="AM90" s="390"/>
      <c r="AN90" s="390"/>
      <c r="AO90" s="390"/>
      <c r="AP90" s="385"/>
      <c r="AQ90" s="385"/>
      <c r="AR90" s="385"/>
      <c r="AS90" s="391">
        <f t="array" ref="AS90">SUM(COUNTIF(N90:AR90, {"◎","〇","☆","共","特","浴"}))</f>
        <v>0</v>
      </c>
      <c r="AT90" s="395"/>
      <c r="AU90" s="393"/>
      <c r="AV90" s="393"/>
      <c r="AW90" s="393"/>
      <c r="AX90" s="393"/>
      <c r="AY90" s="393"/>
      <c r="AZ90" s="393"/>
      <c r="BA90" s="393"/>
      <c r="BB90" s="394"/>
      <c r="BC90" s="74"/>
      <c r="BD90" s="74"/>
      <c r="BE90" s="74"/>
      <c r="BF90" s="74"/>
      <c r="BG90" s="74"/>
      <c r="BH90" s="71"/>
      <c r="BI90" s="186"/>
      <c r="BJ90" s="213" t="str">
        <f t="array" ref="BJ90">IFERROR(INDEX('💻シート作成'!$D$6:$D171, MATCH(BK90, '💻シート作成'!$E$6:$E171, 0)), "")</f>
        <v/>
      </c>
      <c r="BK90" s="168"/>
      <c r="BL90" s="396"/>
      <c r="BM90" s="186"/>
      <c r="BN90" s="186"/>
      <c r="BO90" s="186"/>
      <c r="BP90" s="186"/>
      <c r="BQ90" s="186"/>
      <c r="BR90" s="186"/>
      <c r="BS90" s="186"/>
      <c r="BT90" s="186"/>
      <c r="BU90" s="186"/>
      <c r="BV90" s="186"/>
      <c r="BW90" s="186"/>
      <c r="BX90" s="186"/>
    </row>
    <row r="91">
      <c r="A91" s="186"/>
      <c r="B91" s="372" t="str">
        <f t="shared" si="4"/>
        <v/>
      </c>
      <c r="C91" s="381" t="str">
        <f t="shared" si="5"/>
        <v/>
      </c>
      <c r="D91" s="186"/>
      <c r="E91" s="372" t="str">
        <f t="shared" si="6"/>
        <v/>
      </c>
      <c r="F91" s="381" t="str">
        <f t="shared" si="7"/>
        <v/>
      </c>
      <c r="G91" s="186"/>
      <c r="H91" s="186"/>
      <c r="I91" s="168" t="b">
        <v>0</v>
      </c>
      <c r="J91" s="362"/>
      <c r="K91" s="382"/>
      <c r="L91" s="383"/>
      <c r="M91" s="389"/>
      <c r="N91" s="390"/>
      <c r="O91" s="390"/>
      <c r="P91" s="390"/>
      <c r="Q91" s="390"/>
      <c r="R91" s="390"/>
      <c r="S91" s="390"/>
      <c r="T91" s="390"/>
      <c r="U91" s="390"/>
      <c r="V91" s="390"/>
      <c r="W91" s="390"/>
      <c r="X91" s="390"/>
      <c r="Y91" s="390"/>
      <c r="Z91" s="390"/>
      <c r="AA91" s="390"/>
      <c r="AB91" s="390"/>
      <c r="AC91" s="390"/>
      <c r="AD91" s="390"/>
      <c r="AE91" s="390"/>
      <c r="AF91" s="390"/>
      <c r="AG91" s="390"/>
      <c r="AH91" s="390"/>
      <c r="AI91" s="390"/>
      <c r="AJ91" s="390"/>
      <c r="AK91" s="390"/>
      <c r="AL91" s="390"/>
      <c r="AM91" s="390"/>
      <c r="AN91" s="390"/>
      <c r="AO91" s="390"/>
      <c r="AP91" s="385"/>
      <c r="AQ91" s="385"/>
      <c r="AR91" s="385"/>
      <c r="AS91" s="391">
        <f t="array" ref="AS91">SUM(COUNTIF(N91:AR91, {"◎","〇","☆","共","特","浴"}))</f>
        <v>0</v>
      </c>
      <c r="AT91" s="395"/>
      <c r="AU91" s="393"/>
      <c r="AV91" s="393"/>
      <c r="AW91" s="393"/>
      <c r="AX91" s="393"/>
      <c r="AY91" s="393"/>
      <c r="AZ91" s="393"/>
      <c r="BA91" s="393"/>
      <c r="BB91" s="394"/>
      <c r="BC91" s="74"/>
      <c r="BD91" s="74"/>
      <c r="BE91" s="74"/>
      <c r="BF91" s="74"/>
      <c r="BG91" s="74"/>
      <c r="BH91" s="71"/>
      <c r="BI91" s="186"/>
      <c r="BJ91" s="213" t="str">
        <f t="array" ref="BJ91">IFERROR(INDEX('💻シート作成'!$D$6:$D171, MATCH(BK91, '💻シート作成'!$E$6:$E171, 0)), "")</f>
        <v/>
      </c>
      <c r="BK91" s="168"/>
      <c r="BL91" s="396"/>
      <c r="BM91" s="186"/>
      <c r="BN91" s="186"/>
      <c r="BO91" s="186"/>
      <c r="BP91" s="186"/>
      <c r="BQ91" s="186"/>
      <c r="BR91" s="186"/>
      <c r="BS91" s="186"/>
      <c r="BT91" s="186"/>
      <c r="BU91" s="186"/>
      <c r="BV91" s="186"/>
      <c r="BW91" s="186"/>
      <c r="BX91" s="186"/>
    </row>
    <row r="92">
      <c r="A92" s="186"/>
      <c r="B92" s="372" t="str">
        <f t="shared" si="4"/>
        <v/>
      </c>
      <c r="C92" s="381" t="str">
        <f t="shared" si="5"/>
        <v/>
      </c>
      <c r="D92" s="186"/>
      <c r="E92" s="372" t="str">
        <f t="shared" si="6"/>
        <v/>
      </c>
      <c r="F92" s="381" t="str">
        <f t="shared" si="7"/>
        <v/>
      </c>
      <c r="G92" s="186"/>
      <c r="H92" s="186"/>
      <c r="I92" s="168" t="b">
        <v>0</v>
      </c>
      <c r="J92" s="362"/>
      <c r="K92" s="382"/>
      <c r="L92" s="383"/>
      <c r="M92" s="389"/>
      <c r="N92" s="390"/>
      <c r="O92" s="390"/>
      <c r="P92" s="390"/>
      <c r="Q92" s="390"/>
      <c r="R92" s="390"/>
      <c r="S92" s="390"/>
      <c r="T92" s="390"/>
      <c r="U92" s="390"/>
      <c r="V92" s="390"/>
      <c r="W92" s="390"/>
      <c r="X92" s="390"/>
      <c r="Y92" s="390"/>
      <c r="Z92" s="390"/>
      <c r="AA92" s="390"/>
      <c r="AB92" s="390"/>
      <c r="AC92" s="390"/>
      <c r="AD92" s="390"/>
      <c r="AE92" s="390"/>
      <c r="AF92" s="390"/>
      <c r="AG92" s="390"/>
      <c r="AH92" s="390"/>
      <c r="AI92" s="390"/>
      <c r="AJ92" s="390"/>
      <c r="AK92" s="390"/>
      <c r="AL92" s="390"/>
      <c r="AM92" s="390"/>
      <c r="AN92" s="390"/>
      <c r="AO92" s="390"/>
      <c r="AP92" s="385"/>
      <c r="AQ92" s="385"/>
      <c r="AR92" s="385"/>
      <c r="AS92" s="391">
        <f t="array" ref="AS92">SUM(COUNTIF(N92:AR92, {"◎","〇","☆","共","特","浴"}))</f>
        <v>0</v>
      </c>
      <c r="AT92" s="395"/>
      <c r="AU92" s="393"/>
      <c r="AV92" s="393"/>
      <c r="AW92" s="393"/>
      <c r="AX92" s="393"/>
      <c r="AY92" s="393"/>
      <c r="AZ92" s="393"/>
      <c r="BA92" s="393"/>
      <c r="BB92" s="394"/>
      <c r="BC92" s="74"/>
      <c r="BD92" s="74"/>
      <c r="BE92" s="74"/>
      <c r="BF92" s="74"/>
      <c r="BG92" s="74"/>
      <c r="BH92" s="71"/>
      <c r="BI92" s="186"/>
      <c r="BJ92" s="213" t="str">
        <f t="array" ref="BJ92">IFERROR(INDEX('💻シート作成'!$D$6:$D171, MATCH(BK92, '💻シート作成'!$E$6:$E171, 0)), "")</f>
        <v/>
      </c>
      <c r="BK92" s="168"/>
      <c r="BL92" s="396"/>
      <c r="BM92" s="186"/>
      <c r="BN92" s="186"/>
      <c r="BO92" s="186"/>
      <c r="BP92" s="186"/>
      <c r="BQ92" s="186"/>
      <c r="BR92" s="186"/>
      <c r="BS92" s="186"/>
      <c r="BT92" s="186"/>
      <c r="BU92" s="186"/>
      <c r="BV92" s="186"/>
      <c r="BW92" s="186"/>
      <c r="BX92" s="186"/>
    </row>
    <row r="93">
      <c r="A93" s="186"/>
      <c r="B93" s="372" t="str">
        <f t="shared" si="4"/>
        <v/>
      </c>
      <c r="C93" s="381" t="str">
        <f t="shared" si="5"/>
        <v/>
      </c>
      <c r="D93" s="186"/>
      <c r="E93" s="372" t="str">
        <f t="shared" si="6"/>
        <v/>
      </c>
      <c r="F93" s="381" t="str">
        <f t="shared" si="7"/>
        <v/>
      </c>
      <c r="G93" s="186"/>
      <c r="H93" s="186"/>
      <c r="I93" s="168" t="b">
        <v>0</v>
      </c>
      <c r="J93" s="362"/>
      <c r="K93" s="382"/>
      <c r="L93" s="383"/>
      <c r="M93" s="389"/>
      <c r="N93" s="390"/>
      <c r="O93" s="390"/>
      <c r="P93" s="390"/>
      <c r="Q93" s="390"/>
      <c r="R93" s="390"/>
      <c r="S93" s="390"/>
      <c r="T93" s="390"/>
      <c r="U93" s="390"/>
      <c r="V93" s="390"/>
      <c r="W93" s="390"/>
      <c r="X93" s="390"/>
      <c r="Y93" s="390"/>
      <c r="Z93" s="390"/>
      <c r="AA93" s="390"/>
      <c r="AB93" s="390"/>
      <c r="AC93" s="390"/>
      <c r="AD93" s="390"/>
      <c r="AE93" s="390"/>
      <c r="AF93" s="390"/>
      <c r="AG93" s="390"/>
      <c r="AH93" s="390"/>
      <c r="AI93" s="390"/>
      <c r="AJ93" s="390"/>
      <c r="AK93" s="390"/>
      <c r="AL93" s="390"/>
      <c r="AM93" s="390"/>
      <c r="AN93" s="390"/>
      <c r="AO93" s="390"/>
      <c r="AP93" s="385"/>
      <c r="AQ93" s="385"/>
      <c r="AR93" s="385"/>
      <c r="AS93" s="391">
        <f t="array" ref="AS93">SUM(COUNTIF(N93:AR93, {"◎","〇","☆","共","特","浴"}))</f>
        <v>0</v>
      </c>
      <c r="AT93" s="395"/>
      <c r="AU93" s="393"/>
      <c r="AV93" s="393"/>
      <c r="AW93" s="393"/>
      <c r="AX93" s="393"/>
      <c r="AY93" s="393"/>
      <c r="AZ93" s="393"/>
      <c r="BA93" s="393"/>
      <c r="BB93" s="394"/>
      <c r="BC93" s="74"/>
      <c r="BD93" s="74"/>
      <c r="BE93" s="74"/>
      <c r="BF93" s="74"/>
      <c r="BG93" s="74"/>
      <c r="BH93" s="71"/>
      <c r="BI93" s="186"/>
      <c r="BJ93" s="213" t="str">
        <f t="array" ref="BJ93">IFERROR(INDEX('💻シート作成'!$D$6:$D171, MATCH(BK93, '💻シート作成'!$E$6:$E171, 0)), "")</f>
        <v/>
      </c>
      <c r="BK93" s="168"/>
      <c r="BL93" s="396"/>
      <c r="BM93" s="186"/>
      <c r="BN93" s="186"/>
      <c r="BO93" s="186"/>
      <c r="BP93" s="186"/>
      <c r="BQ93" s="186"/>
      <c r="BR93" s="186"/>
      <c r="BS93" s="186"/>
      <c r="BT93" s="186"/>
      <c r="BU93" s="186"/>
      <c r="BV93" s="186"/>
      <c r="BW93" s="186"/>
      <c r="BX93" s="186"/>
    </row>
    <row r="94">
      <c r="A94" s="186"/>
      <c r="B94" s="372" t="str">
        <f t="shared" si="4"/>
        <v/>
      </c>
      <c r="C94" s="381" t="str">
        <f t="shared" si="5"/>
        <v/>
      </c>
      <c r="D94" s="186"/>
      <c r="E94" s="372" t="str">
        <f t="shared" si="6"/>
        <v/>
      </c>
      <c r="F94" s="381" t="str">
        <f t="shared" si="7"/>
        <v/>
      </c>
      <c r="G94" s="186"/>
      <c r="H94" s="186"/>
      <c r="I94" s="168" t="b">
        <v>0</v>
      </c>
      <c r="J94" s="362"/>
      <c r="K94" s="382"/>
      <c r="L94" s="383"/>
      <c r="M94" s="389"/>
      <c r="N94" s="390"/>
      <c r="O94" s="390"/>
      <c r="P94" s="390"/>
      <c r="Q94" s="390"/>
      <c r="R94" s="390"/>
      <c r="S94" s="390"/>
      <c r="T94" s="390"/>
      <c r="U94" s="390"/>
      <c r="V94" s="390"/>
      <c r="W94" s="390"/>
      <c r="X94" s="390"/>
      <c r="Y94" s="390"/>
      <c r="Z94" s="390"/>
      <c r="AA94" s="390"/>
      <c r="AB94" s="390"/>
      <c r="AC94" s="390"/>
      <c r="AD94" s="390"/>
      <c r="AE94" s="390"/>
      <c r="AF94" s="390"/>
      <c r="AG94" s="390"/>
      <c r="AH94" s="390"/>
      <c r="AI94" s="390"/>
      <c r="AJ94" s="390"/>
      <c r="AK94" s="390"/>
      <c r="AL94" s="390"/>
      <c r="AM94" s="390"/>
      <c r="AN94" s="390"/>
      <c r="AO94" s="390"/>
      <c r="AP94" s="385"/>
      <c r="AQ94" s="385"/>
      <c r="AR94" s="385"/>
      <c r="AS94" s="391">
        <f t="array" ref="AS94">SUM(COUNTIF(N94:AR94, {"◎","〇","☆","共","特","浴"}))</f>
        <v>0</v>
      </c>
      <c r="AT94" s="395"/>
      <c r="AU94" s="393"/>
      <c r="AV94" s="393"/>
      <c r="AW94" s="393"/>
      <c r="AX94" s="393"/>
      <c r="AY94" s="393"/>
      <c r="AZ94" s="393"/>
      <c r="BA94" s="393"/>
      <c r="BB94" s="394"/>
      <c r="BC94" s="74"/>
      <c r="BD94" s="74"/>
      <c r="BE94" s="74"/>
      <c r="BF94" s="74"/>
      <c r="BG94" s="74"/>
      <c r="BH94" s="71"/>
      <c r="BI94" s="186"/>
      <c r="BJ94" s="213" t="str">
        <f t="array" ref="BJ94">IFERROR(INDEX('💻シート作成'!$D$6:$D171, MATCH(BK94, '💻シート作成'!$E$6:$E171, 0)), "")</f>
        <v/>
      </c>
      <c r="BK94" s="168"/>
      <c r="BL94" s="396"/>
      <c r="BM94" s="186"/>
      <c r="BN94" s="186"/>
      <c r="BO94" s="186"/>
      <c r="BP94" s="186"/>
      <c r="BQ94" s="186"/>
      <c r="BR94" s="186"/>
      <c r="BS94" s="186"/>
      <c r="BT94" s="186"/>
      <c r="BU94" s="186"/>
      <c r="BV94" s="186"/>
      <c r="BW94" s="186"/>
      <c r="BX94" s="186"/>
    </row>
    <row r="95">
      <c r="A95" s="186"/>
      <c r="B95" s="372" t="str">
        <f t="shared" si="4"/>
        <v/>
      </c>
      <c r="C95" s="381" t="str">
        <f t="shared" si="5"/>
        <v/>
      </c>
      <c r="D95" s="186"/>
      <c r="E95" s="372" t="str">
        <f t="shared" si="6"/>
        <v/>
      </c>
      <c r="F95" s="381" t="str">
        <f t="shared" si="7"/>
        <v/>
      </c>
      <c r="G95" s="186"/>
      <c r="H95" s="186"/>
      <c r="I95" s="168" t="b">
        <v>0</v>
      </c>
      <c r="J95" s="362"/>
      <c r="K95" s="382"/>
      <c r="L95" s="383"/>
      <c r="M95" s="389"/>
      <c r="N95" s="390"/>
      <c r="O95" s="390"/>
      <c r="P95" s="390"/>
      <c r="Q95" s="390"/>
      <c r="R95" s="390"/>
      <c r="S95" s="390"/>
      <c r="T95" s="390"/>
      <c r="U95" s="390"/>
      <c r="V95" s="390"/>
      <c r="W95" s="390"/>
      <c r="X95" s="390"/>
      <c r="Y95" s="390"/>
      <c r="Z95" s="390"/>
      <c r="AA95" s="390"/>
      <c r="AB95" s="390"/>
      <c r="AC95" s="390"/>
      <c r="AD95" s="390"/>
      <c r="AE95" s="390"/>
      <c r="AF95" s="390"/>
      <c r="AG95" s="390"/>
      <c r="AH95" s="390"/>
      <c r="AI95" s="390"/>
      <c r="AJ95" s="390"/>
      <c r="AK95" s="390"/>
      <c r="AL95" s="390"/>
      <c r="AM95" s="390"/>
      <c r="AN95" s="390"/>
      <c r="AO95" s="390"/>
      <c r="AP95" s="385"/>
      <c r="AQ95" s="385"/>
      <c r="AR95" s="385"/>
      <c r="AS95" s="391">
        <f t="array" ref="AS95">SUM(COUNTIF(N95:AR95, {"◎","〇","☆","共","特","浴"}))</f>
        <v>0</v>
      </c>
      <c r="AT95" s="395"/>
      <c r="AU95" s="393"/>
      <c r="AV95" s="393"/>
      <c r="AW95" s="393"/>
      <c r="AX95" s="393"/>
      <c r="AY95" s="393"/>
      <c r="AZ95" s="393"/>
      <c r="BA95" s="393"/>
      <c r="BB95" s="394"/>
      <c r="BC95" s="74"/>
      <c r="BD95" s="74"/>
      <c r="BE95" s="74"/>
      <c r="BF95" s="74"/>
      <c r="BG95" s="74"/>
      <c r="BH95" s="71"/>
      <c r="BI95" s="186"/>
      <c r="BJ95" s="213" t="str">
        <f t="array" ref="BJ95">IFERROR(INDEX('💻シート作成'!$D$6:$D171, MATCH(BK95, '💻シート作成'!$E$6:$E171, 0)), "")</f>
        <v/>
      </c>
      <c r="BK95" s="168"/>
      <c r="BL95" s="396"/>
      <c r="BM95" s="186"/>
      <c r="BN95" s="186"/>
      <c r="BO95" s="186"/>
      <c r="BP95" s="186"/>
      <c r="BQ95" s="186"/>
      <c r="BR95" s="186"/>
      <c r="BS95" s="186"/>
      <c r="BT95" s="186"/>
      <c r="BU95" s="186"/>
      <c r="BV95" s="186"/>
      <c r="BW95" s="186"/>
      <c r="BX95" s="186"/>
    </row>
    <row r="96">
      <c r="A96" s="186"/>
      <c r="B96" s="372" t="str">
        <f t="shared" si="4"/>
        <v/>
      </c>
      <c r="C96" s="381" t="str">
        <f t="shared" si="5"/>
        <v/>
      </c>
      <c r="D96" s="186"/>
      <c r="E96" s="372" t="str">
        <f t="shared" si="6"/>
        <v/>
      </c>
      <c r="F96" s="381" t="str">
        <f t="shared" si="7"/>
        <v/>
      </c>
      <c r="G96" s="186"/>
      <c r="H96" s="186"/>
      <c r="I96" s="168" t="b">
        <v>0</v>
      </c>
      <c r="J96" s="362"/>
      <c r="K96" s="382"/>
      <c r="L96" s="383"/>
      <c r="M96" s="389"/>
      <c r="N96" s="390"/>
      <c r="O96" s="390"/>
      <c r="P96" s="390"/>
      <c r="Q96" s="390"/>
      <c r="R96" s="390"/>
      <c r="S96" s="390"/>
      <c r="T96" s="390"/>
      <c r="U96" s="390"/>
      <c r="V96" s="390"/>
      <c r="W96" s="390"/>
      <c r="X96" s="390"/>
      <c r="Y96" s="390"/>
      <c r="Z96" s="390"/>
      <c r="AA96" s="390"/>
      <c r="AB96" s="390"/>
      <c r="AC96" s="390"/>
      <c r="AD96" s="390"/>
      <c r="AE96" s="390"/>
      <c r="AF96" s="390"/>
      <c r="AG96" s="390"/>
      <c r="AH96" s="390"/>
      <c r="AI96" s="390"/>
      <c r="AJ96" s="390"/>
      <c r="AK96" s="390"/>
      <c r="AL96" s="390"/>
      <c r="AM96" s="390"/>
      <c r="AN96" s="390"/>
      <c r="AO96" s="390"/>
      <c r="AP96" s="385"/>
      <c r="AQ96" s="385"/>
      <c r="AR96" s="385"/>
      <c r="AS96" s="391">
        <f t="array" ref="AS96">SUM(COUNTIF(N96:AR96, {"◎","〇","☆","共","特","浴"}))</f>
        <v>0</v>
      </c>
      <c r="AT96" s="395"/>
      <c r="AU96" s="393"/>
      <c r="AV96" s="393"/>
      <c r="AW96" s="393"/>
      <c r="AX96" s="393"/>
      <c r="AY96" s="393"/>
      <c r="AZ96" s="393"/>
      <c r="BA96" s="393"/>
      <c r="BB96" s="394"/>
      <c r="BC96" s="74"/>
      <c r="BD96" s="74"/>
      <c r="BE96" s="74"/>
      <c r="BF96" s="74"/>
      <c r="BG96" s="74"/>
      <c r="BH96" s="71"/>
      <c r="BI96" s="186"/>
      <c r="BJ96" s="213" t="str">
        <f t="array" ref="BJ96">IFERROR(INDEX('💻シート作成'!$D$6:$D171, MATCH(BK96, '💻シート作成'!$E$6:$E171, 0)), "")</f>
        <v/>
      </c>
      <c r="BK96" s="168"/>
      <c r="BL96" s="396"/>
      <c r="BM96" s="186"/>
      <c r="BN96" s="186"/>
      <c r="BO96" s="186"/>
      <c r="BP96" s="186"/>
      <c r="BQ96" s="186"/>
      <c r="BR96" s="186"/>
      <c r="BS96" s="186"/>
      <c r="BT96" s="186"/>
      <c r="BU96" s="186"/>
      <c r="BV96" s="186"/>
      <c r="BW96" s="186"/>
      <c r="BX96" s="186"/>
    </row>
    <row r="97">
      <c r="A97" s="186"/>
      <c r="B97" s="372" t="str">
        <f t="shared" si="4"/>
        <v/>
      </c>
      <c r="C97" s="381" t="str">
        <f t="shared" si="5"/>
        <v/>
      </c>
      <c r="D97" s="186"/>
      <c r="E97" s="372" t="str">
        <f t="shared" si="6"/>
        <v/>
      </c>
      <c r="F97" s="381" t="str">
        <f t="shared" si="7"/>
        <v/>
      </c>
      <c r="G97" s="186"/>
      <c r="H97" s="186"/>
      <c r="I97" s="168" t="b">
        <v>0</v>
      </c>
      <c r="J97" s="362"/>
      <c r="K97" s="382"/>
      <c r="L97" s="383"/>
      <c r="M97" s="389"/>
      <c r="N97" s="390"/>
      <c r="O97" s="390"/>
      <c r="P97" s="390"/>
      <c r="Q97" s="390"/>
      <c r="R97" s="390"/>
      <c r="S97" s="390"/>
      <c r="T97" s="390"/>
      <c r="U97" s="390"/>
      <c r="V97" s="390"/>
      <c r="W97" s="390"/>
      <c r="X97" s="390"/>
      <c r="Y97" s="390"/>
      <c r="Z97" s="390"/>
      <c r="AA97" s="390"/>
      <c r="AB97" s="390"/>
      <c r="AC97" s="390"/>
      <c r="AD97" s="390"/>
      <c r="AE97" s="390"/>
      <c r="AF97" s="390"/>
      <c r="AG97" s="390"/>
      <c r="AH97" s="390"/>
      <c r="AI97" s="390"/>
      <c r="AJ97" s="390"/>
      <c r="AK97" s="390"/>
      <c r="AL97" s="390"/>
      <c r="AM97" s="390"/>
      <c r="AN97" s="390"/>
      <c r="AO97" s="390"/>
      <c r="AP97" s="385"/>
      <c r="AQ97" s="385"/>
      <c r="AR97" s="385"/>
      <c r="AS97" s="391">
        <f t="array" ref="AS97">SUM(COUNTIF(N97:AR97, {"◎","〇","☆","共","特","浴"}))</f>
        <v>0</v>
      </c>
      <c r="AT97" s="395"/>
      <c r="AU97" s="393"/>
      <c r="AV97" s="393"/>
      <c r="AW97" s="393"/>
      <c r="AX97" s="393"/>
      <c r="AY97" s="393"/>
      <c r="AZ97" s="393"/>
      <c r="BA97" s="393"/>
      <c r="BB97" s="394"/>
      <c r="BC97" s="74"/>
      <c r="BD97" s="74"/>
      <c r="BE97" s="74"/>
      <c r="BF97" s="74"/>
      <c r="BG97" s="74"/>
      <c r="BH97" s="71"/>
      <c r="BI97" s="186"/>
      <c r="BJ97" s="213" t="str">
        <f t="array" ref="BJ97">IFERROR(INDEX('💻シート作成'!$D$6:$D171, MATCH(BK97, '💻シート作成'!$E$6:$E171, 0)), "")</f>
        <v/>
      </c>
      <c r="BK97" s="168"/>
      <c r="BL97" s="396"/>
      <c r="BM97" s="186"/>
      <c r="BN97" s="186"/>
      <c r="BO97" s="186"/>
      <c r="BP97" s="186"/>
      <c r="BQ97" s="186"/>
      <c r="BR97" s="186"/>
      <c r="BS97" s="186"/>
      <c r="BT97" s="186"/>
      <c r="BU97" s="186"/>
      <c r="BV97" s="186"/>
      <c r="BW97" s="186"/>
      <c r="BX97" s="186"/>
    </row>
    <row r="98">
      <c r="A98" s="186"/>
      <c r="B98" s="372" t="str">
        <f t="shared" si="4"/>
        <v/>
      </c>
      <c r="C98" s="381" t="str">
        <f t="shared" si="5"/>
        <v/>
      </c>
      <c r="D98" s="186"/>
      <c r="E98" s="372" t="str">
        <f t="shared" si="6"/>
        <v/>
      </c>
      <c r="F98" s="381" t="str">
        <f t="shared" si="7"/>
        <v/>
      </c>
      <c r="G98" s="186"/>
      <c r="H98" s="186"/>
      <c r="I98" s="168" t="b">
        <v>0</v>
      </c>
      <c r="J98" s="362"/>
      <c r="K98" s="382"/>
      <c r="L98" s="383"/>
      <c r="M98" s="389"/>
      <c r="N98" s="390"/>
      <c r="O98" s="390"/>
      <c r="P98" s="390"/>
      <c r="Q98" s="390"/>
      <c r="R98" s="390"/>
      <c r="S98" s="390"/>
      <c r="T98" s="390"/>
      <c r="U98" s="390"/>
      <c r="V98" s="390"/>
      <c r="W98" s="390"/>
      <c r="X98" s="390"/>
      <c r="Y98" s="390"/>
      <c r="Z98" s="390"/>
      <c r="AA98" s="390"/>
      <c r="AB98" s="390"/>
      <c r="AC98" s="390"/>
      <c r="AD98" s="390"/>
      <c r="AE98" s="390"/>
      <c r="AF98" s="390"/>
      <c r="AG98" s="390"/>
      <c r="AH98" s="390"/>
      <c r="AI98" s="390"/>
      <c r="AJ98" s="390"/>
      <c r="AK98" s="390"/>
      <c r="AL98" s="390"/>
      <c r="AM98" s="390"/>
      <c r="AN98" s="390"/>
      <c r="AO98" s="390"/>
      <c r="AP98" s="385"/>
      <c r="AQ98" s="385"/>
      <c r="AR98" s="385"/>
      <c r="AS98" s="391">
        <f t="array" ref="AS98">SUM(COUNTIF(N98:AR98, {"◎","〇","☆","共","特","浴"}))</f>
        <v>0</v>
      </c>
      <c r="AT98" s="395"/>
      <c r="AU98" s="393"/>
      <c r="AV98" s="393"/>
      <c r="AW98" s="393"/>
      <c r="AX98" s="393"/>
      <c r="AY98" s="393"/>
      <c r="AZ98" s="393"/>
      <c r="BA98" s="393"/>
      <c r="BB98" s="394"/>
      <c r="BC98" s="74"/>
      <c r="BD98" s="74"/>
      <c r="BE98" s="74"/>
      <c r="BF98" s="74"/>
      <c r="BG98" s="74"/>
      <c r="BH98" s="71"/>
      <c r="BI98" s="186"/>
      <c r="BJ98" s="213" t="str">
        <f t="array" ref="BJ98">IFERROR(INDEX('💻シート作成'!$D$6:$D171, MATCH(BK98, '💻シート作成'!$E$6:$E171, 0)), "")</f>
        <v/>
      </c>
      <c r="BK98" s="168"/>
      <c r="BL98" s="396"/>
      <c r="BM98" s="186"/>
      <c r="BN98" s="186"/>
      <c r="BO98" s="186"/>
      <c r="BP98" s="186"/>
      <c r="BQ98" s="186"/>
      <c r="BR98" s="186"/>
      <c r="BS98" s="186"/>
      <c r="BT98" s="186"/>
      <c r="BU98" s="186"/>
      <c r="BV98" s="186"/>
      <c r="BW98" s="186"/>
      <c r="BX98" s="186"/>
    </row>
    <row r="99">
      <c r="A99" s="186"/>
      <c r="B99" s="372" t="str">
        <f t="shared" si="4"/>
        <v/>
      </c>
      <c r="C99" s="381" t="str">
        <f t="shared" si="5"/>
        <v/>
      </c>
      <c r="D99" s="186"/>
      <c r="E99" s="372" t="str">
        <f t="shared" si="6"/>
        <v/>
      </c>
      <c r="F99" s="381" t="str">
        <f t="shared" si="7"/>
        <v/>
      </c>
      <c r="G99" s="186"/>
      <c r="H99" s="186"/>
      <c r="I99" s="168" t="b">
        <v>0</v>
      </c>
      <c r="J99" s="362"/>
      <c r="K99" s="382"/>
      <c r="L99" s="383"/>
      <c r="M99" s="389"/>
      <c r="N99" s="390"/>
      <c r="O99" s="390"/>
      <c r="P99" s="390"/>
      <c r="Q99" s="390"/>
      <c r="R99" s="390"/>
      <c r="S99" s="390"/>
      <c r="T99" s="390"/>
      <c r="U99" s="390"/>
      <c r="V99" s="390"/>
      <c r="W99" s="390"/>
      <c r="X99" s="390"/>
      <c r="Y99" s="390"/>
      <c r="Z99" s="390"/>
      <c r="AA99" s="390"/>
      <c r="AB99" s="390"/>
      <c r="AC99" s="390"/>
      <c r="AD99" s="390"/>
      <c r="AE99" s="390"/>
      <c r="AF99" s="390"/>
      <c r="AG99" s="390"/>
      <c r="AH99" s="390"/>
      <c r="AI99" s="390"/>
      <c r="AJ99" s="390"/>
      <c r="AK99" s="390"/>
      <c r="AL99" s="390"/>
      <c r="AM99" s="390"/>
      <c r="AN99" s="390"/>
      <c r="AO99" s="390"/>
      <c r="AP99" s="385"/>
      <c r="AQ99" s="385"/>
      <c r="AR99" s="385"/>
      <c r="AS99" s="391">
        <f t="array" ref="AS99">SUM(COUNTIF(N99:AR99, {"◎","〇","☆","共","特","浴"}))</f>
        <v>0</v>
      </c>
      <c r="AT99" s="395"/>
      <c r="AU99" s="393"/>
      <c r="AV99" s="393"/>
      <c r="AW99" s="393"/>
      <c r="AX99" s="393"/>
      <c r="AY99" s="393"/>
      <c r="AZ99" s="393"/>
      <c r="BA99" s="393"/>
      <c r="BB99" s="394"/>
      <c r="BC99" s="74"/>
      <c r="BD99" s="74"/>
      <c r="BE99" s="74"/>
      <c r="BF99" s="74"/>
      <c r="BG99" s="74"/>
      <c r="BH99" s="71"/>
      <c r="BI99" s="186"/>
      <c r="BJ99" s="213" t="str">
        <f t="array" ref="BJ99">IFERROR(INDEX('💻シート作成'!$D$6:$D171, MATCH(BK99, '💻シート作成'!$E$6:$E171, 0)), "")</f>
        <v/>
      </c>
      <c r="BK99" s="168"/>
      <c r="BL99" s="396"/>
      <c r="BM99" s="186"/>
      <c r="BN99" s="186"/>
      <c r="BO99" s="186"/>
      <c r="BP99" s="186"/>
      <c r="BQ99" s="186"/>
      <c r="BR99" s="186"/>
      <c r="BS99" s="186"/>
      <c r="BT99" s="186"/>
      <c r="BU99" s="186"/>
      <c r="BV99" s="186"/>
      <c r="BW99" s="186"/>
      <c r="BX99" s="186"/>
    </row>
    <row r="100">
      <c r="A100" s="186"/>
      <c r="B100" s="372" t="str">
        <f t="shared" si="4"/>
        <v/>
      </c>
      <c r="C100" s="381" t="str">
        <f t="shared" si="5"/>
        <v/>
      </c>
      <c r="D100" s="186"/>
      <c r="E100" s="372" t="str">
        <f t="shared" si="6"/>
        <v/>
      </c>
      <c r="F100" s="381" t="str">
        <f t="shared" si="7"/>
        <v/>
      </c>
      <c r="G100" s="186"/>
      <c r="H100" s="186"/>
      <c r="I100" s="168" t="b">
        <v>0</v>
      </c>
      <c r="J100" s="362"/>
      <c r="K100" s="382"/>
      <c r="L100" s="383"/>
      <c r="M100" s="389"/>
      <c r="N100" s="390"/>
      <c r="O100" s="390"/>
      <c r="P100" s="390"/>
      <c r="Q100" s="390"/>
      <c r="R100" s="390"/>
      <c r="S100" s="390"/>
      <c r="T100" s="390"/>
      <c r="U100" s="390"/>
      <c r="V100" s="390"/>
      <c r="W100" s="390"/>
      <c r="X100" s="390"/>
      <c r="Y100" s="390"/>
      <c r="Z100" s="390"/>
      <c r="AA100" s="390"/>
      <c r="AB100" s="390"/>
      <c r="AC100" s="390"/>
      <c r="AD100" s="390"/>
      <c r="AE100" s="390"/>
      <c r="AF100" s="390"/>
      <c r="AG100" s="390"/>
      <c r="AH100" s="390"/>
      <c r="AI100" s="390"/>
      <c r="AJ100" s="390"/>
      <c r="AK100" s="390"/>
      <c r="AL100" s="390"/>
      <c r="AM100" s="390"/>
      <c r="AN100" s="390"/>
      <c r="AO100" s="390"/>
      <c r="AP100" s="385"/>
      <c r="AQ100" s="385"/>
      <c r="AR100" s="385"/>
      <c r="AS100" s="391">
        <f t="array" ref="AS100">SUM(COUNTIF(N100:AR100, {"◎","〇","☆","共","特","浴"}))</f>
        <v>0</v>
      </c>
      <c r="AT100" s="395"/>
      <c r="AU100" s="393"/>
      <c r="AV100" s="393"/>
      <c r="AW100" s="393"/>
      <c r="AX100" s="393"/>
      <c r="AY100" s="393"/>
      <c r="AZ100" s="393"/>
      <c r="BA100" s="393"/>
      <c r="BB100" s="394"/>
      <c r="BC100" s="74"/>
      <c r="BD100" s="74"/>
      <c r="BE100" s="74"/>
      <c r="BF100" s="74"/>
      <c r="BG100" s="74"/>
      <c r="BH100" s="71"/>
      <c r="BI100" s="186"/>
      <c r="BJ100" s="213" t="str">
        <f t="array" ref="BJ100">IFERROR(INDEX('💻シート作成'!$D$6:$D171, MATCH(BK100, '💻シート作成'!$E$6:$E171, 0)), "")</f>
        <v/>
      </c>
      <c r="BK100" s="168"/>
      <c r="BL100" s="396"/>
      <c r="BM100" s="186"/>
      <c r="BN100" s="186"/>
      <c r="BO100" s="186"/>
      <c r="BP100" s="186"/>
      <c r="BQ100" s="186"/>
      <c r="BR100" s="186"/>
      <c r="BS100" s="186"/>
      <c r="BT100" s="186"/>
      <c r="BU100" s="186"/>
      <c r="BV100" s="186"/>
      <c r="BW100" s="186"/>
      <c r="BX100" s="186"/>
    </row>
    <row r="101">
      <c r="A101" s="186"/>
      <c r="B101" s="372" t="str">
        <f t="shared" si="4"/>
        <v/>
      </c>
      <c r="C101" s="381" t="str">
        <f t="shared" si="5"/>
        <v/>
      </c>
      <c r="D101" s="186"/>
      <c r="E101" s="372" t="str">
        <f t="shared" si="6"/>
        <v/>
      </c>
      <c r="F101" s="381" t="str">
        <f t="shared" si="7"/>
        <v/>
      </c>
      <c r="G101" s="186"/>
      <c r="H101" s="186"/>
      <c r="I101" s="168" t="b">
        <v>0</v>
      </c>
      <c r="J101" s="362"/>
      <c r="K101" s="382"/>
      <c r="L101" s="383"/>
      <c r="M101" s="389"/>
      <c r="N101" s="390"/>
      <c r="O101" s="390"/>
      <c r="P101" s="390"/>
      <c r="Q101" s="390"/>
      <c r="R101" s="390"/>
      <c r="S101" s="390"/>
      <c r="T101" s="390"/>
      <c r="U101" s="390"/>
      <c r="V101" s="390"/>
      <c r="W101" s="390"/>
      <c r="X101" s="390"/>
      <c r="Y101" s="390"/>
      <c r="Z101" s="390"/>
      <c r="AA101" s="390"/>
      <c r="AB101" s="390"/>
      <c r="AC101" s="390"/>
      <c r="AD101" s="390"/>
      <c r="AE101" s="390"/>
      <c r="AF101" s="390"/>
      <c r="AG101" s="390"/>
      <c r="AH101" s="390"/>
      <c r="AI101" s="390"/>
      <c r="AJ101" s="390"/>
      <c r="AK101" s="390"/>
      <c r="AL101" s="390"/>
      <c r="AM101" s="390"/>
      <c r="AN101" s="390"/>
      <c r="AO101" s="390"/>
      <c r="AP101" s="385"/>
      <c r="AQ101" s="385"/>
      <c r="AR101" s="385"/>
      <c r="AS101" s="391">
        <f t="array" ref="AS101">SUM(COUNTIF(N101:AR101, {"◎","〇","☆","共","特","浴"}))</f>
        <v>0</v>
      </c>
      <c r="AT101" s="395"/>
      <c r="AU101" s="393"/>
      <c r="AV101" s="393"/>
      <c r="AW101" s="393"/>
      <c r="AX101" s="393"/>
      <c r="AY101" s="393"/>
      <c r="AZ101" s="393"/>
      <c r="BA101" s="393"/>
      <c r="BB101" s="394"/>
      <c r="BC101" s="74"/>
      <c r="BD101" s="74"/>
      <c r="BE101" s="74"/>
      <c r="BF101" s="74"/>
      <c r="BG101" s="74"/>
      <c r="BH101" s="71"/>
      <c r="BI101" s="186"/>
      <c r="BJ101" s="213" t="str">
        <f t="array" ref="BJ101">IFERROR(INDEX('💻シート作成'!$D$6:$D171, MATCH(BK101, '💻シート作成'!$E$6:$E171, 0)), "")</f>
        <v/>
      </c>
      <c r="BK101" s="168"/>
      <c r="BL101" s="396"/>
      <c r="BM101" s="186"/>
      <c r="BN101" s="186"/>
      <c r="BO101" s="186"/>
      <c r="BP101" s="186"/>
      <c r="BQ101" s="186"/>
      <c r="BR101" s="186"/>
      <c r="BS101" s="186"/>
      <c r="BT101" s="186"/>
      <c r="BU101" s="186"/>
      <c r="BV101" s="186"/>
      <c r="BW101" s="186"/>
      <c r="BX101" s="186"/>
    </row>
    <row r="102">
      <c r="A102" s="186"/>
      <c r="B102" s="372" t="str">
        <f t="shared" si="4"/>
        <v/>
      </c>
      <c r="C102" s="381" t="str">
        <f t="shared" si="5"/>
        <v/>
      </c>
      <c r="D102" s="186"/>
      <c r="E102" s="372" t="str">
        <f t="shared" si="6"/>
        <v/>
      </c>
      <c r="F102" s="381" t="str">
        <f t="shared" si="7"/>
        <v/>
      </c>
      <c r="G102" s="186"/>
      <c r="H102" s="186"/>
      <c r="I102" s="168" t="b">
        <v>0</v>
      </c>
      <c r="J102" s="362"/>
      <c r="K102" s="382"/>
      <c r="L102" s="383"/>
      <c r="M102" s="389"/>
      <c r="N102" s="390"/>
      <c r="O102" s="390"/>
      <c r="P102" s="390"/>
      <c r="Q102" s="390"/>
      <c r="R102" s="390"/>
      <c r="S102" s="390"/>
      <c r="T102" s="390"/>
      <c r="U102" s="390"/>
      <c r="V102" s="390"/>
      <c r="W102" s="390"/>
      <c r="X102" s="390"/>
      <c r="Y102" s="390"/>
      <c r="Z102" s="390"/>
      <c r="AA102" s="390"/>
      <c r="AB102" s="390"/>
      <c r="AC102" s="390"/>
      <c r="AD102" s="390"/>
      <c r="AE102" s="390"/>
      <c r="AF102" s="390"/>
      <c r="AG102" s="390"/>
      <c r="AH102" s="390"/>
      <c r="AI102" s="390"/>
      <c r="AJ102" s="390"/>
      <c r="AK102" s="390"/>
      <c r="AL102" s="390"/>
      <c r="AM102" s="390"/>
      <c r="AN102" s="390"/>
      <c r="AO102" s="390"/>
      <c r="AP102" s="385"/>
      <c r="AQ102" s="385"/>
      <c r="AR102" s="385"/>
      <c r="AS102" s="391">
        <f t="array" ref="AS102">SUM(COUNTIF(N102:AR102, {"◎","〇","☆","共","特","浴"}))</f>
        <v>0</v>
      </c>
      <c r="AT102" s="395"/>
      <c r="AU102" s="393"/>
      <c r="AV102" s="393"/>
      <c r="AW102" s="393"/>
      <c r="AX102" s="393"/>
      <c r="AY102" s="393"/>
      <c r="AZ102" s="393"/>
      <c r="BA102" s="393"/>
      <c r="BB102" s="394"/>
      <c r="BC102" s="74"/>
      <c r="BD102" s="74"/>
      <c r="BE102" s="74"/>
      <c r="BF102" s="74"/>
      <c r="BG102" s="74"/>
      <c r="BH102" s="71"/>
      <c r="BI102" s="186"/>
      <c r="BJ102" s="213" t="str">
        <f t="array" ref="BJ102">IFERROR(INDEX('💻シート作成'!$D$6:$D171, MATCH(BK102, '💻シート作成'!$E$6:$E171, 0)), "")</f>
        <v/>
      </c>
      <c r="BK102" s="168"/>
      <c r="BL102" s="396"/>
      <c r="BM102" s="186"/>
      <c r="BN102" s="186"/>
      <c r="BO102" s="186"/>
      <c r="BP102" s="186"/>
      <c r="BQ102" s="186"/>
      <c r="BR102" s="186"/>
      <c r="BS102" s="186"/>
      <c r="BT102" s="186"/>
      <c r="BU102" s="186"/>
      <c r="BV102" s="186"/>
      <c r="BW102" s="186"/>
      <c r="BX102" s="186"/>
    </row>
    <row r="103">
      <c r="A103" s="186"/>
      <c r="B103" s="372" t="str">
        <f t="shared" si="4"/>
        <v/>
      </c>
      <c r="C103" s="381" t="str">
        <f t="shared" si="5"/>
        <v/>
      </c>
      <c r="D103" s="186"/>
      <c r="E103" s="372" t="str">
        <f t="shared" si="6"/>
        <v/>
      </c>
      <c r="F103" s="381" t="str">
        <f t="shared" si="7"/>
        <v/>
      </c>
      <c r="G103" s="186"/>
      <c r="H103" s="186"/>
      <c r="I103" s="168" t="b">
        <v>0</v>
      </c>
      <c r="J103" s="362"/>
      <c r="K103" s="382"/>
      <c r="L103" s="383"/>
      <c r="M103" s="389"/>
      <c r="N103" s="390"/>
      <c r="O103" s="390"/>
      <c r="P103" s="390"/>
      <c r="Q103" s="390"/>
      <c r="R103" s="390"/>
      <c r="S103" s="390"/>
      <c r="T103" s="390"/>
      <c r="U103" s="390"/>
      <c r="V103" s="390"/>
      <c r="W103" s="390"/>
      <c r="X103" s="390"/>
      <c r="Y103" s="390"/>
      <c r="Z103" s="390"/>
      <c r="AA103" s="390"/>
      <c r="AB103" s="390"/>
      <c r="AC103" s="390"/>
      <c r="AD103" s="390"/>
      <c r="AE103" s="390"/>
      <c r="AF103" s="390"/>
      <c r="AG103" s="390"/>
      <c r="AH103" s="390"/>
      <c r="AI103" s="390"/>
      <c r="AJ103" s="390"/>
      <c r="AK103" s="390"/>
      <c r="AL103" s="390"/>
      <c r="AM103" s="390"/>
      <c r="AN103" s="390"/>
      <c r="AO103" s="390"/>
      <c r="AP103" s="385"/>
      <c r="AQ103" s="385"/>
      <c r="AR103" s="385"/>
      <c r="AS103" s="391">
        <f t="array" ref="AS103">SUM(COUNTIF(N103:AR103, {"◎","〇","☆","共","特","浴"}))</f>
        <v>0</v>
      </c>
      <c r="AT103" s="395"/>
      <c r="AU103" s="393"/>
      <c r="AV103" s="393"/>
      <c r="AW103" s="393"/>
      <c r="AX103" s="393"/>
      <c r="AY103" s="393"/>
      <c r="AZ103" s="393"/>
      <c r="BA103" s="393"/>
      <c r="BB103" s="394"/>
      <c r="BC103" s="74"/>
      <c r="BD103" s="74"/>
      <c r="BE103" s="74"/>
      <c r="BF103" s="74"/>
      <c r="BG103" s="74"/>
      <c r="BH103" s="71"/>
      <c r="BI103" s="186"/>
      <c r="BJ103" s="213" t="str">
        <f t="array" ref="BJ103">IFERROR(INDEX('💻シート作成'!$D$6:$D171, MATCH(BK103, '💻シート作成'!$E$6:$E171, 0)), "")</f>
        <v/>
      </c>
      <c r="BK103" s="168"/>
      <c r="BL103" s="396"/>
      <c r="BM103" s="186"/>
      <c r="BN103" s="186"/>
      <c r="BO103" s="186"/>
      <c r="BP103" s="186"/>
      <c r="BQ103" s="186"/>
      <c r="BR103" s="186"/>
      <c r="BS103" s="186"/>
      <c r="BT103" s="186"/>
      <c r="BU103" s="186"/>
      <c r="BV103" s="186"/>
      <c r="BW103" s="186"/>
      <c r="BX103" s="186"/>
    </row>
    <row r="104">
      <c r="A104" s="186"/>
      <c r="B104" s="372" t="str">
        <f t="shared" si="4"/>
        <v/>
      </c>
      <c r="C104" s="381" t="str">
        <f t="shared" si="5"/>
        <v/>
      </c>
      <c r="D104" s="186"/>
      <c r="E104" s="372" t="str">
        <f t="shared" si="6"/>
        <v/>
      </c>
      <c r="F104" s="381" t="str">
        <f t="array" ref="F104">if(B104="","", xlookup($E$7,$N$7:$AR$7,$N104:$AR104))</f>
        <v/>
      </c>
      <c r="G104" s="186"/>
      <c r="H104" s="186"/>
      <c r="I104" s="168" t="b">
        <v>0</v>
      </c>
      <c r="J104" s="362"/>
      <c r="K104" s="382"/>
      <c r="L104" s="383"/>
      <c r="M104" s="389"/>
      <c r="N104" s="390"/>
      <c r="O104" s="390"/>
      <c r="P104" s="390"/>
      <c r="Q104" s="390"/>
      <c r="R104" s="390"/>
      <c r="S104" s="390"/>
      <c r="T104" s="390"/>
      <c r="U104" s="390"/>
      <c r="V104" s="390"/>
      <c r="W104" s="390"/>
      <c r="X104" s="390"/>
      <c r="Y104" s="390"/>
      <c r="Z104" s="390"/>
      <c r="AA104" s="390"/>
      <c r="AB104" s="390"/>
      <c r="AC104" s="390"/>
      <c r="AD104" s="390"/>
      <c r="AE104" s="390"/>
      <c r="AF104" s="390"/>
      <c r="AG104" s="390"/>
      <c r="AH104" s="390"/>
      <c r="AI104" s="390"/>
      <c r="AJ104" s="390"/>
      <c r="AK104" s="390"/>
      <c r="AL104" s="390"/>
      <c r="AM104" s="390"/>
      <c r="AN104" s="390"/>
      <c r="AO104" s="390"/>
      <c r="AP104" s="385"/>
      <c r="AQ104" s="385"/>
      <c r="AR104" s="385"/>
      <c r="AS104" s="391">
        <f t="array" ref="AS104">SUM(COUNTIF(N104:AR104, {"◎","〇","☆","共","特","浴"}))</f>
        <v>0</v>
      </c>
      <c r="AT104" s="395"/>
      <c r="AU104" s="393"/>
      <c r="AV104" s="393"/>
      <c r="AW104" s="393"/>
      <c r="AX104" s="393"/>
      <c r="AY104" s="393"/>
      <c r="AZ104" s="393"/>
      <c r="BA104" s="393"/>
      <c r="BB104" s="394"/>
      <c r="BC104" s="74"/>
      <c r="BD104" s="74"/>
      <c r="BE104" s="74"/>
      <c r="BF104" s="74"/>
      <c r="BG104" s="74"/>
      <c r="BH104" s="71"/>
      <c r="BI104" s="186"/>
      <c r="BJ104" s="213" t="str">
        <f t="array" ref="BJ104">IFERROR(INDEX('💻シート作成'!$D$6:$D171, MATCH(BK104, '💻シート作成'!$E$6:$E171, 0)), "")</f>
        <v/>
      </c>
      <c r="BK104" s="168"/>
      <c r="BL104" s="396"/>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2"/>
      <c r="K105" s="382"/>
      <c r="L105" s="383"/>
      <c r="M105" s="389"/>
      <c r="N105" s="390"/>
      <c r="O105" s="390"/>
      <c r="P105" s="390"/>
      <c r="Q105" s="390"/>
      <c r="R105" s="390"/>
      <c r="S105" s="390"/>
      <c r="T105" s="390"/>
      <c r="U105" s="390"/>
      <c r="V105" s="390"/>
      <c r="W105" s="390"/>
      <c r="X105" s="390"/>
      <c r="Y105" s="390"/>
      <c r="Z105" s="390"/>
      <c r="AA105" s="390"/>
      <c r="AB105" s="390"/>
      <c r="AC105" s="390"/>
      <c r="AD105" s="390"/>
      <c r="AE105" s="390"/>
      <c r="AF105" s="390"/>
      <c r="AG105" s="390"/>
      <c r="AH105" s="390"/>
      <c r="AI105" s="390"/>
      <c r="AJ105" s="390"/>
      <c r="AK105" s="390"/>
      <c r="AL105" s="390"/>
      <c r="AM105" s="390"/>
      <c r="AN105" s="390"/>
      <c r="AO105" s="390"/>
      <c r="AP105" s="385"/>
      <c r="AQ105" s="385"/>
      <c r="AR105" s="385"/>
      <c r="AS105" s="391">
        <f t="array" ref="AS105">SUM(COUNTIF(N105:AR105, {"◎","〇","☆","共","特","浴"}))</f>
        <v>0</v>
      </c>
      <c r="AT105" s="395"/>
      <c r="AU105" s="393"/>
      <c r="AV105" s="393"/>
      <c r="AW105" s="393"/>
      <c r="AX105" s="393"/>
      <c r="AY105" s="393"/>
      <c r="AZ105" s="393"/>
      <c r="BA105" s="393"/>
      <c r="BB105" s="394"/>
      <c r="BC105" s="74"/>
      <c r="BD105" s="74"/>
      <c r="BE105" s="74"/>
      <c r="BF105" s="74"/>
      <c r="BG105" s="74"/>
      <c r="BH105" s="71"/>
      <c r="BI105" s="186"/>
      <c r="BJ105" s="213" t="str">
        <f t="array" ref="BJ105">IFERROR(INDEX('💻シート作成'!$D$6:$D171, MATCH(BK105, '💻シート作成'!$E$6:$E171, 0)), "")</f>
        <v/>
      </c>
      <c r="BK105" s="168"/>
      <c r="BL105" s="396"/>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2"/>
      <c r="K106" s="382"/>
      <c r="L106" s="383"/>
      <c r="M106" s="389"/>
      <c r="N106" s="390"/>
      <c r="O106" s="390"/>
      <c r="P106" s="390"/>
      <c r="Q106" s="390"/>
      <c r="R106" s="390"/>
      <c r="S106" s="390"/>
      <c r="T106" s="390"/>
      <c r="U106" s="390"/>
      <c r="V106" s="390"/>
      <c r="W106" s="390"/>
      <c r="X106" s="390"/>
      <c r="Y106" s="390"/>
      <c r="Z106" s="390"/>
      <c r="AA106" s="390"/>
      <c r="AB106" s="390"/>
      <c r="AC106" s="390"/>
      <c r="AD106" s="390"/>
      <c r="AE106" s="390"/>
      <c r="AF106" s="390"/>
      <c r="AG106" s="390"/>
      <c r="AH106" s="390"/>
      <c r="AI106" s="390"/>
      <c r="AJ106" s="390"/>
      <c r="AK106" s="390"/>
      <c r="AL106" s="390"/>
      <c r="AM106" s="390"/>
      <c r="AN106" s="390"/>
      <c r="AO106" s="390"/>
      <c r="AP106" s="385"/>
      <c r="AQ106" s="385"/>
      <c r="AR106" s="385"/>
      <c r="AS106" s="391">
        <f t="array" ref="AS106">SUM(COUNTIF(N106:AR106, {"◎","〇","☆","共","特","浴"}))</f>
        <v>0</v>
      </c>
      <c r="AT106" s="395"/>
      <c r="AU106" s="393"/>
      <c r="AV106" s="393"/>
      <c r="AW106" s="393"/>
      <c r="AX106" s="393"/>
      <c r="AY106" s="393"/>
      <c r="AZ106" s="393"/>
      <c r="BA106" s="393"/>
      <c r="BB106" s="394"/>
      <c r="BC106" s="74"/>
      <c r="BD106" s="74"/>
      <c r="BE106" s="74"/>
      <c r="BF106" s="74"/>
      <c r="BG106" s="74"/>
      <c r="BH106" s="71"/>
      <c r="BI106" s="186"/>
      <c r="BJ106" s="213" t="str">
        <f t="array" ref="BJ106">IFERROR(INDEX('💻シート作成'!$D$6:$D171, MATCH(BK106, '💻シート作成'!$E$6:$E171, 0)), "")</f>
        <v/>
      </c>
      <c r="BK106" s="168"/>
      <c r="BL106" s="396"/>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2"/>
      <c r="K107" s="382"/>
      <c r="L107" s="383"/>
      <c r="M107" s="389"/>
      <c r="N107" s="390"/>
      <c r="O107" s="390"/>
      <c r="P107" s="390"/>
      <c r="Q107" s="390"/>
      <c r="R107" s="390"/>
      <c r="S107" s="390"/>
      <c r="T107" s="390"/>
      <c r="U107" s="390"/>
      <c r="V107" s="390"/>
      <c r="W107" s="390"/>
      <c r="X107" s="390"/>
      <c r="Y107" s="390"/>
      <c r="Z107" s="390"/>
      <c r="AA107" s="390"/>
      <c r="AB107" s="390"/>
      <c r="AC107" s="390"/>
      <c r="AD107" s="390"/>
      <c r="AE107" s="390"/>
      <c r="AF107" s="390"/>
      <c r="AG107" s="390"/>
      <c r="AH107" s="390"/>
      <c r="AI107" s="390"/>
      <c r="AJ107" s="390"/>
      <c r="AK107" s="390"/>
      <c r="AL107" s="390"/>
      <c r="AM107" s="390"/>
      <c r="AN107" s="390"/>
      <c r="AO107" s="390"/>
      <c r="AP107" s="385"/>
      <c r="AQ107" s="385"/>
      <c r="AR107" s="385"/>
      <c r="AS107" s="391">
        <f t="array" ref="AS107">SUM(COUNTIF(N107:AR107, {"◎","〇","☆","共","特","浴"}))</f>
        <v>0</v>
      </c>
      <c r="AT107" s="395"/>
      <c r="AU107" s="393"/>
      <c r="AV107" s="393"/>
      <c r="AW107" s="393"/>
      <c r="AX107" s="393"/>
      <c r="AY107" s="393"/>
      <c r="AZ107" s="393"/>
      <c r="BA107" s="393"/>
      <c r="BB107" s="394"/>
      <c r="BC107" s="74"/>
      <c r="BD107" s="74"/>
      <c r="BE107" s="74"/>
      <c r="BF107" s="74"/>
      <c r="BG107" s="74"/>
      <c r="BH107" s="71"/>
      <c r="BI107" s="186"/>
      <c r="BJ107" s="213" t="str">
        <f t="array" ref="BJ107">IFERROR(INDEX('💻シート作成'!$D$6:$D171, MATCH(BK107, '💻シート作成'!$E$6:$E171, 0)), "")</f>
        <v/>
      </c>
      <c r="BK107" s="168"/>
      <c r="BL107" s="396"/>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2"/>
      <c r="K108" s="382"/>
      <c r="L108" s="383"/>
      <c r="M108" s="389"/>
      <c r="N108" s="390"/>
      <c r="O108" s="390"/>
      <c r="P108" s="390"/>
      <c r="Q108" s="390"/>
      <c r="R108" s="390"/>
      <c r="S108" s="390"/>
      <c r="T108" s="390"/>
      <c r="U108" s="390"/>
      <c r="V108" s="390"/>
      <c r="W108" s="390"/>
      <c r="X108" s="390"/>
      <c r="Y108" s="390"/>
      <c r="Z108" s="390"/>
      <c r="AA108" s="390"/>
      <c r="AB108" s="390"/>
      <c r="AC108" s="390"/>
      <c r="AD108" s="390"/>
      <c r="AE108" s="390"/>
      <c r="AF108" s="390"/>
      <c r="AG108" s="390"/>
      <c r="AH108" s="390"/>
      <c r="AI108" s="390"/>
      <c r="AJ108" s="390"/>
      <c r="AK108" s="390"/>
      <c r="AL108" s="390"/>
      <c r="AM108" s="390"/>
      <c r="AN108" s="390"/>
      <c r="AO108" s="390"/>
      <c r="AP108" s="385"/>
      <c r="AQ108" s="385"/>
      <c r="AR108" s="385"/>
      <c r="AS108" s="391">
        <f t="array" ref="AS108">SUM(COUNTIF(N108:AR108, {"◎","〇","☆","共","特","浴"}))</f>
        <v>0</v>
      </c>
      <c r="AT108" s="395"/>
      <c r="AU108" s="393"/>
      <c r="AV108" s="393"/>
      <c r="AW108" s="393"/>
      <c r="AX108" s="393"/>
      <c r="AY108" s="393"/>
      <c r="AZ108" s="393"/>
      <c r="BA108" s="393"/>
      <c r="BB108" s="394"/>
      <c r="BC108" s="74"/>
      <c r="BD108" s="74"/>
      <c r="BE108" s="74"/>
      <c r="BF108" s="74"/>
      <c r="BG108" s="74"/>
      <c r="BH108" s="71"/>
      <c r="BI108" s="186"/>
      <c r="BJ108" s="213" t="str">
        <f t="array" ref="BJ108">IFERROR(INDEX('💻シート作成'!$D$6:$D171, MATCH(BK108, '💻シート作成'!$E$6:$E171, 0)), "")</f>
        <v/>
      </c>
      <c r="BK108" s="168"/>
      <c r="BL108" s="396"/>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2"/>
      <c r="K109" s="382"/>
      <c r="L109" s="383"/>
      <c r="M109" s="389"/>
      <c r="N109" s="390"/>
      <c r="O109" s="390"/>
      <c r="P109" s="390"/>
      <c r="Q109" s="390"/>
      <c r="R109" s="390"/>
      <c r="S109" s="390"/>
      <c r="T109" s="390"/>
      <c r="U109" s="390"/>
      <c r="V109" s="390"/>
      <c r="W109" s="390"/>
      <c r="X109" s="390"/>
      <c r="Y109" s="390"/>
      <c r="Z109" s="390"/>
      <c r="AA109" s="390"/>
      <c r="AB109" s="390"/>
      <c r="AC109" s="390"/>
      <c r="AD109" s="390"/>
      <c r="AE109" s="390"/>
      <c r="AF109" s="390"/>
      <c r="AG109" s="390"/>
      <c r="AH109" s="390"/>
      <c r="AI109" s="390"/>
      <c r="AJ109" s="390"/>
      <c r="AK109" s="390"/>
      <c r="AL109" s="390"/>
      <c r="AM109" s="390"/>
      <c r="AN109" s="390"/>
      <c r="AO109" s="390"/>
      <c r="AP109" s="385"/>
      <c r="AQ109" s="385"/>
      <c r="AR109" s="385"/>
      <c r="AS109" s="391">
        <f t="array" ref="AS109">SUM(COUNTIF(N109:AR109, {"◎","〇","☆","共","特","浴"}))</f>
        <v>0</v>
      </c>
      <c r="AT109" s="395"/>
      <c r="AU109" s="393"/>
      <c r="AV109" s="393"/>
      <c r="AW109" s="393"/>
      <c r="AX109" s="393"/>
      <c r="AY109" s="393"/>
      <c r="AZ109" s="393"/>
      <c r="BA109" s="393"/>
      <c r="BB109" s="394"/>
      <c r="BC109" s="74"/>
      <c r="BD109" s="74"/>
      <c r="BE109" s="74"/>
      <c r="BF109" s="74"/>
      <c r="BG109" s="74"/>
      <c r="BH109" s="71"/>
      <c r="BI109" s="186"/>
      <c r="BJ109" s="213" t="str">
        <f t="array" ref="BJ109">IFERROR(INDEX('💻シート作成'!$D$6:$D171, MATCH(BK109, '💻シート作成'!$E$6:$E171, 0)), "")</f>
        <v/>
      </c>
      <c r="BK109" s="168"/>
      <c r="BL109" s="396"/>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2"/>
      <c r="K110" s="382"/>
      <c r="L110" s="383"/>
      <c r="M110" s="389"/>
      <c r="N110" s="390"/>
      <c r="O110" s="390"/>
      <c r="P110" s="390"/>
      <c r="Q110" s="390"/>
      <c r="R110" s="390"/>
      <c r="S110" s="390"/>
      <c r="T110" s="390"/>
      <c r="U110" s="390"/>
      <c r="V110" s="390"/>
      <c r="W110" s="390"/>
      <c r="X110" s="390"/>
      <c r="Y110" s="390"/>
      <c r="Z110" s="390"/>
      <c r="AA110" s="390"/>
      <c r="AB110" s="390"/>
      <c r="AC110" s="390"/>
      <c r="AD110" s="390"/>
      <c r="AE110" s="390"/>
      <c r="AF110" s="390"/>
      <c r="AG110" s="390"/>
      <c r="AH110" s="390"/>
      <c r="AI110" s="390"/>
      <c r="AJ110" s="390"/>
      <c r="AK110" s="390"/>
      <c r="AL110" s="390"/>
      <c r="AM110" s="390"/>
      <c r="AN110" s="390"/>
      <c r="AO110" s="390"/>
      <c r="AP110" s="385"/>
      <c r="AQ110" s="385"/>
      <c r="AR110" s="385"/>
      <c r="AS110" s="391">
        <f t="array" ref="AS110">SUM(COUNTIF(N110:AR110, {"◎","〇","☆","共","特","浴"}))</f>
        <v>0</v>
      </c>
      <c r="AT110" s="395"/>
      <c r="AU110" s="393"/>
      <c r="AV110" s="393"/>
      <c r="AW110" s="393"/>
      <c r="AX110" s="393"/>
      <c r="AY110" s="393"/>
      <c r="AZ110" s="393"/>
      <c r="BA110" s="393"/>
      <c r="BB110" s="394"/>
      <c r="BC110" s="74"/>
      <c r="BD110" s="74"/>
      <c r="BE110" s="74"/>
      <c r="BF110" s="74"/>
      <c r="BG110" s="74"/>
      <c r="BH110" s="71"/>
      <c r="BI110" s="186"/>
      <c r="BJ110" s="213" t="str">
        <f t="array" ref="BJ110">IFERROR(INDEX('💻シート作成'!$D$6:$D171, MATCH(BK110, '💻シート作成'!$E$6:$E171, 0)), "")</f>
        <v/>
      </c>
      <c r="BK110" s="168"/>
      <c r="BL110" s="396"/>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2"/>
      <c r="K111" s="382"/>
      <c r="L111" s="383"/>
      <c r="M111" s="389"/>
      <c r="N111" s="390"/>
      <c r="O111" s="390"/>
      <c r="P111" s="390"/>
      <c r="Q111" s="390"/>
      <c r="R111" s="390"/>
      <c r="S111" s="390"/>
      <c r="T111" s="390"/>
      <c r="U111" s="390"/>
      <c r="V111" s="390"/>
      <c r="W111" s="390"/>
      <c r="X111" s="390"/>
      <c r="Y111" s="390"/>
      <c r="Z111" s="390"/>
      <c r="AA111" s="390"/>
      <c r="AB111" s="390"/>
      <c r="AC111" s="390"/>
      <c r="AD111" s="390"/>
      <c r="AE111" s="390"/>
      <c r="AF111" s="390"/>
      <c r="AG111" s="390"/>
      <c r="AH111" s="390"/>
      <c r="AI111" s="390"/>
      <c r="AJ111" s="390"/>
      <c r="AK111" s="390"/>
      <c r="AL111" s="390"/>
      <c r="AM111" s="390"/>
      <c r="AN111" s="390"/>
      <c r="AO111" s="390"/>
      <c r="AP111" s="385"/>
      <c r="AQ111" s="385"/>
      <c r="AR111" s="385"/>
      <c r="AS111" s="391">
        <f t="array" ref="AS111">SUM(COUNTIF(N111:AR111, {"◎","〇","☆","共","特","浴"}))</f>
        <v>0</v>
      </c>
      <c r="AT111" s="395"/>
      <c r="AU111" s="393"/>
      <c r="AV111" s="393"/>
      <c r="AW111" s="393"/>
      <c r="AX111" s="393"/>
      <c r="AY111" s="393"/>
      <c r="AZ111" s="393"/>
      <c r="BA111" s="393"/>
      <c r="BB111" s="394"/>
      <c r="BC111" s="74"/>
      <c r="BD111" s="74"/>
      <c r="BE111" s="74"/>
      <c r="BF111" s="74"/>
      <c r="BG111" s="74"/>
      <c r="BH111" s="71"/>
      <c r="BI111" s="186"/>
      <c r="BJ111" s="213" t="str">
        <f t="array" ref="BJ111">IFERROR(INDEX('💻シート作成'!$D$6:$D171, MATCH(BK111, '💻シート作成'!$E$6:$E171, 0)), "")</f>
        <v/>
      </c>
      <c r="BK111" s="168"/>
      <c r="BL111" s="396"/>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2"/>
      <c r="K112" s="382"/>
      <c r="L112" s="383"/>
      <c r="M112" s="389"/>
      <c r="N112" s="390"/>
      <c r="O112" s="390"/>
      <c r="P112" s="390"/>
      <c r="Q112" s="390"/>
      <c r="R112" s="390"/>
      <c r="S112" s="390"/>
      <c r="T112" s="390"/>
      <c r="U112" s="390"/>
      <c r="V112" s="390"/>
      <c r="W112" s="390"/>
      <c r="X112" s="390"/>
      <c r="Y112" s="390"/>
      <c r="Z112" s="390"/>
      <c r="AA112" s="390"/>
      <c r="AB112" s="390"/>
      <c r="AC112" s="390"/>
      <c r="AD112" s="390"/>
      <c r="AE112" s="390"/>
      <c r="AF112" s="390"/>
      <c r="AG112" s="390"/>
      <c r="AH112" s="390"/>
      <c r="AI112" s="390"/>
      <c r="AJ112" s="390"/>
      <c r="AK112" s="390"/>
      <c r="AL112" s="390"/>
      <c r="AM112" s="390"/>
      <c r="AN112" s="390"/>
      <c r="AO112" s="390"/>
      <c r="AP112" s="385"/>
      <c r="AQ112" s="385"/>
      <c r="AR112" s="385"/>
      <c r="AS112" s="391">
        <f t="array" ref="AS112">SUM(COUNTIF(N112:AR112, {"◎","〇","☆","共","特","浴"}))</f>
        <v>0</v>
      </c>
      <c r="AT112" s="395"/>
      <c r="AU112" s="393"/>
      <c r="AV112" s="393"/>
      <c r="AW112" s="393"/>
      <c r="AX112" s="393"/>
      <c r="AY112" s="393"/>
      <c r="AZ112" s="393"/>
      <c r="BA112" s="393"/>
      <c r="BB112" s="394"/>
      <c r="BC112" s="74"/>
      <c r="BD112" s="74"/>
      <c r="BE112" s="74"/>
      <c r="BF112" s="74"/>
      <c r="BG112" s="74"/>
      <c r="BH112" s="71"/>
      <c r="BI112" s="186"/>
      <c r="BJ112" s="213" t="str">
        <f t="array" ref="BJ112">IFERROR(INDEX('💻シート作成'!$D$6:$D171, MATCH(BK112, '💻シート作成'!$E$6:$E171, 0)), "")</f>
        <v/>
      </c>
      <c r="BK112" s="168"/>
      <c r="BL112" s="396"/>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2"/>
      <c r="K113" s="382"/>
      <c r="L113" s="383"/>
      <c r="M113" s="389"/>
      <c r="N113" s="390"/>
      <c r="O113" s="390"/>
      <c r="P113" s="390"/>
      <c r="Q113" s="390"/>
      <c r="R113" s="390"/>
      <c r="S113" s="390"/>
      <c r="T113" s="390"/>
      <c r="U113" s="390"/>
      <c r="V113" s="390"/>
      <c r="W113" s="390"/>
      <c r="X113" s="390"/>
      <c r="Y113" s="390"/>
      <c r="Z113" s="390"/>
      <c r="AA113" s="390"/>
      <c r="AB113" s="390"/>
      <c r="AC113" s="390"/>
      <c r="AD113" s="390"/>
      <c r="AE113" s="390"/>
      <c r="AF113" s="390"/>
      <c r="AG113" s="390"/>
      <c r="AH113" s="390"/>
      <c r="AI113" s="390"/>
      <c r="AJ113" s="390"/>
      <c r="AK113" s="390"/>
      <c r="AL113" s="390"/>
      <c r="AM113" s="390"/>
      <c r="AN113" s="390"/>
      <c r="AO113" s="390"/>
      <c r="AP113" s="385"/>
      <c r="AQ113" s="385"/>
      <c r="AR113" s="385"/>
      <c r="AS113" s="391">
        <f t="array" ref="AS113">SUM(COUNTIF(N113:AR113, {"◎","〇","☆","共","特","浴"}))</f>
        <v>0</v>
      </c>
      <c r="AT113" s="395"/>
      <c r="AU113" s="393"/>
      <c r="AV113" s="393"/>
      <c r="AW113" s="393"/>
      <c r="AX113" s="393"/>
      <c r="AY113" s="393"/>
      <c r="AZ113" s="393"/>
      <c r="BA113" s="393"/>
      <c r="BB113" s="394"/>
      <c r="BC113" s="74"/>
      <c r="BD113" s="74"/>
      <c r="BE113" s="74"/>
      <c r="BF113" s="74"/>
      <c r="BG113" s="74"/>
      <c r="BH113" s="71"/>
      <c r="BI113" s="186"/>
      <c r="BJ113" s="213" t="str">
        <f t="array" ref="BJ113">IFERROR(INDEX('💻シート作成'!$D$6:$D171, MATCH(BK113, '💻シート作成'!$E$6:$E171, 0)), "")</f>
        <v/>
      </c>
      <c r="BK113" s="168"/>
      <c r="BL113" s="396"/>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2"/>
      <c r="K114" s="382"/>
      <c r="L114" s="383"/>
      <c r="M114" s="389"/>
      <c r="N114" s="390"/>
      <c r="O114" s="390"/>
      <c r="P114" s="390"/>
      <c r="Q114" s="390"/>
      <c r="R114" s="390"/>
      <c r="S114" s="390"/>
      <c r="T114" s="390"/>
      <c r="U114" s="390"/>
      <c r="V114" s="390"/>
      <c r="W114" s="390"/>
      <c r="X114" s="390"/>
      <c r="Y114" s="390"/>
      <c r="Z114" s="390"/>
      <c r="AA114" s="390"/>
      <c r="AB114" s="390"/>
      <c r="AC114" s="390"/>
      <c r="AD114" s="390"/>
      <c r="AE114" s="390"/>
      <c r="AF114" s="390"/>
      <c r="AG114" s="390"/>
      <c r="AH114" s="390"/>
      <c r="AI114" s="390"/>
      <c r="AJ114" s="390"/>
      <c r="AK114" s="390"/>
      <c r="AL114" s="390"/>
      <c r="AM114" s="390"/>
      <c r="AN114" s="390"/>
      <c r="AO114" s="390"/>
      <c r="AP114" s="385"/>
      <c r="AQ114" s="385"/>
      <c r="AR114" s="385"/>
      <c r="AS114" s="391">
        <f t="array" ref="AS114">SUM(COUNTIF(N114:AR114, {"◎","〇","☆","共","特","浴"}))</f>
        <v>0</v>
      </c>
      <c r="AT114" s="395"/>
      <c r="AU114" s="393"/>
      <c r="AV114" s="393"/>
      <c r="AW114" s="393"/>
      <c r="AX114" s="393"/>
      <c r="AY114" s="393"/>
      <c r="AZ114" s="393"/>
      <c r="BA114" s="393"/>
      <c r="BB114" s="394"/>
      <c r="BC114" s="74"/>
      <c r="BD114" s="74"/>
      <c r="BE114" s="74"/>
      <c r="BF114" s="74"/>
      <c r="BG114" s="74"/>
      <c r="BH114" s="71"/>
      <c r="BI114" s="186"/>
      <c r="BJ114" s="213" t="str">
        <f t="array" ref="BJ114">IFERROR(INDEX('💻シート作成'!$D$6:$D171, MATCH(BK114, '💻シート作成'!$E$6:$E171, 0)), "")</f>
        <v/>
      </c>
      <c r="BK114" s="168"/>
      <c r="BL114" s="396"/>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2"/>
      <c r="K115" s="382"/>
      <c r="L115" s="383"/>
      <c r="M115" s="389"/>
      <c r="N115" s="390"/>
      <c r="O115" s="390"/>
      <c r="P115" s="390"/>
      <c r="Q115" s="390"/>
      <c r="R115" s="390"/>
      <c r="S115" s="390"/>
      <c r="T115" s="390"/>
      <c r="U115" s="390"/>
      <c r="V115" s="390"/>
      <c r="W115" s="390"/>
      <c r="X115" s="390"/>
      <c r="Y115" s="390"/>
      <c r="Z115" s="390"/>
      <c r="AA115" s="390"/>
      <c r="AB115" s="390"/>
      <c r="AC115" s="390"/>
      <c r="AD115" s="390"/>
      <c r="AE115" s="390"/>
      <c r="AF115" s="390"/>
      <c r="AG115" s="390"/>
      <c r="AH115" s="390"/>
      <c r="AI115" s="390"/>
      <c r="AJ115" s="390"/>
      <c r="AK115" s="390"/>
      <c r="AL115" s="390"/>
      <c r="AM115" s="390"/>
      <c r="AN115" s="390"/>
      <c r="AO115" s="390"/>
      <c r="AP115" s="385"/>
      <c r="AQ115" s="385"/>
      <c r="AR115" s="385"/>
      <c r="AS115" s="391">
        <f t="array" ref="AS115">SUM(COUNTIF(N115:AR115, {"◎","〇","☆","共","特","浴"}))</f>
        <v>0</v>
      </c>
      <c r="AT115" s="395"/>
      <c r="AU115" s="393"/>
      <c r="AV115" s="393"/>
      <c r="AW115" s="393"/>
      <c r="AX115" s="393"/>
      <c r="AY115" s="393"/>
      <c r="AZ115" s="393"/>
      <c r="BA115" s="393"/>
      <c r="BB115" s="394"/>
      <c r="BC115" s="74"/>
      <c r="BD115" s="74"/>
      <c r="BE115" s="74"/>
      <c r="BF115" s="74"/>
      <c r="BG115" s="74"/>
      <c r="BH115" s="71"/>
      <c r="BI115" s="186"/>
      <c r="BJ115" s="213" t="str">
        <f t="array" ref="BJ115">IFERROR(INDEX('💻シート作成'!$D$6:$D171, MATCH(BK115, '💻シート作成'!$E$6:$E171, 0)), "")</f>
        <v/>
      </c>
      <c r="BK115" s="168"/>
      <c r="BL115" s="396"/>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2"/>
      <c r="K116" s="382"/>
      <c r="L116" s="383"/>
      <c r="M116" s="389"/>
      <c r="N116" s="390"/>
      <c r="O116" s="390"/>
      <c r="P116" s="390"/>
      <c r="Q116" s="390"/>
      <c r="R116" s="390"/>
      <c r="S116" s="390"/>
      <c r="T116" s="390"/>
      <c r="U116" s="390"/>
      <c r="V116" s="390"/>
      <c r="W116" s="390"/>
      <c r="X116" s="390"/>
      <c r="Y116" s="390"/>
      <c r="Z116" s="390"/>
      <c r="AA116" s="390"/>
      <c r="AB116" s="390"/>
      <c r="AC116" s="390"/>
      <c r="AD116" s="390"/>
      <c r="AE116" s="390"/>
      <c r="AF116" s="390"/>
      <c r="AG116" s="390"/>
      <c r="AH116" s="390"/>
      <c r="AI116" s="390"/>
      <c r="AJ116" s="390"/>
      <c r="AK116" s="390"/>
      <c r="AL116" s="390"/>
      <c r="AM116" s="390"/>
      <c r="AN116" s="390"/>
      <c r="AO116" s="390"/>
      <c r="AP116" s="385"/>
      <c r="AQ116" s="385"/>
      <c r="AR116" s="385"/>
      <c r="AS116" s="391">
        <f t="array" ref="AS116">SUM(COUNTIF(N116:AR116, {"◎","〇","☆","共","特","浴"}))</f>
        <v>0</v>
      </c>
      <c r="AT116" s="395"/>
      <c r="AU116" s="393"/>
      <c r="AV116" s="393"/>
      <c r="AW116" s="393"/>
      <c r="AX116" s="393"/>
      <c r="AY116" s="393"/>
      <c r="AZ116" s="393"/>
      <c r="BA116" s="393"/>
      <c r="BB116" s="394"/>
      <c r="BC116" s="74"/>
      <c r="BD116" s="74"/>
      <c r="BE116" s="74"/>
      <c r="BF116" s="74"/>
      <c r="BG116" s="74"/>
      <c r="BH116" s="71"/>
      <c r="BI116" s="186"/>
      <c r="BJ116" s="213" t="str">
        <f t="array" ref="BJ116">IFERROR(INDEX('💻シート作成'!$D$6:$D171, MATCH(BK116, '💻シート作成'!$E$6:$E171, 0)), "")</f>
        <v/>
      </c>
      <c r="BK116" s="168"/>
      <c r="BL116" s="396"/>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2"/>
      <c r="K117" s="382"/>
      <c r="L117" s="383"/>
      <c r="M117" s="389"/>
      <c r="N117" s="390"/>
      <c r="O117" s="390"/>
      <c r="P117" s="390"/>
      <c r="Q117" s="390"/>
      <c r="R117" s="390"/>
      <c r="S117" s="390"/>
      <c r="T117" s="390"/>
      <c r="U117" s="390"/>
      <c r="V117" s="390"/>
      <c r="W117" s="390"/>
      <c r="X117" s="390"/>
      <c r="Y117" s="390"/>
      <c r="Z117" s="390"/>
      <c r="AA117" s="390"/>
      <c r="AB117" s="390"/>
      <c r="AC117" s="390"/>
      <c r="AD117" s="390"/>
      <c r="AE117" s="390"/>
      <c r="AF117" s="390"/>
      <c r="AG117" s="390"/>
      <c r="AH117" s="390"/>
      <c r="AI117" s="390"/>
      <c r="AJ117" s="390"/>
      <c r="AK117" s="390"/>
      <c r="AL117" s="390"/>
      <c r="AM117" s="390"/>
      <c r="AN117" s="390"/>
      <c r="AO117" s="390"/>
      <c r="AP117" s="385"/>
      <c r="AQ117" s="385"/>
      <c r="AR117" s="385"/>
      <c r="AS117" s="391">
        <f t="array" ref="AS117">SUM(COUNTIF(N117:AR117, {"◎","〇","☆","共","特","浴"}))</f>
        <v>0</v>
      </c>
      <c r="AT117" s="395"/>
      <c r="AU117" s="393"/>
      <c r="AV117" s="393"/>
      <c r="AW117" s="393"/>
      <c r="AX117" s="393"/>
      <c r="AY117" s="393"/>
      <c r="AZ117" s="393"/>
      <c r="BA117" s="393"/>
      <c r="BB117" s="394"/>
      <c r="BC117" s="74"/>
      <c r="BD117" s="74"/>
      <c r="BE117" s="74"/>
      <c r="BF117" s="74"/>
      <c r="BG117" s="74"/>
      <c r="BH117" s="71"/>
      <c r="BI117" s="186"/>
      <c r="BJ117" s="213" t="str">
        <f t="array" ref="BJ117">IFERROR(INDEX('💻シート作成'!$D$6:$D171, MATCH(BK117, '💻シート作成'!$E$6:$E171, 0)), "")</f>
        <v/>
      </c>
      <c r="BK117" s="168"/>
      <c r="BL117" s="396"/>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2"/>
      <c r="K118" s="382"/>
      <c r="L118" s="383"/>
      <c r="M118" s="389"/>
      <c r="N118" s="390"/>
      <c r="O118" s="390"/>
      <c r="P118" s="390"/>
      <c r="Q118" s="390"/>
      <c r="R118" s="390"/>
      <c r="S118" s="390"/>
      <c r="T118" s="390"/>
      <c r="U118" s="390"/>
      <c r="V118" s="390"/>
      <c r="W118" s="390"/>
      <c r="X118" s="390"/>
      <c r="Y118" s="390"/>
      <c r="Z118" s="390"/>
      <c r="AA118" s="390"/>
      <c r="AB118" s="390"/>
      <c r="AC118" s="390"/>
      <c r="AD118" s="390"/>
      <c r="AE118" s="390"/>
      <c r="AF118" s="390"/>
      <c r="AG118" s="390"/>
      <c r="AH118" s="390"/>
      <c r="AI118" s="390"/>
      <c r="AJ118" s="390"/>
      <c r="AK118" s="390"/>
      <c r="AL118" s="390"/>
      <c r="AM118" s="390"/>
      <c r="AN118" s="390"/>
      <c r="AO118" s="390"/>
      <c r="AP118" s="385"/>
      <c r="AQ118" s="385"/>
      <c r="AR118" s="385"/>
      <c r="AS118" s="391">
        <f t="array" ref="AS118">SUM(COUNTIF(N118:AR118, {"◎","〇","☆","共","特","浴"}))</f>
        <v>0</v>
      </c>
      <c r="AT118" s="395"/>
      <c r="AU118" s="393"/>
      <c r="AV118" s="393"/>
      <c r="AW118" s="393"/>
      <c r="AX118" s="393"/>
      <c r="AY118" s="393"/>
      <c r="AZ118" s="393"/>
      <c r="BA118" s="393"/>
      <c r="BB118" s="394"/>
      <c r="BC118" s="74"/>
      <c r="BD118" s="74"/>
      <c r="BE118" s="74"/>
      <c r="BF118" s="74"/>
      <c r="BG118" s="74"/>
      <c r="BH118" s="71"/>
      <c r="BI118" s="186"/>
      <c r="BJ118" s="213" t="str">
        <f t="array" ref="BJ118">IFERROR(INDEX('💻シート作成'!$D$6:$D171, MATCH(BK118, '💻シート作成'!$E$6:$E171, 0)), "")</f>
        <v/>
      </c>
      <c r="BK118" s="168"/>
      <c r="BL118" s="396"/>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2"/>
      <c r="K119" s="382"/>
      <c r="L119" s="383"/>
      <c r="M119" s="389"/>
      <c r="N119" s="390"/>
      <c r="O119" s="390"/>
      <c r="P119" s="390"/>
      <c r="Q119" s="390"/>
      <c r="R119" s="390"/>
      <c r="S119" s="390"/>
      <c r="T119" s="390"/>
      <c r="U119" s="390"/>
      <c r="V119" s="390"/>
      <c r="W119" s="390"/>
      <c r="X119" s="390"/>
      <c r="Y119" s="390"/>
      <c r="Z119" s="390"/>
      <c r="AA119" s="390"/>
      <c r="AB119" s="390"/>
      <c r="AC119" s="390"/>
      <c r="AD119" s="390"/>
      <c r="AE119" s="390"/>
      <c r="AF119" s="390"/>
      <c r="AG119" s="390"/>
      <c r="AH119" s="390"/>
      <c r="AI119" s="390"/>
      <c r="AJ119" s="390"/>
      <c r="AK119" s="390"/>
      <c r="AL119" s="390"/>
      <c r="AM119" s="390"/>
      <c r="AN119" s="390"/>
      <c r="AO119" s="390"/>
      <c r="AP119" s="385"/>
      <c r="AQ119" s="385"/>
      <c r="AR119" s="385"/>
      <c r="AS119" s="391">
        <f t="array" ref="AS119">SUM(COUNTIF(N119:AR119, {"◎","〇","☆","共","特","浴"}))</f>
        <v>0</v>
      </c>
      <c r="AT119" s="395"/>
      <c r="AU119" s="393"/>
      <c r="AV119" s="393"/>
      <c r="AW119" s="393"/>
      <c r="AX119" s="393"/>
      <c r="AY119" s="393"/>
      <c r="AZ119" s="393"/>
      <c r="BA119" s="393"/>
      <c r="BB119" s="394"/>
      <c r="BC119" s="74"/>
      <c r="BD119" s="74"/>
      <c r="BE119" s="74"/>
      <c r="BF119" s="74"/>
      <c r="BG119" s="74"/>
      <c r="BH119" s="71"/>
      <c r="BI119" s="186"/>
      <c r="BJ119" s="213" t="str">
        <f t="array" ref="BJ119">IFERROR(INDEX('💻シート作成'!$D$6:$D171, MATCH(BK119, '💻シート作成'!$E$6:$E171, 0)), "")</f>
        <v/>
      </c>
      <c r="BK119" s="168"/>
      <c r="BL119" s="396"/>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2"/>
      <c r="K120" s="382"/>
      <c r="L120" s="383"/>
      <c r="M120" s="389"/>
      <c r="N120" s="390"/>
      <c r="O120" s="390"/>
      <c r="P120" s="390"/>
      <c r="Q120" s="390"/>
      <c r="R120" s="390"/>
      <c r="S120" s="390"/>
      <c r="T120" s="390"/>
      <c r="U120" s="390"/>
      <c r="V120" s="390"/>
      <c r="W120" s="390"/>
      <c r="X120" s="390"/>
      <c r="Y120" s="390"/>
      <c r="Z120" s="390"/>
      <c r="AA120" s="390"/>
      <c r="AB120" s="390"/>
      <c r="AC120" s="390"/>
      <c r="AD120" s="390"/>
      <c r="AE120" s="390"/>
      <c r="AF120" s="390"/>
      <c r="AG120" s="390"/>
      <c r="AH120" s="390"/>
      <c r="AI120" s="390"/>
      <c r="AJ120" s="390"/>
      <c r="AK120" s="390"/>
      <c r="AL120" s="390"/>
      <c r="AM120" s="390"/>
      <c r="AN120" s="390"/>
      <c r="AO120" s="390"/>
      <c r="AP120" s="385"/>
      <c r="AQ120" s="385"/>
      <c r="AR120" s="385"/>
      <c r="AS120" s="391">
        <f t="array" ref="AS120">SUM(COUNTIF(N120:AR120, {"◎","〇","☆","共","特","浴"}))</f>
        <v>0</v>
      </c>
      <c r="AT120" s="395"/>
      <c r="AU120" s="393"/>
      <c r="AV120" s="393"/>
      <c r="AW120" s="393"/>
      <c r="AX120" s="393"/>
      <c r="AY120" s="393"/>
      <c r="AZ120" s="393"/>
      <c r="BA120" s="393"/>
      <c r="BB120" s="394"/>
      <c r="BC120" s="74"/>
      <c r="BD120" s="74"/>
      <c r="BE120" s="74"/>
      <c r="BF120" s="74"/>
      <c r="BG120" s="74"/>
      <c r="BH120" s="71"/>
      <c r="BI120" s="186"/>
      <c r="BJ120" s="213" t="str">
        <f t="array" ref="BJ120">IFERROR(INDEX('💻シート作成'!$D$6:$D171, MATCH(BK120, '💻シート作成'!$E$6:$E171, 0)), "")</f>
        <v/>
      </c>
      <c r="BK120" s="168"/>
      <c r="BL120" s="396"/>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2"/>
      <c r="K121" s="382"/>
      <c r="L121" s="383"/>
      <c r="M121" s="389"/>
      <c r="N121" s="390"/>
      <c r="O121" s="390"/>
      <c r="P121" s="390"/>
      <c r="Q121" s="390"/>
      <c r="R121" s="390"/>
      <c r="S121" s="390"/>
      <c r="T121" s="390"/>
      <c r="U121" s="390"/>
      <c r="V121" s="390"/>
      <c r="W121" s="390"/>
      <c r="X121" s="390"/>
      <c r="Y121" s="390"/>
      <c r="Z121" s="390"/>
      <c r="AA121" s="390"/>
      <c r="AB121" s="390"/>
      <c r="AC121" s="390"/>
      <c r="AD121" s="390"/>
      <c r="AE121" s="390"/>
      <c r="AF121" s="390"/>
      <c r="AG121" s="390"/>
      <c r="AH121" s="390"/>
      <c r="AI121" s="390"/>
      <c r="AJ121" s="390"/>
      <c r="AK121" s="390"/>
      <c r="AL121" s="390"/>
      <c r="AM121" s="390"/>
      <c r="AN121" s="390"/>
      <c r="AO121" s="390"/>
      <c r="AP121" s="385"/>
      <c r="AQ121" s="385"/>
      <c r="AR121" s="385"/>
      <c r="AS121" s="391">
        <f t="array" ref="AS121">SUM(COUNTIF(N121:AR121, {"◎","〇","☆","共","特","浴"}))</f>
        <v>0</v>
      </c>
      <c r="AT121" s="395"/>
      <c r="AU121" s="393"/>
      <c r="AV121" s="393"/>
      <c r="AW121" s="393"/>
      <c r="AX121" s="393"/>
      <c r="AY121" s="393"/>
      <c r="AZ121" s="393"/>
      <c r="BA121" s="393"/>
      <c r="BB121" s="394"/>
      <c r="BC121" s="74"/>
      <c r="BD121" s="74"/>
      <c r="BE121" s="74"/>
      <c r="BF121" s="74"/>
      <c r="BG121" s="74"/>
      <c r="BH121" s="71"/>
      <c r="BI121" s="186"/>
      <c r="BJ121" s="213" t="str">
        <f t="array" ref="BJ121">IFERROR(INDEX('💻シート作成'!$D$6:$D171, MATCH(BK121, '💻シート作成'!$E$6:$E171, 0)), "")</f>
        <v/>
      </c>
      <c r="BK121" s="168"/>
      <c r="BL121" s="396"/>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2"/>
      <c r="K122" s="382"/>
      <c r="L122" s="383"/>
      <c r="M122" s="389"/>
      <c r="N122" s="390"/>
      <c r="O122" s="390"/>
      <c r="P122" s="390"/>
      <c r="Q122" s="390"/>
      <c r="R122" s="390"/>
      <c r="S122" s="390"/>
      <c r="T122" s="390"/>
      <c r="U122" s="390"/>
      <c r="V122" s="390"/>
      <c r="W122" s="390"/>
      <c r="X122" s="390"/>
      <c r="Y122" s="390"/>
      <c r="Z122" s="390"/>
      <c r="AA122" s="390"/>
      <c r="AB122" s="390"/>
      <c r="AC122" s="390"/>
      <c r="AD122" s="390"/>
      <c r="AE122" s="390"/>
      <c r="AF122" s="390"/>
      <c r="AG122" s="390"/>
      <c r="AH122" s="390"/>
      <c r="AI122" s="390"/>
      <c r="AJ122" s="390"/>
      <c r="AK122" s="390"/>
      <c r="AL122" s="390"/>
      <c r="AM122" s="390"/>
      <c r="AN122" s="390"/>
      <c r="AO122" s="390"/>
      <c r="AP122" s="385"/>
      <c r="AQ122" s="385"/>
      <c r="AR122" s="385"/>
      <c r="AS122" s="391">
        <f t="array" ref="AS122">SUM(COUNTIF(N122:AR122, {"◎","〇","☆","共","特","浴"}))</f>
        <v>0</v>
      </c>
      <c r="AT122" s="395"/>
      <c r="AU122" s="393"/>
      <c r="AV122" s="393"/>
      <c r="AW122" s="393"/>
      <c r="AX122" s="393"/>
      <c r="AY122" s="393"/>
      <c r="AZ122" s="393"/>
      <c r="BA122" s="393"/>
      <c r="BB122" s="394"/>
      <c r="BC122" s="74"/>
      <c r="BD122" s="74"/>
      <c r="BE122" s="74"/>
      <c r="BF122" s="74"/>
      <c r="BG122" s="74"/>
      <c r="BH122" s="71"/>
      <c r="BI122" s="186"/>
      <c r="BJ122" s="213" t="str">
        <f t="array" ref="BJ122">IFERROR(INDEX('💻シート作成'!$D$6:$D171, MATCH(BK122, '💻シート作成'!$E$6:$E171, 0)), "")</f>
        <v/>
      </c>
      <c r="BK122" s="170"/>
      <c r="BL122" s="396"/>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2"/>
      <c r="K123" s="382"/>
      <c r="L123" s="383"/>
      <c r="M123" s="389"/>
      <c r="N123" s="390"/>
      <c r="O123" s="390"/>
      <c r="P123" s="390"/>
      <c r="Q123" s="390"/>
      <c r="R123" s="390"/>
      <c r="S123" s="390"/>
      <c r="T123" s="390"/>
      <c r="U123" s="390"/>
      <c r="V123" s="390"/>
      <c r="W123" s="390"/>
      <c r="X123" s="390"/>
      <c r="Y123" s="390"/>
      <c r="Z123" s="390"/>
      <c r="AA123" s="390"/>
      <c r="AB123" s="390"/>
      <c r="AC123" s="390"/>
      <c r="AD123" s="390"/>
      <c r="AE123" s="390"/>
      <c r="AF123" s="390"/>
      <c r="AG123" s="390"/>
      <c r="AH123" s="390"/>
      <c r="AI123" s="390"/>
      <c r="AJ123" s="390"/>
      <c r="AK123" s="390"/>
      <c r="AL123" s="390"/>
      <c r="AM123" s="390"/>
      <c r="AN123" s="390"/>
      <c r="AO123" s="390"/>
      <c r="AP123" s="385"/>
      <c r="AQ123" s="385"/>
      <c r="AR123" s="385"/>
      <c r="AS123" s="391">
        <f t="array" ref="AS123">SUM(COUNTIF(N123:AR123, {"◎","〇","☆","共","特","浴"}))</f>
        <v>0</v>
      </c>
      <c r="AT123" s="395"/>
      <c r="AU123" s="393"/>
      <c r="AV123" s="393"/>
      <c r="AW123" s="393"/>
      <c r="AX123" s="393"/>
      <c r="AY123" s="393"/>
      <c r="AZ123" s="393"/>
      <c r="BA123" s="393"/>
      <c r="BB123" s="394"/>
      <c r="BC123" s="74"/>
      <c r="BD123" s="74"/>
      <c r="BE123" s="74"/>
      <c r="BF123" s="74"/>
      <c r="BG123" s="74"/>
      <c r="BH123" s="71"/>
      <c r="BI123" s="186"/>
      <c r="BJ123" s="213" t="str">
        <f t="array" ref="BJ123">IFERROR(INDEX('💻シート作成'!$D$6:$D171, MATCH(BK123, '💻シート作成'!$E$6:$E171, 0)), "")</f>
        <v/>
      </c>
      <c r="BK123" s="168"/>
      <c r="BL123" s="396"/>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2"/>
      <c r="K124" s="382"/>
      <c r="L124" s="383"/>
      <c r="M124" s="389"/>
      <c r="N124" s="390"/>
      <c r="O124" s="390"/>
      <c r="P124" s="390"/>
      <c r="Q124" s="390"/>
      <c r="R124" s="390"/>
      <c r="S124" s="390"/>
      <c r="T124" s="390"/>
      <c r="U124" s="390"/>
      <c r="V124" s="390"/>
      <c r="W124" s="390"/>
      <c r="X124" s="390"/>
      <c r="Y124" s="390"/>
      <c r="Z124" s="390"/>
      <c r="AA124" s="390"/>
      <c r="AB124" s="390"/>
      <c r="AC124" s="390"/>
      <c r="AD124" s="390"/>
      <c r="AE124" s="390"/>
      <c r="AF124" s="390"/>
      <c r="AG124" s="390"/>
      <c r="AH124" s="390"/>
      <c r="AI124" s="390"/>
      <c r="AJ124" s="390"/>
      <c r="AK124" s="390"/>
      <c r="AL124" s="390"/>
      <c r="AM124" s="390"/>
      <c r="AN124" s="390"/>
      <c r="AO124" s="390"/>
      <c r="AP124" s="385"/>
      <c r="AQ124" s="385"/>
      <c r="AR124" s="385"/>
      <c r="AS124" s="391">
        <f t="array" ref="AS124">SUM(COUNTIF(N124:AR124, {"◎","〇","☆","共","特","浴"}))</f>
        <v>0</v>
      </c>
      <c r="AT124" s="395"/>
      <c r="AU124" s="393"/>
      <c r="AV124" s="393"/>
      <c r="AW124" s="393"/>
      <c r="AX124" s="393"/>
      <c r="AY124" s="393"/>
      <c r="AZ124" s="393"/>
      <c r="BA124" s="393"/>
      <c r="BB124" s="394"/>
      <c r="BC124" s="74"/>
      <c r="BD124" s="74"/>
      <c r="BE124" s="74"/>
      <c r="BF124" s="74"/>
      <c r="BG124" s="74"/>
      <c r="BH124" s="71"/>
      <c r="BI124" s="186"/>
      <c r="BJ124" s="213" t="str">
        <f t="array" ref="BJ124">IFERROR(INDEX('💻シート作成'!$D$6:$D171, MATCH(BK124, '💻シート作成'!$E$6:$E171, 0)), "")</f>
        <v/>
      </c>
      <c r="BK124" s="170"/>
      <c r="BL124" s="396"/>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2"/>
      <c r="K125" s="382"/>
      <c r="L125" s="383"/>
      <c r="M125" s="389"/>
      <c r="N125" s="390"/>
      <c r="O125" s="390"/>
      <c r="P125" s="390"/>
      <c r="Q125" s="390"/>
      <c r="R125" s="390"/>
      <c r="S125" s="390"/>
      <c r="T125" s="390"/>
      <c r="U125" s="390"/>
      <c r="V125" s="390"/>
      <c r="W125" s="390"/>
      <c r="X125" s="390"/>
      <c r="Y125" s="390"/>
      <c r="Z125" s="390"/>
      <c r="AA125" s="390"/>
      <c r="AB125" s="390"/>
      <c r="AC125" s="390"/>
      <c r="AD125" s="390"/>
      <c r="AE125" s="390"/>
      <c r="AF125" s="390"/>
      <c r="AG125" s="390"/>
      <c r="AH125" s="390"/>
      <c r="AI125" s="390"/>
      <c r="AJ125" s="390"/>
      <c r="AK125" s="390"/>
      <c r="AL125" s="390"/>
      <c r="AM125" s="390"/>
      <c r="AN125" s="390"/>
      <c r="AO125" s="390"/>
      <c r="AP125" s="385"/>
      <c r="AQ125" s="385"/>
      <c r="AR125" s="385"/>
      <c r="AS125" s="391">
        <f t="array" ref="AS125">SUM(COUNTIF(N125:AR125, {"◎","〇","☆","共","特","浴"}))</f>
        <v>0</v>
      </c>
      <c r="AT125" s="395"/>
      <c r="AU125" s="393"/>
      <c r="AV125" s="393"/>
      <c r="AW125" s="393"/>
      <c r="AX125" s="393"/>
      <c r="AY125" s="393"/>
      <c r="AZ125" s="393"/>
      <c r="BA125" s="393"/>
      <c r="BB125" s="394"/>
      <c r="BC125" s="74"/>
      <c r="BD125" s="74"/>
      <c r="BE125" s="74"/>
      <c r="BF125" s="74"/>
      <c r="BG125" s="74"/>
      <c r="BH125" s="71"/>
      <c r="BI125" s="186"/>
      <c r="BJ125" s="213" t="str">
        <f t="array" ref="BJ125">IFERROR(INDEX('💻シート作成'!$D$6:$D171, MATCH(BK125, '💻シート作成'!$E$6:$E171, 0)), "")</f>
        <v/>
      </c>
      <c r="BK125" s="170"/>
      <c r="BL125" s="396"/>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2"/>
      <c r="K126" s="382"/>
      <c r="L126" s="383"/>
      <c r="M126" s="389"/>
      <c r="N126" s="390"/>
      <c r="O126" s="390"/>
      <c r="P126" s="390"/>
      <c r="Q126" s="390"/>
      <c r="R126" s="390"/>
      <c r="S126" s="390"/>
      <c r="T126" s="390"/>
      <c r="U126" s="390"/>
      <c r="V126" s="390"/>
      <c r="W126" s="390"/>
      <c r="X126" s="390"/>
      <c r="Y126" s="390"/>
      <c r="Z126" s="390"/>
      <c r="AA126" s="390"/>
      <c r="AB126" s="390"/>
      <c r="AC126" s="390"/>
      <c r="AD126" s="390"/>
      <c r="AE126" s="390"/>
      <c r="AF126" s="390"/>
      <c r="AG126" s="390"/>
      <c r="AH126" s="390"/>
      <c r="AI126" s="390"/>
      <c r="AJ126" s="390"/>
      <c r="AK126" s="390"/>
      <c r="AL126" s="390"/>
      <c r="AM126" s="390"/>
      <c r="AN126" s="390"/>
      <c r="AO126" s="390"/>
      <c r="AP126" s="385"/>
      <c r="AQ126" s="385"/>
      <c r="AR126" s="385"/>
      <c r="AS126" s="391">
        <f t="array" ref="AS126">SUM(COUNTIF(N126:AR126, {"◎","〇","☆","共","特","浴"}))</f>
        <v>0</v>
      </c>
      <c r="AT126" s="395"/>
      <c r="AU126" s="393"/>
      <c r="AV126" s="393"/>
      <c r="AW126" s="393"/>
      <c r="AX126" s="393"/>
      <c r="AY126" s="393"/>
      <c r="AZ126" s="393"/>
      <c r="BA126" s="393"/>
      <c r="BB126" s="394"/>
      <c r="BC126" s="74"/>
      <c r="BD126" s="74"/>
      <c r="BE126" s="74"/>
      <c r="BF126" s="74"/>
      <c r="BG126" s="74"/>
      <c r="BH126" s="71"/>
      <c r="BI126" s="186"/>
      <c r="BJ126" s="213" t="str">
        <f t="array" ref="BJ126">IFERROR(INDEX('💻シート作成'!$D$6:$D171, MATCH(BK126, '💻シート作成'!$E$6:$E171, 0)), "")</f>
        <v/>
      </c>
      <c r="BK126" s="170"/>
      <c r="BL126" s="396"/>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2"/>
      <c r="K127" s="382"/>
      <c r="L127" s="383"/>
      <c r="M127" s="389"/>
      <c r="N127" s="390"/>
      <c r="O127" s="390"/>
      <c r="P127" s="390"/>
      <c r="Q127" s="390"/>
      <c r="R127" s="390"/>
      <c r="S127" s="390"/>
      <c r="T127" s="390"/>
      <c r="U127" s="390"/>
      <c r="V127" s="390"/>
      <c r="W127" s="390"/>
      <c r="X127" s="390"/>
      <c r="Y127" s="390"/>
      <c r="Z127" s="390"/>
      <c r="AA127" s="390"/>
      <c r="AB127" s="390"/>
      <c r="AC127" s="390"/>
      <c r="AD127" s="390"/>
      <c r="AE127" s="390"/>
      <c r="AF127" s="390"/>
      <c r="AG127" s="390"/>
      <c r="AH127" s="390"/>
      <c r="AI127" s="390"/>
      <c r="AJ127" s="390"/>
      <c r="AK127" s="390"/>
      <c r="AL127" s="390"/>
      <c r="AM127" s="390"/>
      <c r="AN127" s="390"/>
      <c r="AO127" s="390"/>
      <c r="AP127" s="385"/>
      <c r="AQ127" s="385"/>
      <c r="AR127" s="385"/>
      <c r="AS127" s="391">
        <f t="array" ref="AS127">SUM(COUNTIF(N127:AR127, {"◎","〇","☆","共","特","浴"}))</f>
        <v>0</v>
      </c>
      <c r="AT127" s="395"/>
      <c r="AU127" s="393"/>
      <c r="AV127" s="393"/>
      <c r="AW127" s="393"/>
      <c r="AX127" s="393"/>
      <c r="AY127" s="393"/>
      <c r="AZ127" s="393"/>
      <c r="BA127" s="393"/>
      <c r="BB127" s="394"/>
      <c r="BC127" s="74"/>
      <c r="BD127" s="74"/>
      <c r="BE127" s="74"/>
      <c r="BF127" s="74"/>
      <c r="BG127" s="74"/>
      <c r="BH127" s="71"/>
      <c r="BI127" s="186"/>
      <c r="BJ127" s="213" t="str">
        <f t="array" ref="BJ127">IFERROR(INDEX('💻シート作成'!$D$6:$D171, MATCH(BK127, '💻シート作成'!$E$6:$E171, 0)), "")</f>
        <v/>
      </c>
      <c r="BK127" s="170"/>
      <c r="BL127" s="396"/>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2"/>
      <c r="K128" s="382"/>
      <c r="L128" s="383"/>
      <c r="M128" s="389"/>
      <c r="N128" s="390"/>
      <c r="O128" s="390"/>
      <c r="P128" s="390"/>
      <c r="Q128" s="390"/>
      <c r="R128" s="390"/>
      <c r="S128" s="390"/>
      <c r="T128" s="390"/>
      <c r="U128" s="390"/>
      <c r="V128" s="390"/>
      <c r="W128" s="390"/>
      <c r="X128" s="390"/>
      <c r="Y128" s="390"/>
      <c r="Z128" s="390"/>
      <c r="AA128" s="390"/>
      <c r="AB128" s="390"/>
      <c r="AC128" s="390"/>
      <c r="AD128" s="390"/>
      <c r="AE128" s="390"/>
      <c r="AF128" s="390"/>
      <c r="AG128" s="390"/>
      <c r="AH128" s="390"/>
      <c r="AI128" s="390"/>
      <c r="AJ128" s="390"/>
      <c r="AK128" s="390"/>
      <c r="AL128" s="390"/>
      <c r="AM128" s="390"/>
      <c r="AN128" s="390"/>
      <c r="AO128" s="390"/>
      <c r="AP128" s="385"/>
      <c r="AQ128" s="385"/>
      <c r="AR128" s="385"/>
      <c r="AS128" s="391">
        <f t="array" ref="AS128">SUM(COUNTIF(N128:AR128, {"◎","〇","☆","共","特","浴"}))</f>
        <v>0</v>
      </c>
      <c r="AT128" s="395"/>
      <c r="AU128" s="393"/>
      <c r="AV128" s="393"/>
      <c r="AW128" s="393"/>
      <c r="AX128" s="393"/>
      <c r="AY128" s="393"/>
      <c r="AZ128" s="393"/>
      <c r="BA128" s="393"/>
      <c r="BB128" s="394"/>
      <c r="BC128" s="74"/>
      <c r="BD128" s="74"/>
      <c r="BE128" s="74"/>
      <c r="BF128" s="74"/>
      <c r="BG128" s="74"/>
      <c r="BH128" s="71"/>
      <c r="BI128" s="186"/>
      <c r="BJ128" s="213" t="str">
        <f t="array" ref="BJ128">IFERROR(INDEX('💻シート作成'!$D$6:$D171, MATCH(BK128, '💻シート作成'!$E$6:$E171, 0)), "")</f>
        <v/>
      </c>
      <c r="BK128" s="170"/>
      <c r="BL128" s="396"/>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2"/>
      <c r="K129" s="382"/>
      <c r="L129" s="383"/>
      <c r="M129" s="389"/>
      <c r="N129" s="390"/>
      <c r="O129" s="390"/>
      <c r="P129" s="390"/>
      <c r="Q129" s="390"/>
      <c r="R129" s="390"/>
      <c r="S129" s="390"/>
      <c r="T129" s="390"/>
      <c r="U129" s="390"/>
      <c r="V129" s="390"/>
      <c r="W129" s="390"/>
      <c r="X129" s="390"/>
      <c r="Y129" s="390"/>
      <c r="Z129" s="390"/>
      <c r="AA129" s="390"/>
      <c r="AB129" s="390"/>
      <c r="AC129" s="390"/>
      <c r="AD129" s="390"/>
      <c r="AE129" s="390"/>
      <c r="AF129" s="390"/>
      <c r="AG129" s="390"/>
      <c r="AH129" s="390"/>
      <c r="AI129" s="390"/>
      <c r="AJ129" s="390"/>
      <c r="AK129" s="390"/>
      <c r="AL129" s="390"/>
      <c r="AM129" s="390"/>
      <c r="AN129" s="390"/>
      <c r="AO129" s="390"/>
      <c r="AP129" s="385"/>
      <c r="AQ129" s="385"/>
      <c r="AR129" s="385"/>
      <c r="AS129" s="391">
        <f t="array" ref="AS129">SUM(COUNTIF(N129:AR129, {"◎","〇","☆","共","特","浴"}))</f>
        <v>0</v>
      </c>
      <c r="AT129" s="395"/>
      <c r="AU129" s="393"/>
      <c r="AV129" s="393"/>
      <c r="AW129" s="393"/>
      <c r="AX129" s="393"/>
      <c r="AY129" s="393"/>
      <c r="AZ129" s="393"/>
      <c r="BA129" s="393"/>
      <c r="BB129" s="394"/>
      <c r="BC129" s="74"/>
      <c r="BD129" s="74"/>
      <c r="BE129" s="74"/>
      <c r="BF129" s="74"/>
      <c r="BG129" s="74"/>
      <c r="BH129" s="71"/>
      <c r="BI129" s="186"/>
      <c r="BJ129" s="213" t="str">
        <f t="array" ref="BJ129">IFERROR(INDEX('💻シート作成'!$D$6:$D171, MATCH(BK129, '💻シート作成'!$E$6:$E171, 0)), "")</f>
        <v/>
      </c>
      <c r="BK129" s="170"/>
      <c r="BL129" s="396"/>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2"/>
      <c r="K130" s="382"/>
      <c r="L130" s="383"/>
      <c r="M130" s="389"/>
      <c r="N130" s="390"/>
      <c r="O130" s="390"/>
      <c r="P130" s="390"/>
      <c r="Q130" s="390"/>
      <c r="R130" s="390"/>
      <c r="S130" s="390"/>
      <c r="T130" s="390"/>
      <c r="U130" s="390"/>
      <c r="V130" s="390"/>
      <c r="W130" s="390"/>
      <c r="X130" s="390"/>
      <c r="Y130" s="390"/>
      <c r="Z130" s="390"/>
      <c r="AA130" s="390"/>
      <c r="AB130" s="390"/>
      <c r="AC130" s="390"/>
      <c r="AD130" s="390"/>
      <c r="AE130" s="390"/>
      <c r="AF130" s="390"/>
      <c r="AG130" s="390"/>
      <c r="AH130" s="390"/>
      <c r="AI130" s="390"/>
      <c r="AJ130" s="390"/>
      <c r="AK130" s="390"/>
      <c r="AL130" s="390"/>
      <c r="AM130" s="390"/>
      <c r="AN130" s="390"/>
      <c r="AO130" s="390"/>
      <c r="AP130" s="385"/>
      <c r="AQ130" s="385"/>
      <c r="AR130" s="385"/>
      <c r="AS130" s="391">
        <f t="array" ref="AS130">SUM(COUNTIF(N130:AR130, {"◎","〇","☆","共","特","浴"}))</f>
        <v>0</v>
      </c>
      <c r="AT130" s="395"/>
      <c r="AU130" s="393"/>
      <c r="AV130" s="393"/>
      <c r="AW130" s="393"/>
      <c r="AX130" s="393"/>
      <c r="AY130" s="393"/>
      <c r="AZ130" s="393"/>
      <c r="BA130" s="393"/>
      <c r="BB130" s="394"/>
      <c r="BC130" s="74"/>
      <c r="BD130" s="74"/>
      <c r="BE130" s="74"/>
      <c r="BF130" s="74"/>
      <c r="BG130" s="74"/>
      <c r="BH130" s="71"/>
      <c r="BI130" s="186"/>
      <c r="BJ130" s="213" t="str">
        <f t="array" ref="BJ130">IFERROR(INDEX('💻シート作成'!$D$6:$D171, MATCH(BK130, '💻シート作成'!$E$6:$E171, 0)), "")</f>
        <v/>
      </c>
      <c r="BK130" s="170"/>
      <c r="BL130" s="396"/>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2"/>
      <c r="K131" s="382"/>
      <c r="L131" s="383"/>
      <c r="M131" s="389"/>
      <c r="N131" s="390"/>
      <c r="O131" s="390"/>
      <c r="P131" s="390"/>
      <c r="Q131" s="390"/>
      <c r="R131" s="390"/>
      <c r="S131" s="390"/>
      <c r="T131" s="390"/>
      <c r="U131" s="390"/>
      <c r="V131" s="390"/>
      <c r="W131" s="390"/>
      <c r="X131" s="390"/>
      <c r="Y131" s="390"/>
      <c r="Z131" s="390"/>
      <c r="AA131" s="390"/>
      <c r="AB131" s="390"/>
      <c r="AC131" s="390"/>
      <c r="AD131" s="390"/>
      <c r="AE131" s="390"/>
      <c r="AF131" s="390"/>
      <c r="AG131" s="390"/>
      <c r="AH131" s="390"/>
      <c r="AI131" s="390"/>
      <c r="AJ131" s="390"/>
      <c r="AK131" s="390"/>
      <c r="AL131" s="390"/>
      <c r="AM131" s="390"/>
      <c r="AN131" s="390"/>
      <c r="AO131" s="390"/>
      <c r="AP131" s="385"/>
      <c r="AQ131" s="385"/>
      <c r="AR131" s="385"/>
      <c r="AS131" s="391">
        <f t="array" ref="AS131">SUM(COUNTIF(N131:AR131, {"◎","〇","☆","共","特","浴"}))</f>
        <v>0</v>
      </c>
      <c r="AT131" s="395"/>
      <c r="AU131" s="393"/>
      <c r="AV131" s="393"/>
      <c r="AW131" s="393"/>
      <c r="AX131" s="393"/>
      <c r="AY131" s="393"/>
      <c r="AZ131" s="393"/>
      <c r="BA131" s="393"/>
      <c r="BB131" s="394"/>
      <c r="BC131" s="74"/>
      <c r="BD131" s="74"/>
      <c r="BE131" s="74"/>
      <c r="BF131" s="74"/>
      <c r="BG131" s="74"/>
      <c r="BH131" s="71"/>
      <c r="BI131" s="186"/>
      <c r="BJ131" s="213" t="str">
        <f t="array" ref="BJ131">IFERROR(INDEX('💻シート作成'!$D$6:$D171, MATCH(BK131, '💻シート作成'!$E$6:$E171, 0)), "")</f>
        <v/>
      </c>
      <c r="BK131" s="170"/>
      <c r="BL131" s="396"/>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2"/>
      <c r="K132" s="382"/>
      <c r="L132" s="383"/>
      <c r="M132" s="389"/>
      <c r="N132" s="390"/>
      <c r="O132" s="390"/>
      <c r="P132" s="390"/>
      <c r="Q132" s="390"/>
      <c r="R132" s="390"/>
      <c r="S132" s="390"/>
      <c r="T132" s="390"/>
      <c r="U132" s="390"/>
      <c r="V132" s="390"/>
      <c r="W132" s="390"/>
      <c r="X132" s="390"/>
      <c r="Y132" s="390"/>
      <c r="Z132" s="390"/>
      <c r="AA132" s="390"/>
      <c r="AB132" s="390"/>
      <c r="AC132" s="390"/>
      <c r="AD132" s="390"/>
      <c r="AE132" s="390"/>
      <c r="AF132" s="390"/>
      <c r="AG132" s="390"/>
      <c r="AH132" s="390"/>
      <c r="AI132" s="390"/>
      <c r="AJ132" s="390"/>
      <c r="AK132" s="390"/>
      <c r="AL132" s="390"/>
      <c r="AM132" s="390"/>
      <c r="AN132" s="390"/>
      <c r="AO132" s="390"/>
      <c r="AP132" s="385"/>
      <c r="AQ132" s="385"/>
      <c r="AR132" s="385"/>
      <c r="AS132" s="391">
        <f t="array" ref="AS132">SUM(COUNTIF(N132:AR132, {"◎","〇","☆","共","特","浴"}))</f>
        <v>0</v>
      </c>
      <c r="AT132" s="395"/>
      <c r="AU132" s="393"/>
      <c r="AV132" s="393"/>
      <c r="AW132" s="393"/>
      <c r="AX132" s="393"/>
      <c r="AY132" s="393"/>
      <c r="AZ132" s="393"/>
      <c r="BA132" s="393"/>
      <c r="BB132" s="394"/>
      <c r="BC132" s="74"/>
      <c r="BD132" s="74"/>
      <c r="BE132" s="74"/>
      <c r="BF132" s="74"/>
      <c r="BG132" s="74"/>
      <c r="BH132" s="71"/>
      <c r="BI132" s="186"/>
      <c r="BJ132" s="213" t="str">
        <f t="array" ref="BJ132">IFERROR(INDEX('💻シート作成'!$D$6:$D171, MATCH(BK132, '💻シート作成'!$E$6:$E171, 0)), "")</f>
        <v/>
      </c>
      <c r="BK132" s="170"/>
      <c r="BL132" s="396"/>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2"/>
      <c r="K133" s="382"/>
      <c r="L133" s="383"/>
      <c r="M133" s="389"/>
      <c r="N133" s="390"/>
      <c r="O133" s="390"/>
      <c r="P133" s="390"/>
      <c r="Q133" s="390"/>
      <c r="R133" s="390"/>
      <c r="S133" s="390"/>
      <c r="T133" s="390"/>
      <c r="U133" s="390"/>
      <c r="V133" s="390"/>
      <c r="W133" s="390"/>
      <c r="X133" s="390"/>
      <c r="Y133" s="390"/>
      <c r="Z133" s="390"/>
      <c r="AA133" s="390"/>
      <c r="AB133" s="390"/>
      <c r="AC133" s="390"/>
      <c r="AD133" s="390"/>
      <c r="AE133" s="390"/>
      <c r="AF133" s="390"/>
      <c r="AG133" s="390"/>
      <c r="AH133" s="390"/>
      <c r="AI133" s="390"/>
      <c r="AJ133" s="390"/>
      <c r="AK133" s="390"/>
      <c r="AL133" s="390"/>
      <c r="AM133" s="390"/>
      <c r="AN133" s="390"/>
      <c r="AO133" s="390"/>
      <c r="AP133" s="385"/>
      <c r="AQ133" s="385"/>
      <c r="AR133" s="385"/>
      <c r="AS133" s="391">
        <f t="array" ref="AS133">SUM(COUNTIF(N133:AR133, {"◎","〇","☆","共","特","浴"}))</f>
        <v>0</v>
      </c>
      <c r="AT133" s="395"/>
      <c r="AU133" s="393"/>
      <c r="AV133" s="393"/>
      <c r="AW133" s="393"/>
      <c r="AX133" s="393"/>
      <c r="AY133" s="393"/>
      <c r="AZ133" s="393"/>
      <c r="BA133" s="393"/>
      <c r="BB133" s="394"/>
      <c r="BC133" s="74"/>
      <c r="BD133" s="74"/>
      <c r="BE133" s="74"/>
      <c r="BF133" s="74"/>
      <c r="BG133" s="74"/>
      <c r="BH133" s="71"/>
      <c r="BI133" s="186"/>
      <c r="BJ133" s="213" t="str">
        <f t="array" ref="BJ133">IFERROR(INDEX('💻シート作成'!$D$6:$D171, MATCH(BK133, '💻シート作成'!$E$6:$E171, 0)), "")</f>
        <v/>
      </c>
      <c r="BK133" s="170"/>
      <c r="BL133" s="396"/>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2"/>
      <c r="K134" s="382"/>
      <c r="L134" s="383"/>
      <c r="M134" s="389"/>
      <c r="N134" s="390"/>
      <c r="O134" s="390"/>
      <c r="P134" s="390"/>
      <c r="Q134" s="390"/>
      <c r="R134" s="390"/>
      <c r="S134" s="390"/>
      <c r="T134" s="390"/>
      <c r="U134" s="390"/>
      <c r="V134" s="390"/>
      <c r="W134" s="390"/>
      <c r="X134" s="390"/>
      <c r="Y134" s="390"/>
      <c r="Z134" s="390"/>
      <c r="AA134" s="390"/>
      <c r="AB134" s="390"/>
      <c r="AC134" s="390"/>
      <c r="AD134" s="390"/>
      <c r="AE134" s="390"/>
      <c r="AF134" s="390"/>
      <c r="AG134" s="390"/>
      <c r="AH134" s="390"/>
      <c r="AI134" s="390"/>
      <c r="AJ134" s="390"/>
      <c r="AK134" s="390"/>
      <c r="AL134" s="390"/>
      <c r="AM134" s="390"/>
      <c r="AN134" s="390"/>
      <c r="AO134" s="390"/>
      <c r="AP134" s="385"/>
      <c r="AQ134" s="385"/>
      <c r="AR134" s="385"/>
      <c r="AS134" s="391">
        <f t="array" ref="AS134">SUM(COUNTIF(N134:AR134, {"◎","〇","☆","共","特","浴"}))</f>
        <v>0</v>
      </c>
      <c r="AT134" s="395"/>
      <c r="AU134" s="393"/>
      <c r="AV134" s="393"/>
      <c r="AW134" s="393"/>
      <c r="AX134" s="393"/>
      <c r="AY134" s="393"/>
      <c r="AZ134" s="393"/>
      <c r="BA134" s="393"/>
      <c r="BB134" s="394"/>
      <c r="BC134" s="74"/>
      <c r="BD134" s="74"/>
      <c r="BE134" s="74"/>
      <c r="BF134" s="74"/>
      <c r="BG134" s="74"/>
      <c r="BH134" s="71"/>
      <c r="BI134" s="186"/>
      <c r="BJ134" s="213" t="str">
        <f t="array" ref="BJ134">IFERROR(INDEX('💻シート作成'!$D$6:$D171, MATCH(BK134, '💻シート作成'!$E$6:$E171, 0)), "")</f>
        <v/>
      </c>
      <c r="BK134" s="170"/>
      <c r="BL134" s="396"/>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2"/>
      <c r="K135" s="382"/>
      <c r="L135" s="383"/>
      <c r="M135" s="389"/>
      <c r="N135" s="390"/>
      <c r="O135" s="390"/>
      <c r="P135" s="390"/>
      <c r="Q135" s="390"/>
      <c r="R135" s="390"/>
      <c r="S135" s="390"/>
      <c r="T135" s="390"/>
      <c r="U135" s="390"/>
      <c r="V135" s="390"/>
      <c r="W135" s="390"/>
      <c r="X135" s="390"/>
      <c r="Y135" s="390"/>
      <c r="Z135" s="390"/>
      <c r="AA135" s="390"/>
      <c r="AB135" s="390"/>
      <c r="AC135" s="390"/>
      <c r="AD135" s="390"/>
      <c r="AE135" s="390"/>
      <c r="AF135" s="390"/>
      <c r="AG135" s="390"/>
      <c r="AH135" s="390"/>
      <c r="AI135" s="390"/>
      <c r="AJ135" s="390"/>
      <c r="AK135" s="390"/>
      <c r="AL135" s="390"/>
      <c r="AM135" s="390"/>
      <c r="AN135" s="390"/>
      <c r="AO135" s="390"/>
      <c r="AP135" s="385"/>
      <c r="AQ135" s="385"/>
      <c r="AR135" s="385"/>
      <c r="AS135" s="391">
        <f t="array" ref="AS135">SUM(COUNTIF(N135:AR135, {"◎","〇","☆","共","特","浴"}))</f>
        <v>0</v>
      </c>
      <c r="AT135" s="395"/>
      <c r="AU135" s="393"/>
      <c r="AV135" s="393"/>
      <c r="AW135" s="393"/>
      <c r="AX135" s="393"/>
      <c r="AY135" s="393"/>
      <c r="AZ135" s="393"/>
      <c r="BA135" s="393"/>
      <c r="BB135" s="394"/>
      <c r="BC135" s="74"/>
      <c r="BD135" s="74"/>
      <c r="BE135" s="74"/>
      <c r="BF135" s="74"/>
      <c r="BG135" s="74"/>
      <c r="BH135" s="71"/>
      <c r="BI135" s="186"/>
      <c r="BJ135" s="213" t="str">
        <f t="array" ref="BJ135">IFERROR(INDEX('💻シート作成'!$D$6:$D171, MATCH(BK135, '💻シート作成'!$E$6:$E171, 0)), "")</f>
        <v/>
      </c>
      <c r="BK135" s="170"/>
      <c r="BL135" s="396"/>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2"/>
      <c r="K136" s="382"/>
      <c r="L136" s="383"/>
      <c r="M136" s="389"/>
      <c r="N136" s="390"/>
      <c r="O136" s="390"/>
      <c r="P136" s="390"/>
      <c r="Q136" s="390"/>
      <c r="R136" s="390"/>
      <c r="S136" s="390"/>
      <c r="T136" s="390"/>
      <c r="U136" s="390"/>
      <c r="V136" s="390"/>
      <c r="W136" s="390"/>
      <c r="X136" s="390"/>
      <c r="Y136" s="390"/>
      <c r="Z136" s="390"/>
      <c r="AA136" s="390"/>
      <c r="AB136" s="390"/>
      <c r="AC136" s="390"/>
      <c r="AD136" s="390"/>
      <c r="AE136" s="390"/>
      <c r="AF136" s="390"/>
      <c r="AG136" s="390"/>
      <c r="AH136" s="390"/>
      <c r="AI136" s="390"/>
      <c r="AJ136" s="390"/>
      <c r="AK136" s="390"/>
      <c r="AL136" s="390"/>
      <c r="AM136" s="390"/>
      <c r="AN136" s="390"/>
      <c r="AO136" s="390"/>
      <c r="AP136" s="385"/>
      <c r="AQ136" s="385"/>
      <c r="AR136" s="385"/>
      <c r="AS136" s="391">
        <f t="array" ref="AS136">SUM(COUNTIF(N136:AR136, {"◎","〇","☆","共","特","浴"}))</f>
        <v>0</v>
      </c>
      <c r="AT136" s="395"/>
      <c r="AU136" s="393"/>
      <c r="AV136" s="393"/>
      <c r="AW136" s="393"/>
      <c r="AX136" s="393"/>
      <c r="AY136" s="393"/>
      <c r="AZ136" s="393"/>
      <c r="BA136" s="393"/>
      <c r="BB136" s="394"/>
      <c r="BC136" s="74"/>
      <c r="BD136" s="74"/>
      <c r="BE136" s="74"/>
      <c r="BF136" s="74"/>
      <c r="BG136" s="74"/>
      <c r="BH136" s="71"/>
      <c r="BI136" s="186"/>
      <c r="BJ136" s="213" t="str">
        <f t="array" ref="BJ136">IFERROR(INDEX('💻シート作成'!$D$6:$D171, MATCH(BK136, '💻シート作成'!$E$6:$E171, 0)), "")</f>
        <v/>
      </c>
      <c r="BK136" s="170"/>
      <c r="BL136" s="396"/>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2"/>
      <c r="K137" s="382"/>
      <c r="L137" s="383"/>
      <c r="M137" s="389"/>
      <c r="N137" s="390"/>
      <c r="O137" s="390"/>
      <c r="P137" s="390"/>
      <c r="Q137" s="390"/>
      <c r="R137" s="390"/>
      <c r="S137" s="390"/>
      <c r="T137" s="390"/>
      <c r="U137" s="390"/>
      <c r="V137" s="390"/>
      <c r="W137" s="390"/>
      <c r="X137" s="390"/>
      <c r="Y137" s="390"/>
      <c r="Z137" s="390"/>
      <c r="AA137" s="390"/>
      <c r="AB137" s="390"/>
      <c r="AC137" s="390"/>
      <c r="AD137" s="390"/>
      <c r="AE137" s="390"/>
      <c r="AF137" s="390"/>
      <c r="AG137" s="390"/>
      <c r="AH137" s="390"/>
      <c r="AI137" s="390"/>
      <c r="AJ137" s="390"/>
      <c r="AK137" s="390"/>
      <c r="AL137" s="390"/>
      <c r="AM137" s="390"/>
      <c r="AN137" s="390"/>
      <c r="AO137" s="390"/>
      <c r="AP137" s="385"/>
      <c r="AQ137" s="385"/>
      <c r="AR137" s="385"/>
      <c r="AS137" s="391">
        <f t="array" ref="AS137">SUM(COUNTIF(N137:AR137, {"◎","〇","☆","共","特","浴"}))</f>
        <v>0</v>
      </c>
      <c r="AT137" s="395"/>
      <c r="AU137" s="393"/>
      <c r="AV137" s="393"/>
      <c r="AW137" s="393"/>
      <c r="AX137" s="393"/>
      <c r="AY137" s="393"/>
      <c r="AZ137" s="393"/>
      <c r="BA137" s="393"/>
      <c r="BB137" s="394"/>
      <c r="BC137" s="74"/>
      <c r="BD137" s="74"/>
      <c r="BE137" s="74"/>
      <c r="BF137" s="74"/>
      <c r="BG137" s="74"/>
      <c r="BH137" s="71"/>
      <c r="BI137" s="186"/>
      <c r="BJ137" s="213" t="str">
        <f t="array" ref="BJ137">IFERROR(INDEX('💻シート作成'!$D$6:$D171, MATCH(BK137, '💻シート作成'!$E$6:$E171, 0)), "")</f>
        <v/>
      </c>
      <c r="BK137" s="170"/>
      <c r="BL137" s="396"/>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2"/>
      <c r="K138" s="382"/>
      <c r="L138" s="383"/>
      <c r="M138" s="389"/>
      <c r="N138" s="390"/>
      <c r="O138" s="390"/>
      <c r="P138" s="390"/>
      <c r="Q138" s="390"/>
      <c r="R138" s="390"/>
      <c r="S138" s="390"/>
      <c r="T138" s="390"/>
      <c r="U138" s="390"/>
      <c r="V138" s="390"/>
      <c r="W138" s="390"/>
      <c r="X138" s="390"/>
      <c r="Y138" s="390"/>
      <c r="Z138" s="390"/>
      <c r="AA138" s="390"/>
      <c r="AB138" s="390"/>
      <c r="AC138" s="390"/>
      <c r="AD138" s="390"/>
      <c r="AE138" s="390"/>
      <c r="AF138" s="390"/>
      <c r="AG138" s="390"/>
      <c r="AH138" s="390"/>
      <c r="AI138" s="390"/>
      <c r="AJ138" s="390"/>
      <c r="AK138" s="390"/>
      <c r="AL138" s="390"/>
      <c r="AM138" s="390"/>
      <c r="AN138" s="390"/>
      <c r="AO138" s="390"/>
      <c r="AP138" s="385"/>
      <c r="AQ138" s="385"/>
      <c r="AR138" s="385"/>
      <c r="AS138" s="391">
        <f t="array" ref="AS138">SUM(COUNTIF(N138:AR138, {"◎","〇","☆","共","特","浴"}))</f>
        <v>0</v>
      </c>
      <c r="AT138" s="395"/>
      <c r="AU138" s="393"/>
      <c r="AV138" s="393"/>
      <c r="AW138" s="393"/>
      <c r="AX138" s="393"/>
      <c r="AY138" s="393"/>
      <c r="AZ138" s="393"/>
      <c r="BA138" s="393"/>
      <c r="BB138" s="394"/>
      <c r="BC138" s="74"/>
      <c r="BD138" s="74"/>
      <c r="BE138" s="74"/>
      <c r="BF138" s="74"/>
      <c r="BG138" s="74"/>
      <c r="BH138" s="71"/>
      <c r="BI138" s="186"/>
      <c r="BJ138" s="213" t="str">
        <f t="array" ref="BJ138">IFERROR(INDEX('💻シート作成'!$D$6:$D171, MATCH(BK138, '💻シート作成'!$E$6:$E171, 0)), "")</f>
        <v/>
      </c>
      <c r="BK138" s="170"/>
      <c r="BL138" s="396"/>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2"/>
      <c r="K139" s="382"/>
      <c r="L139" s="383"/>
      <c r="M139" s="389"/>
      <c r="N139" s="390"/>
      <c r="O139" s="390"/>
      <c r="P139" s="390"/>
      <c r="Q139" s="390"/>
      <c r="R139" s="390"/>
      <c r="S139" s="390"/>
      <c r="T139" s="390"/>
      <c r="U139" s="390"/>
      <c r="V139" s="390"/>
      <c r="W139" s="390"/>
      <c r="X139" s="390"/>
      <c r="Y139" s="390"/>
      <c r="Z139" s="390"/>
      <c r="AA139" s="390"/>
      <c r="AB139" s="390"/>
      <c r="AC139" s="390"/>
      <c r="AD139" s="390"/>
      <c r="AE139" s="390"/>
      <c r="AF139" s="390"/>
      <c r="AG139" s="390"/>
      <c r="AH139" s="390"/>
      <c r="AI139" s="390"/>
      <c r="AJ139" s="390"/>
      <c r="AK139" s="390"/>
      <c r="AL139" s="390"/>
      <c r="AM139" s="390"/>
      <c r="AN139" s="390"/>
      <c r="AO139" s="390"/>
      <c r="AP139" s="385"/>
      <c r="AQ139" s="385"/>
      <c r="AR139" s="385"/>
      <c r="AS139" s="391">
        <f t="array" ref="AS139">SUM(COUNTIF(N139:AR139, {"◎","〇","☆","共","特","浴"}))</f>
        <v>0</v>
      </c>
      <c r="AT139" s="395"/>
      <c r="AU139" s="393"/>
      <c r="AV139" s="393"/>
      <c r="AW139" s="393"/>
      <c r="AX139" s="393"/>
      <c r="AY139" s="393"/>
      <c r="AZ139" s="393"/>
      <c r="BA139" s="393"/>
      <c r="BB139" s="394"/>
      <c r="BC139" s="74"/>
      <c r="BD139" s="74"/>
      <c r="BE139" s="74"/>
      <c r="BF139" s="74"/>
      <c r="BG139" s="74"/>
      <c r="BH139" s="71"/>
      <c r="BI139" s="186"/>
      <c r="BJ139" s="213" t="str">
        <f t="array" ref="BJ139">IFERROR(INDEX('💻シート作成'!$D$6:$D171, MATCH(BK139, '💻シート作成'!$E$6:$E171, 0)), "")</f>
        <v/>
      </c>
      <c r="BK139" s="170"/>
      <c r="BL139" s="396"/>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2"/>
      <c r="K140" s="382"/>
      <c r="L140" s="383"/>
      <c r="M140" s="389"/>
      <c r="N140" s="390"/>
      <c r="O140" s="390"/>
      <c r="P140" s="390"/>
      <c r="Q140" s="390"/>
      <c r="R140" s="390"/>
      <c r="S140" s="390"/>
      <c r="T140" s="390"/>
      <c r="U140" s="390"/>
      <c r="V140" s="390"/>
      <c r="W140" s="390"/>
      <c r="X140" s="390"/>
      <c r="Y140" s="390"/>
      <c r="Z140" s="390"/>
      <c r="AA140" s="390"/>
      <c r="AB140" s="390"/>
      <c r="AC140" s="390"/>
      <c r="AD140" s="390"/>
      <c r="AE140" s="390"/>
      <c r="AF140" s="390"/>
      <c r="AG140" s="390"/>
      <c r="AH140" s="390"/>
      <c r="AI140" s="390"/>
      <c r="AJ140" s="390"/>
      <c r="AK140" s="390"/>
      <c r="AL140" s="390"/>
      <c r="AM140" s="390"/>
      <c r="AN140" s="390"/>
      <c r="AO140" s="390"/>
      <c r="AP140" s="385"/>
      <c r="AQ140" s="385"/>
      <c r="AR140" s="385"/>
      <c r="AS140" s="391">
        <f t="array" ref="AS140">SUM(COUNTIF(N140:AR140, {"◎","〇","☆","共","特","浴"}))</f>
        <v>0</v>
      </c>
      <c r="AT140" s="395"/>
      <c r="AU140" s="393"/>
      <c r="AV140" s="393"/>
      <c r="AW140" s="393"/>
      <c r="AX140" s="393"/>
      <c r="AY140" s="393"/>
      <c r="AZ140" s="393"/>
      <c r="BA140" s="393"/>
      <c r="BB140" s="394"/>
      <c r="BC140" s="74"/>
      <c r="BD140" s="74"/>
      <c r="BE140" s="74"/>
      <c r="BF140" s="74"/>
      <c r="BG140" s="74"/>
      <c r="BH140" s="71"/>
      <c r="BI140" s="186"/>
      <c r="BJ140" s="213" t="str">
        <f t="array" ref="BJ140">IFERROR(INDEX('💻シート作成'!$D$6:$D171, MATCH(BK140, '💻シート作成'!$E$6:$E171, 0)), "")</f>
        <v/>
      </c>
      <c r="BK140" s="170"/>
      <c r="BL140" s="396"/>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2"/>
      <c r="K141" s="382"/>
      <c r="L141" s="383"/>
      <c r="M141" s="389"/>
      <c r="N141" s="390"/>
      <c r="O141" s="390"/>
      <c r="P141" s="390"/>
      <c r="Q141" s="390"/>
      <c r="R141" s="390"/>
      <c r="S141" s="390"/>
      <c r="T141" s="390"/>
      <c r="U141" s="390"/>
      <c r="V141" s="390"/>
      <c r="W141" s="390"/>
      <c r="X141" s="390"/>
      <c r="Y141" s="390"/>
      <c r="Z141" s="390"/>
      <c r="AA141" s="390"/>
      <c r="AB141" s="390"/>
      <c r="AC141" s="390"/>
      <c r="AD141" s="390"/>
      <c r="AE141" s="390"/>
      <c r="AF141" s="390"/>
      <c r="AG141" s="390"/>
      <c r="AH141" s="390"/>
      <c r="AI141" s="390"/>
      <c r="AJ141" s="390"/>
      <c r="AK141" s="390"/>
      <c r="AL141" s="390"/>
      <c r="AM141" s="390"/>
      <c r="AN141" s="390"/>
      <c r="AO141" s="390"/>
      <c r="AP141" s="385"/>
      <c r="AQ141" s="385"/>
      <c r="AR141" s="385"/>
      <c r="AS141" s="391">
        <f t="array" ref="AS141">SUM(COUNTIF(N141:AR141, {"◎","〇","☆","共","特","浴"}))</f>
        <v>0</v>
      </c>
      <c r="AT141" s="395"/>
      <c r="AU141" s="393"/>
      <c r="AV141" s="393"/>
      <c r="AW141" s="393"/>
      <c r="AX141" s="393"/>
      <c r="AY141" s="393"/>
      <c r="AZ141" s="393"/>
      <c r="BA141" s="393"/>
      <c r="BB141" s="394"/>
      <c r="BC141" s="74"/>
      <c r="BD141" s="74"/>
      <c r="BE141" s="74"/>
      <c r="BF141" s="74"/>
      <c r="BG141" s="74"/>
      <c r="BH141" s="71"/>
      <c r="BI141" s="186"/>
      <c r="BJ141" s="213" t="str">
        <f t="array" ref="BJ141">IFERROR(INDEX('💻シート作成'!$D$6:$D171, MATCH(BK141, '💻シート作成'!$E$6:$E171, 0)), "")</f>
        <v/>
      </c>
      <c r="BK141" s="170"/>
      <c r="BL141" s="396"/>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2"/>
      <c r="K142" s="382"/>
      <c r="L142" s="383"/>
      <c r="M142" s="389"/>
      <c r="N142" s="390"/>
      <c r="O142" s="390"/>
      <c r="P142" s="390"/>
      <c r="Q142" s="390"/>
      <c r="R142" s="390"/>
      <c r="S142" s="390"/>
      <c r="T142" s="390"/>
      <c r="U142" s="390"/>
      <c r="V142" s="390"/>
      <c r="W142" s="390"/>
      <c r="X142" s="390"/>
      <c r="Y142" s="390"/>
      <c r="Z142" s="390"/>
      <c r="AA142" s="390"/>
      <c r="AB142" s="390"/>
      <c r="AC142" s="390"/>
      <c r="AD142" s="390"/>
      <c r="AE142" s="390"/>
      <c r="AF142" s="390"/>
      <c r="AG142" s="390"/>
      <c r="AH142" s="390"/>
      <c r="AI142" s="390"/>
      <c r="AJ142" s="390"/>
      <c r="AK142" s="390"/>
      <c r="AL142" s="390"/>
      <c r="AM142" s="390"/>
      <c r="AN142" s="390"/>
      <c r="AO142" s="390"/>
      <c r="AP142" s="385"/>
      <c r="AQ142" s="385"/>
      <c r="AR142" s="385"/>
      <c r="AS142" s="391">
        <f t="array" ref="AS142">SUM(COUNTIF(N142:AR142, {"◎","〇","☆","共","特","浴"}))</f>
        <v>0</v>
      </c>
      <c r="AT142" s="395"/>
      <c r="AU142" s="393"/>
      <c r="AV142" s="393"/>
      <c r="AW142" s="393"/>
      <c r="AX142" s="393"/>
      <c r="AY142" s="393"/>
      <c r="AZ142" s="393"/>
      <c r="BA142" s="393"/>
      <c r="BB142" s="394"/>
      <c r="BC142" s="74"/>
      <c r="BD142" s="74"/>
      <c r="BE142" s="74"/>
      <c r="BF142" s="74"/>
      <c r="BG142" s="74"/>
      <c r="BH142" s="71"/>
      <c r="BI142" s="186"/>
      <c r="BJ142" s="213" t="str">
        <f t="array" ref="BJ142">IFERROR(INDEX('💻シート作成'!$D$6:$D171, MATCH(BK142, '💻シート作成'!$E$6:$E171, 0)), "")</f>
        <v/>
      </c>
      <c r="BK142" s="170"/>
      <c r="BL142" s="396"/>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2"/>
      <c r="K143" s="382"/>
      <c r="L143" s="383"/>
      <c r="M143" s="389"/>
      <c r="N143" s="390"/>
      <c r="O143" s="390"/>
      <c r="P143" s="390"/>
      <c r="Q143" s="390"/>
      <c r="R143" s="390"/>
      <c r="S143" s="390"/>
      <c r="T143" s="390"/>
      <c r="U143" s="390"/>
      <c r="V143" s="390"/>
      <c r="W143" s="390"/>
      <c r="X143" s="390"/>
      <c r="Y143" s="390"/>
      <c r="Z143" s="390"/>
      <c r="AA143" s="390"/>
      <c r="AB143" s="390"/>
      <c r="AC143" s="390"/>
      <c r="AD143" s="390"/>
      <c r="AE143" s="390"/>
      <c r="AF143" s="390"/>
      <c r="AG143" s="390"/>
      <c r="AH143" s="390"/>
      <c r="AI143" s="390"/>
      <c r="AJ143" s="390"/>
      <c r="AK143" s="390"/>
      <c r="AL143" s="390"/>
      <c r="AM143" s="390"/>
      <c r="AN143" s="390"/>
      <c r="AO143" s="390"/>
      <c r="AP143" s="385"/>
      <c r="AQ143" s="385"/>
      <c r="AR143" s="385"/>
      <c r="AS143" s="391">
        <f t="array" ref="AS143">SUM(COUNTIF(N143:AR143, {"◎","〇","☆","共","特","浴"}))</f>
        <v>0</v>
      </c>
      <c r="AT143" s="395"/>
      <c r="AU143" s="393"/>
      <c r="AV143" s="393"/>
      <c r="AW143" s="393"/>
      <c r="AX143" s="393"/>
      <c r="AY143" s="393"/>
      <c r="AZ143" s="393"/>
      <c r="BA143" s="393"/>
      <c r="BB143" s="394"/>
      <c r="BC143" s="74"/>
      <c r="BD143" s="74"/>
      <c r="BE143" s="74"/>
      <c r="BF143" s="74"/>
      <c r="BG143" s="74"/>
      <c r="BH143" s="71"/>
      <c r="BI143" s="186"/>
      <c r="BJ143" s="213" t="str">
        <f t="array" ref="BJ143">IFERROR(INDEX('💻シート作成'!$D$6:$D171, MATCH(BK143, '💻シート作成'!$E$6:$E171, 0)), "")</f>
        <v/>
      </c>
      <c r="BK143" s="170"/>
      <c r="BL143" s="396"/>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2"/>
      <c r="K144" s="382"/>
      <c r="L144" s="383"/>
      <c r="M144" s="389"/>
      <c r="N144" s="390"/>
      <c r="O144" s="390"/>
      <c r="P144" s="390"/>
      <c r="Q144" s="390"/>
      <c r="R144" s="390"/>
      <c r="S144" s="390"/>
      <c r="T144" s="390"/>
      <c r="U144" s="390"/>
      <c r="V144" s="390"/>
      <c r="W144" s="390"/>
      <c r="X144" s="390"/>
      <c r="Y144" s="390"/>
      <c r="Z144" s="390"/>
      <c r="AA144" s="390"/>
      <c r="AB144" s="390"/>
      <c r="AC144" s="390"/>
      <c r="AD144" s="390"/>
      <c r="AE144" s="390"/>
      <c r="AF144" s="390"/>
      <c r="AG144" s="390"/>
      <c r="AH144" s="390"/>
      <c r="AI144" s="390"/>
      <c r="AJ144" s="390"/>
      <c r="AK144" s="390"/>
      <c r="AL144" s="390"/>
      <c r="AM144" s="390"/>
      <c r="AN144" s="390"/>
      <c r="AO144" s="390"/>
      <c r="AP144" s="385"/>
      <c r="AQ144" s="385"/>
      <c r="AR144" s="385"/>
      <c r="AS144" s="391">
        <f t="array" ref="AS144">SUM(COUNTIF(N144:AR144, {"◎","〇","☆","共","特","浴"}))</f>
        <v>0</v>
      </c>
      <c r="AT144" s="395"/>
      <c r="AU144" s="393"/>
      <c r="AV144" s="393"/>
      <c r="AW144" s="393"/>
      <c r="AX144" s="393"/>
      <c r="AY144" s="393"/>
      <c r="AZ144" s="393"/>
      <c r="BA144" s="393"/>
      <c r="BB144" s="394"/>
      <c r="BC144" s="74"/>
      <c r="BD144" s="74"/>
      <c r="BE144" s="74"/>
      <c r="BF144" s="74"/>
      <c r="BG144" s="74"/>
      <c r="BH144" s="71"/>
      <c r="BI144" s="186"/>
      <c r="BJ144" s="213" t="str">
        <f t="array" ref="BJ144">IFERROR(INDEX('💻シート作成'!$D$6:$D171, MATCH(BK144, '💻シート作成'!$E$6:$E171, 0)), "")</f>
        <v/>
      </c>
      <c r="BK144" s="170"/>
      <c r="BL144" s="396"/>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2"/>
      <c r="K145" s="382"/>
      <c r="L145" s="383"/>
      <c r="M145" s="389"/>
      <c r="N145" s="390"/>
      <c r="O145" s="390"/>
      <c r="P145" s="390"/>
      <c r="Q145" s="390"/>
      <c r="R145" s="390"/>
      <c r="S145" s="390"/>
      <c r="T145" s="390"/>
      <c r="U145" s="390"/>
      <c r="V145" s="390"/>
      <c r="W145" s="390"/>
      <c r="X145" s="390"/>
      <c r="Y145" s="390"/>
      <c r="Z145" s="390"/>
      <c r="AA145" s="390"/>
      <c r="AB145" s="390"/>
      <c r="AC145" s="390"/>
      <c r="AD145" s="390"/>
      <c r="AE145" s="390"/>
      <c r="AF145" s="390"/>
      <c r="AG145" s="390"/>
      <c r="AH145" s="390"/>
      <c r="AI145" s="390"/>
      <c r="AJ145" s="390"/>
      <c r="AK145" s="390"/>
      <c r="AL145" s="390"/>
      <c r="AM145" s="390"/>
      <c r="AN145" s="390"/>
      <c r="AO145" s="390"/>
      <c r="AP145" s="385"/>
      <c r="AQ145" s="385"/>
      <c r="AR145" s="385"/>
      <c r="AS145" s="391">
        <f t="array" ref="AS145">SUM(COUNTIF(N145:AR145, {"◎","〇","☆","共","特","浴"}))</f>
        <v>0</v>
      </c>
      <c r="AT145" s="395"/>
      <c r="AU145" s="393"/>
      <c r="AV145" s="393"/>
      <c r="AW145" s="393"/>
      <c r="AX145" s="393"/>
      <c r="AY145" s="393"/>
      <c r="AZ145" s="393"/>
      <c r="BA145" s="393"/>
      <c r="BB145" s="394"/>
      <c r="BC145" s="74"/>
      <c r="BD145" s="74"/>
      <c r="BE145" s="74"/>
      <c r="BF145" s="74"/>
      <c r="BG145" s="74"/>
      <c r="BH145" s="71"/>
      <c r="BI145" s="186"/>
      <c r="BJ145" s="213" t="str">
        <f t="array" ref="BJ145">IFERROR(INDEX('💻シート作成'!$D$6:$D171, MATCH(BK145, '💻シート作成'!$E$6:$E171, 0)), "")</f>
        <v/>
      </c>
      <c r="BK145" s="170"/>
      <c r="BL145" s="396"/>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2"/>
      <c r="K146" s="382"/>
      <c r="L146" s="383"/>
      <c r="M146" s="389"/>
      <c r="N146" s="390"/>
      <c r="O146" s="390"/>
      <c r="P146" s="390"/>
      <c r="Q146" s="390"/>
      <c r="R146" s="390"/>
      <c r="S146" s="390"/>
      <c r="T146" s="390"/>
      <c r="U146" s="390"/>
      <c r="V146" s="390"/>
      <c r="W146" s="390"/>
      <c r="X146" s="390"/>
      <c r="Y146" s="390"/>
      <c r="Z146" s="390"/>
      <c r="AA146" s="390"/>
      <c r="AB146" s="390"/>
      <c r="AC146" s="390"/>
      <c r="AD146" s="390"/>
      <c r="AE146" s="390"/>
      <c r="AF146" s="390"/>
      <c r="AG146" s="390"/>
      <c r="AH146" s="390"/>
      <c r="AI146" s="390"/>
      <c r="AJ146" s="390"/>
      <c r="AK146" s="390"/>
      <c r="AL146" s="390"/>
      <c r="AM146" s="390"/>
      <c r="AN146" s="390"/>
      <c r="AO146" s="390"/>
      <c r="AP146" s="385"/>
      <c r="AQ146" s="385"/>
      <c r="AR146" s="385"/>
      <c r="AS146" s="391">
        <f t="array" ref="AS146">SUM(COUNTIF(N146:AR146, {"◎","〇","☆","共","特","浴"}))</f>
        <v>0</v>
      </c>
      <c r="AT146" s="395"/>
      <c r="AU146" s="393"/>
      <c r="AV146" s="393"/>
      <c r="AW146" s="393"/>
      <c r="AX146" s="393"/>
      <c r="AY146" s="393"/>
      <c r="AZ146" s="393"/>
      <c r="BA146" s="393"/>
      <c r="BB146" s="394"/>
      <c r="BC146" s="74"/>
      <c r="BD146" s="74"/>
      <c r="BE146" s="74"/>
      <c r="BF146" s="74"/>
      <c r="BG146" s="74"/>
      <c r="BH146" s="71"/>
      <c r="BI146" s="186"/>
      <c r="BJ146" s="213" t="str">
        <f t="array" ref="BJ146">IFERROR(INDEX('💻シート作成'!$D$6:$D171, MATCH(BK146, '💻シート作成'!$E$6:$E171, 0)), "")</f>
        <v/>
      </c>
      <c r="BK146" s="170"/>
      <c r="BL146" s="396"/>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2"/>
      <c r="K147" s="382"/>
      <c r="L147" s="383"/>
      <c r="M147" s="389"/>
      <c r="N147" s="390"/>
      <c r="O147" s="390"/>
      <c r="P147" s="390"/>
      <c r="Q147" s="390"/>
      <c r="R147" s="390"/>
      <c r="S147" s="390"/>
      <c r="T147" s="390"/>
      <c r="U147" s="390"/>
      <c r="V147" s="390"/>
      <c r="W147" s="390"/>
      <c r="X147" s="390"/>
      <c r="Y147" s="390"/>
      <c r="Z147" s="390"/>
      <c r="AA147" s="390"/>
      <c r="AB147" s="390"/>
      <c r="AC147" s="390"/>
      <c r="AD147" s="390"/>
      <c r="AE147" s="390"/>
      <c r="AF147" s="390"/>
      <c r="AG147" s="390"/>
      <c r="AH147" s="390"/>
      <c r="AI147" s="390"/>
      <c r="AJ147" s="390"/>
      <c r="AK147" s="390"/>
      <c r="AL147" s="390"/>
      <c r="AM147" s="390"/>
      <c r="AN147" s="390"/>
      <c r="AO147" s="390"/>
      <c r="AP147" s="385"/>
      <c r="AQ147" s="385"/>
      <c r="AR147" s="385"/>
      <c r="AS147" s="391">
        <f t="array" ref="AS147">SUM(COUNTIF(N147:AR147, {"◎","〇","☆","共","特","浴"}))</f>
        <v>0</v>
      </c>
      <c r="AT147" s="395"/>
      <c r="AU147" s="393"/>
      <c r="AV147" s="393"/>
      <c r="AW147" s="393"/>
      <c r="AX147" s="393"/>
      <c r="AY147" s="393"/>
      <c r="AZ147" s="393"/>
      <c r="BA147" s="393"/>
      <c r="BB147" s="394"/>
      <c r="BC147" s="74"/>
      <c r="BD147" s="74"/>
      <c r="BE147" s="74"/>
      <c r="BF147" s="74"/>
      <c r="BG147" s="74"/>
      <c r="BH147" s="71"/>
      <c r="BI147" s="186"/>
      <c r="BJ147" s="213" t="str">
        <f t="array" ref="BJ147">IFERROR(INDEX('💻シート作成'!$D$6:$D171, MATCH(BK147, '💻シート作成'!$E$6:$E171, 0)), "")</f>
        <v/>
      </c>
      <c r="BK147" s="170"/>
      <c r="BL147" s="396"/>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2"/>
      <c r="K148" s="382"/>
      <c r="L148" s="383"/>
      <c r="M148" s="389"/>
      <c r="N148" s="390"/>
      <c r="O148" s="390"/>
      <c r="P148" s="390"/>
      <c r="Q148" s="390"/>
      <c r="R148" s="390"/>
      <c r="S148" s="390"/>
      <c r="T148" s="390"/>
      <c r="U148" s="390"/>
      <c r="V148" s="390"/>
      <c r="W148" s="390"/>
      <c r="X148" s="390"/>
      <c r="Y148" s="390"/>
      <c r="Z148" s="390"/>
      <c r="AA148" s="390"/>
      <c r="AB148" s="390"/>
      <c r="AC148" s="390"/>
      <c r="AD148" s="390"/>
      <c r="AE148" s="390"/>
      <c r="AF148" s="390"/>
      <c r="AG148" s="390"/>
      <c r="AH148" s="390"/>
      <c r="AI148" s="390"/>
      <c r="AJ148" s="390"/>
      <c r="AK148" s="390"/>
      <c r="AL148" s="390"/>
      <c r="AM148" s="390"/>
      <c r="AN148" s="390"/>
      <c r="AO148" s="390"/>
      <c r="AP148" s="385"/>
      <c r="AQ148" s="385"/>
      <c r="AR148" s="385"/>
      <c r="AS148" s="391">
        <f t="array" ref="AS148">SUM(COUNTIF(N148:AR148, {"◎","〇","☆","共","特","浴"}))</f>
        <v>0</v>
      </c>
      <c r="AT148" s="395"/>
      <c r="AU148" s="393"/>
      <c r="AV148" s="393"/>
      <c r="AW148" s="393"/>
      <c r="AX148" s="393"/>
      <c r="AY148" s="393"/>
      <c r="AZ148" s="393"/>
      <c r="BA148" s="393"/>
      <c r="BB148" s="394"/>
      <c r="BC148" s="74"/>
      <c r="BD148" s="74"/>
      <c r="BE148" s="74"/>
      <c r="BF148" s="74"/>
      <c r="BG148" s="74"/>
      <c r="BH148" s="71"/>
      <c r="BI148" s="186"/>
      <c r="BJ148" s="213" t="str">
        <f t="array" ref="BJ148">IFERROR(INDEX('💻シート作成'!$D$6:$D171, MATCH(BK148, '💻シート作成'!$E$6:$E171, 0)), "")</f>
        <v/>
      </c>
      <c r="BK148" s="170"/>
      <c r="BL148" s="396"/>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2"/>
      <c r="K149" s="382"/>
      <c r="L149" s="383"/>
      <c r="M149" s="389"/>
      <c r="N149" s="390"/>
      <c r="O149" s="390"/>
      <c r="P149" s="390"/>
      <c r="Q149" s="390"/>
      <c r="R149" s="390"/>
      <c r="S149" s="390"/>
      <c r="T149" s="390"/>
      <c r="U149" s="390"/>
      <c r="V149" s="390"/>
      <c r="W149" s="390"/>
      <c r="X149" s="390"/>
      <c r="Y149" s="390"/>
      <c r="Z149" s="390"/>
      <c r="AA149" s="390"/>
      <c r="AB149" s="390"/>
      <c r="AC149" s="390"/>
      <c r="AD149" s="390"/>
      <c r="AE149" s="390"/>
      <c r="AF149" s="390"/>
      <c r="AG149" s="390"/>
      <c r="AH149" s="390"/>
      <c r="AI149" s="390"/>
      <c r="AJ149" s="390"/>
      <c r="AK149" s="390"/>
      <c r="AL149" s="390"/>
      <c r="AM149" s="390"/>
      <c r="AN149" s="390"/>
      <c r="AO149" s="390"/>
      <c r="AP149" s="385"/>
      <c r="AQ149" s="385"/>
      <c r="AR149" s="385"/>
      <c r="AS149" s="391">
        <f t="array" ref="AS149">SUM(COUNTIF(N149:AR149, {"◎","〇","☆","共","特","浴"}))</f>
        <v>0</v>
      </c>
      <c r="AT149" s="395"/>
      <c r="AU149" s="393"/>
      <c r="AV149" s="393"/>
      <c r="AW149" s="393"/>
      <c r="AX149" s="393"/>
      <c r="AY149" s="393"/>
      <c r="AZ149" s="393"/>
      <c r="BA149" s="393"/>
      <c r="BB149" s="394"/>
      <c r="BC149" s="74"/>
      <c r="BD149" s="74"/>
      <c r="BE149" s="74"/>
      <c r="BF149" s="74"/>
      <c r="BG149" s="74"/>
      <c r="BH149" s="71"/>
      <c r="BI149" s="186"/>
      <c r="BJ149" s="213" t="str">
        <f t="array" ref="BJ149">IFERROR(INDEX('💻シート作成'!$D$6:$D171, MATCH(BK149, '💻シート作成'!$E$6:$E171, 0)), "")</f>
        <v/>
      </c>
      <c r="BK149" s="170"/>
      <c r="BL149" s="396"/>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2"/>
      <c r="K150" s="382"/>
      <c r="L150" s="383"/>
      <c r="M150" s="389"/>
      <c r="N150" s="390"/>
      <c r="O150" s="390"/>
      <c r="P150" s="390"/>
      <c r="Q150" s="390"/>
      <c r="R150" s="390"/>
      <c r="S150" s="390"/>
      <c r="T150" s="390"/>
      <c r="U150" s="390"/>
      <c r="V150" s="390"/>
      <c r="W150" s="390"/>
      <c r="X150" s="390"/>
      <c r="Y150" s="390"/>
      <c r="Z150" s="390"/>
      <c r="AA150" s="390"/>
      <c r="AB150" s="390"/>
      <c r="AC150" s="390"/>
      <c r="AD150" s="390"/>
      <c r="AE150" s="390"/>
      <c r="AF150" s="390"/>
      <c r="AG150" s="390"/>
      <c r="AH150" s="390"/>
      <c r="AI150" s="390"/>
      <c r="AJ150" s="390"/>
      <c r="AK150" s="390"/>
      <c r="AL150" s="390"/>
      <c r="AM150" s="390"/>
      <c r="AN150" s="390"/>
      <c r="AO150" s="390"/>
      <c r="AP150" s="385"/>
      <c r="AQ150" s="385"/>
      <c r="AR150" s="385"/>
      <c r="AS150" s="391">
        <f t="array" ref="AS150">SUM(COUNTIF(N150:AR150, {"◎","〇","☆","共","特","浴"}))</f>
        <v>0</v>
      </c>
      <c r="AT150" s="395"/>
      <c r="AU150" s="393"/>
      <c r="AV150" s="393"/>
      <c r="AW150" s="393"/>
      <c r="AX150" s="393"/>
      <c r="AY150" s="393"/>
      <c r="AZ150" s="393"/>
      <c r="BA150" s="393"/>
      <c r="BB150" s="394"/>
      <c r="BC150" s="74"/>
      <c r="BD150" s="74"/>
      <c r="BE150" s="74"/>
      <c r="BF150" s="74"/>
      <c r="BG150" s="74"/>
      <c r="BH150" s="71"/>
      <c r="BI150" s="186"/>
      <c r="BJ150" s="213" t="str">
        <f t="array" ref="BJ150">IFERROR(INDEX('💻シート作成'!$D$6:$D171, MATCH(BK150, '💻シート作成'!$E$6:$E171, 0)), "")</f>
        <v/>
      </c>
      <c r="BK150" s="170"/>
      <c r="BL150" s="396"/>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2"/>
      <c r="K151" s="382"/>
      <c r="L151" s="383"/>
      <c r="M151" s="389"/>
      <c r="N151" s="390"/>
      <c r="O151" s="390"/>
      <c r="P151" s="390"/>
      <c r="Q151" s="390"/>
      <c r="R151" s="390"/>
      <c r="S151" s="390"/>
      <c r="T151" s="390"/>
      <c r="U151" s="390"/>
      <c r="V151" s="390"/>
      <c r="W151" s="390"/>
      <c r="X151" s="390"/>
      <c r="Y151" s="390"/>
      <c r="Z151" s="390"/>
      <c r="AA151" s="390"/>
      <c r="AB151" s="390"/>
      <c r="AC151" s="390"/>
      <c r="AD151" s="390"/>
      <c r="AE151" s="390"/>
      <c r="AF151" s="390"/>
      <c r="AG151" s="390"/>
      <c r="AH151" s="390"/>
      <c r="AI151" s="390"/>
      <c r="AJ151" s="390"/>
      <c r="AK151" s="390"/>
      <c r="AL151" s="390"/>
      <c r="AM151" s="390"/>
      <c r="AN151" s="390"/>
      <c r="AO151" s="390"/>
      <c r="AP151" s="385"/>
      <c r="AQ151" s="385"/>
      <c r="AR151" s="385"/>
      <c r="AS151" s="391">
        <f t="array" ref="AS151">SUM(COUNTIF(N151:AR151, {"◎","〇","☆","共","特","浴"}))</f>
        <v>0</v>
      </c>
      <c r="AT151" s="395"/>
      <c r="AU151" s="393"/>
      <c r="AV151" s="393"/>
      <c r="AW151" s="393"/>
      <c r="AX151" s="393"/>
      <c r="AY151" s="393"/>
      <c r="AZ151" s="393"/>
      <c r="BA151" s="393"/>
      <c r="BB151" s="394"/>
      <c r="BC151" s="74"/>
      <c r="BD151" s="74"/>
      <c r="BE151" s="74"/>
      <c r="BF151" s="74"/>
      <c r="BG151" s="74"/>
      <c r="BH151" s="71"/>
      <c r="BI151" s="186"/>
      <c r="BJ151" s="213" t="str">
        <f t="array" ref="BJ151">IFERROR(INDEX('💻シート作成'!$D$6:$D171, MATCH(BK151, '💻シート作成'!$E$6:$E171, 0)), "")</f>
        <v/>
      </c>
      <c r="BK151" s="170"/>
      <c r="BL151" s="396"/>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2"/>
      <c r="K152" s="382"/>
      <c r="L152" s="383"/>
      <c r="M152" s="389"/>
      <c r="N152" s="390"/>
      <c r="O152" s="390"/>
      <c r="P152" s="390"/>
      <c r="Q152" s="390"/>
      <c r="R152" s="390"/>
      <c r="S152" s="390"/>
      <c r="T152" s="390"/>
      <c r="U152" s="390"/>
      <c r="V152" s="390"/>
      <c r="W152" s="390"/>
      <c r="X152" s="390"/>
      <c r="Y152" s="390"/>
      <c r="Z152" s="390"/>
      <c r="AA152" s="390"/>
      <c r="AB152" s="390"/>
      <c r="AC152" s="390"/>
      <c r="AD152" s="390"/>
      <c r="AE152" s="390"/>
      <c r="AF152" s="390"/>
      <c r="AG152" s="390"/>
      <c r="AH152" s="390"/>
      <c r="AI152" s="390"/>
      <c r="AJ152" s="390"/>
      <c r="AK152" s="390"/>
      <c r="AL152" s="390"/>
      <c r="AM152" s="390"/>
      <c r="AN152" s="390"/>
      <c r="AO152" s="390"/>
      <c r="AP152" s="385"/>
      <c r="AQ152" s="385"/>
      <c r="AR152" s="385"/>
      <c r="AS152" s="391">
        <f t="array" ref="AS152">SUM(COUNTIF(N152:AR152, {"◎","〇","☆","共","特","浴"}))</f>
        <v>0</v>
      </c>
      <c r="AT152" s="395"/>
      <c r="AU152" s="393"/>
      <c r="AV152" s="393"/>
      <c r="AW152" s="393"/>
      <c r="AX152" s="393"/>
      <c r="AY152" s="393"/>
      <c r="AZ152" s="393"/>
      <c r="BA152" s="393"/>
      <c r="BB152" s="394"/>
      <c r="BC152" s="74"/>
      <c r="BD152" s="74"/>
      <c r="BE152" s="74"/>
      <c r="BF152" s="74"/>
      <c r="BG152" s="74"/>
      <c r="BH152" s="71"/>
      <c r="BI152" s="186"/>
      <c r="BJ152" s="213" t="str">
        <f t="array" ref="BJ152">IFERROR(INDEX('💻シート作成'!$D$6:$D171, MATCH(BK152, '💻シート作成'!$E$6:$E171, 0)), "")</f>
        <v/>
      </c>
      <c r="BK152" s="170"/>
      <c r="BL152" s="396"/>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2"/>
      <c r="K153" s="382"/>
      <c r="L153" s="383"/>
      <c r="M153" s="389"/>
      <c r="N153" s="390"/>
      <c r="O153" s="390"/>
      <c r="P153" s="390"/>
      <c r="Q153" s="390"/>
      <c r="R153" s="390"/>
      <c r="S153" s="390"/>
      <c r="T153" s="390"/>
      <c r="U153" s="390"/>
      <c r="V153" s="390"/>
      <c r="W153" s="390"/>
      <c r="X153" s="390"/>
      <c r="Y153" s="390"/>
      <c r="Z153" s="390"/>
      <c r="AA153" s="390"/>
      <c r="AB153" s="390"/>
      <c r="AC153" s="390"/>
      <c r="AD153" s="390"/>
      <c r="AE153" s="390"/>
      <c r="AF153" s="390"/>
      <c r="AG153" s="390"/>
      <c r="AH153" s="390"/>
      <c r="AI153" s="390"/>
      <c r="AJ153" s="390"/>
      <c r="AK153" s="390"/>
      <c r="AL153" s="390"/>
      <c r="AM153" s="390"/>
      <c r="AN153" s="390"/>
      <c r="AO153" s="390"/>
      <c r="AP153" s="385"/>
      <c r="AQ153" s="385"/>
      <c r="AR153" s="385"/>
      <c r="AS153" s="391">
        <f t="array" ref="AS153">SUM(COUNTIF(N153:AR153, {"◎","〇","☆","共","特","浴"}))</f>
        <v>0</v>
      </c>
      <c r="AT153" s="395"/>
      <c r="AU153" s="393"/>
      <c r="AV153" s="393"/>
      <c r="AW153" s="393"/>
      <c r="AX153" s="393"/>
      <c r="AY153" s="393"/>
      <c r="AZ153" s="393"/>
      <c r="BA153" s="393"/>
      <c r="BB153" s="394"/>
      <c r="BC153" s="74"/>
      <c r="BD153" s="74"/>
      <c r="BE153" s="74"/>
      <c r="BF153" s="74"/>
      <c r="BG153" s="74"/>
      <c r="BH153" s="71"/>
      <c r="BI153" s="186"/>
      <c r="BJ153" s="213" t="str">
        <f t="array" ref="BJ153">IFERROR(INDEX('💻シート作成'!$D$6:$D171, MATCH(BK153, '💻シート作成'!$E$6:$E171, 0)), "")</f>
        <v/>
      </c>
      <c r="BK153" s="170"/>
      <c r="BL153" s="396"/>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2"/>
      <c r="K154" s="382"/>
      <c r="L154" s="383"/>
      <c r="M154" s="389"/>
      <c r="N154" s="390"/>
      <c r="O154" s="390"/>
      <c r="P154" s="390"/>
      <c r="Q154" s="390"/>
      <c r="R154" s="390"/>
      <c r="S154" s="390"/>
      <c r="T154" s="390"/>
      <c r="U154" s="390"/>
      <c r="V154" s="390"/>
      <c r="W154" s="390"/>
      <c r="X154" s="390"/>
      <c r="Y154" s="390"/>
      <c r="Z154" s="390"/>
      <c r="AA154" s="390"/>
      <c r="AB154" s="390"/>
      <c r="AC154" s="390"/>
      <c r="AD154" s="390"/>
      <c r="AE154" s="390"/>
      <c r="AF154" s="390"/>
      <c r="AG154" s="390"/>
      <c r="AH154" s="390"/>
      <c r="AI154" s="390"/>
      <c r="AJ154" s="390"/>
      <c r="AK154" s="390"/>
      <c r="AL154" s="390"/>
      <c r="AM154" s="390"/>
      <c r="AN154" s="390"/>
      <c r="AO154" s="390"/>
      <c r="AP154" s="385"/>
      <c r="AQ154" s="385"/>
      <c r="AR154" s="385"/>
      <c r="AS154" s="391">
        <f t="array" ref="AS154">SUM(COUNTIF(N154:AR154, {"◎","〇","☆","共","特","浴"}))</f>
        <v>0</v>
      </c>
      <c r="AT154" s="395"/>
      <c r="AU154" s="393"/>
      <c r="AV154" s="393"/>
      <c r="AW154" s="393"/>
      <c r="AX154" s="393"/>
      <c r="AY154" s="393"/>
      <c r="AZ154" s="393"/>
      <c r="BA154" s="393"/>
      <c r="BB154" s="394"/>
      <c r="BC154" s="74"/>
      <c r="BD154" s="74"/>
      <c r="BE154" s="74"/>
      <c r="BF154" s="74"/>
      <c r="BG154" s="74"/>
      <c r="BH154" s="71"/>
      <c r="BI154" s="186"/>
      <c r="BJ154" s="213" t="str">
        <f t="array" ref="BJ154">IFERROR(INDEX('💻シート作成'!$D$6:$D171, MATCH(BK154, '💻シート作成'!$E$6:$E171, 0)), "")</f>
        <v/>
      </c>
      <c r="BK154" s="170"/>
      <c r="BL154" s="396"/>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2"/>
      <c r="K155" s="382"/>
      <c r="L155" s="383"/>
      <c r="M155" s="389"/>
      <c r="N155" s="390"/>
      <c r="O155" s="390"/>
      <c r="P155" s="390"/>
      <c r="Q155" s="390"/>
      <c r="R155" s="390"/>
      <c r="S155" s="390"/>
      <c r="T155" s="390"/>
      <c r="U155" s="390"/>
      <c r="V155" s="390"/>
      <c r="W155" s="390"/>
      <c r="X155" s="390"/>
      <c r="Y155" s="390"/>
      <c r="Z155" s="390"/>
      <c r="AA155" s="390"/>
      <c r="AB155" s="390"/>
      <c r="AC155" s="390"/>
      <c r="AD155" s="390"/>
      <c r="AE155" s="390"/>
      <c r="AF155" s="390"/>
      <c r="AG155" s="390"/>
      <c r="AH155" s="390"/>
      <c r="AI155" s="390"/>
      <c r="AJ155" s="390"/>
      <c r="AK155" s="390"/>
      <c r="AL155" s="390"/>
      <c r="AM155" s="390"/>
      <c r="AN155" s="390"/>
      <c r="AO155" s="390"/>
      <c r="AP155" s="385"/>
      <c r="AQ155" s="385"/>
      <c r="AR155" s="385"/>
      <c r="AS155" s="391">
        <f t="array" ref="AS155">SUM(COUNTIF(N155:AR155, {"◎","〇","☆","共","特","浴"}))</f>
        <v>0</v>
      </c>
      <c r="AT155" s="395"/>
      <c r="AU155" s="393"/>
      <c r="AV155" s="393"/>
      <c r="AW155" s="393"/>
      <c r="AX155" s="393"/>
      <c r="AY155" s="393"/>
      <c r="AZ155" s="393"/>
      <c r="BA155" s="393"/>
      <c r="BB155" s="394"/>
      <c r="BC155" s="74"/>
      <c r="BD155" s="74"/>
      <c r="BE155" s="74"/>
      <c r="BF155" s="74"/>
      <c r="BG155" s="74"/>
      <c r="BH155" s="71"/>
      <c r="BI155" s="186"/>
      <c r="BJ155" s="213" t="str">
        <f t="array" ref="BJ155">IFERROR(INDEX('💻シート作成'!$D$6:$D171, MATCH(BK155, '💻シート作成'!$E$6:$E171, 0)), "")</f>
        <v/>
      </c>
      <c r="BK155" s="170"/>
      <c r="BL155" s="396"/>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2"/>
      <c r="K156" s="382"/>
      <c r="L156" s="383"/>
      <c r="M156" s="389"/>
      <c r="N156" s="390"/>
      <c r="O156" s="390"/>
      <c r="P156" s="390"/>
      <c r="Q156" s="390"/>
      <c r="R156" s="390"/>
      <c r="S156" s="390"/>
      <c r="T156" s="390"/>
      <c r="U156" s="390"/>
      <c r="V156" s="390"/>
      <c r="W156" s="390"/>
      <c r="X156" s="390"/>
      <c r="Y156" s="390"/>
      <c r="Z156" s="390"/>
      <c r="AA156" s="390"/>
      <c r="AB156" s="390"/>
      <c r="AC156" s="390"/>
      <c r="AD156" s="390"/>
      <c r="AE156" s="390"/>
      <c r="AF156" s="390"/>
      <c r="AG156" s="390"/>
      <c r="AH156" s="390"/>
      <c r="AI156" s="390"/>
      <c r="AJ156" s="390"/>
      <c r="AK156" s="390"/>
      <c r="AL156" s="390"/>
      <c r="AM156" s="390"/>
      <c r="AN156" s="390"/>
      <c r="AO156" s="390"/>
      <c r="AP156" s="385"/>
      <c r="AQ156" s="385"/>
      <c r="AR156" s="385"/>
      <c r="AS156" s="391">
        <f t="array" ref="AS156">SUM(COUNTIF(N156:AR156, {"◎","〇","☆","共","特","浴"}))</f>
        <v>0</v>
      </c>
      <c r="AT156" s="395"/>
      <c r="AU156" s="393"/>
      <c r="AV156" s="393"/>
      <c r="AW156" s="393"/>
      <c r="AX156" s="393"/>
      <c r="AY156" s="393"/>
      <c r="AZ156" s="393"/>
      <c r="BA156" s="393"/>
      <c r="BB156" s="394"/>
      <c r="BC156" s="74"/>
      <c r="BD156" s="74"/>
      <c r="BE156" s="74"/>
      <c r="BF156" s="74"/>
      <c r="BG156" s="74"/>
      <c r="BH156" s="71"/>
      <c r="BI156" s="186"/>
      <c r="BJ156" s="213" t="str">
        <f t="array" ref="BJ156">IFERROR(INDEX('💻シート作成'!$D$6:$D171, MATCH(BK156, '💻シート作成'!$E$6:$E171, 0)), "")</f>
        <v/>
      </c>
      <c r="BK156" s="170"/>
      <c r="BL156" s="396"/>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2"/>
      <c r="K157" s="382"/>
      <c r="L157" s="383"/>
      <c r="M157" s="389"/>
      <c r="N157" s="390"/>
      <c r="O157" s="390"/>
      <c r="P157" s="390"/>
      <c r="Q157" s="390"/>
      <c r="R157" s="390"/>
      <c r="S157" s="390"/>
      <c r="T157" s="390"/>
      <c r="U157" s="390"/>
      <c r="V157" s="390"/>
      <c r="W157" s="390"/>
      <c r="X157" s="390"/>
      <c r="Y157" s="390"/>
      <c r="Z157" s="390"/>
      <c r="AA157" s="390"/>
      <c r="AB157" s="390"/>
      <c r="AC157" s="390"/>
      <c r="AD157" s="390"/>
      <c r="AE157" s="390"/>
      <c r="AF157" s="390"/>
      <c r="AG157" s="390"/>
      <c r="AH157" s="390"/>
      <c r="AI157" s="390"/>
      <c r="AJ157" s="390"/>
      <c r="AK157" s="390"/>
      <c r="AL157" s="390"/>
      <c r="AM157" s="390"/>
      <c r="AN157" s="390"/>
      <c r="AO157" s="390"/>
      <c r="AP157" s="385"/>
      <c r="AQ157" s="385"/>
      <c r="AR157" s="385"/>
      <c r="AS157" s="391">
        <f t="array" ref="AS157">SUM(COUNTIF(N157:AR157, {"◎","〇","☆","共","特","浴"}))</f>
        <v>0</v>
      </c>
      <c r="AT157" s="395"/>
      <c r="AU157" s="393"/>
      <c r="AV157" s="393"/>
      <c r="AW157" s="393"/>
      <c r="AX157" s="393"/>
      <c r="AY157" s="393"/>
      <c r="AZ157" s="393"/>
      <c r="BA157" s="393"/>
      <c r="BB157" s="394"/>
      <c r="BC157" s="74"/>
      <c r="BD157" s="74"/>
      <c r="BE157" s="74"/>
      <c r="BF157" s="74"/>
      <c r="BG157" s="74"/>
      <c r="BH157" s="71"/>
      <c r="BI157" s="186"/>
      <c r="BJ157" s="213" t="str">
        <f t="array" ref="BJ157">IFERROR(INDEX('💻シート作成'!$D$6:$D171, MATCH(BK157, '💻シート作成'!$E$6:$E171, 0)), "")</f>
        <v/>
      </c>
      <c r="BK157" s="170"/>
      <c r="BL157" s="396"/>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2"/>
      <c r="K158" s="382"/>
      <c r="L158" s="383"/>
      <c r="M158" s="389"/>
      <c r="N158" s="390"/>
      <c r="O158" s="390"/>
      <c r="P158" s="390"/>
      <c r="Q158" s="390"/>
      <c r="R158" s="390"/>
      <c r="S158" s="390"/>
      <c r="T158" s="390"/>
      <c r="U158" s="390"/>
      <c r="V158" s="390"/>
      <c r="W158" s="390"/>
      <c r="X158" s="390"/>
      <c r="Y158" s="390"/>
      <c r="Z158" s="390"/>
      <c r="AA158" s="390"/>
      <c r="AB158" s="390"/>
      <c r="AC158" s="390"/>
      <c r="AD158" s="390"/>
      <c r="AE158" s="390"/>
      <c r="AF158" s="390"/>
      <c r="AG158" s="390"/>
      <c r="AH158" s="390"/>
      <c r="AI158" s="390"/>
      <c r="AJ158" s="390"/>
      <c r="AK158" s="390"/>
      <c r="AL158" s="390"/>
      <c r="AM158" s="390"/>
      <c r="AN158" s="390"/>
      <c r="AO158" s="390"/>
      <c r="AP158" s="385"/>
      <c r="AQ158" s="385"/>
      <c r="AR158" s="385"/>
      <c r="AS158" s="391">
        <f t="array" ref="AS158">SUM(COUNTIF(N158:AR158, {"◎","〇","☆","共","特","浴"}))</f>
        <v>0</v>
      </c>
      <c r="AT158" s="395"/>
      <c r="AU158" s="393"/>
      <c r="AV158" s="393"/>
      <c r="AW158" s="393"/>
      <c r="AX158" s="393"/>
      <c r="AY158" s="393"/>
      <c r="AZ158" s="393"/>
      <c r="BA158" s="393"/>
      <c r="BB158" s="394"/>
      <c r="BC158" s="74"/>
      <c r="BD158" s="74"/>
      <c r="BE158" s="74"/>
      <c r="BF158" s="74"/>
      <c r="BG158" s="74"/>
      <c r="BH158" s="71"/>
      <c r="BI158" s="186"/>
      <c r="BJ158" s="213" t="str">
        <f t="array" ref="BJ158">IFERROR(INDEX('💻シート作成'!$D$6:$D171, MATCH(BK158, '💻シート作成'!$E$6:$E171, 0)), "")</f>
        <v/>
      </c>
      <c r="BK158" s="170"/>
      <c r="BL158" s="396"/>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2"/>
      <c r="K159" s="382"/>
      <c r="L159" s="383"/>
      <c r="M159" s="389"/>
      <c r="N159" s="390"/>
      <c r="O159" s="390"/>
      <c r="P159" s="390"/>
      <c r="Q159" s="390"/>
      <c r="R159" s="390"/>
      <c r="S159" s="390"/>
      <c r="T159" s="390"/>
      <c r="U159" s="390"/>
      <c r="V159" s="390"/>
      <c r="W159" s="390"/>
      <c r="X159" s="390"/>
      <c r="Y159" s="390"/>
      <c r="Z159" s="390"/>
      <c r="AA159" s="390"/>
      <c r="AB159" s="390"/>
      <c r="AC159" s="390"/>
      <c r="AD159" s="390"/>
      <c r="AE159" s="390"/>
      <c r="AF159" s="390"/>
      <c r="AG159" s="390"/>
      <c r="AH159" s="390"/>
      <c r="AI159" s="390"/>
      <c r="AJ159" s="390"/>
      <c r="AK159" s="390"/>
      <c r="AL159" s="390"/>
      <c r="AM159" s="390"/>
      <c r="AN159" s="390"/>
      <c r="AO159" s="390"/>
      <c r="AP159" s="385"/>
      <c r="AQ159" s="385"/>
      <c r="AR159" s="385"/>
      <c r="AS159" s="391">
        <f t="array" ref="AS159">SUM(COUNTIF(N159:AR159, {"◎","〇","☆","共","特","浴"}))</f>
        <v>0</v>
      </c>
      <c r="AT159" s="395"/>
      <c r="AU159" s="393"/>
      <c r="AV159" s="393"/>
      <c r="AW159" s="393"/>
      <c r="AX159" s="393"/>
      <c r="AY159" s="393"/>
      <c r="AZ159" s="393"/>
      <c r="BA159" s="393"/>
      <c r="BB159" s="394"/>
      <c r="BC159" s="74"/>
      <c r="BD159" s="74"/>
      <c r="BE159" s="74"/>
      <c r="BF159" s="74"/>
      <c r="BG159" s="74"/>
      <c r="BH159" s="71"/>
      <c r="BI159" s="186"/>
      <c r="BJ159" s="213" t="str">
        <f t="array" ref="BJ159">IFERROR(INDEX('💻シート作成'!$D$6:$D171, MATCH(BK159, '💻シート作成'!$E$6:$E171, 0)), "")</f>
        <v/>
      </c>
      <c r="BK159" s="170"/>
      <c r="BL159" s="396"/>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2"/>
      <c r="K160" s="382"/>
      <c r="L160" s="383"/>
      <c r="M160" s="389"/>
      <c r="N160" s="390"/>
      <c r="O160" s="390"/>
      <c r="P160" s="390"/>
      <c r="Q160" s="390"/>
      <c r="R160" s="390"/>
      <c r="S160" s="390"/>
      <c r="T160" s="390"/>
      <c r="U160" s="390"/>
      <c r="V160" s="390"/>
      <c r="W160" s="390"/>
      <c r="X160" s="390"/>
      <c r="Y160" s="390"/>
      <c r="Z160" s="390"/>
      <c r="AA160" s="390"/>
      <c r="AB160" s="390"/>
      <c r="AC160" s="390"/>
      <c r="AD160" s="390"/>
      <c r="AE160" s="390"/>
      <c r="AF160" s="390"/>
      <c r="AG160" s="390"/>
      <c r="AH160" s="390"/>
      <c r="AI160" s="390"/>
      <c r="AJ160" s="390"/>
      <c r="AK160" s="390"/>
      <c r="AL160" s="390"/>
      <c r="AM160" s="390"/>
      <c r="AN160" s="390"/>
      <c r="AO160" s="390"/>
      <c r="AP160" s="385"/>
      <c r="AQ160" s="385"/>
      <c r="AR160" s="385"/>
      <c r="AS160" s="391">
        <f t="array" ref="AS160">SUM(COUNTIF(N160:AR160, {"◎","〇","☆","共","特","浴"}))</f>
        <v>0</v>
      </c>
      <c r="AT160" s="395"/>
      <c r="AU160" s="393"/>
      <c r="AV160" s="393"/>
      <c r="AW160" s="393"/>
      <c r="AX160" s="393"/>
      <c r="AY160" s="393"/>
      <c r="AZ160" s="393"/>
      <c r="BA160" s="393"/>
      <c r="BB160" s="394"/>
      <c r="BC160" s="74"/>
      <c r="BD160" s="74"/>
      <c r="BE160" s="74"/>
      <c r="BF160" s="74"/>
      <c r="BG160" s="74"/>
      <c r="BH160" s="71"/>
      <c r="BI160" s="186"/>
      <c r="BJ160" s="213" t="str">
        <f t="array" ref="BJ160">IFERROR(INDEX('💻シート作成'!$D$6:$D171, MATCH(BK160, '💻シート作成'!$E$6:$E171, 0)), "")</f>
        <v/>
      </c>
      <c r="BK160" s="170"/>
      <c r="BL160" s="396"/>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2"/>
      <c r="K161" s="382"/>
      <c r="L161" s="383"/>
      <c r="M161" s="389"/>
      <c r="N161" s="390"/>
      <c r="O161" s="390"/>
      <c r="P161" s="390"/>
      <c r="Q161" s="390"/>
      <c r="R161" s="390"/>
      <c r="S161" s="390"/>
      <c r="T161" s="390"/>
      <c r="U161" s="390"/>
      <c r="V161" s="390"/>
      <c r="W161" s="390"/>
      <c r="X161" s="390"/>
      <c r="Y161" s="390"/>
      <c r="Z161" s="390"/>
      <c r="AA161" s="390"/>
      <c r="AB161" s="390"/>
      <c r="AC161" s="390"/>
      <c r="AD161" s="390"/>
      <c r="AE161" s="390"/>
      <c r="AF161" s="390"/>
      <c r="AG161" s="390"/>
      <c r="AH161" s="390"/>
      <c r="AI161" s="390"/>
      <c r="AJ161" s="390"/>
      <c r="AK161" s="390"/>
      <c r="AL161" s="390"/>
      <c r="AM161" s="390"/>
      <c r="AN161" s="390"/>
      <c r="AO161" s="390"/>
      <c r="AP161" s="385"/>
      <c r="AQ161" s="385"/>
      <c r="AR161" s="385"/>
      <c r="AS161" s="391">
        <f t="array" ref="AS161">SUM(COUNTIF(N161:AR161, {"◎","〇","☆","共","特","浴"}))</f>
        <v>0</v>
      </c>
      <c r="AT161" s="395"/>
      <c r="AU161" s="393"/>
      <c r="AV161" s="393"/>
      <c r="AW161" s="393"/>
      <c r="AX161" s="393"/>
      <c r="AY161" s="393"/>
      <c r="AZ161" s="393"/>
      <c r="BA161" s="393"/>
      <c r="BB161" s="394"/>
      <c r="BC161" s="74"/>
      <c r="BD161" s="74"/>
      <c r="BE161" s="74"/>
      <c r="BF161" s="74"/>
      <c r="BG161" s="74"/>
      <c r="BH161" s="71"/>
      <c r="BI161" s="186"/>
      <c r="BJ161" s="213" t="str">
        <f t="array" ref="BJ161">IFERROR(INDEX('💻シート作成'!$D$6:$D171, MATCH(BK161, '💻シート作成'!$E$6:$E171, 0)), "")</f>
        <v/>
      </c>
      <c r="BK161" s="170"/>
      <c r="BL161" s="396"/>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2"/>
      <c r="K162" s="382"/>
      <c r="L162" s="383"/>
      <c r="M162" s="389"/>
      <c r="N162" s="390"/>
      <c r="O162" s="390"/>
      <c r="P162" s="390"/>
      <c r="Q162" s="390"/>
      <c r="R162" s="390"/>
      <c r="S162" s="390"/>
      <c r="T162" s="390"/>
      <c r="U162" s="390"/>
      <c r="V162" s="390"/>
      <c r="W162" s="390"/>
      <c r="X162" s="390"/>
      <c r="Y162" s="390"/>
      <c r="Z162" s="390"/>
      <c r="AA162" s="390"/>
      <c r="AB162" s="390"/>
      <c r="AC162" s="390"/>
      <c r="AD162" s="390"/>
      <c r="AE162" s="390"/>
      <c r="AF162" s="390"/>
      <c r="AG162" s="390"/>
      <c r="AH162" s="390"/>
      <c r="AI162" s="390"/>
      <c r="AJ162" s="390"/>
      <c r="AK162" s="390"/>
      <c r="AL162" s="390"/>
      <c r="AM162" s="390"/>
      <c r="AN162" s="390"/>
      <c r="AO162" s="390"/>
      <c r="AP162" s="385"/>
      <c r="AQ162" s="385"/>
      <c r="AR162" s="385"/>
      <c r="AS162" s="391">
        <f t="array" ref="AS162">SUM(COUNTIF(N162:AR162, {"◎","〇","☆","共","特","浴"}))</f>
        <v>0</v>
      </c>
      <c r="AT162" s="395"/>
      <c r="AU162" s="393"/>
      <c r="AV162" s="393"/>
      <c r="AW162" s="393"/>
      <c r="AX162" s="393"/>
      <c r="AY162" s="393"/>
      <c r="AZ162" s="393"/>
      <c r="BA162" s="393"/>
      <c r="BB162" s="394"/>
      <c r="BC162" s="74"/>
      <c r="BD162" s="74"/>
      <c r="BE162" s="74"/>
      <c r="BF162" s="74"/>
      <c r="BG162" s="74"/>
      <c r="BH162" s="71"/>
      <c r="BI162" s="186"/>
      <c r="BJ162" s="213" t="str">
        <f t="array" ref="BJ162">IFERROR(INDEX('💻シート作成'!$D$6:$D171, MATCH(BK162, '💻シート作成'!$E$6:$E171, 0)), "")</f>
        <v/>
      </c>
      <c r="BK162" s="170"/>
      <c r="BL162" s="396"/>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2"/>
      <c r="K163" s="382"/>
      <c r="L163" s="383"/>
      <c r="M163" s="389"/>
      <c r="N163" s="390"/>
      <c r="O163" s="390"/>
      <c r="P163" s="390"/>
      <c r="Q163" s="390"/>
      <c r="R163" s="390"/>
      <c r="S163" s="390"/>
      <c r="T163" s="390"/>
      <c r="U163" s="390"/>
      <c r="V163" s="390"/>
      <c r="W163" s="390"/>
      <c r="X163" s="390"/>
      <c r="Y163" s="390"/>
      <c r="Z163" s="390"/>
      <c r="AA163" s="390"/>
      <c r="AB163" s="390"/>
      <c r="AC163" s="390"/>
      <c r="AD163" s="390"/>
      <c r="AE163" s="390"/>
      <c r="AF163" s="390"/>
      <c r="AG163" s="390"/>
      <c r="AH163" s="390"/>
      <c r="AI163" s="390"/>
      <c r="AJ163" s="390"/>
      <c r="AK163" s="390"/>
      <c r="AL163" s="390"/>
      <c r="AM163" s="390"/>
      <c r="AN163" s="390"/>
      <c r="AO163" s="390"/>
      <c r="AP163" s="385"/>
      <c r="AQ163" s="385"/>
      <c r="AR163" s="385"/>
      <c r="AS163" s="391">
        <f t="array" ref="AS163">SUM(COUNTIF(N163:AR163, {"◎","〇","☆","共","特","浴"}))</f>
        <v>0</v>
      </c>
      <c r="AT163" s="395"/>
      <c r="AU163" s="393"/>
      <c r="AV163" s="393"/>
      <c r="AW163" s="393"/>
      <c r="AX163" s="393"/>
      <c r="AY163" s="393"/>
      <c r="AZ163" s="393"/>
      <c r="BA163" s="393"/>
      <c r="BB163" s="394"/>
      <c r="BC163" s="74"/>
      <c r="BD163" s="74"/>
      <c r="BE163" s="74"/>
      <c r="BF163" s="74"/>
      <c r="BG163" s="74"/>
      <c r="BH163" s="71"/>
      <c r="BI163" s="186"/>
      <c r="BJ163" s="213" t="str">
        <f t="array" ref="BJ163">IFERROR(INDEX('💻シート作成'!$D$6:$D171, MATCH(BK163, '💻シート作成'!$E$6:$E171, 0)), "")</f>
        <v/>
      </c>
      <c r="BK163" s="170"/>
      <c r="BL163" s="396"/>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2"/>
      <c r="K164" s="382"/>
      <c r="L164" s="383"/>
      <c r="M164" s="389"/>
      <c r="N164" s="390"/>
      <c r="O164" s="390"/>
      <c r="P164" s="390"/>
      <c r="Q164" s="390"/>
      <c r="R164" s="390"/>
      <c r="S164" s="390"/>
      <c r="T164" s="390"/>
      <c r="U164" s="390"/>
      <c r="V164" s="390"/>
      <c r="W164" s="390"/>
      <c r="X164" s="390"/>
      <c r="Y164" s="390"/>
      <c r="Z164" s="390"/>
      <c r="AA164" s="390"/>
      <c r="AB164" s="390"/>
      <c r="AC164" s="390"/>
      <c r="AD164" s="390"/>
      <c r="AE164" s="390"/>
      <c r="AF164" s="390"/>
      <c r="AG164" s="390"/>
      <c r="AH164" s="390"/>
      <c r="AI164" s="390"/>
      <c r="AJ164" s="390"/>
      <c r="AK164" s="390"/>
      <c r="AL164" s="390"/>
      <c r="AM164" s="390"/>
      <c r="AN164" s="390"/>
      <c r="AO164" s="390"/>
      <c r="AP164" s="385"/>
      <c r="AQ164" s="385"/>
      <c r="AR164" s="385"/>
      <c r="AS164" s="391">
        <f t="array" ref="AS164">SUM(COUNTIF(N164:AR164, {"◎","〇","☆","共","特","浴"}))</f>
        <v>0</v>
      </c>
      <c r="AT164" s="395"/>
      <c r="AU164" s="393"/>
      <c r="AV164" s="393"/>
      <c r="AW164" s="393"/>
      <c r="AX164" s="393"/>
      <c r="AY164" s="393"/>
      <c r="AZ164" s="393"/>
      <c r="BA164" s="393"/>
      <c r="BB164" s="394"/>
      <c r="BC164" s="74"/>
      <c r="BD164" s="74"/>
      <c r="BE164" s="74"/>
      <c r="BF164" s="74"/>
      <c r="BG164" s="74"/>
      <c r="BH164" s="71"/>
      <c r="BI164" s="186"/>
      <c r="BJ164" s="213" t="str">
        <f t="array" ref="BJ164">IFERROR(INDEX('💻シート作成'!$D$6:$D171, MATCH(BK164, '💻シート作成'!$E$6:$E171, 0)), "")</f>
        <v/>
      </c>
      <c r="BK164" s="170"/>
      <c r="BL164" s="396"/>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2"/>
      <c r="K165" s="382"/>
      <c r="L165" s="383"/>
      <c r="M165" s="389"/>
      <c r="N165" s="390"/>
      <c r="O165" s="390"/>
      <c r="P165" s="390"/>
      <c r="Q165" s="390"/>
      <c r="R165" s="390"/>
      <c r="S165" s="390"/>
      <c r="T165" s="390"/>
      <c r="U165" s="390"/>
      <c r="V165" s="390"/>
      <c r="W165" s="390"/>
      <c r="X165" s="390"/>
      <c r="Y165" s="390"/>
      <c r="Z165" s="390"/>
      <c r="AA165" s="390"/>
      <c r="AB165" s="390"/>
      <c r="AC165" s="390"/>
      <c r="AD165" s="390"/>
      <c r="AE165" s="390"/>
      <c r="AF165" s="390"/>
      <c r="AG165" s="390"/>
      <c r="AH165" s="390"/>
      <c r="AI165" s="390"/>
      <c r="AJ165" s="390"/>
      <c r="AK165" s="390"/>
      <c r="AL165" s="390"/>
      <c r="AM165" s="390"/>
      <c r="AN165" s="390"/>
      <c r="AO165" s="390"/>
      <c r="AP165" s="385"/>
      <c r="AQ165" s="385"/>
      <c r="AR165" s="385"/>
      <c r="AS165" s="391">
        <f t="array" ref="AS165">SUM(COUNTIF(N165:AR165, {"◎","〇","☆","共","特","浴"}))</f>
        <v>0</v>
      </c>
      <c r="AT165" s="395"/>
      <c r="AU165" s="393"/>
      <c r="AV165" s="393"/>
      <c r="AW165" s="393"/>
      <c r="AX165" s="393"/>
      <c r="AY165" s="393"/>
      <c r="AZ165" s="393"/>
      <c r="BA165" s="393"/>
      <c r="BB165" s="394"/>
      <c r="BC165" s="74"/>
      <c r="BD165" s="74"/>
      <c r="BE165" s="74"/>
      <c r="BF165" s="74"/>
      <c r="BG165" s="74"/>
      <c r="BH165" s="71"/>
      <c r="BI165" s="186"/>
      <c r="BJ165" s="213" t="str">
        <f t="array" ref="BJ165">IFERROR(INDEX('💻シート作成'!$D$6:$D171, MATCH(BK165, '💻シート作成'!$E$6:$E171, 0)), "")</f>
        <v/>
      </c>
      <c r="BK165" s="170"/>
      <c r="BL165" s="396"/>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2"/>
      <c r="K166" s="382"/>
      <c r="L166" s="383"/>
      <c r="M166" s="389"/>
      <c r="N166" s="390"/>
      <c r="O166" s="390"/>
      <c r="P166" s="390"/>
      <c r="Q166" s="390"/>
      <c r="R166" s="390"/>
      <c r="S166" s="390"/>
      <c r="T166" s="390"/>
      <c r="U166" s="390"/>
      <c r="V166" s="390"/>
      <c r="W166" s="390"/>
      <c r="X166" s="390"/>
      <c r="Y166" s="390"/>
      <c r="Z166" s="390"/>
      <c r="AA166" s="390"/>
      <c r="AB166" s="390"/>
      <c r="AC166" s="390"/>
      <c r="AD166" s="390"/>
      <c r="AE166" s="390"/>
      <c r="AF166" s="390"/>
      <c r="AG166" s="390"/>
      <c r="AH166" s="390"/>
      <c r="AI166" s="390"/>
      <c r="AJ166" s="390"/>
      <c r="AK166" s="390"/>
      <c r="AL166" s="390"/>
      <c r="AM166" s="390"/>
      <c r="AN166" s="390"/>
      <c r="AO166" s="390"/>
      <c r="AP166" s="385"/>
      <c r="AQ166" s="385"/>
      <c r="AR166" s="385"/>
      <c r="AS166" s="391">
        <f t="array" ref="AS166">SUM(COUNTIF(N166:AR166, {"◎","〇","☆","共","特","浴"}))</f>
        <v>0</v>
      </c>
      <c r="AT166" s="395"/>
      <c r="AU166" s="393"/>
      <c r="AV166" s="393"/>
      <c r="AW166" s="393"/>
      <c r="AX166" s="393"/>
      <c r="AY166" s="393"/>
      <c r="AZ166" s="393"/>
      <c r="BA166" s="393"/>
      <c r="BB166" s="394"/>
      <c r="BC166" s="74"/>
      <c r="BD166" s="74"/>
      <c r="BE166" s="74"/>
      <c r="BF166" s="74"/>
      <c r="BG166" s="74"/>
      <c r="BH166" s="71"/>
      <c r="BI166" s="186"/>
      <c r="BJ166" s="213" t="str">
        <f t="array" ref="BJ166">IFERROR(INDEX('💻シート作成'!$D$6:$D171, MATCH(BK166, '💻シート作成'!$E$6:$E171, 0)), "")</f>
        <v/>
      </c>
      <c r="BK166" s="170"/>
      <c r="BL166" s="396"/>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2"/>
      <c r="K167" s="382"/>
      <c r="L167" s="383"/>
      <c r="M167" s="389"/>
      <c r="N167" s="390"/>
      <c r="O167" s="390"/>
      <c r="P167" s="390"/>
      <c r="Q167" s="390"/>
      <c r="R167" s="390"/>
      <c r="S167" s="390"/>
      <c r="T167" s="390"/>
      <c r="U167" s="390"/>
      <c r="V167" s="390"/>
      <c r="W167" s="390"/>
      <c r="X167" s="390"/>
      <c r="Y167" s="390"/>
      <c r="Z167" s="390"/>
      <c r="AA167" s="390"/>
      <c r="AB167" s="390"/>
      <c r="AC167" s="390"/>
      <c r="AD167" s="390"/>
      <c r="AE167" s="390"/>
      <c r="AF167" s="390"/>
      <c r="AG167" s="390"/>
      <c r="AH167" s="390"/>
      <c r="AI167" s="390"/>
      <c r="AJ167" s="390"/>
      <c r="AK167" s="390"/>
      <c r="AL167" s="390"/>
      <c r="AM167" s="390"/>
      <c r="AN167" s="390"/>
      <c r="AO167" s="390"/>
      <c r="AP167" s="385"/>
      <c r="AQ167" s="385"/>
      <c r="AR167" s="385"/>
      <c r="AS167" s="391">
        <f t="array" ref="AS167">SUM(COUNTIF(N167:AR167, {"◎","〇","☆","共","特","浴"}))</f>
        <v>0</v>
      </c>
      <c r="AT167" s="395"/>
      <c r="AU167" s="393"/>
      <c r="AV167" s="393"/>
      <c r="AW167" s="393"/>
      <c r="AX167" s="393"/>
      <c r="AY167" s="393"/>
      <c r="AZ167" s="393"/>
      <c r="BA167" s="393"/>
      <c r="BB167" s="394"/>
      <c r="BC167" s="74"/>
      <c r="BD167" s="74"/>
      <c r="BE167" s="74"/>
      <c r="BF167" s="74"/>
      <c r="BG167" s="74"/>
      <c r="BH167" s="71"/>
      <c r="BI167" s="186"/>
      <c r="BJ167" s="213" t="str">
        <f t="array" ref="BJ167">IFERROR(INDEX('💻シート作成'!$D$6:$D171, MATCH(BK167, '💻シート作成'!$E$6:$E171, 0)), "")</f>
        <v/>
      </c>
      <c r="BK167" s="170"/>
      <c r="BL167" s="396"/>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2"/>
      <c r="K168" s="382"/>
      <c r="L168" s="383"/>
      <c r="M168" s="389"/>
      <c r="N168" s="390"/>
      <c r="O168" s="390"/>
      <c r="P168" s="390"/>
      <c r="Q168" s="390"/>
      <c r="R168" s="390"/>
      <c r="S168" s="390"/>
      <c r="T168" s="390"/>
      <c r="U168" s="390"/>
      <c r="V168" s="390"/>
      <c r="W168" s="390"/>
      <c r="X168" s="390"/>
      <c r="Y168" s="390"/>
      <c r="Z168" s="390"/>
      <c r="AA168" s="390"/>
      <c r="AB168" s="390"/>
      <c r="AC168" s="390"/>
      <c r="AD168" s="390"/>
      <c r="AE168" s="390"/>
      <c r="AF168" s="390"/>
      <c r="AG168" s="390"/>
      <c r="AH168" s="390"/>
      <c r="AI168" s="390"/>
      <c r="AJ168" s="390"/>
      <c r="AK168" s="390"/>
      <c r="AL168" s="390"/>
      <c r="AM168" s="390"/>
      <c r="AN168" s="390"/>
      <c r="AO168" s="390"/>
      <c r="AP168" s="385"/>
      <c r="AQ168" s="385"/>
      <c r="AR168" s="385"/>
      <c r="AS168" s="391">
        <f t="array" ref="AS168">SUM(COUNTIF(N168:AR168, {"◎","〇","☆","共","特","浴"}))</f>
        <v>0</v>
      </c>
      <c r="AT168" s="395"/>
      <c r="AU168" s="393"/>
      <c r="AV168" s="393"/>
      <c r="AW168" s="393"/>
      <c r="AX168" s="393"/>
      <c r="AY168" s="393"/>
      <c r="AZ168" s="393"/>
      <c r="BA168" s="393"/>
      <c r="BB168" s="394"/>
      <c r="BC168" s="74"/>
      <c r="BD168" s="74"/>
      <c r="BE168" s="74"/>
      <c r="BF168" s="74"/>
      <c r="BG168" s="74"/>
      <c r="BH168" s="71"/>
      <c r="BI168" s="186"/>
      <c r="BJ168" s="213" t="str">
        <f t="array" ref="BJ168">IFERROR(INDEX('💻シート作成'!$D$6:$D171, MATCH(BK168, '💻シート作成'!$E$6:$E171, 0)), "")</f>
        <v/>
      </c>
      <c r="BK168" s="170"/>
      <c r="BL168" s="396"/>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2"/>
      <c r="K169" s="382"/>
      <c r="L169" s="383"/>
      <c r="M169" s="389"/>
      <c r="N169" s="390"/>
      <c r="O169" s="390"/>
      <c r="P169" s="390"/>
      <c r="Q169" s="390"/>
      <c r="R169" s="390"/>
      <c r="S169" s="390"/>
      <c r="T169" s="390"/>
      <c r="U169" s="390"/>
      <c r="V169" s="390"/>
      <c r="W169" s="390"/>
      <c r="X169" s="390"/>
      <c r="Y169" s="390"/>
      <c r="Z169" s="390"/>
      <c r="AA169" s="390"/>
      <c r="AB169" s="390"/>
      <c r="AC169" s="390"/>
      <c r="AD169" s="390"/>
      <c r="AE169" s="390"/>
      <c r="AF169" s="390"/>
      <c r="AG169" s="390"/>
      <c r="AH169" s="390"/>
      <c r="AI169" s="390"/>
      <c r="AJ169" s="390"/>
      <c r="AK169" s="390"/>
      <c r="AL169" s="390"/>
      <c r="AM169" s="390"/>
      <c r="AN169" s="390"/>
      <c r="AO169" s="390"/>
      <c r="AP169" s="385"/>
      <c r="AQ169" s="385"/>
      <c r="AR169" s="385"/>
      <c r="AS169" s="391">
        <f t="array" ref="AS169">SUM(COUNTIF(N169:AR169, {"◎","〇","☆","共","特","浴"}))</f>
        <v>0</v>
      </c>
      <c r="AT169" s="395"/>
      <c r="AU169" s="393"/>
      <c r="AV169" s="393"/>
      <c r="AW169" s="393"/>
      <c r="AX169" s="393"/>
      <c r="AY169" s="393"/>
      <c r="AZ169" s="393"/>
      <c r="BA169" s="393"/>
      <c r="BB169" s="394"/>
      <c r="BC169" s="74"/>
      <c r="BD169" s="74"/>
      <c r="BE169" s="74"/>
      <c r="BF169" s="74"/>
      <c r="BG169" s="74"/>
      <c r="BH169" s="71"/>
      <c r="BI169" s="186"/>
      <c r="BJ169" s="213" t="str">
        <f t="array" ref="BJ169">IFERROR(INDEX('💻シート作成'!$D$6:$D171, MATCH(BK169, '💻シート作成'!$E$6:$E171, 0)), "")</f>
        <v/>
      </c>
      <c r="BK169" s="170"/>
      <c r="BL169" s="396"/>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2"/>
      <c r="K170" s="382"/>
      <c r="L170" s="383"/>
      <c r="M170" s="389"/>
      <c r="N170" s="390"/>
      <c r="O170" s="390"/>
      <c r="P170" s="390"/>
      <c r="Q170" s="390"/>
      <c r="R170" s="390"/>
      <c r="S170" s="390"/>
      <c r="T170" s="390"/>
      <c r="U170" s="390"/>
      <c r="V170" s="390"/>
      <c r="W170" s="390"/>
      <c r="X170" s="390"/>
      <c r="Y170" s="390"/>
      <c r="Z170" s="390"/>
      <c r="AA170" s="390"/>
      <c r="AB170" s="390"/>
      <c r="AC170" s="390"/>
      <c r="AD170" s="390"/>
      <c r="AE170" s="390"/>
      <c r="AF170" s="390"/>
      <c r="AG170" s="390"/>
      <c r="AH170" s="390"/>
      <c r="AI170" s="390"/>
      <c r="AJ170" s="390"/>
      <c r="AK170" s="390"/>
      <c r="AL170" s="390"/>
      <c r="AM170" s="390"/>
      <c r="AN170" s="390"/>
      <c r="AO170" s="390"/>
      <c r="AP170" s="385"/>
      <c r="AQ170" s="385"/>
      <c r="AR170" s="385"/>
      <c r="AS170" s="391">
        <f t="array" ref="AS170">SUM(COUNTIF(N170:AR170, {"◎","〇","☆","共","特","浴"}))</f>
        <v>0</v>
      </c>
      <c r="AT170" s="395"/>
      <c r="AU170" s="393"/>
      <c r="AV170" s="393"/>
      <c r="AW170" s="393"/>
      <c r="AX170" s="393"/>
      <c r="AY170" s="393"/>
      <c r="AZ170" s="393"/>
      <c r="BA170" s="393"/>
      <c r="BB170" s="394"/>
      <c r="BC170" s="74"/>
      <c r="BD170" s="74"/>
      <c r="BE170" s="74"/>
      <c r="BF170" s="74"/>
      <c r="BG170" s="74"/>
      <c r="BH170" s="71"/>
      <c r="BI170" s="186"/>
      <c r="BJ170" s="213" t="str">
        <f t="array" ref="BJ170">IFERROR(INDEX('💻シート作成'!$D$6:$D171, MATCH(BK170, '💻シート作成'!$E$6:$E171, 0)), "")</f>
        <v/>
      </c>
      <c r="BK170" s="170"/>
      <c r="BL170" s="396"/>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2"/>
      <c r="K171" s="382"/>
      <c r="L171" s="383"/>
      <c r="M171" s="389"/>
      <c r="N171" s="390"/>
      <c r="O171" s="390"/>
      <c r="P171" s="390"/>
      <c r="Q171" s="390"/>
      <c r="R171" s="390"/>
      <c r="S171" s="390"/>
      <c r="T171" s="390"/>
      <c r="U171" s="390"/>
      <c r="V171" s="390"/>
      <c r="W171" s="390"/>
      <c r="X171" s="390"/>
      <c r="Y171" s="390"/>
      <c r="Z171" s="390"/>
      <c r="AA171" s="390"/>
      <c r="AB171" s="390"/>
      <c r="AC171" s="390"/>
      <c r="AD171" s="390"/>
      <c r="AE171" s="390"/>
      <c r="AF171" s="390"/>
      <c r="AG171" s="390"/>
      <c r="AH171" s="390"/>
      <c r="AI171" s="390"/>
      <c r="AJ171" s="390"/>
      <c r="AK171" s="390"/>
      <c r="AL171" s="390"/>
      <c r="AM171" s="390"/>
      <c r="AN171" s="390"/>
      <c r="AO171" s="390"/>
      <c r="AP171" s="385"/>
      <c r="AQ171" s="385"/>
      <c r="AR171" s="385"/>
      <c r="AS171" s="391">
        <f t="array" ref="AS171">SUM(COUNTIF(N171:AR171, {"◎","〇","☆","共","特","浴"}))</f>
        <v>0</v>
      </c>
      <c r="AT171" s="395"/>
      <c r="AU171" s="393"/>
      <c r="AV171" s="393"/>
      <c r="AW171" s="393"/>
      <c r="AX171" s="393"/>
      <c r="AY171" s="393"/>
      <c r="AZ171" s="393"/>
      <c r="BA171" s="393"/>
      <c r="BB171" s="394"/>
      <c r="BC171" s="74"/>
      <c r="BD171" s="74"/>
      <c r="BE171" s="74"/>
      <c r="BF171" s="74"/>
      <c r="BG171" s="74"/>
      <c r="BH171" s="71"/>
      <c r="BI171" s="186"/>
      <c r="BJ171" s="213" t="str">
        <f t="array" ref="BJ171">IFERROR(INDEX('💻シート作成'!$D$6:$D171, MATCH(BK171, '💻シート作成'!$E$6:$E171, 0)), "")</f>
        <v/>
      </c>
      <c r="BK171" s="170"/>
      <c r="BL171" s="396"/>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3"/>
      <c r="B1" s="623"/>
      <c r="C1" s="623"/>
      <c r="D1" s="624"/>
      <c r="E1" s="623"/>
      <c r="F1" s="623"/>
      <c r="G1" s="623"/>
      <c r="H1" s="623"/>
      <c r="I1" s="623"/>
      <c r="J1" s="623"/>
      <c r="K1" s="623"/>
      <c r="L1" s="623"/>
      <c r="M1" s="623"/>
      <c r="N1" s="623"/>
      <c r="O1" s="623"/>
      <c r="P1" s="623"/>
      <c r="Q1" s="623"/>
      <c r="R1" s="623"/>
      <c r="S1" s="623"/>
      <c r="T1" s="625"/>
      <c r="U1" s="626"/>
      <c r="V1" s="627"/>
      <c r="W1" s="623"/>
      <c r="X1" s="623"/>
      <c r="Y1" s="623"/>
      <c r="Z1" s="623"/>
    </row>
    <row r="2" ht="33.0" customHeight="1">
      <c r="A2" s="623"/>
      <c r="B2" s="276" t="s">
        <v>398</v>
      </c>
      <c r="C2" s="276"/>
      <c r="D2" s="276"/>
      <c r="E2" s="276"/>
      <c r="F2" s="628" t="s">
        <v>399</v>
      </c>
      <c r="G2" s="629"/>
      <c r="H2" s="217"/>
      <c r="I2" s="217"/>
      <c r="J2" s="217"/>
      <c r="K2" s="217"/>
      <c r="L2" s="217"/>
      <c r="M2" s="217"/>
      <c r="N2" s="217"/>
      <c r="O2" s="217"/>
      <c r="P2" s="217"/>
      <c r="Q2" s="2"/>
      <c r="R2" s="630" t="s">
        <v>401</v>
      </c>
      <c r="S2" s="623"/>
      <c r="T2" s="625"/>
      <c r="U2" s="631"/>
      <c r="V2" s="627"/>
      <c r="W2" s="623"/>
      <c r="X2" s="623"/>
      <c r="Y2" s="623"/>
      <c r="Z2" s="623"/>
    </row>
    <row r="3" ht="33.0" customHeight="1">
      <c r="A3" s="623"/>
      <c r="B3" s="632" t="s">
        <v>402</v>
      </c>
      <c r="C3" s="276"/>
      <c r="D3" s="276"/>
      <c r="E3" s="276"/>
      <c r="F3" s="633" t="s">
        <v>403</v>
      </c>
      <c r="G3" s="634"/>
      <c r="H3" s="217"/>
      <c r="I3" s="217"/>
      <c r="J3" s="217"/>
      <c r="K3" s="217"/>
      <c r="L3" s="217"/>
      <c r="M3" s="217"/>
      <c r="N3" s="217"/>
      <c r="O3" s="217"/>
      <c r="P3" s="217"/>
      <c r="Q3" s="2"/>
      <c r="R3" s="635" t="s">
        <v>401</v>
      </c>
      <c r="S3" s="623"/>
      <c r="T3" s="625"/>
      <c r="U3" s="626"/>
      <c r="V3" s="627"/>
      <c r="W3" s="623"/>
      <c r="X3" s="623"/>
      <c r="Y3" s="623"/>
      <c r="Z3" s="623"/>
    </row>
    <row r="4" ht="7.5" customHeight="1">
      <c r="A4" s="623"/>
      <c r="B4" s="623"/>
      <c r="C4" s="623"/>
      <c r="D4" s="624"/>
      <c r="E4" s="623"/>
      <c r="F4" s="623"/>
      <c r="G4" s="623"/>
      <c r="H4" s="623"/>
      <c r="I4" s="623"/>
      <c r="J4" s="623"/>
      <c r="K4" s="623"/>
      <c r="L4" s="623"/>
      <c r="M4" s="623"/>
      <c r="N4" s="623"/>
      <c r="O4" s="623"/>
      <c r="P4" s="623"/>
      <c r="Q4" s="623"/>
      <c r="R4" s="623"/>
      <c r="S4" s="623"/>
      <c r="T4" s="625"/>
      <c r="U4" s="626"/>
      <c r="V4" s="627"/>
      <c r="W4" s="623"/>
      <c r="X4" s="623"/>
      <c r="Y4" s="623"/>
      <c r="Z4" s="623"/>
    </row>
    <row r="5" ht="38.25" customHeight="1">
      <c r="A5" s="623"/>
      <c r="B5" s="636" t="s">
        <v>293</v>
      </c>
      <c r="C5" s="637"/>
      <c r="D5" s="638">
        <v>46054.0</v>
      </c>
      <c r="E5" s="637"/>
      <c r="F5" s="639" t="s">
        <v>405</v>
      </c>
      <c r="G5" s="640" t="s">
        <v>406</v>
      </c>
      <c r="H5" s="641"/>
      <c r="I5" s="641"/>
      <c r="J5" s="641"/>
      <c r="K5" s="641"/>
      <c r="L5" s="641"/>
      <c r="M5" s="641"/>
      <c r="N5" s="641"/>
      <c r="O5" s="641"/>
      <c r="P5" s="641"/>
      <c r="Q5" s="112"/>
      <c r="R5" s="642"/>
      <c r="S5" s="623"/>
      <c r="T5" s="625"/>
      <c r="U5" s="626"/>
      <c r="V5" s="643" t="s">
        <v>407</v>
      </c>
      <c r="W5" s="623"/>
      <c r="X5" s="623"/>
      <c r="Y5" s="623"/>
      <c r="Z5" s="623"/>
    </row>
    <row r="6">
      <c r="A6" s="623"/>
      <c r="B6" s="644" t="s">
        <v>408</v>
      </c>
      <c r="C6" s="645" t="s">
        <v>317</v>
      </c>
      <c r="D6" s="645" t="s">
        <v>225</v>
      </c>
      <c r="E6" s="645" t="s">
        <v>409</v>
      </c>
      <c r="F6" s="645" t="s">
        <v>83</v>
      </c>
      <c r="G6" s="646" t="s">
        <v>410</v>
      </c>
      <c r="H6" s="647" t="s">
        <v>36</v>
      </c>
      <c r="I6" s="648" t="s">
        <v>411</v>
      </c>
      <c r="J6" s="648" t="s">
        <v>412</v>
      </c>
      <c r="K6" s="648" t="s">
        <v>413</v>
      </c>
      <c r="L6" s="649" t="s">
        <v>414</v>
      </c>
      <c r="M6" s="650"/>
      <c r="N6" s="651" t="s">
        <v>415</v>
      </c>
      <c r="O6" s="652" t="s">
        <v>416</v>
      </c>
      <c r="P6" s="641"/>
      <c r="Q6" s="112"/>
      <c r="R6" s="653"/>
      <c r="S6" s="654" t="s">
        <v>95</v>
      </c>
      <c r="T6" s="654" t="s">
        <v>96</v>
      </c>
      <c r="U6" s="626"/>
      <c r="V6" s="655" t="s">
        <v>417</v>
      </c>
      <c r="W6" s="656"/>
      <c r="X6" s="657" t="s">
        <v>293</v>
      </c>
      <c r="Y6" s="623"/>
      <c r="Z6" s="623"/>
    </row>
    <row r="7">
      <c r="A7" s="623"/>
      <c r="B7" s="658"/>
      <c r="C7" s="659"/>
      <c r="D7" s="659"/>
      <c r="E7" s="659"/>
      <c r="F7" s="659"/>
      <c r="G7" s="660"/>
      <c r="H7" s="659"/>
      <c r="I7" s="659"/>
      <c r="J7" s="659"/>
      <c r="K7" s="659"/>
      <c r="L7" s="661" t="s">
        <v>418</v>
      </c>
      <c r="M7" s="661" t="s">
        <v>419</v>
      </c>
      <c r="N7" s="659"/>
      <c r="O7" s="662"/>
      <c r="P7" s="663"/>
      <c r="Q7" s="664"/>
      <c r="R7" s="653"/>
      <c r="S7" s="207"/>
      <c r="T7" s="207"/>
      <c r="V7" s="665">
        <f>month(D5)</f>
        <v>2</v>
      </c>
      <c r="W7" s="666"/>
      <c r="X7" s="657" t="s">
        <v>420</v>
      </c>
      <c r="Y7" s="623"/>
      <c r="Z7" s="623"/>
    </row>
    <row r="8" ht="17.25" customHeight="1" collapsed="1">
      <c r="A8" s="623"/>
      <c r="B8" s="667" t="s">
        <v>421</v>
      </c>
      <c r="C8" s="668"/>
      <c r="D8" s="668"/>
      <c r="E8" s="668"/>
      <c r="F8" s="669"/>
      <c r="G8" s="670"/>
      <c r="H8" s="671"/>
      <c r="I8" s="671"/>
      <c r="J8" s="672"/>
      <c r="K8" s="672"/>
      <c r="L8" s="673"/>
      <c r="M8" s="673"/>
      <c r="N8" s="674"/>
      <c r="O8" s="675"/>
      <c r="P8" s="675"/>
      <c r="Q8" s="676"/>
      <c r="R8" s="625"/>
      <c r="S8" s="213" t="str">
        <f t="array" ref="S8">IFERROR(INDEX('💻シート作成'!$D$6:$D1001, MATCH(T8, '💻シート作成'!$E$6:$E1001, 0)), "")</f>
        <v/>
      </c>
      <c r="T8" s="166" t="str">
        <f>IFERROR(__xludf.DUMMYFUNCTION("filter('💻シート作成'!E6:E1001,'💻シート作成'!E6:E1001&lt;&gt;"""")"),"💭口コミ")</f>
        <v>💭口コミ</v>
      </c>
      <c r="V8" s="677" t="str">
        <f t="array" ref="V8:V104">xlookup(V7, '🏆皆勤アワード'!P2:DV2,'🏆皆勤アワード'!R4:DX100)</f>
        <v>ビジャヤ</v>
      </c>
      <c r="W8" s="678"/>
      <c r="X8" s="679">
        <v>46054.0</v>
      </c>
      <c r="Y8" s="623"/>
      <c r="Z8" s="623"/>
    </row>
    <row r="9" hidden="1" outlineLevel="1">
      <c r="A9" s="623"/>
      <c r="B9" s="680"/>
      <c r="C9" s="681">
        <f>D5</f>
        <v>46054</v>
      </c>
      <c r="D9" s="682" t="str">
        <f>TEXT(C9,"ddd")</f>
        <v>日</v>
      </c>
      <c r="E9" s="683"/>
      <c r="F9" s="684" t="s">
        <v>422</v>
      </c>
      <c r="G9" s="685"/>
      <c r="H9" s="686"/>
      <c r="I9" s="687">
        <v>0.0</v>
      </c>
      <c r="J9" s="682"/>
      <c r="K9" s="682"/>
      <c r="L9" s="688"/>
      <c r="M9" s="688"/>
      <c r="N9" s="686"/>
      <c r="O9" s="689"/>
      <c r="Q9" s="690"/>
      <c r="R9" s="625"/>
      <c r="S9" s="213" t="str">
        <f t="array" ref="S9">IFERROR(INDEX('💻シート作成'!$D$6:$D1001, MATCH(T9, '💻シート作成'!$E$6:$E1001, 0)), "")</f>
        <v/>
      </c>
      <c r="T9" s="166" t="str">
        <f>IFERROR(__xludf.DUMMYFUNCTION("""COMPUTED_VALUE"""),"🔵クレーム")</f>
        <v>🔵クレーム</v>
      </c>
      <c r="U9" s="631"/>
      <c r="V9" s="677" t="s">
        <v>426</v>
      </c>
      <c r="W9" s="678"/>
      <c r="X9" s="679">
        <v>46082.0</v>
      </c>
      <c r="Y9" s="623"/>
      <c r="Z9" s="623"/>
    </row>
    <row r="10" hidden="1" outlineLevel="1">
      <c r="B10" s="691"/>
      <c r="C10" s="692"/>
      <c r="D10" s="692"/>
      <c r="E10" s="692"/>
      <c r="F10" s="692"/>
      <c r="G10" s="693"/>
      <c r="H10" s="692"/>
      <c r="I10" s="692"/>
      <c r="J10" s="692"/>
      <c r="K10" s="692"/>
      <c r="L10" s="694"/>
      <c r="M10" s="694"/>
      <c r="N10" s="692"/>
      <c r="O10" s="695"/>
      <c r="Q10" s="690"/>
      <c r="R10" s="623"/>
      <c r="S10" s="213" t="str">
        <f t="array" ref="S10">IFERROR(INDEX('💻シート作成'!$D$6:$D1001, MATCH(T10, '💻シート作成'!$E$6:$E1001, 0)), "")</f>
        <v/>
      </c>
      <c r="T10" s="166" t="str">
        <f>IFERROR(__xludf.DUMMYFUNCTION("""COMPUTED_VALUE"""),"✅安全チェック")</f>
        <v>✅安全チェック</v>
      </c>
      <c r="U10" s="631"/>
      <c r="V10" s="677" t="s">
        <v>528</v>
      </c>
      <c r="W10" s="678"/>
      <c r="X10" s="679">
        <v>46113.0</v>
      </c>
      <c r="Y10" s="623"/>
      <c r="Z10" s="623"/>
    </row>
    <row r="11" hidden="1" outlineLevel="1">
      <c r="B11" s="691"/>
      <c r="C11" s="692"/>
      <c r="D11" s="692"/>
      <c r="E11" s="692"/>
      <c r="F11" s="692"/>
      <c r="G11" s="693"/>
      <c r="H11" s="692"/>
      <c r="I11" s="692"/>
      <c r="J11" s="692"/>
      <c r="K11" s="692"/>
      <c r="L11" s="694"/>
      <c r="M11" s="694"/>
      <c r="N11" s="692"/>
      <c r="O11" s="695"/>
      <c r="Q11" s="690"/>
      <c r="R11" s="623"/>
      <c r="S11" s="213" t="str">
        <f t="array" ref="S11">IFERROR(INDEX('💻シート作成'!$D$6:$D1001, MATCH(T11, '💻シート作成'!$E$6:$E1001, 0)), "")</f>
        <v>2月</v>
      </c>
      <c r="T11" s="166" t="str">
        <f>IFERROR(__xludf.DUMMYFUNCTION("""COMPUTED_VALUE"""),"①R8_2集計")</f>
        <v>①R8_2集計</v>
      </c>
      <c r="U11" s="631"/>
      <c r="V11" s="677" t="s">
        <v>255</v>
      </c>
      <c r="W11" s="678"/>
      <c r="X11" s="679">
        <v>46143.0</v>
      </c>
      <c r="Y11" s="623"/>
      <c r="Z11" s="623"/>
    </row>
    <row r="12" hidden="1" outlineLevel="1">
      <c r="B12" s="691"/>
      <c r="C12" s="692"/>
      <c r="D12" s="692"/>
      <c r="E12" s="692"/>
      <c r="F12" s="692"/>
      <c r="G12" s="693"/>
      <c r="H12" s="692"/>
      <c r="I12" s="692"/>
      <c r="J12" s="692"/>
      <c r="K12" s="692"/>
      <c r="L12" s="694"/>
      <c r="M12" s="694"/>
      <c r="N12" s="692"/>
      <c r="O12" s="695"/>
      <c r="Q12" s="690"/>
      <c r="R12" s="625"/>
      <c r="S12" s="213" t="str">
        <f t="array" ref="S12">IFERROR(INDEX('💻シート作成'!$D$6:$D1001, MATCH(T12, '💻シート作成'!$E$6:$E1001, 0)), "")</f>
        <v>2月</v>
      </c>
      <c r="T12" s="166" t="str">
        <f>IFERROR(__xludf.DUMMYFUNCTION("""COMPUTED_VALUE"""),"②R8_2シフト")</f>
        <v>②R8_2シフト</v>
      </c>
      <c r="U12" s="631"/>
      <c r="V12" s="677" t="s">
        <v>254</v>
      </c>
      <c r="W12" s="678"/>
      <c r="X12" s="679">
        <v>46174.0</v>
      </c>
      <c r="Y12" s="623"/>
      <c r="Z12" s="623"/>
    </row>
    <row r="13" hidden="1" outlineLevel="1">
      <c r="B13" s="691"/>
      <c r="C13" s="692"/>
      <c r="D13" s="692"/>
      <c r="E13" s="692"/>
      <c r="F13" s="692"/>
      <c r="G13" s="693"/>
      <c r="H13" s="692"/>
      <c r="I13" s="692"/>
      <c r="J13" s="692"/>
      <c r="K13" s="692"/>
      <c r="L13" s="694"/>
      <c r="M13" s="694"/>
      <c r="N13" s="692"/>
      <c r="O13" s="695"/>
      <c r="Q13" s="690"/>
      <c r="R13" s="623"/>
      <c r="S13" s="213" t="str">
        <f t="array" ref="S13">IFERROR(INDEX('💻シート作成'!$D$6:$D1001, MATCH(T13, '💻シート作成'!$E$6:$E1001, 0)), "")</f>
        <v>2月</v>
      </c>
      <c r="T13" s="166" t="str">
        <f>IFERROR(__xludf.DUMMYFUNCTION("""COMPUTED_VALUE"""),"③R8_2日報")</f>
        <v>③R8_2日報</v>
      </c>
      <c r="U13" s="631"/>
      <c r="V13" s="677" t="s">
        <v>251</v>
      </c>
      <c r="W13" s="678"/>
      <c r="X13" s="679">
        <v>46204.0</v>
      </c>
      <c r="Y13" s="623"/>
      <c r="Z13" s="623"/>
    </row>
    <row r="14" hidden="1" outlineLevel="1">
      <c r="B14" s="691"/>
      <c r="C14" s="692"/>
      <c r="D14" s="692"/>
      <c r="E14" s="692"/>
      <c r="F14" s="692"/>
      <c r="G14" s="693"/>
      <c r="H14" s="692"/>
      <c r="I14" s="692"/>
      <c r="J14" s="692"/>
      <c r="K14" s="692"/>
      <c r="L14" s="696"/>
      <c r="M14" s="694"/>
      <c r="N14" s="692"/>
      <c r="O14" s="695"/>
      <c r="Q14" s="690"/>
      <c r="R14" s="623"/>
      <c r="S14" s="213" t="str">
        <f t="array" ref="S14">IFERROR(INDEX('💻シート作成'!$D$6:$D1001, MATCH(T14, '💻シート作成'!$E$6:$E1001, 0)), "")</f>
        <v>2月</v>
      </c>
      <c r="T14" s="166" t="str">
        <f>IFERROR(__xludf.DUMMYFUNCTION("""COMPUTED_VALUE"""),"④R8_2月報")</f>
        <v>④R8_2月報</v>
      </c>
      <c r="U14" s="631"/>
      <c r="V14" s="677" t="s">
        <v>266</v>
      </c>
      <c r="W14" s="678"/>
      <c r="X14" s="679">
        <v>46235.0</v>
      </c>
      <c r="Y14" s="623"/>
      <c r="Z14" s="623"/>
    </row>
    <row r="15" hidden="1" outlineLevel="1">
      <c r="B15" s="691"/>
      <c r="C15" s="692"/>
      <c r="D15" s="692"/>
      <c r="E15" s="692"/>
      <c r="F15" s="692"/>
      <c r="G15" s="693"/>
      <c r="H15" s="692"/>
      <c r="I15" s="692"/>
      <c r="J15" s="692"/>
      <c r="K15" s="692"/>
      <c r="L15" s="696"/>
      <c r="M15" s="694"/>
      <c r="N15" s="692"/>
      <c r="O15" s="695"/>
      <c r="Q15" s="690"/>
      <c r="R15" s="623"/>
      <c r="S15" s="213" t="str">
        <f t="array" ref="S15">IFERROR(INDEX('💻シート作成'!$D$6:$D1001, MATCH(T15, '💻シート作成'!$E$6:$E1001, 0)), "")</f>
        <v>3月</v>
      </c>
      <c r="T15" s="166" t="str">
        <f>IFERROR(__xludf.DUMMYFUNCTION("""COMPUTED_VALUE"""),"①R8_3集計")</f>
        <v>①R8_3集計</v>
      </c>
      <c r="U15" s="631"/>
      <c r="V15" s="677" t="s">
        <v>256</v>
      </c>
      <c r="W15" s="678"/>
      <c r="X15" s="679">
        <v>46266.0</v>
      </c>
      <c r="Y15" s="623"/>
      <c r="Z15" s="623"/>
    </row>
    <row r="16" hidden="1" outlineLevel="1">
      <c r="B16" s="691"/>
      <c r="C16" s="692"/>
      <c r="D16" s="692"/>
      <c r="E16" s="692"/>
      <c r="F16" s="692"/>
      <c r="G16" s="693"/>
      <c r="H16" s="692"/>
      <c r="I16" s="692"/>
      <c r="J16" s="692"/>
      <c r="K16" s="692"/>
      <c r="L16" s="696"/>
      <c r="M16" s="694"/>
      <c r="N16" s="692"/>
      <c r="O16" s="695"/>
      <c r="Q16" s="690"/>
      <c r="R16" s="623"/>
      <c r="S16" s="213" t="str">
        <f t="array" ref="S16">IFERROR(INDEX('💻シート作成'!$D$6:$D1001, MATCH(T16, '💻シート作成'!$E$6:$E1001, 0)), "")</f>
        <v>3月</v>
      </c>
      <c r="T16" s="166" t="str">
        <f>IFERROR(__xludf.DUMMYFUNCTION("""COMPUTED_VALUE"""),"②R8_3シフト")</f>
        <v>②R8_3シフト</v>
      </c>
      <c r="U16" s="631"/>
      <c r="V16" s="677" t="s">
        <v>258</v>
      </c>
      <c r="W16" s="678"/>
      <c r="X16" s="679">
        <v>46296.0</v>
      </c>
      <c r="Y16" s="623"/>
      <c r="Z16" s="623"/>
    </row>
    <row r="17" hidden="1" outlineLevel="1">
      <c r="B17" s="691"/>
      <c r="C17" s="692"/>
      <c r="D17" s="692"/>
      <c r="E17" s="692"/>
      <c r="F17" s="692"/>
      <c r="G17" s="693"/>
      <c r="H17" s="692"/>
      <c r="I17" s="692"/>
      <c r="J17" s="692"/>
      <c r="K17" s="692"/>
      <c r="L17" s="696"/>
      <c r="M17" s="694"/>
      <c r="N17" s="692"/>
      <c r="O17" s="695"/>
      <c r="Q17" s="690"/>
      <c r="R17" s="623"/>
      <c r="S17" s="213" t="str">
        <f t="array" ref="S17">IFERROR(INDEX('💻シート作成'!$D$6:$D1001, MATCH(T17, '💻シート作成'!$E$6:$E1001, 0)), "")</f>
        <v>3月</v>
      </c>
      <c r="T17" s="166" t="str">
        <f>IFERROR(__xludf.DUMMYFUNCTION("""COMPUTED_VALUE"""),"③R8_3日報")</f>
        <v>③R8_3日報</v>
      </c>
      <c r="U17" s="631"/>
      <c r="V17" s="677" t="s">
        <v>260</v>
      </c>
      <c r="W17" s="678"/>
      <c r="X17" s="679">
        <v>46327.0</v>
      </c>
      <c r="Y17" s="623"/>
      <c r="Z17" s="623"/>
    </row>
    <row r="18" hidden="1" outlineLevel="1">
      <c r="B18" s="691"/>
      <c r="C18" s="692"/>
      <c r="D18" s="692"/>
      <c r="E18" s="692"/>
      <c r="F18" s="659"/>
      <c r="G18" s="660"/>
      <c r="H18" s="659"/>
      <c r="I18" s="659"/>
      <c r="J18" s="659"/>
      <c r="K18" s="659"/>
      <c r="L18" s="697"/>
      <c r="M18" s="698"/>
      <c r="N18" s="659"/>
      <c r="O18" s="662"/>
      <c r="P18" s="663"/>
      <c r="Q18" s="699"/>
      <c r="R18" s="623"/>
      <c r="S18" s="213" t="str">
        <f t="array" ref="S18">IFERROR(INDEX('💻シート作成'!$D$6:$D1001, MATCH(T18, '💻シート作成'!$E$6:$E1001, 0)), "")</f>
        <v>3月</v>
      </c>
      <c r="T18" s="166" t="str">
        <f>IFERROR(__xludf.DUMMYFUNCTION("""COMPUTED_VALUE"""),"④R8_3月報")</f>
        <v>④R8_3月報</v>
      </c>
      <c r="U18" s="631"/>
      <c r="V18" s="677" t="s">
        <v>531</v>
      </c>
      <c r="W18" s="678"/>
      <c r="X18" s="679">
        <v>46357.0</v>
      </c>
      <c r="Y18" s="623"/>
      <c r="Z18" s="623"/>
    </row>
    <row r="19" hidden="1" outlineLevel="1">
      <c r="B19" s="700"/>
      <c r="C19" s="659"/>
      <c r="D19" s="659"/>
      <c r="E19" s="659"/>
      <c r="F19" s="701" t="s">
        <v>425</v>
      </c>
      <c r="G19" s="702"/>
      <c r="H19" s="703"/>
      <c r="I19" s="703"/>
      <c r="J19" s="703"/>
      <c r="K19" s="703"/>
      <c r="L19" s="702"/>
      <c r="M19" s="702"/>
      <c r="N19" s="702"/>
      <c r="O19" s="702"/>
      <c r="P19" s="702"/>
      <c r="Q19" s="704"/>
      <c r="R19" s="623"/>
      <c r="S19" s="213" t="str">
        <f t="array" ref="S19">IFERROR(INDEX('💻シート作成'!$D$6:$D1001, MATCH(T19, '💻シート作成'!$E$6:$E1001, 0)), "")</f>
        <v>4月</v>
      </c>
      <c r="T19" s="166" t="str">
        <f>IFERROR(__xludf.DUMMYFUNCTION("""COMPUTED_VALUE"""),"①R8_4集計")</f>
        <v>①R8_4集計</v>
      </c>
      <c r="U19" s="631"/>
      <c r="V19" s="677" t="s">
        <v>247</v>
      </c>
      <c r="W19" s="678"/>
      <c r="X19" s="679">
        <v>46388.0</v>
      </c>
      <c r="Y19" s="623"/>
      <c r="Z19" s="623"/>
    </row>
    <row r="20" hidden="1" outlineLevel="1">
      <c r="A20" s="623"/>
      <c r="B20" s="705"/>
      <c r="C20" s="706">
        <f>IF(C9="","",IF(DAY(C9+1)=1,"",C9+1))</f>
        <v>46055</v>
      </c>
      <c r="D20" s="707" t="str">
        <f>TEXT(C20,"ddd")</f>
        <v>月</v>
      </c>
      <c r="E20" s="708"/>
      <c r="F20" s="709" t="s">
        <v>422</v>
      </c>
      <c r="G20" s="872"/>
      <c r="H20" s="710"/>
      <c r="I20" s="711">
        <v>0.0</v>
      </c>
      <c r="J20" s="712"/>
      <c r="K20" s="712"/>
      <c r="L20" s="713"/>
      <c r="M20" s="713"/>
      <c r="N20" s="709"/>
      <c r="O20" s="714"/>
      <c r="Q20" s="690"/>
      <c r="R20" s="623"/>
      <c r="S20" s="213" t="str">
        <f t="array" ref="S20">IFERROR(INDEX('💻シート作成'!$D$6:$D1001, MATCH(T20, '💻シート作成'!$E$6:$E1001, 0)), "")</f>
        <v>4月</v>
      </c>
      <c r="T20" s="166" t="str">
        <f>IFERROR(__xludf.DUMMYFUNCTION("""COMPUTED_VALUE"""),"②R8_4シフト")</f>
        <v>②R8_4シフト</v>
      </c>
      <c r="U20" s="715"/>
      <c r="V20" s="677" t="s">
        <v>493</v>
      </c>
      <c r="W20" s="678"/>
      <c r="X20" s="679"/>
      <c r="Y20" s="623"/>
      <c r="Z20" s="623"/>
    </row>
    <row r="21" hidden="1" outlineLevel="1">
      <c r="A21" s="623"/>
      <c r="B21" s="691"/>
      <c r="C21" s="692"/>
      <c r="D21" s="692"/>
      <c r="E21" s="692"/>
      <c r="F21" s="692"/>
      <c r="G21" s="693"/>
      <c r="H21" s="692"/>
      <c r="I21" s="692"/>
      <c r="J21" s="692"/>
      <c r="K21" s="692"/>
      <c r="L21" s="716"/>
      <c r="M21" s="716"/>
      <c r="N21" s="692"/>
      <c r="O21" s="695"/>
      <c r="Q21" s="690"/>
      <c r="R21" s="623"/>
      <c r="S21" s="213" t="str">
        <f t="array" ref="S21">IFERROR(INDEX('💻シート作成'!$D$6:$D1001, MATCH(T21, '💻シート作成'!$E$6:$E1001, 0)), "")</f>
        <v>4月</v>
      </c>
      <c r="T21" s="166" t="str">
        <f>IFERROR(__xludf.DUMMYFUNCTION("""COMPUTED_VALUE"""),"③R8_4日報")</f>
        <v>③R8_4日報</v>
      </c>
      <c r="U21" s="715"/>
      <c r="V21" s="677" t="s">
        <v>492</v>
      </c>
      <c r="W21" s="678"/>
      <c r="X21" s="679"/>
      <c r="Y21" s="623"/>
      <c r="Z21" s="623"/>
    </row>
    <row r="22" hidden="1" outlineLevel="1">
      <c r="A22" s="623"/>
      <c r="B22" s="691"/>
      <c r="C22" s="692"/>
      <c r="D22" s="692"/>
      <c r="E22" s="692"/>
      <c r="F22" s="692"/>
      <c r="G22" s="693"/>
      <c r="H22" s="692"/>
      <c r="I22" s="692"/>
      <c r="J22" s="692"/>
      <c r="K22" s="692"/>
      <c r="L22" s="716"/>
      <c r="M22" s="716"/>
      <c r="N22" s="692"/>
      <c r="O22" s="695"/>
      <c r="Q22" s="690"/>
      <c r="R22" s="623"/>
      <c r="S22" s="213" t="str">
        <f t="array" ref="S22">IFERROR(INDEX('💻シート作成'!$D$6:$D1001, MATCH(T22, '💻シート作成'!$E$6:$E1001, 0)), "")</f>
        <v>4月</v>
      </c>
      <c r="T22" s="166" t="str">
        <f>IFERROR(__xludf.DUMMYFUNCTION("""COMPUTED_VALUE"""),"④R8_4月報")</f>
        <v>④R8_4月報</v>
      </c>
      <c r="U22" s="715"/>
      <c r="V22" s="677" t="s">
        <v>263</v>
      </c>
      <c r="W22" s="678"/>
      <c r="X22" s="679"/>
      <c r="Y22" s="623"/>
      <c r="Z22" s="623"/>
    </row>
    <row r="23" hidden="1" outlineLevel="1">
      <c r="A23" s="623"/>
      <c r="B23" s="691"/>
      <c r="C23" s="692"/>
      <c r="D23" s="692"/>
      <c r="E23" s="692"/>
      <c r="F23" s="692"/>
      <c r="G23" s="693"/>
      <c r="H23" s="692"/>
      <c r="I23" s="692"/>
      <c r="J23" s="692"/>
      <c r="K23" s="692"/>
      <c r="L23" s="717"/>
      <c r="M23" s="716"/>
      <c r="N23" s="692"/>
      <c r="O23" s="695"/>
      <c r="Q23" s="690"/>
      <c r="R23" s="623"/>
      <c r="S23" s="213" t="str">
        <f t="array" ref="S23">IFERROR(INDEX('💻シート作成'!$D$6:$D1001, MATCH(T23, '💻シート作成'!$E$6:$E1001, 0)), "")</f>
        <v>5月</v>
      </c>
      <c r="T23" s="168" t="str">
        <f>IFERROR(__xludf.DUMMYFUNCTION("""COMPUTED_VALUE"""),"①R8_5集計")</f>
        <v>①R8_5集計</v>
      </c>
      <c r="U23" s="626"/>
      <c r="V23" s="677" t="s">
        <v>424</v>
      </c>
      <c r="W23" s="623"/>
      <c r="X23" s="718"/>
      <c r="Y23" s="623"/>
      <c r="Z23" s="623"/>
    </row>
    <row r="24" hidden="1" outlineLevel="1">
      <c r="A24" s="623"/>
      <c r="B24" s="691"/>
      <c r="C24" s="692"/>
      <c r="D24" s="692"/>
      <c r="E24" s="692"/>
      <c r="F24" s="692"/>
      <c r="G24" s="693"/>
      <c r="H24" s="692"/>
      <c r="I24" s="692"/>
      <c r="J24" s="692"/>
      <c r="K24" s="692"/>
      <c r="L24" s="717"/>
      <c r="M24" s="716"/>
      <c r="N24" s="692"/>
      <c r="O24" s="695"/>
      <c r="Q24" s="690"/>
      <c r="R24" s="623"/>
      <c r="S24" s="213" t="str">
        <f t="array" ref="S24">IFERROR(INDEX('💻シート作成'!$D$6:$D1001, MATCH(T24, '💻シート作成'!$E$6:$E1001, 0)), "")</f>
        <v>5月</v>
      </c>
      <c r="T24" s="168" t="str">
        <f>IFERROR(__xludf.DUMMYFUNCTION("""COMPUTED_VALUE"""),"②R8_5シフト")</f>
        <v>②R8_5シフト</v>
      </c>
      <c r="U24" s="626"/>
      <c r="V24" s="677" t="s">
        <v>261</v>
      </c>
      <c r="W24" s="623"/>
      <c r="X24" s="718"/>
      <c r="Y24" s="623"/>
      <c r="Z24" s="623"/>
    </row>
    <row r="25" hidden="1" outlineLevel="1">
      <c r="A25" s="623"/>
      <c r="B25" s="691"/>
      <c r="C25" s="692"/>
      <c r="D25" s="692"/>
      <c r="E25" s="692"/>
      <c r="F25" s="692"/>
      <c r="G25" s="693"/>
      <c r="H25" s="692"/>
      <c r="I25" s="692"/>
      <c r="J25" s="692"/>
      <c r="K25" s="692"/>
      <c r="L25" s="717"/>
      <c r="M25" s="716"/>
      <c r="N25" s="692"/>
      <c r="O25" s="695"/>
      <c r="Q25" s="690"/>
      <c r="R25" s="623"/>
      <c r="S25" s="213" t="str">
        <f t="array" ref="S25">IFERROR(INDEX('💻シート作成'!$D$6:$D1001, MATCH(T25, '💻シート作成'!$E$6:$E1001, 0)), "")</f>
        <v>5月</v>
      </c>
      <c r="T25" s="168" t="str">
        <f>IFERROR(__xludf.DUMMYFUNCTION("""COMPUTED_VALUE"""),"③R8_5日報")</f>
        <v>③R8_5日報</v>
      </c>
      <c r="U25" s="626"/>
      <c r="V25" s="677" t="s">
        <v>267</v>
      </c>
      <c r="W25" s="623"/>
      <c r="X25" s="718"/>
      <c r="Y25" s="623"/>
      <c r="Z25" s="623"/>
    </row>
    <row r="26" hidden="1" outlineLevel="1">
      <c r="A26" s="623"/>
      <c r="B26" s="691"/>
      <c r="C26" s="692"/>
      <c r="D26" s="692"/>
      <c r="E26" s="692"/>
      <c r="F26" s="692"/>
      <c r="G26" s="693"/>
      <c r="H26" s="692"/>
      <c r="I26" s="692"/>
      <c r="J26" s="692"/>
      <c r="K26" s="692"/>
      <c r="L26" s="717"/>
      <c r="M26" s="716"/>
      <c r="N26" s="692"/>
      <c r="O26" s="695"/>
      <c r="Q26" s="690"/>
      <c r="R26" s="623"/>
      <c r="S26" s="213" t="str">
        <f t="array" ref="S26">IFERROR(INDEX('💻シート作成'!$D$6:$D1001, MATCH(T26, '💻シート作成'!$E$6:$E1001, 0)), "")</f>
        <v>5月</v>
      </c>
      <c r="T26" s="168" t="str">
        <f>IFERROR(__xludf.DUMMYFUNCTION("""COMPUTED_VALUE"""),"④R8_5月報")</f>
        <v>④R8_5月報</v>
      </c>
      <c r="U26" s="626"/>
      <c r="V26" s="677" t="s">
        <v>533</v>
      </c>
      <c r="W26" s="623"/>
      <c r="X26" s="718"/>
      <c r="Y26" s="623"/>
      <c r="Z26" s="623"/>
    </row>
    <row r="27" hidden="1" outlineLevel="1">
      <c r="A27" s="623"/>
      <c r="B27" s="691"/>
      <c r="C27" s="692"/>
      <c r="D27" s="692"/>
      <c r="E27" s="692"/>
      <c r="F27" s="692"/>
      <c r="G27" s="693"/>
      <c r="H27" s="692"/>
      <c r="I27" s="692"/>
      <c r="J27" s="692"/>
      <c r="K27" s="692"/>
      <c r="L27" s="717"/>
      <c r="M27" s="716"/>
      <c r="N27" s="692"/>
      <c r="O27" s="695"/>
      <c r="Q27" s="690"/>
      <c r="R27" s="623"/>
      <c r="S27" s="213" t="str">
        <f t="array" ref="S27">IFERROR(INDEX('💻シート作成'!$D$6:$D1001, MATCH(T27, '💻シート作成'!$E$6:$E1001, 0)), "")</f>
        <v>6月</v>
      </c>
      <c r="T27" s="168" t="str">
        <f>IFERROR(__xludf.DUMMYFUNCTION("""COMPUTED_VALUE"""),"①R8_6集計")</f>
        <v>①R8_6集計</v>
      </c>
      <c r="U27" s="626"/>
      <c r="V27" s="677" t="s">
        <v>270</v>
      </c>
      <c r="W27" s="623"/>
      <c r="X27" s="718"/>
      <c r="Y27" s="623"/>
      <c r="Z27" s="623"/>
    </row>
    <row r="28" hidden="1" outlineLevel="1">
      <c r="A28" s="623"/>
      <c r="B28" s="691"/>
      <c r="C28" s="692"/>
      <c r="D28" s="692"/>
      <c r="E28" s="692"/>
      <c r="F28" s="692"/>
      <c r="G28" s="693"/>
      <c r="H28" s="692"/>
      <c r="I28" s="692"/>
      <c r="J28" s="692"/>
      <c r="K28" s="692"/>
      <c r="L28" s="717"/>
      <c r="M28" s="716"/>
      <c r="N28" s="692"/>
      <c r="O28" s="695"/>
      <c r="Q28" s="690"/>
      <c r="R28" s="623"/>
      <c r="S28" s="213" t="str">
        <f t="array" ref="S28">IFERROR(INDEX('💻シート作成'!$D$6:$D1001, MATCH(T28, '💻シート作成'!$E$6:$E1001, 0)), "")</f>
        <v>6月</v>
      </c>
      <c r="T28" s="168" t="str">
        <f>IFERROR(__xludf.DUMMYFUNCTION("""COMPUTED_VALUE"""),"②R8_6シフト")</f>
        <v>②R8_6シフト</v>
      </c>
      <c r="U28" s="626"/>
      <c r="V28" s="677" t="s">
        <v>285</v>
      </c>
      <c r="W28" s="623"/>
      <c r="X28" s="718"/>
      <c r="Y28" s="623"/>
      <c r="Z28" s="623"/>
    </row>
    <row r="29" hidden="1" outlineLevel="1">
      <c r="A29" s="623"/>
      <c r="B29" s="691"/>
      <c r="C29" s="692"/>
      <c r="D29" s="692"/>
      <c r="E29" s="692"/>
      <c r="F29" s="659"/>
      <c r="G29" s="660"/>
      <c r="H29" s="659"/>
      <c r="I29" s="659"/>
      <c r="J29" s="659"/>
      <c r="K29" s="659"/>
      <c r="L29" s="717"/>
      <c r="M29" s="716"/>
      <c r="N29" s="659"/>
      <c r="O29" s="662"/>
      <c r="P29" s="663"/>
      <c r="Q29" s="699"/>
      <c r="R29" s="623"/>
      <c r="S29" s="213" t="str">
        <f t="array" ref="S29">IFERROR(INDEX('💻シート作成'!$D$6:$D1001, MATCH(T29, '💻シート作成'!$E$6:$E1001, 0)), "")</f>
        <v>6月</v>
      </c>
      <c r="T29" s="168" t="str">
        <f>IFERROR(__xludf.DUMMYFUNCTION("""COMPUTED_VALUE"""),"③R8_6日報")</f>
        <v>③R8_6日報</v>
      </c>
      <c r="U29" s="626"/>
      <c r="V29" s="719" t="s">
        <v>534</v>
      </c>
      <c r="W29" s="623"/>
      <c r="X29" s="718"/>
      <c r="Y29" s="623"/>
      <c r="Z29" s="623"/>
    </row>
    <row r="30" hidden="1" outlineLevel="1">
      <c r="A30" s="623"/>
      <c r="B30" s="700"/>
      <c r="C30" s="659"/>
      <c r="D30" s="659"/>
      <c r="E30" s="659"/>
      <c r="F30" s="720" t="s">
        <v>425</v>
      </c>
      <c r="G30" s="721"/>
      <c r="H30" s="703"/>
      <c r="I30" s="703"/>
      <c r="J30" s="703"/>
      <c r="K30" s="703"/>
      <c r="L30" s="721"/>
      <c r="M30" s="721"/>
      <c r="N30" s="721"/>
      <c r="O30" s="721"/>
      <c r="P30" s="721"/>
      <c r="Q30" s="722"/>
      <c r="R30" s="623"/>
      <c r="S30" s="213" t="str">
        <f t="array" ref="S30">IFERROR(INDEX('💻シート作成'!$D$6:$D1001, MATCH(T30, '💻シート作成'!$E$6:$E1001, 0)), "")</f>
        <v>6月</v>
      </c>
      <c r="T30" s="168" t="str">
        <f>IFERROR(__xludf.DUMMYFUNCTION("""COMPUTED_VALUE"""),"④R8_6月報")</f>
        <v>④R8_6月報</v>
      </c>
      <c r="U30" s="626"/>
      <c r="V30" s="719" t="s">
        <v>496</v>
      </c>
      <c r="W30" s="623"/>
      <c r="X30" s="718"/>
      <c r="Y30" s="623"/>
      <c r="Z30" s="623"/>
    </row>
    <row r="31" hidden="1" outlineLevel="1">
      <c r="A31" s="623"/>
      <c r="B31" s="723"/>
      <c r="C31" s="724">
        <f>IF(C20="","",IF(DAY(C20+1)=1,"",C20+1))</f>
        <v>46056</v>
      </c>
      <c r="D31" s="725" t="str">
        <f>TEXT(C31,"ddd")</f>
        <v>火</v>
      </c>
      <c r="E31" s="726"/>
      <c r="F31" s="727" t="s">
        <v>422</v>
      </c>
      <c r="G31" s="749"/>
      <c r="H31" s="728"/>
      <c r="I31" s="729">
        <v>0.0</v>
      </c>
      <c r="J31" s="725"/>
      <c r="K31" s="725"/>
      <c r="L31" s="730"/>
      <c r="M31" s="730"/>
      <c r="N31" s="727"/>
      <c r="O31" s="731"/>
      <c r="P31" s="732"/>
      <c r="Q31" s="733"/>
      <c r="R31" s="623"/>
      <c r="S31" s="213" t="str">
        <f t="array" ref="S31">IFERROR(INDEX('💻シート作成'!$D$6:$D1001, MATCH(T31, '💻シート作成'!$E$6:$E1001, 0)), "")</f>
        <v>7月</v>
      </c>
      <c r="T31" s="168" t="str">
        <f>IFERROR(__xludf.DUMMYFUNCTION("""COMPUTED_VALUE"""),"①R8_7集計")</f>
        <v>①R8_7集計</v>
      </c>
      <c r="U31" s="626"/>
      <c r="V31" s="719"/>
      <c r="W31" s="623"/>
      <c r="X31" s="718"/>
      <c r="Y31" s="623"/>
      <c r="Z31" s="623"/>
    </row>
    <row r="32" hidden="1" outlineLevel="1">
      <c r="A32" s="623"/>
      <c r="B32" s="691"/>
      <c r="C32" s="692"/>
      <c r="D32" s="692"/>
      <c r="E32" s="692"/>
      <c r="F32" s="692"/>
      <c r="G32" s="693"/>
      <c r="H32" s="692"/>
      <c r="I32" s="692"/>
      <c r="J32" s="692"/>
      <c r="K32" s="692"/>
      <c r="L32" s="730"/>
      <c r="M32" s="730"/>
      <c r="N32" s="692"/>
      <c r="O32" s="695"/>
      <c r="Q32" s="690"/>
      <c r="R32" s="623"/>
      <c r="S32" s="213" t="str">
        <f t="array" ref="S32">IFERROR(INDEX('💻シート作成'!$D$6:$D1001, MATCH(T32, '💻シート作成'!$E$6:$E1001, 0)), "")</f>
        <v>7月</v>
      </c>
      <c r="T32" s="168" t="str">
        <f>IFERROR(__xludf.DUMMYFUNCTION("""COMPUTED_VALUE"""),"②R8_7シフト")</f>
        <v>②R8_7シフト</v>
      </c>
      <c r="U32" s="626"/>
      <c r="V32" s="719"/>
      <c r="W32" s="623"/>
      <c r="X32" s="718"/>
      <c r="Y32" s="623"/>
      <c r="Z32" s="623"/>
    </row>
    <row r="33" hidden="1" outlineLevel="1">
      <c r="A33" s="623"/>
      <c r="B33" s="691"/>
      <c r="C33" s="692"/>
      <c r="D33" s="692"/>
      <c r="E33" s="692"/>
      <c r="F33" s="692"/>
      <c r="G33" s="693"/>
      <c r="H33" s="692"/>
      <c r="I33" s="692"/>
      <c r="J33" s="692"/>
      <c r="K33" s="692"/>
      <c r="L33" s="730"/>
      <c r="M33" s="730"/>
      <c r="N33" s="692"/>
      <c r="O33" s="695"/>
      <c r="Q33" s="690"/>
      <c r="R33" s="623"/>
      <c r="S33" s="213" t="str">
        <f t="array" ref="S33">IFERROR(INDEX('💻シート作成'!$D$6:$D1001, MATCH(T33, '💻シート作成'!$E$6:$E1001, 0)), "")</f>
        <v>7月</v>
      </c>
      <c r="T33" s="168" t="str">
        <f>IFERROR(__xludf.DUMMYFUNCTION("""COMPUTED_VALUE"""),"③R8_7日報")</f>
        <v>③R8_7日報</v>
      </c>
      <c r="U33" s="626"/>
      <c r="V33" s="719"/>
      <c r="W33" s="623"/>
      <c r="X33" s="718"/>
      <c r="Y33" s="623"/>
      <c r="Z33" s="623"/>
    </row>
    <row r="34" hidden="1" outlineLevel="1">
      <c r="A34" s="623"/>
      <c r="B34" s="691"/>
      <c r="C34" s="692"/>
      <c r="D34" s="692"/>
      <c r="E34" s="692"/>
      <c r="F34" s="692"/>
      <c r="G34" s="693"/>
      <c r="H34" s="692"/>
      <c r="I34" s="692"/>
      <c r="J34" s="692"/>
      <c r="K34" s="692"/>
      <c r="L34" s="734"/>
      <c r="M34" s="730"/>
      <c r="N34" s="692"/>
      <c r="O34" s="695"/>
      <c r="Q34" s="690"/>
      <c r="R34" s="623"/>
      <c r="S34" s="213" t="str">
        <f t="array" ref="S34">IFERROR(INDEX('💻シート作成'!$D$6:$D1001, MATCH(T34, '💻シート作成'!$E$6:$E1001, 0)), "")</f>
        <v>7月</v>
      </c>
      <c r="T34" s="168" t="str">
        <f>IFERROR(__xludf.DUMMYFUNCTION("""COMPUTED_VALUE"""),"④R8_7月報")</f>
        <v>④R8_7月報</v>
      </c>
      <c r="U34" s="626"/>
      <c r="V34" s="719"/>
      <c r="W34" s="623"/>
      <c r="X34" s="718"/>
      <c r="Y34" s="623"/>
      <c r="Z34" s="623"/>
    </row>
    <row r="35" hidden="1" outlineLevel="1">
      <c r="A35" s="623"/>
      <c r="B35" s="691"/>
      <c r="C35" s="692"/>
      <c r="D35" s="692"/>
      <c r="E35" s="692"/>
      <c r="F35" s="692"/>
      <c r="G35" s="693"/>
      <c r="H35" s="692"/>
      <c r="I35" s="692"/>
      <c r="J35" s="692"/>
      <c r="K35" s="692"/>
      <c r="L35" s="734"/>
      <c r="M35" s="730"/>
      <c r="N35" s="692"/>
      <c r="O35" s="695"/>
      <c r="Q35" s="690"/>
      <c r="R35" s="623"/>
      <c r="S35" s="213" t="str">
        <f t="array" ref="S35">IFERROR(INDEX('💻シート作成'!$D$6:$D1001, MATCH(T35, '💻シート作成'!$E$6:$E1001, 0)), "")</f>
        <v>8月</v>
      </c>
      <c r="T35" s="168" t="str">
        <f>IFERROR(__xludf.DUMMYFUNCTION("""COMPUTED_VALUE"""),"①R8_8集計")</f>
        <v>①R8_8集計</v>
      </c>
      <c r="U35" s="626"/>
      <c r="V35" s="719"/>
      <c r="W35" s="623"/>
      <c r="X35" s="718"/>
      <c r="Y35" s="623"/>
      <c r="Z35" s="623"/>
    </row>
    <row r="36" hidden="1" outlineLevel="1">
      <c r="A36" s="623"/>
      <c r="B36" s="691"/>
      <c r="C36" s="692"/>
      <c r="D36" s="692"/>
      <c r="E36" s="692"/>
      <c r="F36" s="692"/>
      <c r="G36" s="693"/>
      <c r="H36" s="692"/>
      <c r="I36" s="692"/>
      <c r="J36" s="692"/>
      <c r="K36" s="692"/>
      <c r="L36" s="734"/>
      <c r="M36" s="730"/>
      <c r="N36" s="692"/>
      <c r="O36" s="695"/>
      <c r="Q36" s="690"/>
      <c r="R36" s="623"/>
      <c r="S36" s="213" t="str">
        <f t="array" ref="S36">IFERROR(INDEX('💻シート作成'!$D$6:$D1001, MATCH(T36, '💻シート作成'!$E$6:$E1001, 0)), "")</f>
        <v>8月</v>
      </c>
      <c r="T36" s="168" t="str">
        <f>IFERROR(__xludf.DUMMYFUNCTION("""COMPUTED_VALUE"""),"②R8_8シフト")</f>
        <v>②R8_8シフト</v>
      </c>
      <c r="U36" s="626"/>
      <c r="V36" s="719"/>
      <c r="W36" s="623"/>
      <c r="X36" s="718"/>
      <c r="Y36" s="623"/>
      <c r="Z36" s="623"/>
    </row>
    <row r="37" hidden="1" outlineLevel="1">
      <c r="A37" s="623"/>
      <c r="B37" s="691"/>
      <c r="C37" s="692"/>
      <c r="D37" s="692"/>
      <c r="E37" s="692"/>
      <c r="F37" s="692"/>
      <c r="G37" s="693"/>
      <c r="H37" s="692"/>
      <c r="I37" s="692"/>
      <c r="J37" s="692"/>
      <c r="K37" s="692"/>
      <c r="L37" s="734"/>
      <c r="M37" s="730"/>
      <c r="N37" s="692"/>
      <c r="O37" s="695"/>
      <c r="Q37" s="690"/>
      <c r="R37" s="623"/>
      <c r="S37" s="213" t="str">
        <f t="array" ref="S37">IFERROR(INDEX('💻シート作成'!$D$6:$D1001, MATCH(T37, '💻シート作成'!$E$6:$E1001, 0)), "")</f>
        <v>8月</v>
      </c>
      <c r="T37" s="168" t="str">
        <f>IFERROR(__xludf.DUMMYFUNCTION("""COMPUTED_VALUE"""),"③R8_8日報")</f>
        <v>③R8_8日報</v>
      </c>
      <c r="U37" s="626"/>
      <c r="V37" s="719"/>
      <c r="W37" s="623"/>
      <c r="X37" s="718"/>
      <c r="Y37" s="623"/>
      <c r="Z37" s="623"/>
    </row>
    <row r="38" hidden="1" outlineLevel="1">
      <c r="A38" s="623"/>
      <c r="B38" s="691"/>
      <c r="C38" s="692"/>
      <c r="D38" s="692"/>
      <c r="E38" s="692"/>
      <c r="F38" s="692"/>
      <c r="G38" s="693"/>
      <c r="H38" s="692"/>
      <c r="I38" s="692"/>
      <c r="J38" s="692"/>
      <c r="K38" s="692"/>
      <c r="L38" s="734"/>
      <c r="M38" s="730"/>
      <c r="N38" s="692"/>
      <c r="O38" s="695"/>
      <c r="Q38" s="690"/>
      <c r="R38" s="623"/>
      <c r="S38" s="213" t="str">
        <f t="array" ref="S38">IFERROR(INDEX('💻シート作成'!$D$6:$D1001, MATCH(T38, '💻シート作成'!$E$6:$E1001, 0)), "")</f>
        <v>8月</v>
      </c>
      <c r="T38" s="168" t="str">
        <f>IFERROR(__xludf.DUMMYFUNCTION("""COMPUTED_VALUE"""),"④R8_8月報")</f>
        <v>④R8_8月報</v>
      </c>
      <c r="U38" s="626"/>
      <c r="V38" s="719"/>
      <c r="W38" s="623"/>
      <c r="X38" s="718"/>
      <c r="Y38" s="623"/>
      <c r="Z38" s="623"/>
    </row>
    <row r="39" hidden="1" outlineLevel="1">
      <c r="A39" s="623"/>
      <c r="B39" s="691"/>
      <c r="C39" s="692"/>
      <c r="D39" s="692"/>
      <c r="E39" s="692"/>
      <c r="F39" s="692"/>
      <c r="G39" s="693"/>
      <c r="H39" s="692"/>
      <c r="I39" s="692"/>
      <c r="J39" s="692"/>
      <c r="K39" s="692"/>
      <c r="L39" s="734"/>
      <c r="M39" s="730"/>
      <c r="N39" s="692"/>
      <c r="O39" s="695"/>
      <c r="Q39" s="690"/>
      <c r="R39" s="623"/>
      <c r="S39" s="213" t="str">
        <f t="array" ref="S39">IFERROR(INDEX('💻シート作成'!$D$6:$D1001, MATCH(T39, '💻シート作成'!$E$6:$E1001, 0)), "")</f>
        <v>9月</v>
      </c>
      <c r="T39" s="168" t="str">
        <f>IFERROR(__xludf.DUMMYFUNCTION("""COMPUTED_VALUE"""),"①R8_9集計")</f>
        <v>①R8_9集計</v>
      </c>
      <c r="U39" s="626"/>
      <c r="V39" s="719"/>
      <c r="W39" s="623"/>
      <c r="X39" s="718"/>
      <c r="Y39" s="623"/>
      <c r="Z39" s="623"/>
    </row>
    <row r="40" hidden="1" outlineLevel="1">
      <c r="A40" s="623"/>
      <c r="B40" s="691"/>
      <c r="C40" s="692"/>
      <c r="D40" s="692"/>
      <c r="E40" s="692"/>
      <c r="F40" s="659"/>
      <c r="G40" s="660"/>
      <c r="H40" s="659"/>
      <c r="I40" s="659"/>
      <c r="J40" s="659"/>
      <c r="K40" s="659"/>
      <c r="L40" s="734"/>
      <c r="M40" s="730"/>
      <c r="N40" s="659"/>
      <c r="O40" s="662"/>
      <c r="P40" s="663"/>
      <c r="Q40" s="699"/>
      <c r="R40" s="623"/>
      <c r="S40" s="213" t="str">
        <f t="array" ref="S40">IFERROR(INDEX('💻シート作成'!$D$6:$D1001, MATCH(T40, '💻シート作成'!$E$6:$E1001, 0)), "")</f>
        <v>9月</v>
      </c>
      <c r="T40" s="168" t="str">
        <f>IFERROR(__xludf.DUMMYFUNCTION("""COMPUTED_VALUE"""),"②R8_9シフト")</f>
        <v>②R8_9シフト</v>
      </c>
      <c r="U40" s="626"/>
      <c r="V40" s="719"/>
      <c r="W40" s="623"/>
      <c r="X40" s="718"/>
      <c r="Y40" s="623"/>
      <c r="Z40" s="623"/>
    </row>
    <row r="41" hidden="1" outlineLevel="1">
      <c r="A41" s="623"/>
      <c r="B41" s="700"/>
      <c r="C41" s="659"/>
      <c r="D41" s="659"/>
      <c r="E41" s="659"/>
      <c r="F41" s="701" t="s">
        <v>425</v>
      </c>
      <c r="G41" s="702"/>
      <c r="H41" s="703"/>
      <c r="I41" s="703"/>
      <c r="J41" s="703"/>
      <c r="K41" s="703"/>
      <c r="L41" s="702"/>
      <c r="M41" s="702"/>
      <c r="N41" s="702"/>
      <c r="O41" s="702"/>
      <c r="P41" s="702"/>
      <c r="Q41" s="704"/>
      <c r="R41" s="623"/>
      <c r="S41" s="213" t="str">
        <f t="array" ref="S41">IFERROR(INDEX('💻シート作成'!$D$6:$D1001, MATCH(T41, '💻シート作成'!$E$6:$E1001, 0)), "")</f>
        <v>9月</v>
      </c>
      <c r="T41" s="168" t="str">
        <f>IFERROR(__xludf.DUMMYFUNCTION("""COMPUTED_VALUE"""),"③R8_9日報")</f>
        <v>③R8_9日報</v>
      </c>
      <c r="U41" s="626"/>
      <c r="V41" s="719"/>
      <c r="W41" s="623"/>
      <c r="X41" s="718"/>
      <c r="Y41" s="623"/>
      <c r="Z41" s="623"/>
    </row>
    <row r="42" hidden="1" outlineLevel="1">
      <c r="A42" s="623"/>
      <c r="B42" s="705"/>
      <c r="C42" s="706">
        <f>IF(C31="","",IF(DAY(C31+1)=1,"",C31+1))</f>
        <v>46057</v>
      </c>
      <c r="D42" s="707" t="str">
        <f>TEXT(C42,"ddd")</f>
        <v>水</v>
      </c>
      <c r="E42" s="708"/>
      <c r="F42" s="735" t="s">
        <v>422</v>
      </c>
      <c r="G42" s="748"/>
      <c r="H42" s="736"/>
      <c r="I42" s="737">
        <v>0.0</v>
      </c>
      <c r="J42" s="707"/>
      <c r="K42" s="707"/>
      <c r="L42" s="716"/>
      <c r="M42" s="716"/>
      <c r="N42" s="735"/>
      <c r="O42" s="738"/>
      <c r="P42" s="732"/>
      <c r="Q42" s="733"/>
      <c r="R42" s="623"/>
      <c r="S42" s="213" t="str">
        <f t="array" ref="S42">IFERROR(INDEX('💻シート作成'!$D$6:$D1001, MATCH(T42, '💻シート作成'!$E$6:$E1001, 0)), "")</f>
        <v>9月</v>
      </c>
      <c r="T42" s="168" t="str">
        <f>IFERROR(__xludf.DUMMYFUNCTION("""COMPUTED_VALUE"""),"④R8_9月報")</f>
        <v>④R8_9月報</v>
      </c>
      <c r="U42" s="626"/>
      <c r="V42" s="719"/>
      <c r="W42" s="623"/>
      <c r="X42" s="718"/>
      <c r="Y42" s="623"/>
      <c r="Z42" s="623"/>
    </row>
    <row r="43" hidden="1" outlineLevel="1">
      <c r="A43" s="623"/>
      <c r="B43" s="691"/>
      <c r="C43" s="692"/>
      <c r="D43" s="692"/>
      <c r="E43" s="692"/>
      <c r="F43" s="692"/>
      <c r="G43" s="693"/>
      <c r="H43" s="692"/>
      <c r="I43" s="692"/>
      <c r="J43" s="692"/>
      <c r="K43" s="692"/>
      <c r="L43" s="716"/>
      <c r="M43" s="716"/>
      <c r="N43" s="692"/>
      <c r="O43" s="695"/>
      <c r="Q43" s="690"/>
      <c r="R43" s="623"/>
      <c r="S43" s="213" t="str">
        <f t="array" ref="S43">IFERROR(INDEX('💻シート作成'!$D$6:$D1001, MATCH(T43, '💻シート作成'!$E$6:$E1001, 0)), "")</f>
        <v>10月</v>
      </c>
      <c r="T43" s="168" t="str">
        <f>IFERROR(__xludf.DUMMYFUNCTION("""COMPUTED_VALUE"""),"①R8_10集計")</f>
        <v>①R8_10集計</v>
      </c>
      <c r="U43" s="626"/>
      <c r="V43" s="719"/>
      <c r="W43" s="623"/>
      <c r="X43" s="718"/>
      <c r="Y43" s="623"/>
      <c r="Z43" s="623"/>
    </row>
    <row r="44" hidden="1" outlineLevel="1">
      <c r="A44" s="623"/>
      <c r="B44" s="691"/>
      <c r="C44" s="692"/>
      <c r="D44" s="692"/>
      <c r="E44" s="692"/>
      <c r="F44" s="692"/>
      <c r="G44" s="693"/>
      <c r="H44" s="692"/>
      <c r="I44" s="692"/>
      <c r="J44" s="692"/>
      <c r="K44" s="692"/>
      <c r="L44" s="716"/>
      <c r="M44" s="716"/>
      <c r="N44" s="692"/>
      <c r="O44" s="695"/>
      <c r="Q44" s="690"/>
      <c r="R44" s="623"/>
      <c r="S44" s="213" t="str">
        <f t="array" ref="S44">IFERROR(INDEX('💻シート作成'!$D$6:$D1001, MATCH(T44, '💻シート作成'!$E$6:$E1001, 0)), "")</f>
        <v>10月</v>
      </c>
      <c r="T44" s="168" t="str">
        <f>IFERROR(__xludf.DUMMYFUNCTION("""COMPUTED_VALUE"""),"②R8_10シフト")</f>
        <v>②R8_10シフト</v>
      </c>
      <c r="U44" s="626"/>
      <c r="V44" s="719"/>
      <c r="W44" s="623"/>
      <c r="X44" s="718"/>
      <c r="Y44" s="623"/>
      <c r="Z44" s="623"/>
    </row>
    <row r="45" hidden="1" outlineLevel="1">
      <c r="A45" s="623"/>
      <c r="B45" s="691"/>
      <c r="C45" s="692"/>
      <c r="D45" s="692"/>
      <c r="E45" s="692"/>
      <c r="F45" s="692"/>
      <c r="G45" s="693"/>
      <c r="H45" s="692"/>
      <c r="I45" s="692"/>
      <c r="J45" s="692"/>
      <c r="K45" s="692"/>
      <c r="L45" s="717"/>
      <c r="M45" s="716"/>
      <c r="N45" s="692"/>
      <c r="O45" s="695"/>
      <c r="Q45" s="690"/>
      <c r="R45" s="623"/>
      <c r="S45" s="213" t="str">
        <f t="array" ref="S45">IFERROR(INDEX('💻シート作成'!$D$6:$D1001, MATCH(T45, '💻シート作成'!$E$6:$E1001, 0)), "")</f>
        <v>10月</v>
      </c>
      <c r="T45" s="168" t="str">
        <f>IFERROR(__xludf.DUMMYFUNCTION("""COMPUTED_VALUE"""),"③R8_10日報")</f>
        <v>③R8_10日報</v>
      </c>
      <c r="U45" s="626"/>
      <c r="V45" s="719"/>
      <c r="W45" s="623"/>
      <c r="X45" s="718"/>
      <c r="Y45" s="623"/>
      <c r="Z45" s="623"/>
    </row>
    <row r="46" hidden="1" outlineLevel="1">
      <c r="A46" s="623"/>
      <c r="B46" s="691"/>
      <c r="C46" s="692"/>
      <c r="D46" s="692"/>
      <c r="E46" s="692"/>
      <c r="F46" s="692"/>
      <c r="G46" s="693"/>
      <c r="H46" s="692"/>
      <c r="I46" s="692"/>
      <c r="J46" s="692"/>
      <c r="K46" s="692"/>
      <c r="L46" s="717"/>
      <c r="M46" s="716"/>
      <c r="N46" s="692"/>
      <c r="O46" s="695"/>
      <c r="Q46" s="690"/>
      <c r="R46" s="623"/>
      <c r="S46" s="213" t="str">
        <f t="array" ref="S46">IFERROR(INDEX('💻シート作成'!$D$6:$D1001, MATCH(T46, '💻シート作成'!$E$6:$E1001, 0)), "")</f>
        <v>10月</v>
      </c>
      <c r="T46" s="168" t="str">
        <f>IFERROR(__xludf.DUMMYFUNCTION("""COMPUTED_VALUE"""),"④R8_10月報")</f>
        <v>④R8_10月報</v>
      </c>
      <c r="U46" s="626"/>
      <c r="V46" s="719"/>
      <c r="W46" s="623"/>
      <c r="X46" s="718"/>
      <c r="Y46" s="623"/>
      <c r="Z46" s="623"/>
    </row>
    <row r="47" hidden="1" outlineLevel="1">
      <c r="A47" s="623"/>
      <c r="B47" s="691"/>
      <c r="C47" s="692"/>
      <c r="D47" s="692"/>
      <c r="E47" s="692"/>
      <c r="F47" s="692"/>
      <c r="G47" s="693"/>
      <c r="H47" s="692"/>
      <c r="I47" s="692"/>
      <c r="J47" s="692"/>
      <c r="K47" s="692"/>
      <c r="L47" s="717"/>
      <c r="M47" s="716"/>
      <c r="N47" s="692"/>
      <c r="O47" s="695"/>
      <c r="Q47" s="690"/>
      <c r="R47" s="623"/>
      <c r="S47" s="213" t="str">
        <f t="array" ref="S47">IFERROR(INDEX('💻シート作成'!$D$6:$D1001, MATCH(T47, '💻シート作成'!$E$6:$E1001, 0)), "")</f>
        <v>11月</v>
      </c>
      <c r="T47" s="168" t="str">
        <f>IFERROR(__xludf.DUMMYFUNCTION("""COMPUTED_VALUE"""),"①R8_11集計")</f>
        <v>①R8_11集計</v>
      </c>
      <c r="U47" s="626"/>
      <c r="V47" s="719"/>
      <c r="W47" s="623"/>
      <c r="X47" s="718"/>
      <c r="Y47" s="623"/>
      <c r="Z47" s="623"/>
    </row>
    <row r="48" hidden="1" outlineLevel="1">
      <c r="A48" s="623"/>
      <c r="B48" s="691"/>
      <c r="C48" s="692"/>
      <c r="D48" s="692"/>
      <c r="E48" s="692"/>
      <c r="F48" s="692"/>
      <c r="G48" s="693"/>
      <c r="H48" s="692"/>
      <c r="I48" s="692"/>
      <c r="J48" s="692"/>
      <c r="K48" s="692"/>
      <c r="L48" s="717"/>
      <c r="M48" s="716"/>
      <c r="N48" s="692"/>
      <c r="O48" s="695"/>
      <c r="Q48" s="690"/>
      <c r="R48" s="623"/>
      <c r="S48" s="213" t="str">
        <f t="array" ref="S48">IFERROR(INDEX('💻シート作成'!$D$6:$D1001, MATCH(T48, '💻シート作成'!$E$6:$E1001, 0)), "")</f>
        <v>11月</v>
      </c>
      <c r="T48" s="168" t="str">
        <f>IFERROR(__xludf.DUMMYFUNCTION("""COMPUTED_VALUE"""),"②R8_11シフト")</f>
        <v>②R8_11シフト</v>
      </c>
      <c r="U48" s="626"/>
      <c r="V48" s="719"/>
      <c r="W48" s="623"/>
      <c r="X48" s="718"/>
      <c r="Y48" s="623"/>
      <c r="Z48" s="623"/>
    </row>
    <row r="49" hidden="1" outlineLevel="1">
      <c r="A49" s="623"/>
      <c r="B49" s="691"/>
      <c r="C49" s="692"/>
      <c r="D49" s="692"/>
      <c r="E49" s="692"/>
      <c r="F49" s="692"/>
      <c r="G49" s="693"/>
      <c r="H49" s="692"/>
      <c r="I49" s="692"/>
      <c r="J49" s="692"/>
      <c r="K49" s="692"/>
      <c r="L49" s="717"/>
      <c r="M49" s="716"/>
      <c r="N49" s="692"/>
      <c r="O49" s="695"/>
      <c r="Q49" s="690"/>
      <c r="R49" s="623"/>
      <c r="S49" s="213" t="str">
        <f t="array" ref="S49">IFERROR(INDEX('💻シート作成'!$D$6:$D1001, MATCH(T49, '💻シート作成'!$E$6:$E1001, 0)), "")</f>
        <v>11月</v>
      </c>
      <c r="T49" s="168" t="str">
        <f>IFERROR(__xludf.DUMMYFUNCTION("""COMPUTED_VALUE"""),"③R8_11日報")</f>
        <v>③R8_11日報</v>
      </c>
      <c r="U49" s="626"/>
      <c r="V49" s="719"/>
      <c r="W49" s="623"/>
      <c r="X49" s="718"/>
      <c r="Y49" s="623"/>
      <c r="Z49" s="623"/>
    </row>
    <row r="50" hidden="1" outlineLevel="1">
      <c r="A50" s="623"/>
      <c r="B50" s="691"/>
      <c r="C50" s="692"/>
      <c r="D50" s="692"/>
      <c r="E50" s="692"/>
      <c r="F50" s="692"/>
      <c r="G50" s="693"/>
      <c r="H50" s="692"/>
      <c r="I50" s="692"/>
      <c r="J50" s="692"/>
      <c r="K50" s="692"/>
      <c r="L50" s="717"/>
      <c r="M50" s="716"/>
      <c r="N50" s="692"/>
      <c r="O50" s="695"/>
      <c r="Q50" s="690"/>
      <c r="R50" s="623"/>
      <c r="S50" s="213" t="str">
        <f t="array" ref="S50">IFERROR(INDEX('💻シート作成'!$D$6:$D1001, MATCH(T50, '💻シート作成'!$E$6:$E1001, 0)), "")</f>
        <v>11月</v>
      </c>
      <c r="T50" s="168" t="str">
        <f>IFERROR(__xludf.DUMMYFUNCTION("""COMPUTED_VALUE"""),"④R8_11月報")</f>
        <v>④R8_11月報</v>
      </c>
      <c r="U50" s="626"/>
      <c r="V50" s="719"/>
      <c r="W50" s="623"/>
      <c r="X50" s="718"/>
      <c r="Y50" s="623"/>
      <c r="Z50" s="623"/>
    </row>
    <row r="51" hidden="1" outlineLevel="1">
      <c r="A51" s="623"/>
      <c r="B51" s="691"/>
      <c r="C51" s="692"/>
      <c r="D51" s="692"/>
      <c r="E51" s="692"/>
      <c r="F51" s="659"/>
      <c r="G51" s="660"/>
      <c r="H51" s="659"/>
      <c r="I51" s="659"/>
      <c r="J51" s="659"/>
      <c r="K51" s="659"/>
      <c r="L51" s="717"/>
      <c r="M51" s="716"/>
      <c r="N51" s="659"/>
      <c r="O51" s="662"/>
      <c r="P51" s="663"/>
      <c r="Q51" s="699"/>
      <c r="R51" s="623"/>
      <c r="S51" s="213" t="str">
        <f t="array" ref="S51">IFERROR(INDEX('💻シート作成'!$D$6:$D1001, MATCH(T51, '💻シート作成'!$E$6:$E1001, 0)), "")</f>
        <v>12月</v>
      </c>
      <c r="T51" s="168" t="str">
        <f>IFERROR(__xludf.DUMMYFUNCTION("""COMPUTED_VALUE"""),"①R8_12集計")</f>
        <v>①R8_12集計</v>
      </c>
      <c r="U51" s="626"/>
      <c r="V51" s="719"/>
      <c r="W51" s="623"/>
      <c r="X51" s="718"/>
      <c r="Y51" s="623"/>
      <c r="Z51" s="623"/>
    </row>
    <row r="52" hidden="1" outlineLevel="1">
      <c r="A52" s="623"/>
      <c r="B52" s="700"/>
      <c r="C52" s="659"/>
      <c r="D52" s="659"/>
      <c r="E52" s="659"/>
      <c r="F52" s="720" t="s">
        <v>425</v>
      </c>
      <c r="G52" s="721"/>
      <c r="H52" s="703"/>
      <c r="I52" s="703"/>
      <c r="J52" s="703"/>
      <c r="K52" s="703"/>
      <c r="L52" s="721"/>
      <c r="M52" s="721"/>
      <c r="N52" s="721"/>
      <c r="O52" s="721"/>
      <c r="P52" s="721"/>
      <c r="Q52" s="722"/>
      <c r="R52" s="623"/>
      <c r="S52" s="213" t="str">
        <f t="array" ref="S52">IFERROR(INDEX('💻シート作成'!$D$6:$D1001, MATCH(T52, '💻シート作成'!$E$6:$E1001, 0)), "")</f>
        <v>12月</v>
      </c>
      <c r="T52" s="168" t="str">
        <f>IFERROR(__xludf.DUMMYFUNCTION("""COMPUTED_VALUE"""),"②R8_12シフト")</f>
        <v>②R8_12シフト</v>
      </c>
      <c r="U52" s="626"/>
      <c r="V52" s="719"/>
      <c r="W52" s="623"/>
      <c r="X52" s="718"/>
      <c r="Y52" s="623"/>
      <c r="Z52" s="623"/>
    </row>
    <row r="53" hidden="1" outlineLevel="1">
      <c r="A53" s="623"/>
      <c r="B53" s="723"/>
      <c r="C53" s="724">
        <f>IF(C42="","",IF(DAY(C42+1)=1,"",C42+1))</f>
        <v>46058</v>
      </c>
      <c r="D53" s="725" t="str">
        <f>TEXT(C53,"ddd")</f>
        <v>木</v>
      </c>
      <c r="E53" s="726"/>
      <c r="F53" s="727" t="s">
        <v>422</v>
      </c>
      <c r="G53" s="749"/>
      <c r="H53" s="728"/>
      <c r="I53" s="729">
        <v>0.0</v>
      </c>
      <c r="J53" s="725"/>
      <c r="K53" s="725"/>
      <c r="L53" s="730"/>
      <c r="M53" s="730"/>
      <c r="N53" s="727"/>
      <c r="O53" s="731"/>
      <c r="P53" s="732"/>
      <c r="Q53" s="733"/>
      <c r="R53" s="623"/>
      <c r="S53" s="213" t="str">
        <f t="array" ref="S53">IFERROR(INDEX('💻シート作成'!$D$6:$D1001, MATCH(T53, '💻シート作成'!$E$6:$E1001, 0)), "")</f>
        <v>12月</v>
      </c>
      <c r="T53" s="168" t="str">
        <f>IFERROR(__xludf.DUMMYFUNCTION("""COMPUTED_VALUE"""),"③R8_12日報")</f>
        <v>③R8_12日報</v>
      </c>
      <c r="U53" s="626"/>
      <c r="V53" s="719"/>
      <c r="W53" s="623"/>
      <c r="X53" s="718"/>
      <c r="Y53" s="623"/>
      <c r="Z53" s="623"/>
    </row>
    <row r="54" hidden="1" outlineLevel="1">
      <c r="A54" s="623"/>
      <c r="B54" s="691"/>
      <c r="C54" s="692"/>
      <c r="D54" s="692"/>
      <c r="E54" s="692"/>
      <c r="F54" s="692"/>
      <c r="G54" s="693"/>
      <c r="H54" s="692"/>
      <c r="I54" s="692"/>
      <c r="J54" s="692"/>
      <c r="K54" s="692"/>
      <c r="L54" s="730"/>
      <c r="M54" s="730"/>
      <c r="N54" s="692"/>
      <c r="O54" s="695"/>
      <c r="Q54" s="690"/>
      <c r="R54" s="623"/>
      <c r="S54" s="213" t="str">
        <f t="array" ref="S54">IFERROR(INDEX('💻シート作成'!$D$6:$D1001, MATCH(T54, '💻シート作成'!$E$6:$E1001, 0)), "")</f>
        <v>12月</v>
      </c>
      <c r="T54" s="168" t="str">
        <f>IFERROR(__xludf.DUMMYFUNCTION("""COMPUTED_VALUE"""),"④R8_12月報")</f>
        <v>④R8_12月報</v>
      </c>
      <c r="U54" s="626"/>
      <c r="V54" s="719"/>
      <c r="W54" s="623"/>
      <c r="X54" s="718"/>
      <c r="Y54" s="623"/>
      <c r="Z54" s="623"/>
    </row>
    <row r="55" hidden="1" outlineLevel="1">
      <c r="A55" s="623"/>
      <c r="B55" s="691"/>
      <c r="C55" s="692"/>
      <c r="D55" s="692"/>
      <c r="E55" s="692"/>
      <c r="F55" s="692"/>
      <c r="G55" s="693"/>
      <c r="H55" s="692"/>
      <c r="I55" s="692"/>
      <c r="J55" s="692"/>
      <c r="K55" s="692"/>
      <c r="L55" s="730"/>
      <c r="M55" s="730"/>
      <c r="N55" s="692"/>
      <c r="O55" s="695"/>
      <c r="Q55" s="690"/>
      <c r="R55" s="623"/>
      <c r="S55" s="213" t="str">
        <f t="array" ref="S55">IFERROR(INDEX('💻シート作成'!$D$6:$D1001, MATCH(T55, '💻シート作成'!$E$6:$E1001, 0)), "")</f>
        <v>1月</v>
      </c>
      <c r="T55" s="168" t="str">
        <f>IFERROR(__xludf.DUMMYFUNCTION("""COMPUTED_VALUE"""),"①R9_1集計")</f>
        <v>①R9_1集計</v>
      </c>
      <c r="U55" s="626"/>
      <c r="V55" s="719"/>
      <c r="W55" s="623"/>
      <c r="X55" s="718"/>
      <c r="Y55" s="623"/>
      <c r="Z55" s="623"/>
    </row>
    <row r="56" hidden="1" outlineLevel="1">
      <c r="A56" s="623"/>
      <c r="B56" s="691"/>
      <c r="C56" s="692"/>
      <c r="D56" s="692"/>
      <c r="E56" s="692"/>
      <c r="F56" s="692"/>
      <c r="G56" s="693"/>
      <c r="H56" s="692"/>
      <c r="I56" s="692"/>
      <c r="J56" s="692"/>
      <c r="K56" s="692"/>
      <c r="L56" s="734"/>
      <c r="M56" s="730"/>
      <c r="N56" s="692"/>
      <c r="O56" s="695"/>
      <c r="Q56" s="690"/>
      <c r="R56" s="623"/>
      <c r="S56" s="213" t="str">
        <f t="array" ref="S56">IFERROR(INDEX('💻シート作成'!$D$6:$D1001, MATCH(T56, '💻シート作成'!$E$6:$E1001, 0)), "")</f>
        <v>1月</v>
      </c>
      <c r="T56" s="168" t="str">
        <f>IFERROR(__xludf.DUMMYFUNCTION("""COMPUTED_VALUE"""),"②R9_1シフト")</f>
        <v>②R9_1シフト</v>
      </c>
      <c r="U56" s="626"/>
      <c r="V56" s="719"/>
      <c r="W56" s="623"/>
      <c r="X56" s="718"/>
      <c r="Y56" s="623"/>
      <c r="Z56" s="623"/>
    </row>
    <row r="57" hidden="1" outlineLevel="1">
      <c r="A57" s="623"/>
      <c r="B57" s="691"/>
      <c r="C57" s="692"/>
      <c r="D57" s="692"/>
      <c r="E57" s="692"/>
      <c r="F57" s="692"/>
      <c r="G57" s="693"/>
      <c r="H57" s="692"/>
      <c r="I57" s="692"/>
      <c r="J57" s="692"/>
      <c r="K57" s="692"/>
      <c r="L57" s="734"/>
      <c r="M57" s="730"/>
      <c r="N57" s="692"/>
      <c r="O57" s="695"/>
      <c r="Q57" s="690"/>
      <c r="R57" s="623"/>
      <c r="S57" s="213" t="str">
        <f t="array" ref="S57">IFERROR(INDEX('💻シート作成'!$D$6:$D1001, MATCH(T57, '💻シート作成'!$E$6:$E1001, 0)), "")</f>
        <v>1月</v>
      </c>
      <c r="T57" s="168" t="str">
        <f>IFERROR(__xludf.DUMMYFUNCTION("""COMPUTED_VALUE"""),"③R9_1日報")</f>
        <v>③R9_1日報</v>
      </c>
      <c r="U57" s="626"/>
      <c r="V57" s="719"/>
      <c r="W57" s="623"/>
      <c r="X57" s="718"/>
      <c r="Y57" s="623"/>
      <c r="Z57" s="623"/>
    </row>
    <row r="58" hidden="1" outlineLevel="1">
      <c r="A58" s="623"/>
      <c r="B58" s="691"/>
      <c r="C58" s="692"/>
      <c r="D58" s="692"/>
      <c r="E58" s="692"/>
      <c r="F58" s="692"/>
      <c r="G58" s="693"/>
      <c r="H58" s="692"/>
      <c r="I58" s="692"/>
      <c r="J58" s="692"/>
      <c r="K58" s="692"/>
      <c r="L58" s="734"/>
      <c r="M58" s="730"/>
      <c r="N58" s="692"/>
      <c r="O58" s="695"/>
      <c r="Q58" s="690"/>
      <c r="R58" s="623"/>
      <c r="S58" s="213" t="str">
        <f t="array" ref="S58">IFERROR(INDEX('💻シート作成'!$D$6:$D1001, MATCH(T58, '💻シート作成'!$E$6:$E1001, 0)), "")</f>
        <v>1月</v>
      </c>
      <c r="T58" s="168" t="str">
        <f>IFERROR(__xludf.DUMMYFUNCTION("""COMPUTED_VALUE"""),"④R9_1月報")</f>
        <v>④R9_1月報</v>
      </c>
      <c r="U58" s="626"/>
      <c r="V58" s="719"/>
      <c r="W58" s="623"/>
      <c r="X58" s="718"/>
      <c r="Y58" s="623"/>
      <c r="Z58" s="623"/>
    </row>
    <row r="59" hidden="1" outlineLevel="1">
      <c r="A59" s="623"/>
      <c r="B59" s="691"/>
      <c r="C59" s="692"/>
      <c r="D59" s="692"/>
      <c r="E59" s="692"/>
      <c r="F59" s="692"/>
      <c r="G59" s="693"/>
      <c r="H59" s="692"/>
      <c r="I59" s="692"/>
      <c r="J59" s="692"/>
      <c r="K59" s="692"/>
      <c r="L59" s="734"/>
      <c r="M59" s="730"/>
      <c r="N59" s="692"/>
      <c r="O59" s="695"/>
      <c r="Q59" s="690"/>
      <c r="R59" s="623"/>
      <c r="S59" s="213" t="str">
        <f t="array" ref="S59">IFERROR(INDEX('💻シート作成'!$D$6:$D1001, MATCH(T59, '💻シート作成'!$E$6:$E1001, 0)), "")</f>
        <v/>
      </c>
      <c r="T59" s="166" t="str">
        <f>IFERROR(__xludf.DUMMYFUNCTION("""COMPUTED_VALUE"""),"💻シート作成")</f>
        <v>💻シート作成</v>
      </c>
      <c r="U59" s="626"/>
      <c r="V59" s="719"/>
      <c r="W59" s="623"/>
      <c r="X59" s="718"/>
      <c r="Y59" s="623"/>
      <c r="Z59" s="623"/>
    </row>
    <row r="60" hidden="1" outlineLevel="1">
      <c r="A60" s="623"/>
      <c r="B60" s="691"/>
      <c r="C60" s="692"/>
      <c r="D60" s="692"/>
      <c r="E60" s="692"/>
      <c r="F60" s="692"/>
      <c r="G60" s="693"/>
      <c r="H60" s="692"/>
      <c r="I60" s="692"/>
      <c r="J60" s="692"/>
      <c r="K60" s="692"/>
      <c r="L60" s="734"/>
      <c r="M60" s="730"/>
      <c r="N60" s="692"/>
      <c r="O60" s="695"/>
      <c r="Q60" s="690"/>
      <c r="R60" s="623"/>
      <c r="S60" s="213" t="str">
        <f t="array" ref="S60">IFERROR(INDEX('💻シート作成'!$D$6:$D1001, MATCH(T60, '💻シート作成'!$E$6:$E1001, 0)), "")</f>
        <v/>
      </c>
      <c r="T60" s="166" t="str">
        <f>IFERROR(__xludf.DUMMYFUNCTION("""COMPUTED_VALUE"""),"🌟目標数値")</f>
        <v>🌟目標数値</v>
      </c>
      <c r="U60" s="626"/>
      <c r="V60" s="719"/>
      <c r="W60" s="623"/>
      <c r="X60" s="718"/>
      <c r="Y60" s="623"/>
      <c r="Z60" s="623"/>
    </row>
    <row r="61" hidden="1" outlineLevel="1">
      <c r="A61" s="623"/>
      <c r="B61" s="691"/>
      <c r="C61" s="692"/>
      <c r="D61" s="692"/>
      <c r="E61" s="692"/>
      <c r="F61" s="692"/>
      <c r="G61" s="693"/>
      <c r="H61" s="692"/>
      <c r="I61" s="692"/>
      <c r="J61" s="692"/>
      <c r="K61" s="692"/>
      <c r="L61" s="734"/>
      <c r="M61" s="730"/>
      <c r="N61" s="692"/>
      <c r="O61" s="695"/>
      <c r="Q61" s="690"/>
      <c r="R61" s="623"/>
      <c r="S61" s="213" t="str">
        <f t="array" ref="S61">IFERROR(INDEX('💻シート作成'!$D$6:$D1001, MATCH(T61, '💻シート作成'!$E$6:$E1001, 0)), "")</f>
        <v/>
      </c>
      <c r="T61" s="166" t="str">
        <f>IFERROR(__xludf.DUMMYFUNCTION("""COMPUTED_VALUE"""),"🏆皆勤アワード")</f>
        <v>🏆皆勤アワード</v>
      </c>
      <c r="U61" s="626"/>
      <c r="V61" s="719"/>
      <c r="W61" s="623"/>
      <c r="X61" s="718"/>
      <c r="Y61" s="623"/>
      <c r="Z61" s="623"/>
    </row>
    <row r="62" hidden="1" outlineLevel="1">
      <c r="A62" s="623"/>
      <c r="B62" s="691"/>
      <c r="C62" s="692"/>
      <c r="D62" s="692"/>
      <c r="E62" s="692"/>
      <c r="F62" s="659"/>
      <c r="G62" s="660"/>
      <c r="H62" s="659"/>
      <c r="I62" s="659"/>
      <c r="J62" s="659"/>
      <c r="K62" s="659"/>
      <c r="L62" s="734"/>
      <c r="M62" s="730"/>
      <c r="N62" s="659"/>
      <c r="O62" s="662"/>
      <c r="P62" s="663"/>
      <c r="Q62" s="699"/>
      <c r="R62" s="623"/>
      <c r="S62" s="213" t="str">
        <f t="array" ref="S62">IFERROR(INDEX('💻シート作成'!$D$6:$D1001, MATCH(T62, '💻シート作成'!$E$6:$E1001, 0)), "")</f>
        <v/>
      </c>
      <c r="T62" s="166" t="str">
        <f>IFERROR(__xludf.DUMMYFUNCTION("""COMPUTED_VALUE"""),"🧹特別清掃")</f>
        <v>🧹特別清掃</v>
      </c>
      <c r="U62" s="626"/>
      <c r="V62" s="719"/>
      <c r="W62" s="623"/>
      <c r="X62" s="718"/>
      <c r="Y62" s="623"/>
      <c r="Z62" s="623"/>
    </row>
    <row r="63" hidden="1" outlineLevel="1">
      <c r="A63" s="623"/>
      <c r="B63" s="700"/>
      <c r="C63" s="659"/>
      <c r="D63" s="659"/>
      <c r="E63" s="659"/>
      <c r="F63" s="701" t="s">
        <v>425</v>
      </c>
      <c r="G63" s="702"/>
      <c r="H63" s="703"/>
      <c r="I63" s="703"/>
      <c r="J63" s="703"/>
      <c r="K63" s="703"/>
      <c r="L63" s="702"/>
      <c r="M63" s="702"/>
      <c r="N63" s="702"/>
      <c r="O63" s="702"/>
      <c r="P63" s="702"/>
      <c r="Q63" s="704"/>
      <c r="R63" s="623"/>
      <c r="S63" s="213" t="str">
        <f t="array" ref="S63">IFERROR(INDEX('💻シート作成'!$D$6:$D1001, MATCH(T63, '💻シート作成'!$E$6:$E1001, 0)), "")</f>
        <v/>
      </c>
      <c r="T63" s="166" t="str">
        <f>IFERROR(__xludf.DUMMYFUNCTION("""COMPUTED_VALUE"""),"⚙️抽出用")</f>
        <v>⚙️抽出用</v>
      </c>
      <c r="U63" s="626"/>
      <c r="V63" s="719"/>
      <c r="W63" s="623"/>
      <c r="X63" s="718"/>
      <c r="Y63" s="623"/>
      <c r="Z63" s="623"/>
    </row>
    <row r="64" collapsed="1">
      <c r="A64" s="623"/>
      <c r="B64" s="739" t="s">
        <v>433</v>
      </c>
      <c r="C64" s="740"/>
      <c r="D64" s="740"/>
      <c r="E64" s="740"/>
      <c r="F64" s="741"/>
      <c r="G64" s="742"/>
      <c r="H64" s="743"/>
      <c r="I64" s="743"/>
      <c r="J64" s="744"/>
      <c r="K64" s="744"/>
      <c r="L64" s="742"/>
      <c r="M64" s="742"/>
      <c r="N64" s="745"/>
      <c r="O64" s="746"/>
      <c r="P64" s="746"/>
      <c r="Q64" s="747"/>
      <c r="R64" s="623"/>
      <c r="S64" s="213" t="str">
        <f t="array" ref="S64">IFERROR(INDEX('💻シート作成'!$D$6:$D1001, MATCH(T64, '💻シート作成'!$E$6:$E1001, 0)), "")</f>
        <v/>
      </c>
      <c r="T64" s="166" t="str">
        <f>IFERROR(__xludf.DUMMYFUNCTION("""COMPUTED_VALUE"""),"①集計_原本")</f>
        <v>①集計_原本</v>
      </c>
      <c r="U64" s="626"/>
      <c r="V64" s="719"/>
      <c r="W64" s="623"/>
      <c r="X64" s="718"/>
      <c r="Y64" s="623"/>
      <c r="Z64" s="623"/>
    </row>
    <row r="65" hidden="1" outlineLevel="1">
      <c r="A65" s="623"/>
      <c r="B65" s="705"/>
      <c r="C65" s="706">
        <f>IF(C53="","",IF(DAY(C53+1)=1,"",C53+1))</f>
        <v>46059</v>
      </c>
      <c r="D65" s="707" t="str">
        <f>TEXT(C65,"ddd")</f>
        <v>金</v>
      </c>
      <c r="E65" s="708"/>
      <c r="F65" s="735" t="s">
        <v>422</v>
      </c>
      <c r="G65" s="748"/>
      <c r="H65" s="736"/>
      <c r="I65" s="737">
        <v>0.0</v>
      </c>
      <c r="J65" s="707"/>
      <c r="K65" s="707"/>
      <c r="L65" s="716"/>
      <c r="M65" s="716"/>
      <c r="N65" s="735"/>
      <c r="O65" s="738"/>
      <c r="P65" s="732"/>
      <c r="Q65" s="733"/>
      <c r="R65" s="623"/>
      <c r="S65" s="213" t="str">
        <f t="array" ref="S65">IFERROR(INDEX('💻シート作成'!$D$6:$D1001, MATCH(T65, '💻シート作成'!$E$6:$E1001, 0)), "")</f>
        <v/>
      </c>
      <c r="T65" s="166" t="str">
        <f>IFERROR(__xludf.DUMMYFUNCTION("""COMPUTED_VALUE"""),"②シフト_原本")</f>
        <v>②シフト_原本</v>
      </c>
      <c r="U65" s="626"/>
      <c r="V65" s="719"/>
      <c r="W65" s="623"/>
      <c r="X65" s="718"/>
      <c r="Y65" s="623"/>
      <c r="Z65" s="623"/>
    </row>
    <row r="66" hidden="1" outlineLevel="1">
      <c r="A66" s="623"/>
      <c r="B66" s="691"/>
      <c r="C66" s="692"/>
      <c r="D66" s="692"/>
      <c r="E66" s="692"/>
      <c r="F66" s="692"/>
      <c r="G66" s="693"/>
      <c r="H66" s="692"/>
      <c r="I66" s="692"/>
      <c r="J66" s="692"/>
      <c r="K66" s="692"/>
      <c r="L66" s="716"/>
      <c r="M66" s="716"/>
      <c r="N66" s="692"/>
      <c r="O66" s="695"/>
      <c r="Q66" s="690"/>
      <c r="R66" s="623"/>
      <c r="S66" s="213" t="str">
        <f t="array" ref="S66">IFERROR(INDEX('💻シート作成'!$D$6:$D1001, MATCH(T66, '💻シート作成'!$E$6:$E1001, 0)), "")</f>
        <v/>
      </c>
      <c r="T66" s="166" t="str">
        <f>IFERROR(__xludf.DUMMYFUNCTION("""COMPUTED_VALUE"""),"③日報_原本")</f>
        <v>③日報_原本</v>
      </c>
      <c r="U66" s="626"/>
      <c r="V66" s="719"/>
      <c r="W66" s="623"/>
      <c r="X66" s="718"/>
      <c r="Y66" s="623"/>
      <c r="Z66" s="623"/>
    </row>
    <row r="67" hidden="1" outlineLevel="1">
      <c r="A67" s="623"/>
      <c r="B67" s="691"/>
      <c r="C67" s="692"/>
      <c r="D67" s="692"/>
      <c r="E67" s="692"/>
      <c r="F67" s="692"/>
      <c r="G67" s="693"/>
      <c r="H67" s="692"/>
      <c r="I67" s="692"/>
      <c r="J67" s="692"/>
      <c r="K67" s="692"/>
      <c r="L67" s="716"/>
      <c r="M67" s="716"/>
      <c r="N67" s="692"/>
      <c r="O67" s="695"/>
      <c r="Q67" s="690"/>
      <c r="R67" s="623"/>
      <c r="S67" s="213" t="str">
        <f t="array" ref="S67">IFERROR(INDEX('💻シート作成'!$D$6:$D1001, MATCH(T67, '💻シート作成'!$E$6:$E1001, 0)), "")</f>
        <v/>
      </c>
      <c r="T67" s="166" t="str">
        <f>IFERROR(__xludf.DUMMYFUNCTION("""COMPUTED_VALUE"""),"④月報_原本")</f>
        <v>④月報_原本</v>
      </c>
      <c r="U67" s="626"/>
      <c r="V67" s="719"/>
      <c r="W67" s="623"/>
      <c r="X67" s="718"/>
      <c r="Y67" s="623"/>
      <c r="Z67" s="623"/>
    </row>
    <row r="68" hidden="1" outlineLevel="1">
      <c r="A68" s="623"/>
      <c r="B68" s="691"/>
      <c r="C68" s="692"/>
      <c r="D68" s="692"/>
      <c r="E68" s="692"/>
      <c r="F68" s="692"/>
      <c r="G68" s="693"/>
      <c r="H68" s="692"/>
      <c r="I68" s="692"/>
      <c r="J68" s="692"/>
      <c r="K68" s="692"/>
      <c r="L68" s="717"/>
      <c r="M68" s="716"/>
      <c r="N68" s="692"/>
      <c r="O68" s="695"/>
      <c r="Q68" s="690"/>
      <c r="R68" s="623"/>
      <c r="S68" s="213" t="str">
        <f t="array" ref="S68">IFERROR(INDEX('💻シート作成'!$D$6:$D1001, MATCH(T68, '💻シート作成'!$E$6:$E1001, 0)), "")</f>
        <v/>
      </c>
      <c r="T68" s="168"/>
      <c r="U68" s="626"/>
      <c r="V68" s="719"/>
      <c r="W68" s="623"/>
      <c r="X68" s="718"/>
      <c r="Y68" s="623"/>
      <c r="Z68" s="623"/>
    </row>
    <row r="69" hidden="1" outlineLevel="1">
      <c r="A69" s="623"/>
      <c r="B69" s="691"/>
      <c r="C69" s="692"/>
      <c r="D69" s="692"/>
      <c r="E69" s="692"/>
      <c r="F69" s="692"/>
      <c r="G69" s="693"/>
      <c r="H69" s="692"/>
      <c r="I69" s="692"/>
      <c r="J69" s="692"/>
      <c r="K69" s="692"/>
      <c r="L69" s="717"/>
      <c r="M69" s="716"/>
      <c r="N69" s="692"/>
      <c r="O69" s="695"/>
      <c r="Q69" s="690"/>
      <c r="R69" s="623"/>
      <c r="S69" s="213" t="str">
        <f t="array" ref="S69">IFERROR(INDEX('💻シート作成'!$D$6:$D1001, MATCH(T69, '💻シート作成'!$E$6:$E1001, 0)), "")</f>
        <v/>
      </c>
      <c r="T69" s="168"/>
      <c r="U69" s="626"/>
      <c r="V69" s="719"/>
      <c r="W69" s="623"/>
      <c r="X69" s="718"/>
      <c r="Y69" s="623"/>
      <c r="Z69" s="623"/>
    </row>
    <row r="70" hidden="1" outlineLevel="1">
      <c r="A70" s="623"/>
      <c r="B70" s="691"/>
      <c r="C70" s="692"/>
      <c r="D70" s="692"/>
      <c r="E70" s="692"/>
      <c r="F70" s="692"/>
      <c r="G70" s="693"/>
      <c r="H70" s="692"/>
      <c r="I70" s="692"/>
      <c r="J70" s="692"/>
      <c r="K70" s="692"/>
      <c r="L70" s="717"/>
      <c r="M70" s="716"/>
      <c r="N70" s="692"/>
      <c r="O70" s="695"/>
      <c r="Q70" s="690"/>
      <c r="R70" s="623"/>
      <c r="S70" s="213" t="str">
        <f t="array" ref="S70">IFERROR(INDEX('💻シート作成'!$D$6:$D1001, MATCH(T70, '💻シート作成'!$E$6:$E1001, 0)), "")</f>
        <v/>
      </c>
      <c r="T70" s="168"/>
      <c r="U70" s="626"/>
      <c r="V70" s="719"/>
      <c r="W70" s="623"/>
      <c r="X70" s="718"/>
      <c r="Y70" s="623"/>
      <c r="Z70" s="623"/>
    </row>
    <row r="71" hidden="1" outlineLevel="1">
      <c r="A71" s="623"/>
      <c r="B71" s="691"/>
      <c r="C71" s="692"/>
      <c r="D71" s="692"/>
      <c r="E71" s="692"/>
      <c r="F71" s="692"/>
      <c r="G71" s="693"/>
      <c r="H71" s="692"/>
      <c r="I71" s="692"/>
      <c r="J71" s="692"/>
      <c r="K71" s="692"/>
      <c r="L71" s="717"/>
      <c r="M71" s="716"/>
      <c r="N71" s="692"/>
      <c r="O71" s="695"/>
      <c r="Q71" s="690"/>
      <c r="R71" s="623"/>
      <c r="S71" s="213" t="str">
        <f t="array" ref="S71">IFERROR(INDEX('💻シート作成'!$D$6:$D1001, MATCH(T71, '💻シート作成'!$E$6:$E1001, 0)), "")</f>
        <v/>
      </c>
      <c r="T71" s="168"/>
      <c r="U71" s="626"/>
      <c r="V71" s="719"/>
      <c r="W71" s="623"/>
      <c r="X71" s="718"/>
      <c r="Y71" s="623"/>
      <c r="Z71" s="623"/>
    </row>
    <row r="72" hidden="1" outlineLevel="1">
      <c r="A72" s="623"/>
      <c r="B72" s="691"/>
      <c r="C72" s="692"/>
      <c r="D72" s="692"/>
      <c r="E72" s="692"/>
      <c r="F72" s="692"/>
      <c r="G72" s="693"/>
      <c r="H72" s="692"/>
      <c r="I72" s="692"/>
      <c r="J72" s="692"/>
      <c r="K72" s="692"/>
      <c r="L72" s="717"/>
      <c r="M72" s="716"/>
      <c r="N72" s="692"/>
      <c r="O72" s="695"/>
      <c r="Q72" s="690"/>
      <c r="R72" s="623"/>
      <c r="S72" s="213" t="str">
        <f t="array" ref="S72">IFERROR(INDEX('💻シート作成'!$D$6:$D1001, MATCH(T72, '💻シート作成'!$E$6:$E1001, 0)), "")</f>
        <v/>
      </c>
      <c r="T72" s="168"/>
      <c r="U72" s="626"/>
      <c r="V72" s="719"/>
      <c r="W72" s="623"/>
      <c r="X72" s="718"/>
      <c r="Y72" s="623"/>
      <c r="Z72" s="623"/>
    </row>
    <row r="73" hidden="1" outlineLevel="1">
      <c r="A73" s="623"/>
      <c r="B73" s="691"/>
      <c r="C73" s="692"/>
      <c r="D73" s="692"/>
      <c r="E73" s="692"/>
      <c r="F73" s="692"/>
      <c r="G73" s="693"/>
      <c r="H73" s="692"/>
      <c r="I73" s="692"/>
      <c r="J73" s="692"/>
      <c r="K73" s="692"/>
      <c r="L73" s="717"/>
      <c r="M73" s="716"/>
      <c r="N73" s="692"/>
      <c r="O73" s="695"/>
      <c r="Q73" s="690"/>
      <c r="R73" s="623"/>
      <c r="S73" s="213" t="str">
        <f t="array" ref="S73">IFERROR(INDEX('💻シート作成'!$D$6:$D1001, MATCH(T73, '💻シート作成'!$E$6:$E1001, 0)), "")</f>
        <v/>
      </c>
      <c r="T73" s="168"/>
      <c r="U73" s="626"/>
      <c r="V73" s="719"/>
      <c r="W73" s="623"/>
      <c r="X73" s="718"/>
      <c r="Y73" s="623"/>
      <c r="Z73" s="623"/>
    </row>
    <row r="74" hidden="1" outlineLevel="1">
      <c r="A74" s="623"/>
      <c r="B74" s="691"/>
      <c r="C74" s="692"/>
      <c r="D74" s="692"/>
      <c r="E74" s="692"/>
      <c r="F74" s="659"/>
      <c r="G74" s="660"/>
      <c r="H74" s="659"/>
      <c r="I74" s="659"/>
      <c r="J74" s="659"/>
      <c r="K74" s="659"/>
      <c r="L74" s="717"/>
      <c r="M74" s="716"/>
      <c r="N74" s="659"/>
      <c r="O74" s="662"/>
      <c r="P74" s="663"/>
      <c r="Q74" s="699"/>
      <c r="R74" s="623"/>
      <c r="S74" s="213" t="str">
        <f t="array" ref="S74">IFERROR(INDEX('💻シート作成'!$D$6:$D1001, MATCH(T74, '💻シート作成'!$E$6:$E1001, 0)), "")</f>
        <v/>
      </c>
      <c r="T74" s="168"/>
      <c r="U74" s="626"/>
      <c r="V74" s="719"/>
      <c r="W74" s="623"/>
      <c r="X74" s="718"/>
      <c r="Y74" s="623"/>
      <c r="Z74" s="623"/>
    </row>
    <row r="75" hidden="1" outlineLevel="1">
      <c r="A75" s="623"/>
      <c r="B75" s="700"/>
      <c r="C75" s="659"/>
      <c r="D75" s="659"/>
      <c r="E75" s="659"/>
      <c r="F75" s="720" t="s">
        <v>425</v>
      </c>
      <c r="G75" s="721"/>
      <c r="H75" s="703"/>
      <c r="I75" s="703"/>
      <c r="J75" s="703"/>
      <c r="K75" s="703"/>
      <c r="L75" s="721"/>
      <c r="M75" s="721"/>
      <c r="N75" s="721"/>
      <c r="O75" s="721"/>
      <c r="P75" s="721"/>
      <c r="Q75" s="722"/>
      <c r="R75" s="623"/>
      <c r="S75" s="213" t="str">
        <f t="array" ref="S75">IFERROR(INDEX('💻シート作成'!$D$6:$D1001, MATCH(T75, '💻シート作成'!$E$6:$E1001, 0)), "")</f>
        <v/>
      </c>
      <c r="T75" s="168"/>
      <c r="U75" s="626"/>
      <c r="V75" s="719"/>
      <c r="W75" s="623"/>
      <c r="X75" s="718"/>
      <c r="Y75" s="623"/>
      <c r="Z75" s="623"/>
    </row>
    <row r="76" hidden="1" outlineLevel="1">
      <c r="A76" s="623"/>
      <c r="B76" s="723"/>
      <c r="C76" s="724">
        <f>IF(C65="","",IF(DAY(C65+1)=1,"",C65+1))</f>
        <v>46060</v>
      </c>
      <c r="D76" s="725" t="str">
        <f>TEXT(C76,"ddd")</f>
        <v>土</v>
      </c>
      <c r="E76" s="726"/>
      <c r="F76" s="727" t="s">
        <v>422</v>
      </c>
      <c r="G76" s="749"/>
      <c r="H76" s="728"/>
      <c r="I76" s="729">
        <v>0.0</v>
      </c>
      <c r="J76" s="725"/>
      <c r="K76" s="725"/>
      <c r="L76" s="730"/>
      <c r="M76" s="730"/>
      <c r="N76" s="727"/>
      <c r="O76" s="731"/>
      <c r="P76" s="732"/>
      <c r="Q76" s="733"/>
      <c r="R76" s="623"/>
      <c r="S76" s="213" t="str">
        <f t="array" ref="S76">IFERROR(INDEX('💻シート作成'!$D$6:$D1001, MATCH(T76, '💻シート作成'!$E$6:$E1001, 0)), "")</f>
        <v/>
      </c>
      <c r="T76" s="168"/>
      <c r="U76" s="626"/>
      <c r="V76" s="719"/>
      <c r="W76" s="623"/>
      <c r="X76" s="718"/>
      <c r="Y76" s="623"/>
      <c r="Z76" s="623"/>
    </row>
    <row r="77" hidden="1" outlineLevel="1">
      <c r="A77" s="623"/>
      <c r="B77" s="691"/>
      <c r="C77" s="692"/>
      <c r="D77" s="692"/>
      <c r="E77" s="692"/>
      <c r="F77" s="692"/>
      <c r="G77" s="693"/>
      <c r="H77" s="692"/>
      <c r="I77" s="692"/>
      <c r="J77" s="692"/>
      <c r="K77" s="692"/>
      <c r="L77" s="730"/>
      <c r="M77" s="730"/>
      <c r="N77" s="692"/>
      <c r="O77" s="695"/>
      <c r="Q77" s="690"/>
      <c r="R77" s="623"/>
      <c r="S77" s="213" t="str">
        <f t="array" ref="S77">IFERROR(INDEX('💻シート作成'!$D$6:$D1001, MATCH(T77, '💻シート作成'!$E$6:$E1001, 0)), "")</f>
        <v/>
      </c>
      <c r="T77" s="168"/>
      <c r="U77" s="626"/>
      <c r="V77" s="719"/>
      <c r="W77" s="623"/>
      <c r="X77" s="718"/>
      <c r="Y77" s="623"/>
      <c r="Z77" s="623"/>
    </row>
    <row r="78" hidden="1" outlineLevel="1">
      <c r="A78" s="623"/>
      <c r="B78" s="691"/>
      <c r="C78" s="692"/>
      <c r="D78" s="692"/>
      <c r="E78" s="692"/>
      <c r="F78" s="692"/>
      <c r="G78" s="693"/>
      <c r="H78" s="692"/>
      <c r="I78" s="692"/>
      <c r="J78" s="692"/>
      <c r="K78" s="692"/>
      <c r="L78" s="730"/>
      <c r="M78" s="730"/>
      <c r="N78" s="692"/>
      <c r="O78" s="695"/>
      <c r="Q78" s="690"/>
      <c r="R78" s="623"/>
      <c r="S78" s="213" t="str">
        <f t="array" ref="S78">IFERROR(INDEX('💻シート作成'!$D$6:$D1001, MATCH(T78, '💻シート作成'!$E$6:$E1001, 0)), "")</f>
        <v/>
      </c>
      <c r="T78" s="168"/>
      <c r="U78" s="626"/>
      <c r="V78" s="719"/>
      <c r="W78" s="623"/>
      <c r="X78" s="718"/>
      <c r="Y78" s="623"/>
      <c r="Z78" s="623"/>
    </row>
    <row r="79" hidden="1" outlineLevel="1">
      <c r="A79" s="623"/>
      <c r="B79" s="691"/>
      <c r="C79" s="692"/>
      <c r="D79" s="692"/>
      <c r="E79" s="692"/>
      <c r="F79" s="692"/>
      <c r="G79" s="693"/>
      <c r="H79" s="692"/>
      <c r="I79" s="692"/>
      <c r="J79" s="692"/>
      <c r="K79" s="692"/>
      <c r="L79" s="734"/>
      <c r="M79" s="730"/>
      <c r="N79" s="692"/>
      <c r="O79" s="695"/>
      <c r="Q79" s="690"/>
      <c r="R79" s="623"/>
      <c r="S79" s="213" t="str">
        <f t="array" ref="S79">IFERROR(INDEX('💻シート作成'!$D$6:$D1001, MATCH(T79, '💻シート作成'!$E$6:$E1001, 0)), "")</f>
        <v/>
      </c>
      <c r="T79" s="168"/>
      <c r="U79" s="626"/>
      <c r="V79" s="719"/>
      <c r="W79" s="623"/>
      <c r="X79" s="718"/>
      <c r="Y79" s="623"/>
      <c r="Z79" s="623"/>
    </row>
    <row r="80" hidden="1" outlineLevel="1">
      <c r="A80" s="623"/>
      <c r="B80" s="691"/>
      <c r="C80" s="692"/>
      <c r="D80" s="692"/>
      <c r="E80" s="692"/>
      <c r="F80" s="692"/>
      <c r="G80" s="693"/>
      <c r="H80" s="692"/>
      <c r="I80" s="692"/>
      <c r="J80" s="692"/>
      <c r="K80" s="692"/>
      <c r="L80" s="734"/>
      <c r="M80" s="730"/>
      <c r="N80" s="692"/>
      <c r="O80" s="695"/>
      <c r="Q80" s="690"/>
      <c r="R80" s="623"/>
      <c r="S80" s="213" t="str">
        <f t="array" ref="S80">IFERROR(INDEX('💻シート作成'!$D$6:$D1001, MATCH(T80, '💻シート作成'!$E$6:$E1001, 0)), "")</f>
        <v/>
      </c>
      <c r="T80" s="168"/>
      <c r="U80" s="626"/>
      <c r="V80" s="719"/>
      <c r="W80" s="623"/>
      <c r="X80" s="718"/>
      <c r="Y80" s="623"/>
      <c r="Z80" s="623"/>
    </row>
    <row r="81" hidden="1" outlineLevel="1">
      <c r="A81" s="623"/>
      <c r="B81" s="691"/>
      <c r="C81" s="692"/>
      <c r="D81" s="692"/>
      <c r="E81" s="692"/>
      <c r="F81" s="692"/>
      <c r="G81" s="693"/>
      <c r="H81" s="692"/>
      <c r="I81" s="692"/>
      <c r="J81" s="692"/>
      <c r="K81" s="692"/>
      <c r="L81" s="734"/>
      <c r="M81" s="730"/>
      <c r="N81" s="692"/>
      <c r="O81" s="695"/>
      <c r="Q81" s="690"/>
      <c r="R81" s="623"/>
      <c r="S81" s="213" t="str">
        <f t="array" ref="S81">IFERROR(INDEX('💻シート作成'!$D$6:$D1001, MATCH(T81, '💻シート作成'!$E$6:$E1001, 0)), "")</f>
        <v/>
      </c>
      <c r="T81" s="168"/>
      <c r="U81" s="626"/>
      <c r="V81" s="719"/>
      <c r="W81" s="623"/>
      <c r="X81" s="718"/>
      <c r="Y81" s="623"/>
      <c r="Z81" s="623"/>
    </row>
    <row r="82" hidden="1" outlineLevel="1">
      <c r="A82" s="623"/>
      <c r="B82" s="691"/>
      <c r="C82" s="692"/>
      <c r="D82" s="692"/>
      <c r="E82" s="692"/>
      <c r="F82" s="692"/>
      <c r="G82" s="693"/>
      <c r="H82" s="692"/>
      <c r="I82" s="692"/>
      <c r="J82" s="692"/>
      <c r="K82" s="692"/>
      <c r="L82" s="734"/>
      <c r="M82" s="730"/>
      <c r="N82" s="692"/>
      <c r="O82" s="695"/>
      <c r="Q82" s="690"/>
      <c r="R82" s="623"/>
      <c r="S82" s="213" t="str">
        <f t="array" ref="S82">IFERROR(INDEX('💻シート作成'!$D$6:$D1001, MATCH(T82, '💻シート作成'!$E$6:$E1001, 0)), "")</f>
        <v/>
      </c>
      <c r="T82" s="168"/>
      <c r="U82" s="626"/>
      <c r="V82" s="719"/>
      <c r="W82" s="623"/>
      <c r="X82" s="718"/>
      <c r="Y82" s="623"/>
      <c r="Z82" s="623"/>
    </row>
    <row r="83" hidden="1" outlineLevel="1">
      <c r="A83" s="623"/>
      <c r="B83" s="691"/>
      <c r="C83" s="692"/>
      <c r="D83" s="692"/>
      <c r="E83" s="692"/>
      <c r="F83" s="692"/>
      <c r="G83" s="693"/>
      <c r="H83" s="692"/>
      <c r="I83" s="692"/>
      <c r="J83" s="692"/>
      <c r="K83" s="692"/>
      <c r="L83" s="734"/>
      <c r="M83" s="730"/>
      <c r="N83" s="692"/>
      <c r="O83" s="695"/>
      <c r="Q83" s="690"/>
      <c r="R83" s="623"/>
      <c r="S83" s="213" t="str">
        <f t="array" ref="S83">IFERROR(INDEX('💻シート作成'!$D$6:$D1001, MATCH(T83, '💻シート作成'!$E$6:$E1001, 0)), "")</f>
        <v/>
      </c>
      <c r="T83" s="168"/>
      <c r="U83" s="626"/>
      <c r="V83" s="719"/>
      <c r="W83" s="623"/>
      <c r="X83" s="718"/>
      <c r="Y83" s="623"/>
      <c r="Z83" s="623"/>
    </row>
    <row r="84" hidden="1" outlineLevel="1">
      <c r="A84" s="623"/>
      <c r="B84" s="691"/>
      <c r="C84" s="692"/>
      <c r="D84" s="692"/>
      <c r="E84" s="692"/>
      <c r="F84" s="692"/>
      <c r="G84" s="693"/>
      <c r="H84" s="692"/>
      <c r="I84" s="692"/>
      <c r="J84" s="692"/>
      <c r="K84" s="692"/>
      <c r="L84" s="734"/>
      <c r="M84" s="730"/>
      <c r="N84" s="692"/>
      <c r="O84" s="695"/>
      <c r="Q84" s="690"/>
      <c r="R84" s="623"/>
      <c r="S84" s="213" t="str">
        <f t="array" ref="S84">IFERROR(INDEX('💻シート作成'!$D$6:$D1001, MATCH(T84, '💻シート作成'!$E$6:$E1001, 0)), "")</f>
        <v/>
      </c>
      <c r="T84" s="168"/>
      <c r="U84" s="626"/>
      <c r="V84" s="719"/>
      <c r="W84" s="623"/>
      <c r="X84" s="718"/>
      <c r="Y84" s="623"/>
      <c r="Z84" s="623"/>
    </row>
    <row r="85" hidden="1" outlineLevel="1">
      <c r="A85" s="623"/>
      <c r="B85" s="691"/>
      <c r="C85" s="692"/>
      <c r="D85" s="692"/>
      <c r="E85" s="692"/>
      <c r="F85" s="659"/>
      <c r="G85" s="660"/>
      <c r="H85" s="659"/>
      <c r="I85" s="659"/>
      <c r="J85" s="659"/>
      <c r="K85" s="659"/>
      <c r="L85" s="734"/>
      <c r="M85" s="730"/>
      <c r="N85" s="659"/>
      <c r="O85" s="662"/>
      <c r="P85" s="663"/>
      <c r="Q85" s="699"/>
      <c r="R85" s="623"/>
      <c r="S85" s="213" t="str">
        <f t="array" ref="S85">IFERROR(INDEX('💻シート作成'!$D$6:$D1001, MATCH(T85, '💻シート作成'!$E$6:$E1001, 0)), "")</f>
        <v/>
      </c>
      <c r="T85" s="168"/>
      <c r="U85" s="626"/>
      <c r="V85" s="719"/>
      <c r="W85" s="623"/>
      <c r="X85" s="718"/>
      <c r="Y85" s="623"/>
      <c r="Z85" s="623"/>
    </row>
    <row r="86" hidden="1" outlineLevel="1">
      <c r="A86" s="623"/>
      <c r="B86" s="700"/>
      <c r="C86" s="659"/>
      <c r="D86" s="659"/>
      <c r="E86" s="659"/>
      <c r="F86" s="701" t="s">
        <v>425</v>
      </c>
      <c r="G86" s="702"/>
      <c r="H86" s="703"/>
      <c r="I86" s="703"/>
      <c r="J86" s="703"/>
      <c r="K86" s="703"/>
      <c r="L86" s="702"/>
      <c r="M86" s="702"/>
      <c r="N86" s="702"/>
      <c r="O86" s="702"/>
      <c r="P86" s="702"/>
      <c r="Q86" s="704"/>
      <c r="R86" s="623"/>
      <c r="S86" s="213" t="str">
        <f t="array" ref="S86">IFERROR(INDEX('💻シート作成'!$D$6:$D1001, MATCH(T86, '💻シート作成'!$E$6:$E1001, 0)), "")</f>
        <v/>
      </c>
      <c r="T86" s="168"/>
      <c r="U86" s="626"/>
      <c r="V86" s="719"/>
      <c r="W86" s="623"/>
      <c r="X86" s="718"/>
      <c r="Y86" s="623"/>
      <c r="Z86" s="623"/>
    </row>
    <row r="87" hidden="1" outlineLevel="1">
      <c r="A87" s="623"/>
      <c r="B87" s="705"/>
      <c r="C87" s="706">
        <f>IF(C76="","",IF(DAY(C76+1)=1,"",C76+1))</f>
        <v>46061</v>
      </c>
      <c r="D87" s="707" t="str">
        <f>TEXT(C87,"ddd")</f>
        <v>日</v>
      </c>
      <c r="E87" s="708"/>
      <c r="F87" s="735" t="s">
        <v>422</v>
      </c>
      <c r="G87" s="748"/>
      <c r="H87" s="736"/>
      <c r="I87" s="737">
        <v>0.0</v>
      </c>
      <c r="J87" s="707"/>
      <c r="K87" s="707"/>
      <c r="L87" s="716"/>
      <c r="M87" s="716"/>
      <c r="N87" s="735"/>
      <c r="O87" s="738"/>
      <c r="P87" s="732"/>
      <c r="Q87" s="733"/>
      <c r="R87" s="623"/>
      <c r="S87" s="213" t="str">
        <f t="array" ref="S87">IFERROR(INDEX('💻シート作成'!$D$6:$D1001, MATCH(T87, '💻シート作成'!$E$6:$E1001, 0)), "")</f>
        <v/>
      </c>
      <c r="T87" s="168"/>
      <c r="U87" s="626"/>
      <c r="V87" s="719"/>
      <c r="W87" s="623"/>
      <c r="X87" s="718"/>
      <c r="Y87" s="623"/>
      <c r="Z87" s="623"/>
    </row>
    <row r="88" hidden="1" outlineLevel="1">
      <c r="A88" s="623"/>
      <c r="B88" s="691"/>
      <c r="C88" s="692"/>
      <c r="D88" s="692"/>
      <c r="E88" s="692"/>
      <c r="F88" s="692"/>
      <c r="G88" s="693"/>
      <c r="H88" s="692"/>
      <c r="I88" s="692"/>
      <c r="J88" s="692"/>
      <c r="K88" s="692"/>
      <c r="L88" s="716"/>
      <c r="M88" s="716"/>
      <c r="N88" s="692"/>
      <c r="O88" s="695"/>
      <c r="Q88" s="690"/>
      <c r="R88" s="623"/>
      <c r="S88" s="213" t="str">
        <f t="array" ref="S88">IFERROR(INDEX('💻シート作成'!$D$6:$D1001, MATCH(T88, '💻シート作成'!$E$6:$E1001, 0)), "")</f>
        <v/>
      </c>
      <c r="T88" s="168"/>
      <c r="U88" s="626"/>
      <c r="V88" s="719"/>
      <c r="W88" s="623"/>
      <c r="X88" s="718"/>
      <c r="Y88" s="623"/>
      <c r="Z88" s="623"/>
    </row>
    <row r="89" hidden="1" outlineLevel="1">
      <c r="A89" s="623"/>
      <c r="B89" s="691"/>
      <c r="C89" s="692"/>
      <c r="D89" s="692"/>
      <c r="E89" s="692"/>
      <c r="F89" s="692"/>
      <c r="G89" s="693"/>
      <c r="H89" s="692"/>
      <c r="I89" s="692"/>
      <c r="J89" s="692"/>
      <c r="K89" s="692"/>
      <c r="L89" s="716"/>
      <c r="M89" s="716"/>
      <c r="N89" s="692"/>
      <c r="O89" s="695"/>
      <c r="Q89" s="690"/>
      <c r="R89" s="623"/>
      <c r="S89" s="213" t="str">
        <f t="array" ref="S89">IFERROR(INDEX('💻シート作成'!$D$6:$D1001, MATCH(T89, '💻シート作成'!$E$6:$E1001, 0)), "")</f>
        <v/>
      </c>
      <c r="T89" s="168"/>
      <c r="U89" s="626"/>
      <c r="V89" s="719"/>
      <c r="W89" s="623"/>
      <c r="X89" s="718"/>
      <c r="Y89" s="623"/>
      <c r="Z89" s="623"/>
    </row>
    <row r="90" hidden="1" outlineLevel="1">
      <c r="A90" s="623"/>
      <c r="B90" s="691"/>
      <c r="C90" s="692"/>
      <c r="D90" s="692"/>
      <c r="E90" s="692"/>
      <c r="F90" s="692"/>
      <c r="G90" s="693"/>
      <c r="H90" s="692"/>
      <c r="I90" s="692"/>
      <c r="J90" s="692"/>
      <c r="K90" s="692"/>
      <c r="L90" s="717"/>
      <c r="M90" s="716"/>
      <c r="N90" s="692"/>
      <c r="O90" s="695"/>
      <c r="Q90" s="690"/>
      <c r="R90" s="623"/>
      <c r="S90" s="213" t="str">
        <f t="array" ref="S90">IFERROR(INDEX('💻シート作成'!$D$6:$D1001, MATCH(T90, '💻シート作成'!$E$6:$E1001, 0)), "")</f>
        <v/>
      </c>
      <c r="T90" s="168"/>
      <c r="U90" s="626"/>
      <c r="V90" s="719"/>
      <c r="W90" s="623"/>
      <c r="X90" s="718"/>
      <c r="Y90" s="623"/>
      <c r="Z90" s="623"/>
    </row>
    <row r="91" hidden="1" outlineLevel="1">
      <c r="A91" s="623"/>
      <c r="B91" s="691"/>
      <c r="C91" s="692"/>
      <c r="D91" s="692"/>
      <c r="E91" s="692"/>
      <c r="F91" s="692"/>
      <c r="G91" s="693"/>
      <c r="H91" s="692"/>
      <c r="I91" s="692"/>
      <c r="J91" s="692"/>
      <c r="K91" s="692"/>
      <c r="L91" s="717"/>
      <c r="M91" s="716"/>
      <c r="N91" s="692"/>
      <c r="O91" s="695"/>
      <c r="Q91" s="690"/>
      <c r="R91" s="623"/>
      <c r="S91" s="213" t="str">
        <f t="array" ref="S91">IFERROR(INDEX('💻シート作成'!$D$6:$D1001, MATCH(T91, '💻シート作成'!$E$6:$E1001, 0)), "")</f>
        <v/>
      </c>
      <c r="T91" s="168"/>
      <c r="U91" s="626"/>
      <c r="V91" s="719"/>
      <c r="W91" s="623"/>
      <c r="X91" s="718"/>
      <c r="Y91" s="623"/>
      <c r="Z91" s="623"/>
    </row>
    <row r="92" hidden="1" outlineLevel="1">
      <c r="A92" s="623"/>
      <c r="B92" s="691"/>
      <c r="C92" s="692"/>
      <c r="D92" s="692"/>
      <c r="E92" s="692"/>
      <c r="F92" s="692"/>
      <c r="G92" s="693"/>
      <c r="H92" s="692"/>
      <c r="I92" s="692"/>
      <c r="J92" s="692"/>
      <c r="K92" s="692"/>
      <c r="L92" s="717"/>
      <c r="M92" s="716"/>
      <c r="N92" s="692"/>
      <c r="O92" s="695"/>
      <c r="Q92" s="690"/>
      <c r="R92" s="623"/>
      <c r="S92" s="213" t="str">
        <f t="array" ref="S92">IFERROR(INDEX('💻シート作成'!$D$6:$D1001, MATCH(T92, '💻シート作成'!$E$6:$E1001, 0)), "")</f>
        <v/>
      </c>
      <c r="T92" s="168"/>
      <c r="U92" s="626"/>
      <c r="V92" s="719"/>
      <c r="W92" s="623"/>
      <c r="X92" s="718"/>
      <c r="Y92" s="623"/>
      <c r="Z92" s="623"/>
    </row>
    <row r="93" hidden="1" outlineLevel="1">
      <c r="A93" s="623"/>
      <c r="B93" s="691"/>
      <c r="C93" s="692"/>
      <c r="D93" s="692"/>
      <c r="E93" s="692"/>
      <c r="F93" s="692"/>
      <c r="G93" s="693"/>
      <c r="H93" s="692"/>
      <c r="I93" s="692"/>
      <c r="J93" s="692"/>
      <c r="K93" s="692"/>
      <c r="L93" s="717"/>
      <c r="M93" s="716"/>
      <c r="N93" s="692"/>
      <c r="O93" s="695"/>
      <c r="Q93" s="690"/>
      <c r="R93" s="623"/>
      <c r="S93" s="213" t="str">
        <f t="array" ref="S93">IFERROR(INDEX('💻シート作成'!$D$6:$D1001, MATCH(T93, '💻シート作成'!$E$6:$E1001, 0)), "")</f>
        <v/>
      </c>
      <c r="T93" s="168"/>
      <c r="U93" s="626"/>
      <c r="V93" s="719"/>
      <c r="W93" s="623"/>
      <c r="X93" s="718"/>
      <c r="Y93" s="623"/>
      <c r="Z93" s="623"/>
    </row>
    <row r="94" hidden="1" outlineLevel="1">
      <c r="A94" s="623"/>
      <c r="B94" s="691"/>
      <c r="C94" s="692"/>
      <c r="D94" s="692"/>
      <c r="E94" s="692"/>
      <c r="F94" s="692"/>
      <c r="G94" s="693"/>
      <c r="H94" s="692"/>
      <c r="I94" s="692"/>
      <c r="J94" s="692"/>
      <c r="K94" s="692"/>
      <c r="L94" s="717"/>
      <c r="M94" s="716"/>
      <c r="N94" s="692"/>
      <c r="O94" s="695"/>
      <c r="Q94" s="690"/>
      <c r="R94" s="623"/>
      <c r="S94" s="213" t="str">
        <f t="array" ref="S94">IFERROR(INDEX('💻シート作成'!$D$6:$D1001, MATCH(T94, '💻シート作成'!$E$6:$E1001, 0)), "")</f>
        <v/>
      </c>
      <c r="T94" s="168"/>
      <c r="U94" s="626"/>
      <c r="V94" s="719"/>
      <c r="W94" s="623"/>
      <c r="X94" s="718"/>
      <c r="Y94" s="623"/>
      <c r="Z94" s="623"/>
    </row>
    <row r="95" hidden="1" outlineLevel="1">
      <c r="A95" s="623"/>
      <c r="B95" s="691"/>
      <c r="C95" s="692"/>
      <c r="D95" s="692"/>
      <c r="E95" s="692"/>
      <c r="F95" s="692"/>
      <c r="G95" s="693"/>
      <c r="H95" s="692"/>
      <c r="I95" s="692"/>
      <c r="J95" s="692"/>
      <c r="K95" s="692"/>
      <c r="L95" s="717"/>
      <c r="M95" s="716"/>
      <c r="N95" s="692"/>
      <c r="O95" s="695"/>
      <c r="Q95" s="690"/>
      <c r="R95" s="623"/>
      <c r="S95" s="213" t="str">
        <f t="array" ref="S95">IFERROR(INDEX('💻シート作成'!$D$6:$D1001, MATCH(T95, '💻シート作成'!$E$6:$E1001, 0)), "")</f>
        <v/>
      </c>
      <c r="T95" s="168"/>
      <c r="U95" s="626"/>
      <c r="V95" s="719"/>
      <c r="W95" s="623"/>
      <c r="X95" s="718"/>
      <c r="Y95" s="623"/>
      <c r="Z95" s="623"/>
    </row>
    <row r="96" hidden="1" outlineLevel="1">
      <c r="A96" s="623"/>
      <c r="B96" s="691"/>
      <c r="C96" s="692"/>
      <c r="D96" s="692"/>
      <c r="E96" s="692"/>
      <c r="F96" s="659"/>
      <c r="G96" s="660"/>
      <c r="H96" s="659"/>
      <c r="I96" s="659"/>
      <c r="J96" s="659"/>
      <c r="K96" s="659"/>
      <c r="L96" s="717"/>
      <c r="M96" s="716"/>
      <c r="N96" s="659"/>
      <c r="O96" s="662"/>
      <c r="P96" s="663"/>
      <c r="Q96" s="699"/>
      <c r="R96" s="623"/>
      <c r="S96" s="213" t="str">
        <f t="array" ref="S96">IFERROR(INDEX('💻シート作成'!$D$6:$D1001, MATCH(T96, '💻シート作成'!$E$6:$E1001, 0)), "")</f>
        <v/>
      </c>
      <c r="T96" s="168"/>
      <c r="U96" s="626"/>
      <c r="V96" s="719"/>
      <c r="W96" s="623"/>
      <c r="X96" s="718"/>
      <c r="Y96" s="623"/>
      <c r="Z96" s="623"/>
    </row>
    <row r="97" hidden="1" outlineLevel="1">
      <c r="A97" s="623"/>
      <c r="B97" s="700"/>
      <c r="C97" s="659"/>
      <c r="D97" s="659"/>
      <c r="E97" s="659"/>
      <c r="F97" s="720" t="s">
        <v>425</v>
      </c>
      <c r="G97" s="721"/>
      <c r="H97" s="703"/>
      <c r="I97" s="703"/>
      <c r="J97" s="703"/>
      <c r="K97" s="703"/>
      <c r="L97" s="721"/>
      <c r="M97" s="721"/>
      <c r="N97" s="721"/>
      <c r="O97" s="721"/>
      <c r="P97" s="721"/>
      <c r="Q97" s="722"/>
      <c r="R97" s="623"/>
      <c r="S97" s="213" t="str">
        <f t="array" ref="S97">IFERROR(INDEX('💻シート作成'!$D$6:$D1001, MATCH(T97, '💻シート作成'!$E$6:$E1001, 0)), "")</f>
        <v/>
      </c>
      <c r="T97" s="168"/>
      <c r="U97" s="626"/>
      <c r="V97" s="719"/>
      <c r="W97" s="623"/>
      <c r="X97" s="718"/>
      <c r="Y97" s="623"/>
      <c r="Z97" s="623"/>
    </row>
    <row r="98" hidden="1" outlineLevel="1">
      <c r="A98" s="623"/>
      <c r="B98" s="723"/>
      <c r="C98" s="724">
        <f>IF(C87="","",IF(DAY(C87+1)=1,"",C87+1))</f>
        <v>46062</v>
      </c>
      <c r="D98" s="725" t="str">
        <f>TEXT(C98,"ddd")</f>
        <v>月</v>
      </c>
      <c r="E98" s="726"/>
      <c r="F98" s="727" t="s">
        <v>422</v>
      </c>
      <c r="G98" s="749"/>
      <c r="H98" s="728"/>
      <c r="I98" s="729">
        <v>0.0</v>
      </c>
      <c r="J98" s="725"/>
      <c r="K98" s="725"/>
      <c r="L98" s="730"/>
      <c r="M98" s="730"/>
      <c r="N98" s="727"/>
      <c r="O98" s="731"/>
      <c r="P98" s="732"/>
      <c r="Q98" s="733"/>
      <c r="R98" s="623"/>
      <c r="S98" s="213" t="str">
        <f t="array" ref="S98">IFERROR(INDEX('💻シート作成'!$D$6:$D1001, MATCH(T98, '💻シート作成'!$E$6:$E1001, 0)), "")</f>
        <v/>
      </c>
      <c r="T98" s="168"/>
      <c r="U98" s="626"/>
      <c r="V98" s="719"/>
      <c r="W98" s="623"/>
      <c r="X98" s="718"/>
      <c r="Y98" s="623"/>
      <c r="Z98" s="623"/>
    </row>
    <row r="99" hidden="1" outlineLevel="1">
      <c r="A99" s="623"/>
      <c r="B99" s="691"/>
      <c r="C99" s="692"/>
      <c r="D99" s="692"/>
      <c r="E99" s="692"/>
      <c r="F99" s="692"/>
      <c r="G99" s="693"/>
      <c r="H99" s="692"/>
      <c r="I99" s="692"/>
      <c r="J99" s="692"/>
      <c r="K99" s="692"/>
      <c r="L99" s="730"/>
      <c r="M99" s="730"/>
      <c r="N99" s="692"/>
      <c r="O99" s="695"/>
      <c r="Q99" s="690"/>
      <c r="R99" s="623"/>
      <c r="S99" s="213" t="str">
        <f t="array" ref="S99">IFERROR(INDEX('💻シート作成'!$D$6:$D1001, MATCH(T99, '💻シート作成'!$E$6:$E1001, 0)), "")</f>
        <v/>
      </c>
      <c r="T99" s="168"/>
      <c r="U99" s="626"/>
      <c r="V99" s="719"/>
      <c r="W99" s="623"/>
      <c r="X99" s="718"/>
      <c r="Y99" s="623"/>
      <c r="Z99" s="623"/>
    </row>
    <row r="100" hidden="1" outlineLevel="1">
      <c r="A100" s="623"/>
      <c r="B100" s="691"/>
      <c r="C100" s="692"/>
      <c r="D100" s="692"/>
      <c r="E100" s="692"/>
      <c r="F100" s="692"/>
      <c r="G100" s="693"/>
      <c r="H100" s="692"/>
      <c r="I100" s="692"/>
      <c r="J100" s="692"/>
      <c r="K100" s="692"/>
      <c r="L100" s="730"/>
      <c r="M100" s="730"/>
      <c r="N100" s="692"/>
      <c r="O100" s="695"/>
      <c r="Q100" s="690"/>
      <c r="R100" s="623"/>
      <c r="S100" s="213" t="str">
        <f t="array" ref="S100">IFERROR(INDEX('💻シート作成'!$D$6:$D1001, MATCH(T100, '💻シート作成'!$E$6:$E1001, 0)), "")</f>
        <v/>
      </c>
      <c r="T100" s="168"/>
      <c r="U100" s="626"/>
      <c r="V100" s="719"/>
      <c r="W100" s="623"/>
      <c r="X100" s="718"/>
      <c r="Y100" s="623"/>
      <c r="Z100" s="623"/>
    </row>
    <row r="101" hidden="1" outlineLevel="1">
      <c r="A101" s="623"/>
      <c r="B101" s="691"/>
      <c r="C101" s="692"/>
      <c r="D101" s="692"/>
      <c r="E101" s="692"/>
      <c r="F101" s="692"/>
      <c r="G101" s="693"/>
      <c r="H101" s="692"/>
      <c r="I101" s="692"/>
      <c r="J101" s="692"/>
      <c r="K101" s="692"/>
      <c r="L101" s="734"/>
      <c r="M101" s="730"/>
      <c r="N101" s="692"/>
      <c r="O101" s="695"/>
      <c r="Q101" s="690"/>
      <c r="R101" s="623"/>
      <c r="S101" s="213" t="str">
        <f t="array" ref="S101">IFERROR(INDEX('💻シート作成'!$D$6:$D1001, MATCH(T101, '💻シート作成'!$E$6:$E1001, 0)), "")</f>
        <v/>
      </c>
      <c r="T101" s="168"/>
      <c r="U101" s="626"/>
      <c r="V101" s="719"/>
      <c r="W101" s="623"/>
      <c r="X101" s="718"/>
      <c r="Y101" s="623"/>
      <c r="Z101" s="623"/>
    </row>
    <row r="102" hidden="1" outlineLevel="1">
      <c r="A102" s="623"/>
      <c r="B102" s="691"/>
      <c r="C102" s="692"/>
      <c r="D102" s="692"/>
      <c r="E102" s="692"/>
      <c r="F102" s="692"/>
      <c r="G102" s="693"/>
      <c r="H102" s="692"/>
      <c r="I102" s="692"/>
      <c r="J102" s="692"/>
      <c r="K102" s="692"/>
      <c r="L102" s="734"/>
      <c r="M102" s="730"/>
      <c r="N102" s="692"/>
      <c r="O102" s="695"/>
      <c r="Q102" s="690"/>
      <c r="R102" s="623"/>
      <c r="S102" s="213" t="str">
        <f t="array" ref="S102">IFERROR(INDEX('💻シート作成'!$D$6:$D1001, MATCH(T102, '💻シート作成'!$E$6:$E1001, 0)), "")</f>
        <v/>
      </c>
      <c r="T102" s="168"/>
      <c r="U102" s="626"/>
      <c r="V102" s="719"/>
      <c r="W102" s="623"/>
      <c r="X102" s="718"/>
      <c r="Y102" s="623"/>
      <c r="Z102" s="623"/>
    </row>
    <row r="103" hidden="1" outlineLevel="1">
      <c r="A103" s="623"/>
      <c r="B103" s="691"/>
      <c r="C103" s="692"/>
      <c r="D103" s="692"/>
      <c r="E103" s="692"/>
      <c r="F103" s="692"/>
      <c r="G103" s="693"/>
      <c r="H103" s="692"/>
      <c r="I103" s="692"/>
      <c r="J103" s="692"/>
      <c r="K103" s="692"/>
      <c r="L103" s="734"/>
      <c r="M103" s="730"/>
      <c r="N103" s="692"/>
      <c r="O103" s="695"/>
      <c r="Q103" s="690"/>
      <c r="R103" s="623"/>
      <c r="S103" s="213" t="str">
        <f t="array" ref="S103">IFERROR(INDEX('💻シート作成'!$D$6:$D1001, MATCH(T103, '💻シート作成'!$E$6:$E1001, 0)), "")</f>
        <v/>
      </c>
      <c r="T103" s="168"/>
      <c r="U103" s="626"/>
      <c r="V103" s="719"/>
      <c r="W103" s="623"/>
      <c r="X103" s="718"/>
      <c r="Y103" s="623"/>
      <c r="Z103" s="623"/>
    </row>
    <row r="104" hidden="1" outlineLevel="1">
      <c r="A104" s="623"/>
      <c r="B104" s="691"/>
      <c r="C104" s="692"/>
      <c r="D104" s="692"/>
      <c r="E104" s="692"/>
      <c r="F104" s="692"/>
      <c r="G104" s="693"/>
      <c r="H104" s="692"/>
      <c r="I104" s="692"/>
      <c r="J104" s="692"/>
      <c r="K104" s="692"/>
      <c r="L104" s="734"/>
      <c r="M104" s="730"/>
      <c r="N104" s="692"/>
      <c r="O104" s="695"/>
      <c r="Q104" s="690"/>
      <c r="R104" s="623"/>
      <c r="S104" s="213" t="str">
        <f t="array" ref="S104">IFERROR(INDEX('💻シート作成'!$D$6:$D1001, MATCH(T104, '💻シート作成'!$E$6:$E1001, 0)), "")</f>
        <v/>
      </c>
      <c r="T104" s="168"/>
      <c r="U104" s="626"/>
      <c r="V104" s="719"/>
      <c r="W104" s="623"/>
      <c r="X104" s="718"/>
      <c r="Y104" s="623"/>
      <c r="Z104" s="623"/>
    </row>
    <row r="105" hidden="1" outlineLevel="1">
      <c r="A105" s="623"/>
      <c r="B105" s="691"/>
      <c r="C105" s="692"/>
      <c r="D105" s="692"/>
      <c r="E105" s="692"/>
      <c r="F105" s="692"/>
      <c r="G105" s="693"/>
      <c r="H105" s="692"/>
      <c r="I105" s="692"/>
      <c r="J105" s="692"/>
      <c r="K105" s="692"/>
      <c r="L105" s="734"/>
      <c r="M105" s="730"/>
      <c r="N105" s="692"/>
      <c r="O105" s="695"/>
      <c r="Q105" s="690"/>
      <c r="R105" s="623"/>
      <c r="S105" s="213" t="str">
        <f t="array" ref="S105">IFERROR(INDEX('💻シート作成'!$D$6:$D1001, MATCH(T105, '💻シート作成'!$E$6:$E1001, 0)), "")</f>
        <v/>
      </c>
      <c r="T105" s="168"/>
      <c r="U105" s="626"/>
      <c r="V105" s="719"/>
      <c r="W105" s="623"/>
      <c r="X105" s="718"/>
      <c r="Y105" s="623"/>
      <c r="Z105" s="623"/>
    </row>
    <row r="106" hidden="1" outlineLevel="1">
      <c r="A106" s="623"/>
      <c r="B106" s="691"/>
      <c r="C106" s="692"/>
      <c r="D106" s="692"/>
      <c r="E106" s="692"/>
      <c r="F106" s="692"/>
      <c r="G106" s="693"/>
      <c r="H106" s="692"/>
      <c r="I106" s="692"/>
      <c r="J106" s="692"/>
      <c r="K106" s="692"/>
      <c r="L106" s="734"/>
      <c r="M106" s="730"/>
      <c r="N106" s="692"/>
      <c r="O106" s="695"/>
      <c r="Q106" s="690"/>
      <c r="R106" s="623"/>
      <c r="S106" s="213" t="str">
        <f t="array" ref="S106">IFERROR(INDEX('💻シート作成'!$D$6:$D1001, MATCH(T106, '💻シート作成'!$E$6:$E1001, 0)), "")</f>
        <v/>
      </c>
      <c r="T106" s="168"/>
      <c r="U106" s="626"/>
      <c r="V106" s="719"/>
      <c r="W106" s="623"/>
      <c r="X106" s="718"/>
      <c r="Y106" s="623"/>
      <c r="Z106" s="623"/>
    </row>
    <row r="107" hidden="1" outlineLevel="1">
      <c r="A107" s="623"/>
      <c r="B107" s="691"/>
      <c r="C107" s="692"/>
      <c r="D107" s="692"/>
      <c r="E107" s="692"/>
      <c r="F107" s="659"/>
      <c r="G107" s="660"/>
      <c r="H107" s="659"/>
      <c r="I107" s="659"/>
      <c r="J107" s="659"/>
      <c r="K107" s="659"/>
      <c r="L107" s="734"/>
      <c r="M107" s="730"/>
      <c r="N107" s="659"/>
      <c r="O107" s="662"/>
      <c r="P107" s="663"/>
      <c r="Q107" s="699"/>
      <c r="R107" s="623"/>
      <c r="S107" s="213" t="str">
        <f t="array" ref="S107">IFERROR(INDEX('💻シート作成'!$D$6:$D1001, MATCH(T107, '💻シート作成'!$E$6:$E1001, 0)), "")</f>
        <v/>
      </c>
      <c r="T107" s="168"/>
      <c r="U107" s="626"/>
      <c r="V107" s="719"/>
      <c r="W107" s="623"/>
      <c r="X107" s="718"/>
      <c r="Y107" s="623"/>
      <c r="Z107" s="623"/>
    </row>
    <row r="108" hidden="1" outlineLevel="1">
      <c r="A108" s="623"/>
      <c r="B108" s="700"/>
      <c r="C108" s="659"/>
      <c r="D108" s="659"/>
      <c r="E108" s="659"/>
      <c r="F108" s="701" t="s">
        <v>425</v>
      </c>
      <c r="G108" s="702"/>
      <c r="H108" s="703"/>
      <c r="I108" s="703"/>
      <c r="J108" s="703"/>
      <c r="K108" s="703"/>
      <c r="L108" s="702"/>
      <c r="M108" s="702"/>
      <c r="N108" s="702"/>
      <c r="O108" s="702"/>
      <c r="P108" s="702"/>
      <c r="Q108" s="704"/>
      <c r="R108" s="623"/>
      <c r="S108" s="213" t="str">
        <f t="array" ref="S108">IFERROR(INDEX('💻シート作成'!$D$6:$D1001, MATCH(T108, '💻シート作成'!$E$6:$E1001, 0)), "")</f>
        <v/>
      </c>
      <c r="T108" s="170"/>
      <c r="U108" s="626"/>
      <c r="V108" s="719"/>
      <c r="W108" s="623"/>
      <c r="X108" s="718"/>
      <c r="Y108" s="623"/>
      <c r="Z108" s="623"/>
    </row>
    <row r="109" hidden="1" outlineLevel="1">
      <c r="A109" s="623"/>
      <c r="B109" s="705"/>
      <c r="C109" s="706">
        <f>IF(C98="","",IF(DAY(C98+1)=1,"",C98+1))</f>
        <v>46063</v>
      </c>
      <c r="D109" s="707" t="str">
        <f>TEXT(C109,"ddd")</f>
        <v>火</v>
      </c>
      <c r="E109" s="708"/>
      <c r="F109" s="735" t="s">
        <v>422</v>
      </c>
      <c r="G109" s="748"/>
      <c r="H109" s="736"/>
      <c r="I109" s="737">
        <v>0.0</v>
      </c>
      <c r="J109" s="707"/>
      <c r="K109" s="707"/>
      <c r="L109" s="716"/>
      <c r="M109" s="716"/>
      <c r="N109" s="735"/>
      <c r="O109" s="738"/>
      <c r="P109" s="732"/>
      <c r="Q109" s="733"/>
      <c r="R109" s="623"/>
      <c r="S109" s="213" t="str">
        <f t="array" ref="S109">IFERROR(INDEX('💻シート作成'!$D$6:$D1001, MATCH(T109, '💻シート作成'!$E$6:$E1001, 0)), "")</f>
        <v/>
      </c>
      <c r="T109" s="168"/>
      <c r="U109" s="626"/>
      <c r="V109" s="719"/>
      <c r="W109" s="623"/>
      <c r="X109" s="718"/>
      <c r="Y109" s="623"/>
      <c r="Z109" s="623"/>
    </row>
    <row r="110" hidden="1" outlineLevel="1">
      <c r="A110" s="623"/>
      <c r="B110" s="691"/>
      <c r="C110" s="692"/>
      <c r="D110" s="692"/>
      <c r="E110" s="692"/>
      <c r="F110" s="692"/>
      <c r="G110" s="693"/>
      <c r="H110" s="692"/>
      <c r="I110" s="692"/>
      <c r="J110" s="692"/>
      <c r="K110" s="692"/>
      <c r="L110" s="716"/>
      <c r="M110" s="716"/>
      <c r="N110" s="692"/>
      <c r="O110" s="695"/>
      <c r="Q110" s="690"/>
      <c r="R110" s="623"/>
      <c r="S110" s="213" t="str">
        <f t="array" ref="S110">IFERROR(INDEX('💻シート作成'!$D$6:$D1001, MATCH(T110, '💻シート作成'!$E$6:$E1001, 0)), "")</f>
        <v/>
      </c>
      <c r="T110" s="170"/>
      <c r="U110" s="626"/>
      <c r="V110" s="719"/>
      <c r="W110" s="623"/>
      <c r="X110" s="718"/>
      <c r="Y110" s="623"/>
      <c r="Z110" s="623"/>
    </row>
    <row r="111" hidden="1" outlineLevel="1">
      <c r="A111" s="623"/>
      <c r="B111" s="691"/>
      <c r="C111" s="692"/>
      <c r="D111" s="692"/>
      <c r="E111" s="692"/>
      <c r="F111" s="692"/>
      <c r="G111" s="693"/>
      <c r="H111" s="692"/>
      <c r="I111" s="692"/>
      <c r="J111" s="692"/>
      <c r="K111" s="692"/>
      <c r="L111" s="716"/>
      <c r="M111" s="716"/>
      <c r="N111" s="692"/>
      <c r="O111" s="695"/>
      <c r="Q111" s="690"/>
      <c r="R111" s="623"/>
      <c r="S111" s="213" t="str">
        <f t="array" ref="S111">IFERROR(INDEX('💻シート作成'!$D$6:$D1001, MATCH(T111, '💻シート作成'!$E$6:$E1001, 0)), "")</f>
        <v/>
      </c>
      <c r="T111" s="170"/>
      <c r="U111" s="626"/>
      <c r="V111" s="719"/>
      <c r="W111" s="623"/>
      <c r="X111" s="718"/>
      <c r="Y111" s="623"/>
      <c r="Z111" s="623"/>
    </row>
    <row r="112" hidden="1" outlineLevel="1">
      <c r="A112" s="623"/>
      <c r="B112" s="691"/>
      <c r="C112" s="692"/>
      <c r="D112" s="692"/>
      <c r="E112" s="692"/>
      <c r="F112" s="692"/>
      <c r="G112" s="693"/>
      <c r="H112" s="692"/>
      <c r="I112" s="692"/>
      <c r="J112" s="692"/>
      <c r="K112" s="692"/>
      <c r="L112" s="717"/>
      <c r="M112" s="716"/>
      <c r="N112" s="692"/>
      <c r="O112" s="695"/>
      <c r="Q112" s="690"/>
      <c r="R112" s="623"/>
      <c r="S112" s="213" t="str">
        <f t="array" ref="S112">IFERROR(INDEX('💻シート作成'!$D$6:$D1001, MATCH(T112, '💻シート作成'!$E$6:$E1001, 0)), "")</f>
        <v/>
      </c>
      <c r="T112" s="170"/>
      <c r="U112" s="626"/>
      <c r="V112" s="719"/>
      <c r="W112" s="623"/>
      <c r="X112" s="718"/>
      <c r="Y112" s="623"/>
      <c r="Z112" s="623"/>
    </row>
    <row r="113" hidden="1" outlineLevel="1">
      <c r="A113" s="623"/>
      <c r="B113" s="691"/>
      <c r="C113" s="692"/>
      <c r="D113" s="692"/>
      <c r="E113" s="692"/>
      <c r="F113" s="692"/>
      <c r="G113" s="693"/>
      <c r="H113" s="692"/>
      <c r="I113" s="692"/>
      <c r="J113" s="692"/>
      <c r="K113" s="692"/>
      <c r="L113" s="717"/>
      <c r="M113" s="716"/>
      <c r="N113" s="692"/>
      <c r="O113" s="695"/>
      <c r="Q113" s="690"/>
      <c r="R113" s="623"/>
      <c r="S113" s="213" t="str">
        <f t="array" ref="S113">IFERROR(INDEX('💻シート作成'!$D$6:$D1001, MATCH(T113, '💻シート作成'!$E$6:$E1001, 0)), "")</f>
        <v/>
      </c>
      <c r="T113" s="170"/>
      <c r="U113" s="626"/>
      <c r="V113" s="719"/>
      <c r="W113" s="623"/>
      <c r="X113" s="718"/>
      <c r="Y113" s="623"/>
      <c r="Z113" s="623"/>
    </row>
    <row r="114" hidden="1" outlineLevel="1">
      <c r="A114" s="623"/>
      <c r="B114" s="691"/>
      <c r="C114" s="692"/>
      <c r="D114" s="692"/>
      <c r="E114" s="692"/>
      <c r="F114" s="692"/>
      <c r="G114" s="693"/>
      <c r="H114" s="692"/>
      <c r="I114" s="692"/>
      <c r="J114" s="692"/>
      <c r="K114" s="692"/>
      <c r="L114" s="717"/>
      <c r="M114" s="716"/>
      <c r="N114" s="692"/>
      <c r="O114" s="695"/>
      <c r="Q114" s="690"/>
      <c r="R114" s="623"/>
      <c r="S114" s="213" t="str">
        <f t="array" ref="S114">IFERROR(INDEX('💻シート作成'!$D$6:$D1001, MATCH(T114, '💻シート作成'!$E$6:$E1001, 0)), "")</f>
        <v/>
      </c>
      <c r="T114" s="170"/>
      <c r="U114" s="626"/>
      <c r="V114" s="719"/>
      <c r="W114" s="623"/>
      <c r="X114" s="718"/>
      <c r="Y114" s="623"/>
      <c r="Z114" s="623"/>
    </row>
    <row r="115" hidden="1" outlineLevel="1">
      <c r="A115" s="623"/>
      <c r="B115" s="691"/>
      <c r="C115" s="692"/>
      <c r="D115" s="692"/>
      <c r="E115" s="692"/>
      <c r="F115" s="692"/>
      <c r="G115" s="693"/>
      <c r="H115" s="692"/>
      <c r="I115" s="692"/>
      <c r="J115" s="692"/>
      <c r="K115" s="692"/>
      <c r="L115" s="717"/>
      <c r="M115" s="716"/>
      <c r="N115" s="692"/>
      <c r="O115" s="695"/>
      <c r="Q115" s="690"/>
      <c r="R115" s="623"/>
      <c r="S115" s="213" t="str">
        <f t="array" ref="S115">IFERROR(INDEX('💻シート作成'!$D$6:$D1001, MATCH(T115, '💻シート作成'!$E$6:$E1001, 0)), "")</f>
        <v/>
      </c>
      <c r="T115" s="170"/>
      <c r="U115" s="626"/>
      <c r="V115" s="719"/>
      <c r="W115" s="623"/>
      <c r="X115" s="718"/>
      <c r="Y115" s="623"/>
      <c r="Z115" s="623"/>
    </row>
    <row r="116" hidden="1" outlineLevel="1">
      <c r="A116" s="623"/>
      <c r="B116" s="691"/>
      <c r="C116" s="692"/>
      <c r="D116" s="692"/>
      <c r="E116" s="692"/>
      <c r="F116" s="692"/>
      <c r="G116" s="693"/>
      <c r="H116" s="692"/>
      <c r="I116" s="692"/>
      <c r="J116" s="692"/>
      <c r="K116" s="692"/>
      <c r="L116" s="717"/>
      <c r="M116" s="716"/>
      <c r="N116" s="692"/>
      <c r="O116" s="695"/>
      <c r="Q116" s="690"/>
      <c r="R116" s="623"/>
      <c r="S116" s="213" t="str">
        <f t="array" ref="S116">IFERROR(INDEX('💻シート作成'!$D$6:$D1001, MATCH(T116, '💻シート作成'!$E$6:$E1001, 0)), "")</f>
        <v/>
      </c>
      <c r="T116" s="170"/>
      <c r="U116" s="626"/>
      <c r="V116" s="719"/>
      <c r="W116" s="623"/>
      <c r="X116" s="718"/>
      <c r="Y116" s="623"/>
      <c r="Z116" s="623"/>
    </row>
    <row r="117" hidden="1" outlineLevel="1">
      <c r="A117" s="623"/>
      <c r="B117" s="691"/>
      <c r="C117" s="692"/>
      <c r="D117" s="692"/>
      <c r="E117" s="692"/>
      <c r="F117" s="692"/>
      <c r="G117" s="693"/>
      <c r="H117" s="692"/>
      <c r="I117" s="692"/>
      <c r="J117" s="692"/>
      <c r="K117" s="692"/>
      <c r="L117" s="717"/>
      <c r="M117" s="716"/>
      <c r="N117" s="692"/>
      <c r="O117" s="695"/>
      <c r="Q117" s="690"/>
      <c r="R117" s="623"/>
      <c r="S117" s="213" t="str">
        <f t="array" ref="S117">IFERROR(INDEX('💻シート作成'!$D$6:$D1001, MATCH(T117, '💻シート作成'!$E$6:$E1001, 0)), "")</f>
        <v/>
      </c>
      <c r="T117" s="170"/>
      <c r="U117" s="626"/>
      <c r="V117" s="719"/>
      <c r="W117" s="623"/>
      <c r="X117" s="718"/>
      <c r="Y117" s="623"/>
      <c r="Z117" s="623"/>
    </row>
    <row r="118" hidden="1" outlineLevel="1">
      <c r="A118" s="623"/>
      <c r="B118" s="691"/>
      <c r="C118" s="692"/>
      <c r="D118" s="692"/>
      <c r="E118" s="692"/>
      <c r="F118" s="659"/>
      <c r="G118" s="660"/>
      <c r="H118" s="659"/>
      <c r="I118" s="659"/>
      <c r="J118" s="659"/>
      <c r="K118" s="659"/>
      <c r="L118" s="717"/>
      <c r="M118" s="716"/>
      <c r="N118" s="659"/>
      <c r="O118" s="662"/>
      <c r="P118" s="663"/>
      <c r="Q118" s="699"/>
      <c r="R118" s="623"/>
      <c r="S118" s="213" t="str">
        <f t="array" ref="S118">IFERROR(INDEX('💻シート作成'!$D$6:$D1001, MATCH(T118, '💻シート作成'!$E$6:$E1001, 0)), "")</f>
        <v/>
      </c>
      <c r="T118" s="170"/>
      <c r="U118" s="626"/>
      <c r="V118" s="719"/>
      <c r="W118" s="623"/>
      <c r="X118" s="718"/>
      <c r="Y118" s="623"/>
      <c r="Z118" s="623"/>
    </row>
    <row r="119" hidden="1" outlineLevel="1">
      <c r="A119" s="623"/>
      <c r="B119" s="700"/>
      <c r="C119" s="659"/>
      <c r="D119" s="659"/>
      <c r="E119" s="659"/>
      <c r="F119" s="720" t="s">
        <v>425</v>
      </c>
      <c r="G119" s="721"/>
      <c r="H119" s="703"/>
      <c r="I119" s="703"/>
      <c r="J119" s="703"/>
      <c r="K119" s="703"/>
      <c r="L119" s="721"/>
      <c r="M119" s="721"/>
      <c r="N119" s="721"/>
      <c r="O119" s="721"/>
      <c r="P119" s="721"/>
      <c r="Q119" s="722"/>
      <c r="R119" s="623"/>
      <c r="S119" s="213" t="str">
        <f t="array" ref="S119">IFERROR(INDEX('💻シート作成'!$D$6:$D1001, MATCH(T119, '💻シート作成'!$E$6:$E1001, 0)), "")</f>
        <v/>
      </c>
      <c r="T119" s="170"/>
      <c r="U119" s="626"/>
      <c r="V119" s="719"/>
      <c r="W119" s="623"/>
      <c r="X119" s="718"/>
      <c r="Y119" s="623"/>
      <c r="Z119" s="623"/>
    </row>
    <row r="120" collapsed="1">
      <c r="A120" s="623"/>
      <c r="B120" s="739" t="s">
        <v>435</v>
      </c>
      <c r="C120" s="740"/>
      <c r="D120" s="740"/>
      <c r="E120" s="740"/>
      <c r="F120" s="741"/>
      <c r="G120" s="742"/>
      <c r="H120" s="743"/>
      <c r="I120" s="743"/>
      <c r="J120" s="744"/>
      <c r="K120" s="744"/>
      <c r="L120" s="742"/>
      <c r="M120" s="742"/>
      <c r="N120" s="745"/>
      <c r="O120" s="746"/>
      <c r="P120" s="746"/>
      <c r="Q120" s="747"/>
      <c r="R120" s="623"/>
      <c r="S120" s="213" t="str">
        <f t="array" ref="S120">IFERROR(INDEX('💻シート作成'!$D$6:$D1001, MATCH(T120, '💻シート作成'!$E$6:$E1001, 0)), "")</f>
        <v/>
      </c>
      <c r="T120" s="170"/>
      <c r="U120" s="626"/>
      <c r="V120" s="719"/>
      <c r="W120" s="623"/>
      <c r="X120" s="718"/>
      <c r="Y120" s="623"/>
      <c r="Z120" s="623"/>
    </row>
    <row r="121" hidden="1" outlineLevel="1">
      <c r="A121" s="623"/>
      <c r="B121" s="723"/>
      <c r="C121" s="724">
        <f>IF(C109="","",IF(DAY(C109+1)=1,"",C109+1))</f>
        <v>46064</v>
      </c>
      <c r="D121" s="725" t="str">
        <f>TEXT(C121,"ddd")</f>
        <v>水</v>
      </c>
      <c r="E121" s="726"/>
      <c r="F121" s="727" t="s">
        <v>422</v>
      </c>
      <c r="G121" s="749"/>
      <c r="H121" s="728"/>
      <c r="I121" s="729">
        <v>0.0</v>
      </c>
      <c r="J121" s="725"/>
      <c r="K121" s="725"/>
      <c r="L121" s="730"/>
      <c r="M121" s="730"/>
      <c r="N121" s="727"/>
      <c r="O121" s="731"/>
      <c r="P121" s="732"/>
      <c r="Q121" s="733"/>
      <c r="R121" s="623"/>
      <c r="S121" s="213" t="str">
        <f t="array" ref="S121">IFERROR(INDEX('💻シート作成'!$D$6:$D1001, MATCH(T121, '💻シート作成'!$E$6:$E1001, 0)), "")</f>
        <v/>
      </c>
      <c r="T121" s="170"/>
      <c r="U121" s="626"/>
      <c r="V121" s="719"/>
      <c r="W121" s="623"/>
      <c r="X121" s="718"/>
      <c r="Y121" s="623"/>
      <c r="Z121" s="623"/>
    </row>
    <row r="122" hidden="1" outlineLevel="1">
      <c r="A122" s="623"/>
      <c r="B122" s="691"/>
      <c r="C122" s="692"/>
      <c r="D122" s="692"/>
      <c r="E122" s="692"/>
      <c r="F122" s="692"/>
      <c r="G122" s="693"/>
      <c r="H122" s="692"/>
      <c r="I122" s="692"/>
      <c r="J122" s="692"/>
      <c r="K122" s="692"/>
      <c r="L122" s="730"/>
      <c r="M122" s="730"/>
      <c r="N122" s="692"/>
      <c r="O122" s="695"/>
      <c r="Q122" s="690"/>
      <c r="R122" s="623"/>
      <c r="S122" s="213" t="str">
        <f t="array" ref="S122">IFERROR(INDEX('💻シート作成'!$D$6:$D1001, MATCH(T122, '💻シート作成'!$E$6:$E1001, 0)), "")</f>
        <v/>
      </c>
      <c r="T122" s="170"/>
      <c r="U122" s="626"/>
      <c r="V122" s="719"/>
      <c r="W122" s="623"/>
      <c r="X122" s="718"/>
      <c r="Y122" s="623"/>
      <c r="Z122" s="623"/>
    </row>
    <row r="123" hidden="1" outlineLevel="1">
      <c r="A123" s="623"/>
      <c r="B123" s="691"/>
      <c r="C123" s="692"/>
      <c r="D123" s="692"/>
      <c r="E123" s="692"/>
      <c r="F123" s="692"/>
      <c r="G123" s="693"/>
      <c r="H123" s="692"/>
      <c r="I123" s="692"/>
      <c r="J123" s="692"/>
      <c r="K123" s="692"/>
      <c r="L123" s="730"/>
      <c r="M123" s="730"/>
      <c r="N123" s="692"/>
      <c r="O123" s="695"/>
      <c r="Q123" s="690"/>
      <c r="R123" s="623"/>
      <c r="S123" s="213" t="str">
        <f t="array" ref="S123">IFERROR(INDEX('💻シート作成'!$D$6:$D1001, MATCH(T123, '💻シート作成'!$E$6:$E1001, 0)), "")</f>
        <v/>
      </c>
      <c r="T123" s="170"/>
      <c r="U123" s="626"/>
      <c r="V123" s="719"/>
      <c r="W123" s="623"/>
      <c r="X123" s="718"/>
      <c r="Y123" s="623"/>
      <c r="Z123" s="623"/>
    </row>
    <row r="124" hidden="1" outlineLevel="1">
      <c r="A124" s="623"/>
      <c r="B124" s="691"/>
      <c r="C124" s="692"/>
      <c r="D124" s="692"/>
      <c r="E124" s="692"/>
      <c r="F124" s="692"/>
      <c r="G124" s="693"/>
      <c r="H124" s="692"/>
      <c r="I124" s="692"/>
      <c r="J124" s="692"/>
      <c r="K124" s="692"/>
      <c r="L124" s="734"/>
      <c r="M124" s="730"/>
      <c r="N124" s="692"/>
      <c r="O124" s="695"/>
      <c r="Q124" s="690"/>
      <c r="R124" s="623"/>
      <c r="S124" s="213" t="str">
        <f t="array" ref="S124">IFERROR(INDEX('💻シート作成'!$D$6:$D1001, MATCH(T124, '💻シート作成'!$E$6:$E1001, 0)), "")</f>
        <v/>
      </c>
      <c r="T124" s="170"/>
      <c r="U124" s="626"/>
      <c r="V124" s="719"/>
      <c r="W124" s="623"/>
      <c r="X124" s="718"/>
      <c r="Y124" s="623"/>
      <c r="Z124" s="623"/>
    </row>
    <row r="125" hidden="1" outlineLevel="1">
      <c r="A125" s="623"/>
      <c r="B125" s="691"/>
      <c r="C125" s="692"/>
      <c r="D125" s="692"/>
      <c r="E125" s="692"/>
      <c r="F125" s="692"/>
      <c r="G125" s="693"/>
      <c r="H125" s="692"/>
      <c r="I125" s="692"/>
      <c r="J125" s="692"/>
      <c r="K125" s="692"/>
      <c r="L125" s="734"/>
      <c r="M125" s="730"/>
      <c r="N125" s="692"/>
      <c r="O125" s="695"/>
      <c r="Q125" s="690"/>
      <c r="R125" s="623"/>
      <c r="S125" s="213" t="str">
        <f t="array" ref="S125">IFERROR(INDEX('💻シート作成'!$D$6:$D1001, MATCH(T125, '💻シート作成'!$E$6:$E1001, 0)), "")</f>
        <v/>
      </c>
      <c r="T125" s="170"/>
      <c r="U125" s="626"/>
      <c r="V125" s="719"/>
      <c r="W125" s="623"/>
      <c r="X125" s="718"/>
      <c r="Y125" s="623"/>
      <c r="Z125" s="623"/>
    </row>
    <row r="126" hidden="1" outlineLevel="1">
      <c r="A126" s="623"/>
      <c r="B126" s="691"/>
      <c r="C126" s="692"/>
      <c r="D126" s="692"/>
      <c r="E126" s="692"/>
      <c r="F126" s="692"/>
      <c r="G126" s="693"/>
      <c r="H126" s="692"/>
      <c r="I126" s="692"/>
      <c r="J126" s="692"/>
      <c r="K126" s="692"/>
      <c r="L126" s="734"/>
      <c r="M126" s="730"/>
      <c r="N126" s="692"/>
      <c r="O126" s="695"/>
      <c r="Q126" s="690"/>
      <c r="R126" s="623"/>
      <c r="S126" s="213" t="str">
        <f t="array" ref="S126">IFERROR(INDEX('💻シート作成'!$D$6:$D1001, MATCH(T126, '💻シート作成'!$E$6:$E1001, 0)), "")</f>
        <v/>
      </c>
      <c r="T126" s="170"/>
      <c r="U126" s="626"/>
      <c r="V126" s="719"/>
      <c r="W126" s="623"/>
      <c r="X126" s="718"/>
      <c r="Y126" s="623"/>
      <c r="Z126" s="623"/>
    </row>
    <row r="127" hidden="1" outlineLevel="1">
      <c r="A127" s="623"/>
      <c r="B127" s="691"/>
      <c r="C127" s="692"/>
      <c r="D127" s="692"/>
      <c r="E127" s="692"/>
      <c r="F127" s="692"/>
      <c r="G127" s="693"/>
      <c r="H127" s="692"/>
      <c r="I127" s="692"/>
      <c r="J127" s="692"/>
      <c r="K127" s="692"/>
      <c r="L127" s="734"/>
      <c r="M127" s="730"/>
      <c r="N127" s="692"/>
      <c r="O127" s="695"/>
      <c r="Q127" s="690"/>
      <c r="R127" s="623"/>
      <c r="S127" s="213" t="str">
        <f t="array" ref="S127">IFERROR(INDEX('💻シート作成'!$D$6:$D1001, MATCH(T127, '💻シート作成'!$E$6:$E1001, 0)), "")</f>
        <v/>
      </c>
      <c r="T127" s="170"/>
      <c r="U127" s="626"/>
      <c r="V127" s="719"/>
      <c r="W127" s="623"/>
      <c r="X127" s="718"/>
      <c r="Y127" s="623"/>
      <c r="Z127" s="623"/>
    </row>
    <row r="128" hidden="1" outlineLevel="1">
      <c r="A128" s="623"/>
      <c r="B128" s="691"/>
      <c r="C128" s="692"/>
      <c r="D128" s="692"/>
      <c r="E128" s="692"/>
      <c r="F128" s="692"/>
      <c r="G128" s="693"/>
      <c r="H128" s="692"/>
      <c r="I128" s="692"/>
      <c r="J128" s="692"/>
      <c r="K128" s="692"/>
      <c r="L128" s="734"/>
      <c r="M128" s="730"/>
      <c r="N128" s="692"/>
      <c r="O128" s="695"/>
      <c r="Q128" s="690"/>
      <c r="R128" s="623"/>
      <c r="S128" s="213" t="str">
        <f t="array" ref="S128">IFERROR(INDEX('💻シート作成'!$D$6:$D1001, MATCH(T128, '💻シート作成'!$E$6:$E1001, 0)), "")</f>
        <v/>
      </c>
      <c r="T128" s="170"/>
      <c r="U128" s="626"/>
      <c r="V128" s="719"/>
      <c r="W128" s="623"/>
      <c r="X128" s="718"/>
      <c r="Y128" s="623"/>
      <c r="Z128" s="623"/>
    </row>
    <row r="129" hidden="1" outlineLevel="1">
      <c r="A129" s="623"/>
      <c r="B129" s="691"/>
      <c r="C129" s="692"/>
      <c r="D129" s="692"/>
      <c r="E129" s="692"/>
      <c r="F129" s="692"/>
      <c r="G129" s="693"/>
      <c r="H129" s="692"/>
      <c r="I129" s="692"/>
      <c r="J129" s="692"/>
      <c r="K129" s="692"/>
      <c r="L129" s="734"/>
      <c r="M129" s="730"/>
      <c r="N129" s="692"/>
      <c r="O129" s="695"/>
      <c r="Q129" s="690"/>
      <c r="R129" s="623"/>
      <c r="S129" s="213" t="str">
        <f t="array" ref="S129">IFERROR(INDEX('💻シート作成'!$D$6:$D1001, MATCH(T129, '💻シート作成'!$E$6:$E1001, 0)), "")</f>
        <v/>
      </c>
      <c r="T129" s="170"/>
      <c r="U129" s="626"/>
      <c r="V129" s="719"/>
      <c r="W129" s="623"/>
      <c r="X129" s="718"/>
      <c r="Y129" s="623"/>
      <c r="Z129" s="623"/>
    </row>
    <row r="130" hidden="1" outlineLevel="1">
      <c r="A130" s="623"/>
      <c r="B130" s="691"/>
      <c r="C130" s="692"/>
      <c r="D130" s="692"/>
      <c r="E130" s="692"/>
      <c r="F130" s="659"/>
      <c r="G130" s="660"/>
      <c r="H130" s="659"/>
      <c r="I130" s="659"/>
      <c r="J130" s="659"/>
      <c r="K130" s="659"/>
      <c r="L130" s="734"/>
      <c r="M130" s="730"/>
      <c r="N130" s="659"/>
      <c r="O130" s="662"/>
      <c r="P130" s="663"/>
      <c r="Q130" s="699"/>
      <c r="R130" s="623"/>
      <c r="S130" s="213" t="str">
        <f t="array" ref="S130">IFERROR(INDEX('💻シート作成'!$D$6:$D1001, MATCH(T130, '💻シート作成'!$E$6:$E1001, 0)), "")</f>
        <v/>
      </c>
      <c r="T130" s="170"/>
      <c r="U130" s="626"/>
      <c r="V130" s="719"/>
      <c r="W130" s="623"/>
      <c r="X130" s="718"/>
      <c r="Y130" s="623"/>
      <c r="Z130" s="623"/>
    </row>
    <row r="131" hidden="1" outlineLevel="1">
      <c r="A131" s="623"/>
      <c r="B131" s="700"/>
      <c r="C131" s="659"/>
      <c r="D131" s="659"/>
      <c r="E131" s="659"/>
      <c r="F131" s="701" t="s">
        <v>425</v>
      </c>
      <c r="G131" s="702"/>
      <c r="H131" s="703"/>
      <c r="I131" s="703"/>
      <c r="J131" s="703"/>
      <c r="K131" s="703"/>
      <c r="L131" s="702"/>
      <c r="M131" s="702"/>
      <c r="N131" s="702"/>
      <c r="O131" s="702"/>
      <c r="P131" s="702"/>
      <c r="Q131" s="704"/>
      <c r="R131" s="623"/>
      <c r="S131" s="213" t="str">
        <f t="array" ref="S131">IFERROR(INDEX('💻シート作成'!$D$6:$D1001, MATCH(T131, '💻シート作成'!$E$6:$E1001, 0)), "")</f>
        <v/>
      </c>
      <c r="T131" s="170"/>
      <c r="U131" s="626"/>
      <c r="V131" s="719"/>
      <c r="W131" s="623"/>
      <c r="X131" s="718"/>
      <c r="Y131" s="623"/>
      <c r="Z131" s="623"/>
    </row>
    <row r="132" hidden="1" outlineLevel="1">
      <c r="A132" s="623"/>
      <c r="B132" s="705"/>
      <c r="C132" s="706">
        <f>IF(C121="","",IF(DAY(C121+1)=1,"",C121+1))</f>
        <v>46065</v>
      </c>
      <c r="D132" s="707" t="str">
        <f>TEXT(C132,"ddd")</f>
        <v>木</v>
      </c>
      <c r="E132" s="708"/>
      <c r="F132" s="735" t="s">
        <v>422</v>
      </c>
      <c r="G132" s="748"/>
      <c r="H132" s="736"/>
      <c r="I132" s="737">
        <v>0.0</v>
      </c>
      <c r="J132" s="707"/>
      <c r="K132" s="707"/>
      <c r="L132" s="716"/>
      <c r="M132" s="716"/>
      <c r="N132" s="735"/>
      <c r="O132" s="738"/>
      <c r="P132" s="732"/>
      <c r="Q132" s="733"/>
      <c r="R132" s="623"/>
      <c r="S132" s="213" t="str">
        <f t="array" ref="S132">IFERROR(INDEX('💻シート作成'!$D$6:$D1001, MATCH(T132, '💻シート作成'!$E$6:$E1001, 0)), "")</f>
        <v/>
      </c>
      <c r="T132" s="170"/>
      <c r="U132" s="626"/>
      <c r="V132" s="719"/>
      <c r="W132" s="623"/>
      <c r="X132" s="718"/>
      <c r="Y132" s="623"/>
      <c r="Z132" s="623"/>
    </row>
    <row r="133" hidden="1" outlineLevel="1">
      <c r="A133" s="623"/>
      <c r="B133" s="691"/>
      <c r="C133" s="692"/>
      <c r="D133" s="692"/>
      <c r="E133" s="692"/>
      <c r="F133" s="692"/>
      <c r="G133" s="693"/>
      <c r="H133" s="692"/>
      <c r="I133" s="692"/>
      <c r="J133" s="692"/>
      <c r="K133" s="692"/>
      <c r="L133" s="716"/>
      <c r="M133" s="716"/>
      <c r="N133" s="692"/>
      <c r="O133" s="695"/>
      <c r="Q133" s="690"/>
      <c r="R133" s="623"/>
      <c r="S133" s="213" t="str">
        <f t="array" ref="S133">IFERROR(INDEX('💻シート作成'!$D$6:$D1001, MATCH(T133, '💻シート作成'!$E$6:$E1001, 0)), "")</f>
        <v/>
      </c>
      <c r="T133" s="170"/>
      <c r="U133" s="626"/>
      <c r="V133" s="719"/>
      <c r="W133" s="623"/>
      <c r="X133" s="718"/>
      <c r="Y133" s="623"/>
      <c r="Z133" s="623"/>
    </row>
    <row r="134" hidden="1" outlineLevel="1">
      <c r="A134" s="623"/>
      <c r="B134" s="691"/>
      <c r="C134" s="692"/>
      <c r="D134" s="692"/>
      <c r="E134" s="692"/>
      <c r="F134" s="692"/>
      <c r="G134" s="693"/>
      <c r="H134" s="692"/>
      <c r="I134" s="692"/>
      <c r="J134" s="692"/>
      <c r="K134" s="692"/>
      <c r="L134" s="716"/>
      <c r="M134" s="716"/>
      <c r="N134" s="692"/>
      <c r="O134" s="695"/>
      <c r="Q134" s="690"/>
      <c r="R134" s="623"/>
      <c r="S134" s="213" t="str">
        <f t="array" ref="S134">IFERROR(INDEX('💻シート作成'!$D$6:$D1001, MATCH(T134, '💻シート作成'!$E$6:$E1001, 0)), "")</f>
        <v/>
      </c>
      <c r="T134" s="170"/>
      <c r="U134" s="626"/>
      <c r="V134" s="719"/>
      <c r="W134" s="623"/>
      <c r="X134" s="718"/>
      <c r="Y134" s="623"/>
      <c r="Z134" s="623"/>
    </row>
    <row r="135" hidden="1" outlineLevel="1">
      <c r="A135" s="623"/>
      <c r="B135" s="691"/>
      <c r="C135" s="692"/>
      <c r="D135" s="692"/>
      <c r="E135" s="692"/>
      <c r="F135" s="692"/>
      <c r="G135" s="693"/>
      <c r="H135" s="692"/>
      <c r="I135" s="692"/>
      <c r="J135" s="692"/>
      <c r="K135" s="692"/>
      <c r="L135" s="717"/>
      <c r="M135" s="716"/>
      <c r="N135" s="692"/>
      <c r="O135" s="695"/>
      <c r="Q135" s="690"/>
      <c r="R135" s="623"/>
      <c r="S135" s="213" t="str">
        <f t="array" ref="S135">IFERROR(INDEX('💻シート作成'!$D$6:$D1001, MATCH(T135, '💻シート作成'!$E$6:$E1001, 0)), "")</f>
        <v/>
      </c>
      <c r="T135" s="170"/>
      <c r="U135" s="626"/>
      <c r="V135" s="719"/>
      <c r="W135" s="623"/>
      <c r="X135" s="718"/>
      <c r="Y135" s="623"/>
      <c r="Z135" s="623"/>
    </row>
    <row r="136" hidden="1" outlineLevel="1">
      <c r="A136" s="623"/>
      <c r="B136" s="691"/>
      <c r="C136" s="692"/>
      <c r="D136" s="692"/>
      <c r="E136" s="692"/>
      <c r="F136" s="692"/>
      <c r="G136" s="693"/>
      <c r="H136" s="692"/>
      <c r="I136" s="692"/>
      <c r="J136" s="692"/>
      <c r="K136" s="692"/>
      <c r="L136" s="717"/>
      <c r="M136" s="716"/>
      <c r="N136" s="692"/>
      <c r="O136" s="695"/>
      <c r="Q136" s="690"/>
      <c r="R136" s="623"/>
      <c r="S136" s="213" t="str">
        <f t="array" ref="S136">IFERROR(INDEX('💻シート作成'!$D$6:$D1001, MATCH(T136, '💻シート作成'!$E$6:$E1001, 0)), "")</f>
        <v/>
      </c>
      <c r="T136" s="170"/>
      <c r="U136" s="626"/>
      <c r="V136" s="719"/>
      <c r="W136" s="623"/>
      <c r="X136" s="718"/>
      <c r="Y136" s="623"/>
      <c r="Z136" s="623"/>
    </row>
    <row r="137" hidden="1" outlineLevel="1">
      <c r="A137" s="623"/>
      <c r="B137" s="691"/>
      <c r="C137" s="692"/>
      <c r="D137" s="692"/>
      <c r="E137" s="692"/>
      <c r="F137" s="692"/>
      <c r="G137" s="693"/>
      <c r="H137" s="692"/>
      <c r="I137" s="692"/>
      <c r="J137" s="692"/>
      <c r="K137" s="692"/>
      <c r="L137" s="717"/>
      <c r="M137" s="716"/>
      <c r="N137" s="692"/>
      <c r="O137" s="695"/>
      <c r="Q137" s="690"/>
      <c r="R137" s="623"/>
      <c r="S137" s="213" t="str">
        <f t="array" ref="S137">IFERROR(INDEX('💻シート作成'!$D$6:$D1001, MATCH(T137, '💻シート作成'!$E$6:$E1001, 0)), "")</f>
        <v/>
      </c>
      <c r="T137" s="170"/>
      <c r="U137" s="626"/>
      <c r="V137" s="719"/>
      <c r="W137" s="623"/>
      <c r="X137" s="718"/>
      <c r="Y137" s="623"/>
      <c r="Z137" s="623"/>
    </row>
    <row r="138" hidden="1" outlineLevel="1">
      <c r="A138" s="623"/>
      <c r="B138" s="691"/>
      <c r="C138" s="692"/>
      <c r="D138" s="692"/>
      <c r="E138" s="692"/>
      <c r="F138" s="692"/>
      <c r="G138" s="693"/>
      <c r="H138" s="692"/>
      <c r="I138" s="692"/>
      <c r="J138" s="692"/>
      <c r="K138" s="692"/>
      <c r="L138" s="717"/>
      <c r="M138" s="716"/>
      <c r="N138" s="692"/>
      <c r="O138" s="695"/>
      <c r="Q138" s="690"/>
      <c r="R138" s="623"/>
      <c r="S138" s="213" t="str">
        <f t="array" ref="S138">IFERROR(INDEX('💻シート作成'!$D$6:$D1001, MATCH(T138, '💻シート作成'!$E$6:$E1001, 0)), "")</f>
        <v/>
      </c>
      <c r="T138" s="170"/>
      <c r="U138" s="626"/>
      <c r="V138" s="719"/>
      <c r="W138" s="623"/>
      <c r="X138" s="718"/>
      <c r="Y138" s="623"/>
      <c r="Z138" s="623"/>
    </row>
    <row r="139" hidden="1" outlineLevel="1">
      <c r="A139" s="623"/>
      <c r="B139" s="691"/>
      <c r="C139" s="692"/>
      <c r="D139" s="692"/>
      <c r="E139" s="692"/>
      <c r="F139" s="692"/>
      <c r="G139" s="693"/>
      <c r="H139" s="692"/>
      <c r="I139" s="692"/>
      <c r="J139" s="692"/>
      <c r="K139" s="692"/>
      <c r="L139" s="717"/>
      <c r="M139" s="716"/>
      <c r="N139" s="692"/>
      <c r="O139" s="695"/>
      <c r="Q139" s="690"/>
      <c r="R139" s="623"/>
      <c r="S139" s="213" t="str">
        <f t="array" ref="S139">IFERROR(INDEX('💻シート作成'!$D$6:$D1001, MATCH(T139, '💻シート作成'!$E$6:$E1001, 0)), "")</f>
        <v/>
      </c>
      <c r="T139" s="170"/>
      <c r="U139" s="626"/>
      <c r="V139" s="719"/>
      <c r="W139" s="623"/>
      <c r="X139" s="718"/>
      <c r="Y139" s="623"/>
      <c r="Z139" s="623"/>
    </row>
    <row r="140" hidden="1" outlineLevel="1">
      <c r="A140" s="623"/>
      <c r="B140" s="691"/>
      <c r="C140" s="692"/>
      <c r="D140" s="692"/>
      <c r="E140" s="692"/>
      <c r="F140" s="692"/>
      <c r="G140" s="693"/>
      <c r="H140" s="692"/>
      <c r="I140" s="692"/>
      <c r="J140" s="692"/>
      <c r="K140" s="692"/>
      <c r="L140" s="717"/>
      <c r="M140" s="716"/>
      <c r="N140" s="692"/>
      <c r="O140" s="695"/>
      <c r="Q140" s="690"/>
      <c r="R140" s="623"/>
      <c r="S140" s="213" t="str">
        <f t="array" ref="S140">IFERROR(INDEX('💻シート作成'!$D$6:$D1001, MATCH(T140, '💻シート作成'!$E$6:$E1001, 0)), "")</f>
        <v/>
      </c>
      <c r="T140" s="170"/>
      <c r="U140" s="626"/>
      <c r="V140" s="719"/>
      <c r="W140" s="623"/>
      <c r="X140" s="718"/>
      <c r="Y140" s="623"/>
      <c r="Z140" s="623"/>
    </row>
    <row r="141" hidden="1" outlineLevel="1">
      <c r="A141" s="623"/>
      <c r="B141" s="691"/>
      <c r="C141" s="692"/>
      <c r="D141" s="692"/>
      <c r="E141" s="692"/>
      <c r="F141" s="659"/>
      <c r="G141" s="660"/>
      <c r="H141" s="659"/>
      <c r="I141" s="659"/>
      <c r="J141" s="659"/>
      <c r="K141" s="659"/>
      <c r="L141" s="717"/>
      <c r="M141" s="716"/>
      <c r="N141" s="659"/>
      <c r="O141" s="662"/>
      <c r="P141" s="663"/>
      <c r="Q141" s="699"/>
      <c r="R141" s="623"/>
      <c r="S141" s="213" t="str">
        <f t="array" ref="S141">IFERROR(INDEX('💻シート作成'!$D$6:$D1001, MATCH(T141, '💻シート作成'!$E$6:$E1001, 0)), "")</f>
        <v/>
      </c>
      <c r="T141" s="170"/>
      <c r="U141" s="626"/>
      <c r="V141" s="719"/>
      <c r="W141" s="623"/>
      <c r="X141" s="718"/>
      <c r="Y141" s="623"/>
      <c r="Z141" s="623"/>
    </row>
    <row r="142" hidden="1" outlineLevel="1">
      <c r="A142" s="623"/>
      <c r="B142" s="700"/>
      <c r="C142" s="659"/>
      <c r="D142" s="659"/>
      <c r="E142" s="659"/>
      <c r="F142" s="720" t="s">
        <v>425</v>
      </c>
      <c r="G142" s="721"/>
      <c r="H142" s="703"/>
      <c r="I142" s="703"/>
      <c r="J142" s="703"/>
      <c r="K142" s="703"/>
      <c r="L142" s="721"/>
      <c r="M142" s="721"/>
      <c r="N142" s="721"/>
      <c r="O142" s="721"/>
      <c r="P142" s="721"/>
      <c r="Q142" s="722"/>
      <c r="R142" s="623"/>
      <c r="S142" s="213" t="str">
        <f t="array" ref="S142">IFERROR(INDEX('💻シート作成'!$D$6:$D1001, MATCH(T142, '💻シート作成'!$E$6:$E1001, 0)), "")</f>
        <v/>
      </c>
      <c r="T142" s="170"/>
      <c r="U142" s="626"/>
      <c r="V142" s="719"/>
      <c r="W142" s="623"/>
      <c r="X142" s="718"/>
      <c r="Y142" s="623"/>
      <c r="Z142" s="623"/>
    </row>
    <row r="143" hidden="1" outlineLevel="1">
      <c r="A143" s="623"/>
      <c r="B143" s="723"/>
      <c r="C143" s="724">
        <f>IF(C132="","",IF(DAY(C132+1)=1,"",C132+1))</f>
        <v>46066</v>
      </c>
      <c r="D143" s="725" t="str">
        <f>TEXT(C143,"ddd")</f>
        <v>金</v>
      </c>
      <c r="E143" s="726"/>
      <c r="F143" s="727" t="s">
        <v>422</v>
      </c>
      <c r="G143" s="749"/>
      <c r="H143" s="728"/>
      <c r="I143" s="729">
        <v>0.0</v>
      </c>
      <c r="J143" s="725"/>
      <c r="K143" s="725"/>
      <c r="L143" s="730"/>
      <c r="M143" s="730"/>
      <c r="N143" s="727"/>
      <c r="O143" s="731"/>
      <c r="P143" s="732"/>
      <c r="Q143" s="733"/>
      <c r="R143" s="623"/>
      <c r="S143" s="213" t="str">
        <f t="array" ref="S143">IFERROR(INDEX('💻シート作成'!$D$6:$D1001, MATCH(T143, '💻シート作成'!$E$6:$E1001, 0)), "")</f>
        <v/>
      </c>
      <c r="T143" s="170"/>
      <c r="U143" s="626"/>
      <c r="V143" s="719"/>
      <c r="W143" s="623"/>
      <c r="X143" s="718"/>
      <c r="Y143" s="623"/>
      <c r="Z143" s="623"/>
    </row>
    <row r="144" hidden="1" outlineLevel="1">
      <c r="A144" s="623"/>
      <c r="B144" s="691"/>
      <c r="C144" s="692"/>
      <c r="D144" s="692"/>
      <c r="E144" s="692"/>
      <c r="F144" s="692"/>
      <c r="G144" s="693"/>
      <c r="H144" s="692"/>
      <c r="I144" s="692"/>
      <c r="J144" s="692"/>
      <c r="K144" s="692"/>
      <c r="L144" s="730"/>
      <c r="M144" s="730"/>
      <c r="N144" s="692"/>
      <c r="O144" s="695"/>
      <c r="Q144" s="690"/>
      <c r="R144" s="623"/>
      <c r="S144" s="213" t="str">
        <f t="array" ref="S144">IFERROR(INDEX('💻シート作成'!$D$6:$D1001, MATCH(T144, '💻シート作成'!$E$6:$E1001, 0)), "")</f>
        <v/>
      </c>
      <c r="T144" s="170"/>
      <c r="U144" s="626"/>
      <c r="V144" s="719"/>
      <c r="W144" s="623"/>
      <c r="X144" s="718"/>
      <c r="Y144" s="623"/>
      <c r="Z144" s="623"/>
    </row>
    <row r="145" hidden="1" outlineLevel="1">
      <c r="A145" s="623"/>
      <c r="B145" s="691"/>
      <c r="C145" s="692"/>
      <c r="D145" s="692"/>
      <c r="E145" s="692"/>
      <c r="F145" s="692"/>
      <c r="G145" s="693"/>
      <c r="H145" s="692"/>
      <c r="I145" s="692"/>
      <c r="J145" s="692"/>
      <c r="K145" s="692"/>
      <c r="L145" s="730"/>
      <c r="M145" s="730"/>
      <c r="N145" s="692"/>
      <c r="O145" s="695"/>
      <c r="Q145" s="690"/>
      <c r="R145" s="623"/>
      <c r="S145" s="213" t="str">
        <f t="array" ref="S145">IFERROR(INDEX('💻シート作成'!$D$6:$D1001, MATCH(T145, '💻シート作成'!$E$6:$E1001, 0)), "")</f>
        <v/>
      </c>
      <c r="T145" s="170"/>
      <c r="U145" s="626"/>
      <c r="V145" s="719"/>
      <c r="W145" s="623"/>
      <c r="X145" s="718"/>
      <c r="Y145" s="623"/>
      <c r="Z145" s="623"/>
    </row>
    <row r="146" hidden="1" outlineLevel="1">
      <c r="A146" s="623"/>
      <c r="B146" s="691"/>
      <c r="C146" s="692"/>
      <c r="D146" s="692"/>
      <c r="E146" s="692"/>
      <c r="F146" s="692"/>
      <c r="G146" s="693"/>
      <c r="H146" s="692"/>
      <c r="I146" s="692"/>
      <c r="J146" s="692"/>
      <c r="K146" s="692"/>
      <c r="L146" s="734"/>
      <c r="M146" s="730"/>
      <c r="N146" s="692"/>
      <c r="O146" s="695"/>
      <c r="Q146" s="690"/>
      <c r="R146" s="623"/>
      <c r="S146" s="213" t="str">
        <f t="array" ref="S146">IFERROR(INDEX('💻シート作成'!$D$6:$D1001, MATCH(T146, '💻シート作成'!$E$6:$E1001, 0)), "")</f>
        <v/>
      </c>
      <c r="T146" s="170"/>
      <c r="U146" s="626"/>
      <c r="V146" s="719"/>
      <c r="W146" s="623"/>
      <c r="X146" s="718"/>
      <c r="Y146" s="623"/>
      <c r="Z146" s="623"/>
    </row>
    <row r="147" hidden="1" outlineLevel="1">
      <c r="A147" s="623"/>
      <c r="B147" s="691"/>
      <c r="C147" s="692"/>
      <c r="D147" s="692"/>
      <c r="E147" s="692"/>
      <c r="F147" s="692"/>
      <c r="G147" s="693"/>
      <c r="H147" s="692"/>
      <c r="I147" s="692"/>
      <c r="J147" s="692"/>
      <c r="K147" s="692"/>
      <c r="L147" s="734"/>
      <c r="M147" s="730"/>
      <c r="N147" s="692"/>
      <c r="O147" s="695"/>
      <c r="Q147" s="690"/>
      <c r="R147" s="623"/>
      <c r="S147" s="213" t="str">
        <f t="array" ref="S147">IFERROR(INDEX('💻シート作成'!$D$6:$D1001, MATCH(T147, '💻シート作成'!$E$6:$E1001, 0)), "")</f>
        <v/>
      </c>
      <c r="T147" s="170"/>
      <c r="U147" s="626"/>
      <c r="V147" s="719"/>
      <c r="W147" s="623"/>
      <c r="X147" s="718"/>
      <c r="Y147" s="623"/>
      <c r="Z147" s="623"/>
    </row>
    <row r="148" hidden="1" outlineLevel="1">
      <c r="A148" s="623"/>
      <c r="B148" s="691"/>
      <c r="C148" s="692"/>
      <c r="D148" s="692"/>
      <c r="E148" s="692"/>
      <c r="F148" s="692"/>
      <c r="G148" s="693"/>
      <c r="H148" s="692"/>
      <c r="I148" s="692"/>
      <c r="J148" s="692"/>
      <c r="K148" s="692"/>
      <c r="L148" s="734"/>
      <c r="M148" s="730"/>
      <c r="N148" s="692"/>
      <c r="O148" s="695"/>
      <c r="Q148" s="690"/>
      <c r="R148" s="623"/>
      <c r="S148" s="213" t="str">
        <f t="array" ref="S148">IFERROR(INDEX('💻シート作成'!$D$6:$D1001, MATCH(T148, '💻シート作成'!$E$6:$E1001, 0)), "")</f>
        <v/>
      </c>
      <c r="T148" s="170"/>
      <c r="U148" s="626"/>
      <c r="V148" s="719"/>
      <c r="W148" s="623"/>
      <c r="X148" s="718"/>
      <c r="Y148" s="623"/>
      <c r="Z148" s="623"/>
    </row>
    <row r="149" hidden="1" outlineLevel="1">
      <c r="A149" s="623"/>
      <c r="B149" s="691"/>
      <c r="C149" s="692"/>
      <c r="D149" s="692"/>
      <c r="E149" s="692"/>
      <c r="F149" s="692"/>
      <c r="G149" s="693"/>
      <c r="H149" s="692"/>
      <c r="I149" s="692"/>
      <c r="J149" s="692"/>
      <c r="K149" s="692"/>
      <c r="L149" s="734"/>
      <c r="M149" s="730"/>
      <c r="N149" s="692"/>
      <c r="O149" s="695"/>
      <c r="Q149" s="690"/>
      <c r="R149" s="623"/>
      <c r="S149" s="213" t="str">
        <f t="array" ref="S149">IFERROR(INDEX('💻シート作成'!$D$6:$D1001, MATCH(T149, '💻シート作成'!$E$6:$E1001, 0)), "")</f>
        <v/>
      </c>
      <c r="T149" s="170"/>
      <c r="U149" s="626"/>
      <c r="V149" s="719"/>
      <c r="W149" s="623"/>
      <c r="X149" s="718"/>
      <c r="Y149" s="623"/>
      <c r="Z149" s="623"/>
    </row>
    <row r="150" hidden="1" outlineLevel="1">
      <c r="A150" s="623"/>
      <c r="B150" s="691"/>
      <c r="C150" s="692"/>
      <c r="D150" s="692"/>
      <c r="E150" s="692"/>
      <c r="F150" s="692"/>
      <c r="G150" s="693"/>
      <c r="H150" s="692"/>
      <c r="I150" s="692"/>
      <c r="J150" s="692"/>
      <c r="K150" s="692"/>
      <c r="L150" s="734"/>
      <c r="M150" s="730"/>
      <c r="N150" s="692"/>
      <c r="O150" s="695"/>
      <c r="Q150" s="690"/>
      <c r="R150" s="623"/>
      <c r="S150" s="213" t="str">
        <f t="array" ref="S150">IFERROR(INDEX('💻シート作成'!$D$6:$D1001, MATCH(T150, '💻シート作成'!$E$6:$E1001, 0)), "")</f>
        <v/>
      </c>
      <c r="T150" s="170"/>
      <c r="U150" s="626"/>
      <c r="V150" s="719"/>
      <c r="W150" s="623"/>
      <c r="X150" s="718"/>
      <c r="Y150" s="623"/>
      <c r="Z150" s="623"/>
    </row>
    <row r="151" hidden="1" outlineLevel="1">
      <c r="A151" s="623"/>
      <c r="B151" s="691"/>
      <c r="C151" s="692"/>
      <c r="D151" s="692"/>
      <c r="E151" s="692"/>
      <c r="F151" s="692"/>
      <c r="G151" s="693"/>
      <c r="H151" s="692"/>
      <c r="I151" s="692"/>
      <c r="J151" s="692"/>
      <c r="K151" s="692"/>
      <c r="L151" s="734"/>
      <c r="M151" s="730"/>
      <c r="N151" s="692"/>
      <c r="O151" s="695"/>
      <c r="Q151" s="690"/>
      <c r="R151" s="623"/>
      <c r="S151" s="213" t="str">
        <f t="array" ref="S151">IFERROR(INDEX('💻シート作成'!$D$6:$D1001, MATCH(T151, '💻シート作成'!$E$6:$E1001, 0)), "")</f>
        <v/>
      </c>
      <c r="T151" s="170"/>
      <c r="U151" s="626"/>
      <c r="V151" s="719"/>
      <c r="W151" s="623"/>
      <c r="X151" s="718"/>
      <c r="Y151" s="623"/>
      <c r="Z151" s="623"/>
    </row>
    <row r="152" hidden="1" outlineLevel="1">
      <c r="A152" s="623"/>
      <c r="B152" s="691"/>
      <c r="C152" s="692"/>
      <c r="D152" s="692"/>
      <c r="E152" s="692"/>
      <c r="F152" s="659"/>
      <c r="G152" s="660"/>
      <c r="H152" s="659"/>
      <c r="I152" s="659"/>
      <c r="J152" s="659"/>
      <c r="K152" s="659"/>
      <c r="L152" s="734"/>
      <c r="M152" s="730"/>
      <c r="N152" s="659"/>
      <c r="O152" s="662"/>
      <c r="P152" s="663"/>
      <c r="Q152" s="699"/>
      <c r="R152" s="623"/>
      <c r="S152" s="213" t="str">
        <f t="array" ref="S152">IFERROR(INDEX('💻シート作成'!$D$6:$D1001, MATCH(T152, '💻シート作成'!$E$6:$E1001, 0)), "")</f>
        <v/>
      </c>
      <c r="T152" s="170"/>
      <c r="U152" s="626"/>
      <c r="V152" s="719"/>
      <c r="W152" s="623"/>
      <c r="X152" s="718"/>
      <c r="Y152" s="623"/>
      <c r="Z152" s="623"/>
    </row>
    <row r="153" hidden="1" outlineLevel="1">
      <c r="A153" s="623"/>
      <c r="B153" s="700"/>
      <c r="C153" s="659"/>
      <c r="D153" s="659"/>
      <c r="E153" s="659"/>
      <c r="F153" s="701" t="s">
        <v>425</v>
      </c>
      <c r="G153" s="702"/>
      <c r="H153" s="703"/>
      <c r="I153" s="703"/>
      <c r="J153" s="703"/>
      <c r="K153" s="703"/>
      <c r="L153" s="702"/>
      <c r="M153" s="702"/>
      <c r="N153" s="702"/>
      <c r="O153" s="702"/>
      <c r="P153" s="702"/>
      <c r="Q153" s="704"/>
      <c r="R153" s="623"/>
      <c r="S153" s="213" t="str">
        <f t="array" ref="S153">IFERROR(INDEX('💻シート作成'!$D$6:$D1001, MATCH(T153, '💻シート作成'!$E$6:$E1001, 0)), "")</f>
        <v/>
      </c>
      <c r="T153" s="170"/>
      <c r="U153" s="626"/>
      <c r="V153" s="719"/>
      <c r="W153" s="623"/>
      <c r="X153" s="718"/>
      <c r="Y153" s="623"/>
      <c r="Z153" s="623"/>
    </row>
    <row r="154" hidden="1" outlineLevel="1">
      <c r="A154" s="623"/>
      <c r="B154" s="705"/>
      <c r="C154" s="706">
        <f>IF(C143="","",IF(DAY(C143+1)=1,"",C143+1))</f>
        <v>46067</v>
      </c>
      <c r="D154" s="707" t="str">
        <f>TEXT(C154,"ddd")</f>
        <v>土</v>
      </c>
      <c r="E154" s="708"/>
      <c r="F154" s="735" t="s">
        <v>422</v>
      </c>
      <c r="G154" s="748"/>
      <c r="H154" s="736"/>
      <c r="I154" s="737">
        <v>0.0</v>
      </c>
      <c r="J154" s="707"/>
      <c r="K154" s="707"/>
      <c r="L154" s="716"/>
      <c r="M154" s="716"/>
      <c r="N154" s="735"/>
      <c r="O154" s="738"/>
      <c r="P154" s="732"/>
      <c r="Q154" s="733"/>
      <c r="R154" s="623"/>
      <c r="S154" s="213" t="str">
        <f t="array" ref="S154">IFERROR(INDEX('💻シート作成'!$D$6:$D1001, MATCH(T154, '💻シート作成'!$E$6:$E1001, 0)), "")</f>
        <v/>
      </c>
      <c r="T154" s="170"/>
      <c r="U154" s="626"/>
      <c r="V154" s="719"/>
      <c r="W154" s="623"/>
      <c r="X154" s="718"/>
      <c r="Y154" s="623"/>
      <c r="Z154" s="623"/>
    </row>
    <row r="155" hidden="1" outlineLevel="1">
      <c r="A155" s="623"/>
      <c r="B155" s="691"/>
      <c r="C155" s="692"/>
      <c r="D155" s="692"/>
      <c r="E155" s="692"/>
      <c r="F155" s="692"/>
      <c r="G155" s="693"/>
      <c r="H155" s="692"/>
      <c r="I155" s="692"/>
      <c r="J155" s="692"/>
      <c r="K155" s="692"/>
      <c r="L155" s="716"/>
      <c r="M155" s="716"/>
      <c r="N155" s="692"/>
      <c r="O155" s="695"/>
      <c r="Q155" s="690"/>
      <c r="R155" s="623"/>
      <c r="S155" s="213" t="str">
        <f t="array" ref="S155">IFERROR(INDEX('💻シート作成'!$D$6:$D1001, MATCH(T155, '💻シート作成'!$E$6:$E1001, 0)), "")</f>
        <v/>
      </c>
      <c r="T155" s="170"/>
      <c r="U155" s="626"/>
      <c r="V155" s="719"/>
      <c r="W155" s="623"/>
      <c r="X155" s="718"/>
      <c r="Y155" s="623"/>
      <c r="Z155" s="623"/>
    </row>
    <row r="156" hidden="1" outlineLevel="1">
      <c r="A156" s="623"/>
      <c r="B156" s="691"/>
      <c r="C156" s="692"/>
      <c r="D156" s="692"/>
      <c r="E156" s="692"/>
      <c r="F156" s="692"/>
      <c r="G156" s="693"/>
      <c r="H156" s="692"/>
      <c r="I156" s="692"/>
      <c r="J156" s="692"/>
      <c r="K156" s="692"/>
      <c r="L156" s="716"/>
      <c r="M156" s="716"/>
      <c r="N156" s="692"/>
      <c r="O156" s="695"/>
      <c r="Q156" s="690"/>
      <c r="R156" s="623"/>
      <c r="S156" s="213" t="str">
        <f t="array" ref="S156">IFERROR(INDEX('💻シート作成'!$D$6:$D1001, MATCH(T156, '💻シート作成'!$E$6:$E1001, 0)), "")</f>
        <v/>
      </c>
      <c r="T156" s="170"/>
      <c r="U156" s="626"/>
      <c r="V156" s="719"/>
      <c r="W156" s="623"/>
      <c r="X156" s="718"/>
      <c r="Y156" s="623"/>
      <c r="Z156" s="623"/>
    </row>
    <row r="157" hidden="1" outlineLevel="1">
      <c r="A157" s="623"/>
      <c r="B157" s="691"/>
      <c r="C157" s="692"/>
      <c r="D157" s="692"/>
      <c r="E157" s="692"/>
      <c r="F157" s="692"/>
      <c r="G157" s="693"/>
      <c r="H157" s="692"/>
      <c r="I157" s="692"/>
      <c r="J157" s="692"/>
      <c r="K157" s="692"/>
      <c r="L157" s="717"/>
      <c r="M157" s="716"/>
      <c r="N157" s="692"/>
      <c r="O157" s="695"/>
      <c r="Q157" s="690"/>
      <c r="R157" s="623"/>
      <c r="S157" s="213" t="str">
        <f t="array" ref="S157">IFERROR(INDEX('💻シート作成'!$D$6:$D1001, MATCH(T157, '💻シート作成'!$E$6:$E1001, 0)), "")</f>
        <v/>
      </c>
      <c r="T157" s="170"/>
      <c r="U157" s="626"/>
      <c r="V157" s="719"/>
      <c r="W157" s="623"/>
      <c r="X157" s="718"/>
      <c r="Y157" s="623"/>
      <c r="Z157" s="623"/>
    </row>
    <row r="158" hidden="1" outlineLevel="1">
      <c r="A158" s="623"/>
      <c r="B158" s="691"/>
      <c r="C158" s="692"/>
      <c r="D158" s="692"/>
      <c r="E158" s="692"/>
      <c r="F158" s="692"/>
      <c r="G158" s="693"/>
      <c r="H158" s="692"/>
      <c r="I158" s="692"/>
      <c r="J158" s="692"/>
      <c r="K158" s="692"/>
      <c r="L158" s="717"/>
      <c r="M158" s="716"/>
      <c r="N158" s="692"/>
      <c r="O158" s="695"/>
      <c r="Q158" s="690"/>
      <c r="R158" s="623"/>
      <c r="S158" s="213" t="str">
        <f t="array" ref="S158">IFERROR(INDEX('💻シート作成'!$D$6:$D1001, MATCH(T158, '💻シート作成'!$E$6:$E1001, 0)), "")</f>
        <v/>
      </c>
      <c r="T158" s="170"/>
      <c r="U158" s="626"/>
      <c r="V158" s="719"/>
      <c r="W158" s="623"/>
      <c r="X158" s="718"/>
      <c r="Y158" s="623"/>
      <c r="Z158" s="623"/>
    </row>
    <row r="159" hidden="1" outlineLevel="1">
      <c r="A159" s="623"/>
      <c r="B159" s="691"/>
      <c r="C159" s="692"/>
      <c r="D159" s="692"/>
      <c r="E159" s="692"/>
      <c r="F159" s="692"/>
      <c r="G159" s="693"/>
      <c r="H159" s="692"/>
      <c r="I159" s="692"/>
      <c r="J159" s="692"/>
      <c r="K159" s="692"/>
      <c r="L159" s="717"/>
      <c r="M159" s="716"/>
      <c r="N159" s="692"/>
      <c r="O159" s="695"/>
      <c r="Q159" s="690"/>
      <c r="R159" s="623"/>
      <c r="S159" s="213" t="str">
        <f t="array" ref="S159">IFERROR(INDEX('💻シート作成'!$D$6:$D1001, MATCH(T159, '💻シート作成'!$E$6:$E1001, 0)), "")</f>
        <v/>
      </c>
      <c r="T159" s="170"/>
      <c r="U159" s="626"/>
      <c r="V159" s="719"/>
      <c r="W159" s="623"/>
      <c r="X159" s="718"/>
      <c r="Y159" s="623"/>
      <c r="Z159" s="623"/>
    </row>
    <row r="160" hidden="1" outlineLevel="1">
      <c r="A160" s="623"/>
      <c r="B160" s="691"/>
      <c r="C160" s="692"/>
      <c r="D160" s="692"/>
      <c r="E160" s="692"/>
      <c r="F160" s="692"/>
      <c r="G160" s="693"/>
      <c r="H160" s="692"/>
      <c r="I160" s="692"/>
      <c r="J160" s="692"/>
      <c r="K160" s="692"/>
      <c r="L160" s="717"/>
      <c r="M160" s="716"/>
      <c r="N160" s="692"/>
      <c r="O160" s="695"/>
      <c r="Q160" s="690"/>
      <c r="R160" s="623"/>
      <c r="S160" s="213" t="str">
        <f t="array" ref="S160">IFERROR(INDEX('💻シート作成'!$D$6:$D1001, MATCH(T160, '💻シート作成'!$E$6:$E1001, 0)), "")</f>
        <v/>
      </c>
      <c r="T160" s="170"/>
      <c r="U160" s="626"/>
      <c r="V160" s="719"/>
      <c r="W160" s="623"/>
      <c r="X160" s="718"/>
      <c r="Y160" s="623"/>
      <c r="Z160" s="623"/>
    </row>
    <row r="161" hidden="1" outlineLevel="1">
      <c r="A161" s="623"/>
      <c r="B161" s="691"/>
      <c r="C161" s="692"/>
      <c r="D161" s="692"/>
      <c r="E161" s="692"/>
      <c r="F161" s="692"/>
      <c r="G161" s="693"/>
      <c r="H161" s="692"/>
      <c r="I161" s="692"/>
      <c r="J161" s="692"/>
      <c r="K161" s="692"/>
      <c r="L161" s="717"/>
      <c r="M161" s="716"/>
      <c r="N161" s="692"/>
      <c r="O161" s="695"/>
      <c r="Q161" s="690"/>
      <c r="R161" s="623"/>
      <c r="S161" s="213" t="str">
        <f t="array" ref="S161">IFERROR(INDEX('💻シート作成'!$D$6:$D1001, MATCH(T161, '💻シート作成'!$E$6:$E1001, 0)), "")</f>
        <v/>
      </c>
      <c r="T161" s="170"/>
      <c r="U161" s="626"/>
      <c r="V161" s="719"/>
      <c r="W161" s="623"/>
      <c r="X161" s="718"/>
      <c r="Y161" s="623"/>
      <c r="Z161" s="623"/>
    </row>
    <row r="162" hidden="1" outlineLevel="1">
      <c r="A162" s="623"/>
      <c r="B162" s="691"/>
      <c r="C162" s="692"/>
      <c r="D162" s="692"/>
      <c r="E162" s="692"/>
      <c r="F162" s="692"/>
      <c r="G162" s="693"/>
      <c r="H162" s="692"/>
      <c r="I162" s="692"/>
      <c r="J162" s="692"/>
      <c r="K162" s="692"/>
      <c r="L162" s="717"/>
      <c r="M162" s="716"/>
      <c r="N162" s="692"/>
      <c r="O162" s="695"/>
      <c r="Q162" s="690"/>
      <c r="R162" s="623"/>
      <c r="S162" s="213" t="str">
        <f t="array" ref="S162">IFERROR(INDEX('💻シート作成'!$D$6:$D1001, MATCH(T162, '💻シート作成'!$E$6:$E1001, 0)), "")</f>
        <v/>
      </c>
      <c r="T162" s="170"/>
      <c r="U162" s="626"/>
      <c r="V162" s="719"/>
      <c r="W162" s="623"/>
      <c r="X162" s="718"/>
      <c r="Y162" s="623"/>
      <c r="Z162" s="623"/>
    </row>
    <row r="163" hidden="1" outlineLevel="1">
      <c r="A163" s="623"/>
      <c r="B163" s="691"/>
      <c r="C163" s="692"/>
      <c r="D163" s="692"/>
      <c r="E163" s="692"/>
      <c r="F163" s="659"/>
      <c r="G163" s="660"/>
      <c r="H163" s="659"/>
      <c r="I163" s="659"/>
      <c r="J163" s="659"/>
      <c r="K163" s="659"/>
      <c r="L163" s="717"/>
      <c r="M163" s="716"/>
      <c r="N163" s="659"/>
      <c r="O163" s="662"/>
      <c r="P163" s="663"/>
      <c r="Q163" s="699"/>
      <c r="R163" s="623"/>
      <c r="S163" s="213" t="str">
        <f t="array" ref="S163">IFERROR(INDEX('💻シート作成'!$D$6:$D1001, MATCH(T163, '💻シート作成'!$E$6:$E1001, 0)), "")</f>
        <v/>
      </c>
      <c r="T163" s="170"/>
      <c r="U163" s="626"/>
      <c r="V163" s="719"/>
      <c r="W163" s="623"/>
      <c r="X163" s="718"/>
      <c r="Y163" s="623"/>
      <c r="Z163" s="623"/>
    </row>
    <row r="164" hidden="1" outlineLevel="1">
      <c r="A164" s="623"/>
      <c r="B164" s="700"/>
      <c r="C164" s="659"/>
      <c r="D164" s="659"/>
      <c r="E164" s="659"/>
      <c r="F164" s="720" t="s">
        <v>425</v>
      </c>
      <c r="G164" s="721"/>
      <c r="H164" s="703"/>
      <c r="I164" s="703"/>
      <c r="J164" s="703"/>
      <c r="K164" s="703"/>
      <c r="L164" s="721"/>
      <c r="M164" s="721"/>
      <c r="N164" s="721"/>
      <c r="O164" s="721"/>
      <c r="P164" s="721"/>
      <c r="Q164" s="722"/>
      <c r="R164" s="623"/>
      <c r="S164" s="213" t="str">
        <f t="array" ref="S164">IFERROR(INDEX('💻シート作成'!$D$6:$D1001, MATCH(T164, '💻シート作成'!$E$6:$E1001, 0)), "")</f>
        <v/>
      </c>
      <c r="T164" s="170"/>
      <c r="U164" s="626"/>
      <c r="V164" s="719"/>
      <c r="W164" s="623"/>
      <c r="X164" s="718"/>
      <c r="Y164" s="623"/>
      <c r="Z164" s="623"/>
    </row>
    <row r="165" hidden="1" outlineLevel="1">
      <c r="A165" s="623"/>
      <c r="B165" s="723"/>
      <c r="C165" s="724">
        <f>IF(C154="","",IF(DAY(C154+1)=1,"",C154+1))</f>
        <v>46068</v>
      </c>
      <c r="D165" s="725" t="str">
        <f>TEXT(C165,"ddd")</f>
        <v>日</v>
      </c>
      <c r="E165" s="726"/>
      <c r="F165" s="727" t="s">
        <v>422</v>
      </c>
      <c r="G165" s="749"/>
      <c r="H165" s="728"/>
      <c r="I165" s="729">
        <v>0.0</v>
      </c>
      <c r="J165" s="725"/>
      <c r="K165" s="725"/>
      <c r="L165" s="730"/>
      <c r="M165" s="730"/>
      <c r="N165" s="727"/>
      <c r="O165" s="731"/>
      <c r="P165" s="732"/>
      <c r="Q165" s="733"/>
      <c r="R165" s="623"/>
      <c r="S165" s="213" t="str">
        <f t="array" ref="S165">IFERROR(INDEX('💻シート作成'!$D$6:$D1001, MATCH(T165, '💻シート作成'!$E$6:$E1001, 0)), "")</f>
        <v/>
      </c>
      <c r="T165" s="170"/>
      <c r="U165" s="626"/>
      <c r="V165" s="719"/>
      <c r="W165" s="623"/>
      <c r="X165" s="718"/>
      <c r="Y165" s="623"/>
      <c r="Z165" s="623"/>
    </row>
    <row r="166" hidden="1" outlineLevel="1">
      <c r="A166" s="623"/>
      <c r="B166" s="691"/>
      <c r="C166" s="692"/>
      <c r="D166" s="692"/>
      <c r="E166" s="692"/>
      <c r="F166" s="692"/>
      <c r="G166" s="693"/>
      <c r="H166" s="692"/>
      <c r="I166" s="692"/>
      <c r="J166" s="692"/>
      <c r="K166" s="692"/>
      <c r="L166" s="730"/>
      <c r="M166" s="730"/>
      <c r="N166" s="692"/>
      <c r="O166" s="695"/>
      <c r="Q166" s="690"/>
      <c r="R166" s="623"/>
      <c r="S166" s="213" t="str">
        <f t="array" ref="S166">IFERROR(INDEX('💻シート作成'!$D$6:$D1001, MATCH(T166, '💻シート作成'!$E$6:$E1001, 0)), "")</f>
        <v/>
      </c>
      <c r="T166" s="170"/>
      <c r="U166" s="626"/>
      <c r="V166" s="719"/>
      <c r="W166" s="623"/>
      <c r="X166" s="718"/>
      <c r="Y166" s="623"/>
      <c r="Z166" s="623"/>
    </row>
    <row r="167" hidden="1" outlineLevel="1">
      <c r="A167" s="623"/>
      <c r="B167" s="691"/>
      <c r="C167" s="692"/>
      <c r="D167" s="692"/>
      <c r="E167" s="692"/>
      <c r="F167" s="692"/>
      <c r="G167" s="693"/>
      <c r="H167" s="692"/>
      <c r="I167" s="692"/>
      <c r="J167" s="692"/>
      <c r="K167" s="692"/>
      <c r="L167" s="730"/>
      <c r="M167" s="730"/>
      <c r="N167" s="692"/>
      <c r="O167" s="695"/>
      <c r="Q167" s="690"/>
      <c r="R167" s="623"/>
      <c r="S167" s="213" t="str">
        <f t="array" ref="S167">IFERROR(INDEX('💻シート作成'!$D$6:$D1001, MATCH(T167, '💻シート作成'!$E$6:$E1001, 0)), "")</f>
        <v/>
      </c>
      <c r="T167" s="170"/>
      <c r="U167" s="626"/>
      <c r="V167" s="719"/>
      <c r="W167" s="623"/>
      <c r="X167" s="718"/>
      <c r="Y167" s="623"/>
      <c r="Z167" s="623"/>
    </row>
    <row r="168" hidden="1" outlineLevel="1">
      <c r="A168" s="623"/>
      <c r="B168" s="691"/>
      <c r="C168" s="692"/>
      <c r="D168" s="692"/>
      <c r="E168" s="692"/>
      <c r="F168" s="692"/>
      <c r="G168" s="693"/>
      <c r="H168" s="692"/>
      <c r="I168" s="692"/>
      <c r="J168" s="692"/>
      <c r="K168" s="692"/>
      <c r="L168" s="734"/>
      <c r="M168" s="730"/>
      <c r="N168" s="692"/>
      <c r="O168" s="695"/>
      <c r="Q168" s="690"/>
      <c r="R168" s="623"/>
      <c r="S168" s="213" t="str">
        <f t="array" ref="S168">IFERROR(INDEX('💻シート作成'!$D$6:$D1001, MATCH(T168, '💻シート作成'!$E$6:$E1001, 0)), "")</f>
        <v/>
      </c>
      <c r="T168" s="170"/>
      <c r="U168" s="626"/>
      <c r="V168" s="719"/>
      <c r="W168" s="623"/>
      <c r="X168" s="718"/>
      <c r="Y168" s="623"/>
      <c r="Z168" s="623"/>
    </row>
    <row r="169" hidden="1" outlineLevel="1">
      <c r="A169" s="623"/>
      <c r="B169" s="691"/>
      <c r="C169" s="692"/>
      <c r="D169" s="692"/>
      <c r="E169" s="692"/>
      <c r="F169" s="692"/>
      <c r="G169" s="693"/>
      <c r="H169" s="692"/>
      <c r="I169" s="692"/>
      <c r="J169" s="692"/>
      <c r="K169" s="692"/>
      <c r="L169" s="734"/>
      <c r="M169" s="730"/>
      <c r="N169" s="692"/>
      <c r="O169" s="695"/>
      <c r="Q169" s="690"/>
      <c r="R169" s="623"/>
      <c r="S169" s="213" t="str">
        <f t="array" ref="S169">IFERROR(INDEX('💻シート作成'!$D$6:$D1001, MATCH(T169, '💻シート作成'!$E$6:$E1001, 0)), "")</f>
        <v/>
      </c>
      <c r="T169" s="170"/>
      <c r="U169" s="626"/>
      <c r="V169" s="719"/>
      <c r="W169" s="623"/>
      <c r="X169" s="718"/>
      <c r="Y169" s="623"/>
      <c r="Z169" s="623"/>
    </row>
    <row r="170" hidden="1" outlineLevel="1">
      <c r="A170" s="623"/>
      <c r="B170" s="691"/>
      <c r="C170" s="692"/>
      <c r="D170" s="692"/>
      <c r="E170" s="692"/>
      <c r="F170" s="692"/>
      <c r="G170" s="693"/>
      <c r="H170" s="692"/>
      <c r="I170" s="692"/>
      <c r="J170" s="692"/>
      <c r="K170" s="692"/>
      <c r="L170" s="734"/>
      <c r="M170" s="730"/>
      <c r="N170" s="692"/>
      <c r="O170" s="695"/>
      <c r="Q170" s="690"/>
      <c r="R170" s="623"/>
      <c r="S170" s="213" t="str">
        <f t="array" ref="S170">IFERROR(INDEX('💻シート作成'!$D$6:$D1001, MATCH(T170, '💻シート作成'!$E$6:$E1001, 0)), "")</f>
        <v/>
      </c>
      <c r="T170" s="170"/>
      <c r="U170" s="626"/>
      <c r="V170" s="719"/>
      <c r="W170" s="623"/>
      <c r="X170" s="718"/>
      <c r="Y170" s="623"/>
      <c r="Z170" s="623"/>
    </row>
    <row r="171" hidden="1" outlineLevel="1">
      <c r="A171" s="623"/>
      <c r="B171" s="691"/>
      <c r="C171" s="692"/>
      <c r="D171" s="692"/>
      <c r="E171" s="692"/>
      <c r="F171" s="692"/>
      <c r="G171" s="693"/>
      <c r="H171" s="692"/>
      <c r="I171" s="692"/>
      <c r="J171" s="692"/>
      <c r="K171" s="692"/>
      <c r="L171" s="734"/>
      <c r="M171" s="730"/>
      <c r="N171" s="692"/>
      <c r="O171" s="695"/>
      <c r="Q171" s="690"/>
      <c r="R171" s="623"/>
      <c r="S171" s="213" t="str">
        <f t="array" ref="S171">IFERROR(INDEX('💻シート作成'!$D$6:$D1001, MATCH(T171, '💻シート作成'!$E$6:$E1001, 0)), "")</f>
        <v/>
      </c>
      <c r="T171" s="170"/>
      <c r="U171" s="626"/>
      <c r="V171" s="719"/>
      <c r="W171" s="623"/>
      <c r="X171" s="718"/>
      <c r="Y171" s="623"/>
      <c r="Z171" s="623"/>
    </row>
    <row r="172" hidden="1" outlineLevel="1">
      <c r="A172" s="623"/>
      <c r="B172" s="691"/>
      <c r="C172" s="692"/>
      <c r="D172" s="692"/>
      <c r="E172" s="692"/>
      <c r="F172" s="692"/>
      <c r="G172" s="693"/>
      <c r="H172" s="692"/>
      <c r="I172" s="692"/>
      <c r="J172" s="692"/>
      <c r="K172" s="692"/>
      <c r="L172" s="734"/>
      <c r="M172" s="730"/>
      <c r="N172" s="692"/>
      <c r="O172" s="695"/>
      <c r="Q172" s="690"/>
      <c r="R172" s="623"/>
      <c r="S172" s="213" t="str">
        <f t="array" ref="S172">IFERROR(INDEX('💻シート作成'!$D$6:$D1001, MATCH(T172, '💻シート作成'!$E$6:$E1001, 0)), "")</f>
        <v/>
      </c>
      <c r="T172" s="170"/>
      <c r="U172" s="626"/>
      <c r="V172" s="719"/>
      <c r="W172" s="623"/>
      <c r="X172" s="718"/>
      <c r="Y172" s="623"/>
      <c r="Z172" s="623"/>
    </row>
    <row r="173" hidden="1" outlineLevel="1">
      <c r="A173" s="623"/>
      <c r="B173" s="691"/>
      <c r="C173" s="692"/>
      <c r="D173" s="692"/>
      <c r="E173" s="692"/>
      <c r="F173" s="692"/>
      <c r="G173" s="693"/>
      <c r="H173" s="692"/>
      <c r="I173" s="692"/>
      <c r="J173" s="692"/>
      <c r="K173" s="692"/>
      <c r="L173" s="734"/>
      <c r="M173" s="730"/>
      <c r="N173" s="692"/>
      <c r="O173" s="695"/>
      <c r="Q173" s="690"/>
      <c r="R173" s="623"/>
      <c r="S173" s="213" t="str">
        <f t="array" ref="S173">IFERROR(INDEX('💻シート作成'!$D$6:$D1001, MATCH(T173, '💻シート作成'!$E$6:$E1001, 0)), "")</f>
        <v/>
      </c>
      <c r="T173" s="170"/>
      <c r="U173" s="626"/>
      <c r="V173" s="719"/>
      <c r="W173" s="623"/>
      <c r="X173" s="718"/>
      <c r="Y173" s="623"/>
      <c r="Z173" s="623"/>
    </row>
    <row r="174" hidden="1" outlineLevel="1">
      <c r="A174" s="623"/>
      <c r="B174" s="691"/>
      <c r="C174" s="692"/>
      <c r="D174" s="692"/>
      <c r="E174" s="692"/>
      <c r="F174" s="659"/>
      <c r="G174" s="660"/>
      <c r="H174" s="659"/>
      <c r="I174" s="659"/>
      <c r="J174" s="659"/>
      <c r="K174" s="659"/>
      <c r="L174" s="734"/>
      <c r="M174" s="730"/>
      <c r="N174" s="659"/>
      <c r="O174" s="662"/>
      <c r="P174" s="663"/>
      <c r="Q174" s="699"/>
      <c r="R174" s="623"/>
      <c r="S174" s="213" t="str">
        <f t="array" ref="S174">IFERROR(INDEX('💻シート作成'!$D$6:$D1001, MATCH(T174, '💻シート作成'!$E$6:$E1001, 0)), "")</f>
        <v/>
      </c>
      <c r="T174" s="170"/>
      <c r="U174" s="626"/>
      <c r="V174" s="719"/>
      <c r="W174" s="623"/>
      <c r="X174" s="718"/>
      <c r="Y174" s="623"/>
      <c r="Z174" s="623"/>
    </row>
    <row r="175" hidden="1" outlineLevel="1">
      <c r="A175" s="623"/>
      <c r="B175" s="700"/>
      <c r="C175" s="659"/>
      <c r="D175" s="659"/>
      <c r="E175" s="659"/>
      <c r="F175" s="701" t="s">
        <v>425</v>
      </c>
      <c r="G175" s="702"/>
      <c r="H175" s="703"/>
      <c r="I175" s="703"/>
      <c r="J175" s="703"/>
      <c r="K175" s="703"/>
      <c r="L175" s="702"/>
      <c r="M175" s="702"/>
      <c r="N175" s="702"/>
      <c r="O175" s="702"/>
      <c r="P175" s="702"/>
      <c r="Q175" s="704"/>
      <c r="R175" s="623"/>
      <c r="S175" s="213" t="str">
        <f t="array" ref="S175">IFERROR(INDEX('💻シート作成'!$D$6:$D1001, MATCH(T175, '💻シート作成'!$E$6:$E1001, 0)), "")</f>
        <v/>
      </c>
      <c r="T175" s="170"/>
      <c r="U175" s="626"/>
      <c r="V175" s="719"/>
      <c r="W175" s="623"/>
      <c r="X175" s="718"/>
      <c r="Y175" s="623"/>
      <c r="Z175" s="623"/>
    </row>
    <row r="176" collapsed="1">
      <c r="A176" s="623"/>
      <c r="B176" s="739" t="s">
        <v>438</v>
      </c>
      <c r="C176" s="740"/>
      <c r="D176" s="740"/>
      <c r="E176" s="740"/>
      <c r="F176" s="741"/>
      <c r="G176" s="742"/>
      <c r="H176" s="743"/>
      <c r="I176" s="743"/>
      <c r="J176" s="744"/>
      <c r="K176" s="744"/>
      <c r="L176" s="742"/>
      <c r="M176" s="742"/>
      <c r="N176" s="745"/>
      <c r="O176" s="746"/>
      <c r="P176" s="746"/>
      <c r="Q176" s="747"/>
      <c r="R176" s="623"/>
      <c r="S176" s="213" t="str">
        <f t="array" ref="S176">IFERROR(INDEX('💻シート作成'!$D$6:$D1001, MATCH(T176, '💻シート作成'!$E$6:$E1001, 0)), "")</f>
        <v/>
      </c>
      <c r="T176" s="170"/>
      <c r="U176" s="626"/>
      <c r="V176" s="719"/>
      <c r="W176" s="623"/>
      <c r="X176" s="718"/>
      <c r="Y176" s="623"/>
      <c r="Z176" s="623"/>
    </row>
    <row r="177" hidden="1" outlineLevel="1">
      <c r="A177" s="623"/>
      <c r="B177" s="705"/>
      <c r="C177" s="706">
        <f>IF(C165="","",IF(DAY(C165+1)=1,"",C165+1))</f>
        <v>46069</v>
      </c>
      <c r="D177" s="707" t="str">
        <f>TEXT(C177,"ddd")</f>
        <v>月</v>
      </c>
      <c r="E177" s="708"/>
      <c r="F177" s="735" t="s">
        <v>422</v>
      </c>
      <c r="G177" s="748"/>
      <c r="H177" s="736"/>
      <c r="I177" s="737">
        <v>0.0</v>
      </c>
      <c r="J177" s="707"/>
      <c r="K177" s="707"/>
      <c r="L177" s="716"/>
      <c r="M177" s="716"/>
      <c r="N177" s="735"/>
      <c r="O177" s="738"/>
      <c r="P177" s="732"/>
      <c r="Q177" s="733"/>
      <c r="R177" s="623"/>
      <c r="S177" s="213" t="str">
        <f t="array" ref="S177">IFERROR(INDEX('💻シート作成'!$D$6:$D1001, MATCH(T177, '💻シート作成'!$E$6:$E1001, 0)), "")</f>
        <v/>
      </c>
      <c r="T177" s="170"/>
      <c r="U177" s="626"/>
      <c r="V177" s="719"/>
      <c r="W177" s="623"/>
      <c r="X177" s="718"/>
      <c r="Y177" s="623"/>
      <c r="Z177" s="623"/>
    </row>
    <row r="178" hidden="1" outlineLevel="1">
      <c r="A178" s="623"/>
      <c r="B178" s="691"/>
      <c r="C178" s="692"/>
      <c r="D178" s="692"/>
      <c r="E178" s="692"/>
      <c r="F178" s="692"/>
      <c r="G178" s="693"/>
      <c r="H178" s="692"/>
      <c r="I178" s="692"/>
      <c r="J178" s="692"/>
      <c r="K178" s="692"/>
      <c r="L178" s="716"/>
      <c r="M178" s="716"/>
      <c r="N178" s="692"/>
      <c r="O178" s="695"/>
      <c r="Q178" s="690"/>
      <c r="R178" s="623"/>
      <c r="S178" s="213" t="str">
        <f t="array" ref="S178">IFERROR(INDEX('💻シート作成'!$D$6:$D1001, MATCH(T178, '💻シート作成'!$E$6:$E1001, 0)), "")</f>
        <v/>
      </c>
      <c r="T178" s="170"/>
      <c r="U178" s="626"/>
      <c r="V178" s="719"/>
      <c r="W178" s="623"/>
      <c r="X178" s="718"/>
      <c r="Y178" s="623"/>
      <c r="Z178" s="623"/>
    </row>
    <row r="179" hidden="1" outlineLevel="1">
      <c r="A179" s="623"/>
      <c r="B179" s="691"/>
      <c r="C179" s="692"/>
      <c r="D179" s="692"/>
      <c r="E179" s="692"/>
      <c r="F179" s="692"/>
      <c r="G179" s="693"/>
      <c r="H179" s="692"/>
      <c r="I179" s="692"/>
      <c r="J179" s="692"/>
      <c r="K179" s="692"/>
      <c r="L179" s="716"/>
      <c r="M179" s="716"/>
      <c r="N179" s="692"/>
      <c r="O179" s="695"/>
      <c r="Q179" s="690"/>
      <c r="R179" s="623"/>
      <c r="S179" s="213" t="str">
        <f t="array" ref="S179">IFERROR(INDEX('💻シート作成'!$D$6:$D1001, MATCH(T179, '💻シート作成'!$E$6:$E1001, 0)), "")</f>
        <v/>
      </c>
      <c r="T179" s="170"/>
      <c r="U179" s="626"/>
      <c r="V179" s="719"/>
      <c r="W179" s="623"/>
      <c r="X179" s="718"/>
      <c r="Y179" s="623"/>
      <c r="Z179" s="623"/>
    </row>
    <row r="180" hidden="1" outlineLevel="1">
      <c r="A180" s="623"/>
      <c r="B180" s="691"/>
      <c r="C180" s="692"/>
      <c r="D180" s="692"/>
      <c r="E180" s="692"/>
      <c r="F180" s="692"/>
      <c r="G180" s="693"/>
      <c r="H180" s="692"/>
      <c r="I180" s="692"/>
      <c r="J180" s="692"/>
      <c r="K180" s="692"/>
      <c r="L180" s="717"/>
      <c r="M180" s="716"/>
      <c r="N180" s="692"/>
      <c r="O180" s="695"/>
      <c r="Q180" s="690"/>
      <c r="R180" s="623"/>
      <c r="S180" s="213" t="str">
        <f t="array" ref="S180">IFERROR(INDEX('💻シート作成'!$D$6:$D1001, MATCH(T180, '💻シート作成'!$E$6:$E1001, 0)), "")</f>
        <v/>
      </c>
      <c r="T180" s="170"/>
      <c r="U180" s="626"/>
      <c r="V180" s="719"/>
      <c r="W180" s="623"/>
      <c r="X180" s="718"/>
      <c r="Y180" s="623"/>
      <c r="Z180" s="623"/>
    </row>
    <row r="181" hidden="1" outlineLevel="1">
      <c r="A181" s="623"/>
      <c r="B181" s="691"/>
      <c r="C181" s="692"/>
      <c r="D181" s="692"/>
      <c r="E181" s="692"/>
      <c r="F181" s="692"/>
      <c r="G181" s="693"/>
      <c r="H181" s="692"/>
      <c r="I181" s="692"/>
      <c r="J181" s="692"/>
      <c r="K181" s="692"/>
      <c r="L181" s="717"/>
      <c r="M181" s="716"/>
      <c r="N181" s="692"/>
      <c r="O181" s="695"/>
      <c r="Q181" s="690"/>
      <c r="R181" s="623"/>
      <c r="S181" s="213" t="str">
        <f t="array" ref="S181">IFERROR(INDEX('💻シート作成'!$D$6:$D1001, MATCH(T181, '💻シート作成'!$E$6:$E1001, 0)), "")</f>
        <v/>
      </c>
      <c r="T181" s="170"/>
      <c r="U181" s="626"/>
      <c r="V181" s="719"/>
      <c r="W181" s="623"/>
      <c r="X181" s="718"/>
      <c r="Y181" s="623"/>
      <c r="Z181" s="623"/>
    </row>
    <row r="182" hidden="1" outlineLevel="1">
      <c r="A182" s="623"/>
      <c r="B182" s="691"/>
      <c r="C182" s="692"/>
      <c r="D182" s="692"/>
      <c r="E182" s="692"/>
      <c r="F182" s="692"/>
      <c r="G182" s="693"/>
      <c r="H182" s="692"/>
      <c r="I182" s="692"/>
      <c r="J182" s="692"/>
      <c r="K182" s="692"/>
      <c r="L182" s="717"/>
      <c r="M182" s="716"/>
      <c r="N182" s="692"/>
      <c r="O182" s="695"/>
      <c r="Q182" s="690"/>
      <c r="R182" s="623"/>
      <c r="S182" s="213" t="str">
        <f t="array" ref="S182">IFERROR(INDEX('💻シート作成'!$D$6:$D1001, MATCH(T182, '💻シート作成'!$E$6:$E1001, 0)), "")</f>
        <v/>
      </c>
      <c r="T182" s="170"/>
      <c r="U182" s="626"/>
      <c r="V182" s="719"/>
      <c r="W182" s="623"/>
      <c r="X182" s="718"/>
      <c r="Y182" s="623"/>
      <c r="Z182" s="623"/>
    </row>
    <row r="183" hidden="1" outlineLevel="1">
      <c r="A183" s="623"/>
      <c r="B183" s="691"/>
      <c r="C183" s="692"/>
      <c r="D183" s="692"/>
      <c r="E183" s="692"/>
      <c r="F183" s="692"/>
      <c r="G183" s="693"/>
      <c r="H183" s="692"/>
      <c r="I183" s="692"/>
      <c r="J183" s="692"/>
      <c r="K183" s="692"/>
      <c r="L183" s="717"/>
      <c r="M183" s="716"/>
      <c r="N183" s="692"/>
      <c r="O183" s="695"/>
      <c r="Q183" s="690"/>
      <c r="R183" s="623"/>
      <c r="S183" s="213" t="str">
        <f t="array" ref="S183">IFERROR(INDEX('💻シート作成'!$D$6:$D1001, MATCH(T183, '💻シート作成'!$E$6:$E1001, 0)), "")</f>
        <v/>
      </c>
      <c r="T183" s="170"/>
      <c r="U183" s="626"/>
      <c r="V183" s="719"/>
      <c r="W183" s="623"/>
      <c r="X183" s="718"/>
      <c r="Y183" s="623"/>
      <c r="Z183" s="623"/>
    </row>
    <row r="184" hidden="1" outlineLevel="1">
      <c r="A184" s="623"/>
      <c r="B184" s="691"/>
      <c r="C184" s="692"/>
      <c r="D184" s="692"/>
      <c r="E184" s="692"/>
      <c r="F184" s="692"/>
      <c r="G184" s="693"/>
      <c r="H184" s="692"/>
      <c r="I184" s="692"/>
      <c r="J184" s="692"/>
      <c r="K184" s="692"/>
      <c r="L184" s="717"/>
      <c r="M184" s="716"/>
      <c r="N184" s="692"/>
      <c r="O184" s="695"/>
      <c r="Q184" s="690"/>
      <c r="R184" s="623"/>
      <c r="S184" s="213" t="str">
        <f t="array" ref="S184">IFERROR(INDEX('💻シート作成'!$D$6:$D1001, MATCH(T184, '💻シート作成'!$E$6:$E1001, 0)), "")</f>
        <v/>
      </c>
      <c r="T184" s="170"/>
      <c r="U184" s="626"/>
      <c r="V184" s="719"/>
      <c r="W184" s="623"/>
      <c r="X184" s="718"/>
      <c r="Y184" s="623"/>
      <c r="Z184" s="623"/>
    </row>
    <row r="185" hidden="1" outlineLevel="1">
      <c r="A185" s="623"/>
      <c r="B185" s="691"/>
      <c r="C185" s="692"/>
      <c r="D185" s="692"/>
      <c r="E185" s="692"/>
      <c r="F185" s="692"/>
      <c r="G185" s="693"/>
      <c r="H185" s="692"/>
      <c r="I185" s="692"/>
      <c r="J185" s="692"/>
      <c r="K185" s="692"/>
      <c r="L185" s="717"/>
      <c r="M185" s="716"/>
      <c r="N185" s="692"/>
      <c r="O185" s="695"/>
      <c r="Q185" s="690"/>
      <c r="R185" s="623"/>
      <c r="S185" s="213" t="str">
        <f t="array" ref="S185">IFERROR(INDEX('💻シート作成'!$D$6:$D1001, MATCH(T185, '💻シート作成'!$E$6:$E1001, 0)), "")</f>
        <v/>
      </c>
      <c r="T185" s="170"/>
      <c r="U185" s="626"/>
      <c r="V185" s="719"/>
      <c r="W185" s="623"/>
      <c r="X185" s="718"/>
      <c r="Y185" s="623"/>
      <c r="Z185" s="623"/>
    </row>
    <row r="186" hidden="1" outlineLevel="1">
      <c r="A186" s="623"/>
      <c r="B186" s="691"/>
      <c r="C186" s="692"/>
      <c r="D186" s="692"/>
      <c r="E186" s="692"/>
      <c r="F186" s="659"/>
      <c r="G186" s="660"/>
      <c r="H186" s="659"/>
      <c r="I186" s="659"/>
      <c r="J186" s="659"/>
      <c r="K186" s="659"/>
      <c r="L186" s="717"/>
      <c r="M186" s="716"/>
      <c r="N186" s="659"/>
      <c r="O186" s="662"/>
      <c r="P186" s="663"/>
      <c r="Q186" s="699"/>
      <c r="R186" s="623"/>
      <c r="S186" s="213" t="str">
        <f t="array" ref="S186">IFERROR(INDEX('💻シート作成'!$D$6:$D1001, MATCH(T186, '💻シート作成'!$E$6:$E1001, 0)), "")</f>
        <v/>
      </c>
      <c r="T186" s="170"/>
      <c r="U186" s="626"/>
      <c r="V186" s="719"/>
      <c r="W186" s="623"/>
      <c r="X186" s="718"/>
      <c r="Y186" s="623"/>
      <c r="Z186" s="623"/>
    </row>
    <row r="187" hidden="1" outlineLevel="1">
      <c r="A187" s="623"/>
      <c r="B187" s="700"/>
      <c r="C187" s="659"/>
      <c r="D187" s="659"/>
      <c r="E187" s="659"/>
      <c r="F187" s="720" t="s">
        <v>425</v>
      </c>
      <c r="G187" s="721"/>
      <c r="H187" s="703"/>
      <c r="I187" s="703"/>
      <c r="J187" s="703"/>
      <c r="K187" s="703"/>
      <c r="L187" s="721"/>
      <c r="M187" s="721"/>
      <c r="N187" s="721"/>
      <c r="O187" s="721"/>
      <c r="P187" s="721"/>
      <c r="Q187" s="722"/>
      <c r="R187" s="623"/>
      <c r="S187" s="213" t="str">
        <f t="array" ref="S187">IFERROR(INDEX('💻シート作成'!$D$6:$D1001, MATCH(T187, '💻シート作成'!$E$6:$E1001, 0)), "")</f>
        <v/>
      </c>
      <c r="T187" s="170"/>
      <c r="U187" s="626"/>
      <c r="V187" s="719"/>
      <c r="W187" s="623"/>
      <c r="X187" s="718"/>
      <c r="Y187" s="623"/>
      <c r="Z187" s="623"/>
    </row>
    <row r="188" hidden="1" outlineLevel="1">
      <c r="A188" s="623"/>
      <c r="B188" s="723"/>
      <c r="C188" s="724">
        <f>IF(C177="","",IF(DAY(C177+1)=1,"",C177+1))</f>
        <v>46070</v>
      </c>
      <c r="D188" s="725" t="str">
        <f>TEXT(C188,"ddd")</f>
        <v>火</v>
      </c>
      <c r="E188" s="726"/>
      <c r="F188" s="727" t="s">
        <v>422</v>
      </c>
      <c r="G188" s="749"/>
      <c r="H188" s="728"/>
      <c r="I188" s="729">
        <v>0.0</v>
      </c>
      <c r="J188" s="725"/>
      <c r="K188" s="725"/>
      <c r="L188" s="730"/>
      <c r="M188" s="730"/>
      <c r="N188" s="727"/>
      <c r="O188" s="731"/>
      <c r="P188" s="732"/>
      <c r="Q188" s="733"/>
      <c r="R188" s="623"/>
      <c r="S188" s="213" t="str">
        <f t="array" ref="S188">IFERROR(INDEX('💻シート作成'!$D$6:$D1001, MATCH(T188, '💻シート作成'!$E$6:$E1001, 0)), "")</f>
        <v/>
      </c>
      <c r="T188" s="170"/>
      <c r="U188" s="626"/>
      <c r="V188" s="719"/>
      <c r="W188" s="623"/>
      <c r="X188" s="718"/>
      <c r="Y188" s="623"/>
      <c r="Z188" s="623"/>
    </row>
    <row r="189" hidden="1" outlineLevel="1">
      <c r="A189" s="623"/>
      <c r="B189" s="691"/>
      <c r="C189" s="692"/>
      <c r="D189" s="692"/>
      <c r="E189" s="692"/>
      <c r="F189" s="692"/>
      <c r="G189" s="693"/>
      <c r="H189" s="692"/>
      <c r="I189" s="692"/>
      <c r="J189" s="692"/>
      <c r="K189" s="692"/>
      <c r="L189" s="730"/>
      <c r="M189" s="730"/>
      <c r="N189" s="692"/>
      <c r="O189" s="695"/>
      <c r="Q189" s="690"/>
      <c r="R189" s="623"/>
      <c r="S189" s="213" t="str">
        <f t="array" ref="S189">IFERROR(INDEX('💻シート作成'!$D$6:$D1001, MATCH(T189, '💻シート作成'!$E$6:$E1001, 0)), "")</f>
        <v/>
      </c>
      <c r="T189" s="170"/>
      <c r="U189" s="626"/>
      <c r="V189" s="719"/>
      <c r="W189" s="623"/>
      <c r="X189" s="718"/>
      <c r="Y189" s="623"/>
      <c r="Z189" s="623"/>
    </row>
    <row r="190" hidden="1" outlineLevel="1">
      <c r="A190" s="623"/>
      <c r="B190" s="691"/>
      <c r="C190" s="692"/>
      <c r="D190" s="692"/>
      <c r="E190" s="692"/>
      <c r="F190" s="692"/>
      <c r="G190" s="693"/>
      <c r="H190" s="692"/>
      <c r="I190" s="692"/>
      <c r="J190" s="692"/>
      <c r="K190" s="692"/>
      <c r="L190" s="730"/>
      <c r="M190" s="730"/>
      <c r="N190" s="692"/>
      <c r="O190" s="695"/>
      <c r="Q190" s="690"/>
      <c r="R190" s="623"/>
      <c r="S190" s="213" t="str">
        <f t="array" ref="S190">IFERROR(INDEX('💻シート作成'!$D$6:$D1001, MATCH(T190, '💻シート作成'!$E$6:$E1001, 0)), "")</f>
        <v/>
      </c>
      <c r="T190" s="170"/>
      <c r="U190" s="626"/>
      <c r="V190" s="719"/>
      <c r="W190" s="623"/>
      <c r="X190" s="718"/>
      <c r="Y190" s="623"/>
      <c r="Z190" s="623"/>
    </row>
    <row r="191" hidden="1" outlineLevel="1">
      <c r="A191" s="623"/>
      <c r="B191" s="691"/>
      <c r="C191" s="692"/>
      <c r="D191" s="692"/>
      <c r="E191" s="692"/>
      <c r="F191" s="692"/>
      <c r="G191" s="693"/>
      <c r="H191" s="692"/>
      <c r="I191" s="692"/>
      <c r="J191" s="692"/>
      <c r="K191" s="692"/>
      <c r="L191" s="734"/>
      <c r="M191" s="730"/>
      <c r="N191" s="692"/>
      <c r="O191" s="695"/>
      <c r="Q191" s="690"/>
      <c r="R191" s="623"/>
      <c r="S191" s="213" t="str">
        <f t="array" ref="S191">IFERROR(INDEX('💻シート作成'!$D$6:$D1001, MATCH(T191, '💻シート作成'!$E$6:$E1001, 0)), "")</f>
        <v/>
      </c>
      <c r="T191" s="170"/>
      <c r="U191" s="626"/>
      <c r="V191" s="719"/>
      <c r="W191" s="623"/>
      <c r="X191" s="718"/>
      <c r="Y191" s="623"/>
      <c r="Z191" s="623"/>
    </row>
    <row r="192" hidden="1" outlineLevel="1">
      <c r="A192" s="623"/>
      <c r="B192" s="691"/>
      <c r="C192" s="692"/>
      <c r="D192" s="692"/>
      <c r="E192" s="692"/>
      <c r="F192" s="692"/>
      <c r="G192" s="693"/>
      <c r="H192" s="692"/>
      <c r="I192" s="692"/>
      <c r="J192" s="692"/>
      <c r="K192" s="692"/>
      <c r="L192" s="734"/>
      <c r="M192" s="730"/>
      <c r="N192" s="692"/>
      <c r="O192" s="695"/>
      <c r="Q192" s="690"/>
      <c r="R192" s="623"/>
      <c r="S192" s="213" t="str">
        <f t="array" ref="S192">IFERROR(INDEX('💻シート作成'!$D$6:$D1001, MATCH(T192, '💻シート作成'!$E$6:$E1001, 0)), "")</f>
        <v/>
      </c>
      <c r="T192" s="170"/>
      <c r="U192" s="626"/>
      <c r="V192" s="719"/>
      <c r="W192" s="623"/>
      <c r="X192" s="718"/>
      <c r="Y192" s="623"/>
      <c r="Z192" s="623"/>
    </row>
    <row r="193" hidden="1" outlineLevel="1">
      <c r="A193" s="623"/>
      <c r="B193" s="691"/>
      <c r="C193" s="692"/>
      <c r="D193" s="692"/>
      <c r="E193" s="692"/>
      <c r="F193" s="692"/>
      <c r="G193" s="693"/>
      <c r="H193" s="692"/>
      <c r="I193" s="692"/>
      <c r="J193" s="692"/>
      <c r="K193" s="692"/>
      <c r="L193" s="734"/>
      <c r="M193" s="730"/>
      <c r="N193" s="692"/>
      <c r="O193" s="695"/>
      <c r="Q193" s="690"/>
      <c r="R193" s="623"/>
      <c r="S193" s="213" t="str">
        <f t="array" ref="S193">IFERROR(INDEX('💻シート作成'!$D$6:$D1001, MATCH(T193, '💻シート作成'!$E$6:$E1001, 0)), "")</f>
        <v/>
      </c>
      <c r="T193" s="170"/>
      <c r="U193" s="626"/>
      <c r="V193" s="719"/>
      <c r="W193" s="623"/>
      <c r="X193" s="718"/>
      <c r="Y193" s="623"/>
      <c r="Z193" s="623"/>
    </row>
    <row r="194" hidden="1" outlineLevel="1">
      <c r="A194" s="623"/>
      <c r="B194" s="691"/>
      <c r="C194" s="692"/>
      <c r="D194" s="692"/>
      <c r="E194" s="692"/>
      <c r="F194" s="692"/>
      <c r="G194" s="693"/>
      <c r="H194" s="692"/>
      <c r="I194" s="692"/>
      <c r="J194" s="692"/>
      <c r="K194" s="692"/>
      <c r="L194" s="734"/>
      <c r="M194" s="730"/>
      <c r="N194" s="692"/>
      <c r="O194" s="695"/>
      <c r="Q194" s="690"/>
      <c r="R194" s="623"/>
      <c r="S194" s="213" t="str">
        <f t="array" ref="S194">IFERROR(INDEX('💻シート作成'!$D$6:$D1001, MATCH(T194, '💻シート作成'!$E$6:$E1001, 0)), "")</f>
        <v/>
      </c>
      <c r="T194" s="170"/>
      <c r="U194" s="626"/>
      <c r="V194" s="719"/>
      <c r="W194" s="623"/>
      <c r="X194" s="718"/>
      <c r="Y194" s="623"/>
      <c r="Z194" s="623"/>
    </row>
    <row r="195" hidden="1" outlineLevel="1">
      <c r="A195" s="623"/>
      <c r="B195" s="691"/>
      <c r="C195" s="692"/>
      <c r="D195" s="692"/>
      <c r="E195" s="692"/>
      <c r="F195" s="692"/>
      <c r="G195" s="693"/>
      <c r="H195" s="692"/>
      <c r="I195" s="692"/>
      <c r="J195" s="692"/>
      <c r="K195" s="692"/>
      <c r="L195" s="734"/>
      <c r="M195" s="730"/>
      <c r="N195" s="692"/>
      <c r="O195" s="695"/>
      <c r="Q195" s="690"/>
      <c r="R195" s="623"/>
      <c r="S195" s="213" t="str">
        <f t="array" ref="S195">IFERROR(INDEX('💻シート作成'!$D$6:$D1001, MATCH(T195, '💻シート作成'!$E$6:$E1001, 0)), "")</f>
        <v/>
      </c>
      <c r="T195" s="170"/>
      <c r="U195" s="626"/>
      <c r="V195" s="719"/>
      <c r="W195" s="623"/>
      <c r="X195" s="718"/>
      <c r="Y195" s="623"/>
      <c r="Z195" s="623"/>
    </row>
    <row r="196" hidden="1" outlineLevel="1">
      <c r="A196" s="623"/>
      <c r="B196" s="691"/>
      <c r="C196" s="692"/>
      <c r="D196" s="692"/>
      <c r="E196" s="692"/>
      <c r="F196" s="692"/>
      <c r="G196" s="693"/>
      <c r="H196" s="692"/>
      <c r="I196" s="692"/>
      <c r="J196" s="692"/>
      <c r="K196" s="692"/>
      <c r="L196" s="734"/>
      <c r="M196" s="730"/>
      <c r="N196" s="692"/>
      <c r="O196" s="695"/>
      <c r="Q196" s="690"/>
      <c r="R196" s="623"/>
      <c r="S196" s="213" t="str">
        <f t="array" ref="S196">IFERROR(INDEX('💻シート作成'!$D$6:$D1001, MATCH(T196, '💻シート作成'!$E$6:$E1001, 0)), "")</f>
        <v/>
      </c>
      <c r="T196" s="170"/>
      <c r="U196" s="626"/>
      <c r="V196" s="719"/>
      <c r="W196" s="623"/>
      <c r="X196" s="718"/>
      <c r="Y196" s="623"/>
      <c r="Z196" s="623"/>
    </row>
    <row r="197" hidden="1" outlineLevel="1">
      <c r="A197" s="623"/>
      <c r="B197" s="691"/>
      <c r="C197" s="692"/>
      <c r="D197" s="692"/>
      <c r="E197" s="692"/>
      <c r="F197" s="659"/>
      <c r="G197" s="660"/>
      <c r="H197" s="659"/>
      <c r="I197" s="659"/>
      <c r="J197" s="659"/>
      <c r="K197" s="659"/>
      <c r="L197" s="734"/>
      <c r="M197" s="730"/>
      <c r="N197" s="659"/>
      <c r="O197" s="662"/>
      <c r="P197" s="663"/>
      <c r="Q197" s="699"/>
      <c r="R197" s="623"/>
      <c r="S197" s="213" t="str">
        <f t="array" ref="S197">IFERROR(INDEX('💻シート作成'!$D$6:$D1001, MATCH(T197, '💻シート作成'!$E$6:$E1001, 0)), "")</f>
        <v/>
      </c>
      <c r="T197" s="170"/>
      <c r="U197" s="626"/>
      <c r="V197" s="719"/>
      <c r="W197" s="623"/>
      <c r="X197" s="718"/>
      <c r="Y197" s="623"/>
      <c r="Z197" s="623"/>
    </row>
    <row r="198" hidden="1" outlineLevel="1">
      <c r="A198" s="623"/>
      <c r="B198" s="700"/>
      <c r="C198" s="659"/>
      <c r="D198" s="659"/>
      <c r="E198" s="659"/>
      <c r="F198" s="701" t="s">
        <v>425</v>
      </c>
      <c r="G198" s="702"/>
      <c r="H198" s="703"/>
      <c r="I198" s="703"/>
      <c r="J198" s="703"/>
      <c r="K198" s="703"/>
      <c r="L198" s="702"/>
      <c r="M198" s="702"/>
      <c r="N198" s="702"/>
      <c r="O198" s="702"/>
      <c r="P198" s="702"/>
      <c r="Q198" s="704"/>
      <c r="R198" s="623"/>
      <c r="S198" s="213" t="str">
        <f t="array" ref="S198">IFERROR(INDEX('💻シート作成'!$D$6:$D1001, MATCH(T198, '💻シート作成'!$E$6:$E1001, 0)), "")</f>
        <v/>
      </c>
      <c r="T198" s="170"/>
      <c r="U198" s="626"/>
      <c r="V198" s="719"/>
      <c r="W198" s="623"/>
      <c r="X198" s="718"/>
      <c r="Y198" s="623"/>
      <c r="Z198" s="623"/>
    </row>
    <row r="199" hidden="1" outlineLevel="1">
      <c r="A199" s="623"/>
      <c r="B199" s="705"/>
      <c r="C199" s="706">
        <f>IF(C188="","",IF(DAY(C188+1)=1,"",C188+1))</f>
        <v>46071</v>
      </c>
      <c r="D199" s="707" t="str">
        <f>TEXT(C199,"ddd")</f>
        <v>水</v>
      </c>
      <c r="E199" s="708"/>
      <c r="F199" s="735" t="s">
        <v>422</v>
      </c>
      <c r="G199" s="748"/>
      <c r="H199" s="736"/>
      <c r="I199" s="737">
        <v>0.0</v>
      </c>
      <c r="J199" s="707"/>
      <c r="K199" s="707"/>
      <c r="L199" s="716"/>
      <c r="M199" s="716"/>
      <c r="N199" s="735"/>
      <c r="O199" s="738"/>
      <c r="P199" s="732"/>
      <c r="Q199" s="733"/>
      <c r="R199" s="623"/>
      <c r="S199" s="213" t="str">
        <f t="array" ref="S199">IFERROR(INDEX('💻シート作成'!$D$6:$D1001, MATCH(T199, '💻シート作成'!$E$6:$E1001, 0)), "")</f>
        <v/>
      </c>
      <c r="T199" s="170"/>
      <c r="U199" s="626"/>
      <c r="V199" s="719"/>
      <c r="W199" s="623"/>
      <c r="X199" s="718"/>
      <c r="Y199" s="623"/>
      <c r="Z199" s="623"/>
    </row>
    <row r="200" hidden="1" outlineLevel="1">
      <c r="A200" s="623"/>
      <c r="B200" s="691"/>
      <c r="C200" s="692"/>
      <c r="D200" s="692"/>
      <c r="E200" s="692"/>
      <c r="F200" s="692"/>
      <c r="G200" s="693"/>
      <c r="H200" s="692"/>
      <c r="I200" s="692"/>
      <c r="J200" s="692"/>
      <c r="K200" s="692"/>
      <c r="L200" s="716"/>
      <c r="M200" s="716"/>
      <c r="N200" s="692"/>
      <c r="O200" s="695"/>
      <c r="Q200" s="690"/>
      <c r="R200" s="623"/>
      <c r="S200" s="213" t="str">
        <f t="array" ref="S200">IFERROR(INDEX('💻シート作成'!$D$6:$D1001, MATCH(T200, '💻シート作成'!$E$6:$E1001, 0)), "")</f>
        <v/>
      </c>
      <c r="T200" s="170"/>
      <c r="U200" s="626"/>
      <c r="V200" s="719"/>
      <c r="W200" s="623"/>
      <c r="X200" s="718"/>
      <c r="Y200" s="623"/>
      <c r="Z200" s="623"/>
    </row>
    <row r="201" hidden="1" outlineLevel="1">
      <c r="A201" s="623"/>
      <c r="B201" s="691"/>
      <c r="C201" s="692"/>
      <c r="D201" s="692"/>
      <c r="E201" s="692"/>
      <c r="F201" s="692"/>
      <c r="G201" s="693"/>
      <c r="H201" s="692"/>
      <c r="I201" s="692"/>
      <c r="J201" s="692"/>
      <c r="K201" s="692"/>
      <c r="L201" s="716"/>
      <c r="M201" s="716"/>
      <c r="N201" s="692"/>
      <c r="O201" s="695"/>
      <c r="Q201" s="690"/>
      <c r="R201" s="623"/>
      <c r="S201" s="213" t="str">
        <f t="array" ref="S201">IFERROR(INDEX('💻シート作成'!$D$6:$D1001, MATCH(T201, '💻シート作成'!$E$6:$E1001, 0)), "")</f>
        <v/>
      </c>
      <c r="T201" s="170"/>
      <c r="U201" s="626"/>
      <c r="V201" s="719"/>
      <c r="W201" s="623"/>
      <c r="X201" s="718"/>
      <c r="Y201" s="623"/>
      <c r="Z201" s="623"/>
    </row>
    <row r="202" hidden="1" outlineLevel="1">
      <c r="A202" s="623"/>
      <c r="B202" s="691"/>
      <c r="C202" s="692"/>
      <c r="D202" s="692"/>
      <c r="E202" s="692"/>
      <c r="F202" s="692"/>
      <c r="G202" s="693"/>
      <c r="H202" s="692"/>
      <c r="I202" s="692"/>
      <c r="J202" s="692"/>
      <c r="K202" s="692"/>
      <c r="L202" s="717"/>
      <c r="M202" s="716"/>
      <c r="N202" s="692"/>
      <c r="O202" s="695"/>
      <c r="Q202" s="690"/>
      <c r="R202" s="623"/>
      <c r="S202" s="213" t="str">
        <f t="array" ref="S202">IFERROR(INDEX('💻シート作成'!$D$6:$D1001, MATCH(T202, '💻シート作成'!$E$6:$E1001, 0)), "")</f>
        <v/>
      </c>
      <c r="T202" s="170"/>
      <c r="U202" s="626"/>
      <c r="V202" s="719"/>
      <c r="W202" s="623"/>
      <c r="X202" s="718"/>
      <c r="Y202" s="623"/>
      <c r="Z202" s="623"/>
    </row>
    <row r="203" hidden="1" outlineLevel="1">
      <c r="A203" s="623"/>
      <c r="B203" s="691"/>
      <c r="C203" s="692"/>
      <c r="D203" s="692"/>
      <c r="E203" s="692"/>
      <c r="F203" s="692"/>
      <c r="G203" s="693"/>
      <c r="H203" s="692"/>
      <c r="I203" s="692"/>
      <c r="J203" s="692"/>
      <c r="K203" s="692"/>
      <c r="L203" s="717"/>
      <c r="M203" s="716"/>
      <c r="N203" s="692"/>
      <c r="O203" s="695"/>
      <c r="Q203" s="690"/>
      <c r="R203" s="623"/>
      <c r="S203" s="213" t="str">
        <f t="array" ref="S203">IFERROR(INDEX('💻シート作成'!$D$6:$D1001, MATCH(T203, '💻シート作成'!$E$6:$E1001, 0)), "")</f>
        <v/>
      </c>
      <c r="T203" s="170"/>
      <c r="U203" s="626"/>
      <c r="V203" s="719"/>
      <c r="W203" s="623"/>
      <c r="X203" s="718"/>
      <c r="Y203" s="623"/>
      <c r="Z203" s="623"/>
    </row>
    <row r="204" hidden="1" outlineLevel="1">
      <c r="A204" s="623"/>
      <c r="B204" s="691"/>
      <c r="C204" s="692"/>
      <c r="D204" s="692"/>
      <c r="E204" s="692"/>
      <c r="F204" s="692"/>
      <c r="G204" s="693"/>
      <c r="H204" s="692"/>
      <c r="I204" s="692"/>
      <c r="J204" s="692"/>
      <c r="K204" s="692"/>
      <c r="L204" s="717"/>
      <c r="M204" s="716"/>
      <c r="N204" s="692"/>
      <c r="O204" s="695"/>
      <c r="Q204" s="690"/>
      <c r="R204" s="623"/>
      <c r="S204" s="213" t="str">
        <f t="array" ref="S204">IFERROR(INDEX('💻シート作成'!$D$6:$D1001, MATCH(T204, '💻シート作成'!$E$6:$E1001, 0)), "")</f>
        <v/>
      </c>
      <c r="T204" s="170"/>
      <c r="U204" s="626"/>
      <c r="V204" s="719"/>
      <c r="W204" s="623"/>
      <c r="X204" s="718"/>
      <c r="Y204" s="623"/>
      <c r="Z204" s="623"/>
    </row>
    <row r="205" hidden="1" outlineLevel="1">
      <c r="A205" s="623"/>
      <c r="B205" s="691"/>
      <c r="C205" s="692"/>
      <c r="D205" s="692"/>
      <c r="E205" s="692"/>
      <c r="F205" s="692"/>
      <c r="G205" s="693"/>
      <c r="H205" s="692"/>
      <c r="I205" s="692"/>
      <c r="J205" s="692"/>
      <c r="K205" s="692"/>
      <c r="L205" s="717"/>
      <c r="M205" s="716"/>
      <c r="N205" s="692"/>
      <c r="O205" s="695"/>
      <c r="Q205" s="690"/>
      <c r="R205" s="623"/>
      <c r="S205" s="213" t="str">
        <f t="array" ref="S205">IFERROR(INDEX('💻シート作成'!$D$6:$D1001, MATCH(T205, '💻シート作成'!$E$6:$E1001, 0)), "")</f>
        <v/>
      </c>
      <c r="T205" s="170"/>
      <c r="U205" s="626"/>
      <c r="V205" s="719"/>
      <c r="W205" s="623"/>
      <c r="X205" s="718"/>
      <c r="Y205" s="623"/>
      <c r="Z205" s="623"/>
    </row>
    <row r="206" hidden="1" outlineLevel="1">
      <c r="A206" s="623"/>
      <c r="B206" s="691"/>
      <c r="C206" s="692"/>
      <c r="D206" s="692"/>
      <c r="E206" s="692"/>
      <c r="F206" s="692"/>
      <c r="G206" s="693"/>
      <c r="H206" s="692"/>
      <c r="I206" s="692"/>
      <c r="J206" s="692"/>
      <c r="K206" s="692"/>
      <c r="L206" s="717"/>
      <c r="M206" s="716"/>
      <c r="N206" s="692"/>
      <c r="O206" s="695"/>
      <c r="Q206" s="690"/>
      <c r="R206" s="623"/>
      <c r="S206" s="213" t="str">
        <f t="array" ref="S206">IFERROR(INDEX('💻シート作成'!$D$6:$D1001, MATCH(T206, '💻シート作成'!$E$6:$E1001, 0)), "")</f>
        <v/>
      </c>
      <c r="T206" s="170"/>
      <c r="U206" s="626"/>
      <c r="V206" s="719"/>
      <c r="W206" s="623"/>
      <c r="X206" s="718"/>
      <c r="Y206" s="623"/>
      <c r="Z206" s="623"/>
    </row>
    <row r="207" hidden="1" outlineLevel="1">
      <c r="A207" s="623"/>
      <c r="B207" s="691"/>
      <c r="C207" s="692"/>
      <c r="D207" s="692"/>
      <c r="E207" s="692"/>
      <c r="F207" s="692"/>
      <c r="G207" s="693"/>
      <c r="H207" s="692"/>
      <c r="I207" s="692"/>
      <c r="J207" s="692"/>
      <c r="K207" s="692"/>
      <c r="L207" s="717"/>
      <c r="M207" s="716"/>
      <c r="N207" s="692"/>
      <c r="O207" s="695"/>
      <c r="Q207" s="690"/>
      <c r="R207" s="623"/>
      <c r="S207" s="213" t="str">
        <f t="array" ref="S207">IFERROR(INDEX('💻シート作成'!$D$6:$D1001, MATCH(T207, '💻シート作成'!$E$6:$E1001, 0)), "")</f>
        <v/>
      </c>
      <c r="T207" s="170"/>
      <c r="U207" s="626"/>
      <c r="V207" s="719"/>
      <c r="W207" s="623"/>
      <c r="X207" s="718"/>
      <c r="Y207" s="623"/>
      <c r="Z207" s="623"/>
    </row>
    <row r="208" hidden="1" outlineLevel="1">
      <c r="A208" s="623"/>
      <c r="B208" s="691"/>
      <c r="C208" s="692"/>
      <c r="D208" s="692"/>
      <c r="E208" s="692"/>
      <c r="F208" s="659"/>
      <c r="G208" s="660"/>
      <c r="H208" s="659"/>
      <c r="I208" s="659"/>
      <c r="J208" s="659"/>
      <c r="K208" s="659"/>
      <c r="L208" s="717"/>
      <c r="M208" s="716"/>
      <c r="N208" s="659"/>
      <c r="O208" s="662"/>
      <c r="P208" s="663"/>
      <c r="Q208" s="699"/>
      <c r="R208" s="623"/>
      <c r="S208" s="213" t="str">
        <f t="array" ref="S208">IFERROR(INDEX('💻シート作成'!$D$6:$D1001, MATCH(T208, '💻シート作成'!$E$6:$E1001, 0)), "")</f>
        <v/>
      </c>
      <c r="T208" s="170"/>
      <c r="U208" s="626"/>
      <c r="V208" s="719"/>
      <c r="W208" s="623"/>
      <c r="X208" s="718"/>
      <c r="Y208" s="623"/>
      <c r="Z208" s="623"/>
    </row>
    <row r="209" hidden="1" outlineLevel="1">
      <c r="A209" s="623"/>
      <c r="B209" s="700"/>
      <c r="C209" s="659"/>
      <c r="D209" s="659"/>
      <c r="E209" s="659"/>
      <c r="F209" s="720" t="s">
        <v>425</v>
      </c>
      <c r="G209" s="721"/>
      <c r="H209" s="703"/>
      <c r="I209" s="703"/>
      <c r="J209" s="703"/>
      <c r="K209" s="703"/>
      <c r="L209" s="721"/>
      <c r="M209" s="721"/>
      <c r="N209" s="721"/>
      <c r="O209" s="721"/>
      <c r="P209" s="721"/>
      <c r="Q209" s="722"/>
      <c r="R209" s="623"/>
      <c r="S209" s="213" t="str">
        <f t="array" ref="S209">IFERROR(INDEX('💻シート作成'!$D$6:$D1001, MATCH(T209, '💻シート作成'!$E$6:$E1001, 0)), "")</f>
        <v/>
      </c>
      <c r="T209" s="170"/>
      <c r="U209" s="626"/>
      <c r="V209" s="719"/>
      <c r="W209" s="623"/>
      <c r="X209" s="718"/>
      <c r="Y209" s="623"/>
      <c r="Z209" s="623"/>
    </row>
    <row r="210" hidden="1" outlineLevel="1">
      <c r="A210" s="623"/>
      <c r="B210" s="723"/>
      <c r="C210" s="724">
        <f>IF(C199="","",IF(DAY(C199+1)=1,"",C199+1))</f>
        <v>46072</v>
      </c>
      <c r="D210" s="725" t="str">
        <f>TEXT(C210,"ddd")</f>
        <v>木</v>
      </c>
      <c r="E210" s="726"/>
      <c r="F210" s="727" t="s">
        <v>422</v>
      </c>
      <c r="G210" s="749"/>
      <c r="H210" s="728"/>
      <c r="I210" s="729">
        <v>0.0</v>
      </c>
      <c r="J210" s="725"/>
      <c r="K210" s="725"/>
      <c r="L210" s="730"/>
      <c r="M210" s="730"/>
      <c r="N210" s="727"/>
      <c r="O210" s="731"/>
      <c r="P210" s="732"/>
      <c r="Q210" s="733"/>
      <c r="R210" s="623"/>
      <c r="S210" s="213" t="str">
        <f t="array" ref="S210">IFERROR(INDEX('💻シート作成'!$D$6:$D1001, MATCH(T210, '💻シート作成'!$E$6:$E1001, 0)), "")</f>
        <v/>
      </c>
      <c r="T210" s="170"/>
      <c r="U210" s="626"/>
      <c r="V210" s="719"/>
      <c r="W210" s="623"/>
      <c r="X210" s="718"/>
      <c r="Y210" s="623"/>
      <c r="Z210" s="623"/>
    </row>
    <row r="211" hidden="1" outlineLevel="1">
      <c r="A211" s="623"/>
      <c r="B211" s="691"/>
      <c r="C211" s="692"/>
      <c r="D211" s="692"/>
      <c r="E211" s="692"/>
      <c r="F211" s="692"/>
      <c r="G211" s="693"/>
      <c r="H211" s="692"/>
      <c r="I211" s="692"/>
      <c r="J211" s="692"/>
      <c r="K211" s="692"/>
      <c r="L211" s="730"/>
      <c r="M211" s="730"/>
      <c r="N211" s="692"/>
      <c r="O211" s="695"/>
      <c r="Q211" s="690"/>
      <c r="R211" s="623"/>
      <c r="S211" s="213" t="str">
        <f t="array" ref="S211">IFERROR(INDEX('💻シート作成'!$D$6:$D1001, MATCH(T211, '💻シート作成'!$E$6:$E1001, 0)), "")</f>
        <v/>
      </c>
      <c r="T211" s="170"/>
      <c r="U211" s="626"/>
      <c r="V211" s="719"/>
      <c r="W211" s="623"/>
      <c r="X211" s="718"/>
      <c r="Y211" s="623"/>
      <c r="Z211" s="623"/>
    </row>
    <row r="212" hidden="1" outlineLevel="1">
      <c r="A212" s="623"/>
      <c r="B212" s="691"/>
      <c r="C212" s="692"/>
      <c r="D212" s="692"/>
      <c r="E212" s="692"/>
      <c r="F212" s="692"/>
      <c r="G212" s="693"/>
      <c r="H212" s="692"/>
      <c r="I212" s="692"/>
      <c r="J212" s="692"/>
      <c r="K212" s="692"/>
      <c r="L212" s="730"/>
      <c r="M212" s="730"/>
      <c r="N212" s="692"/>
      <c r="O212" s="695"/>
      <c r="Q212" s="690"/>
      <c r="R212" s="623"/>
      <c r="S212" s="213" t="str">
        <f t="array" ref="S212">IFERROR(INDEX('💻シート作成'!$D$6:$D1001, MATCH(T212, '💻シート作成'!$E$6:$E1001, 0)), "")</f>
        <v/>
      </c>
      <c r="T212" s="170"/>
      <c r="U212" s="626"/>
      <c r="V212" s="719"/>
      <c r="W212" s="623"/>
      <c r="X212" s="718"/>
      <c r="Y212" s="623"/>
      <c r="Z212" s="623"/>
    </row>
    <row r="213" hidden="1" outlineLevel="1">
      <c r="A213" s="623"/>
      <c r="B213" s="691"/>
      <c r="C213" s="692"/>
      <c r="D213" s="692"/>
      <c r="E213" s="692"/>
      <c r="F213" s="692"/>
      <c r="G213" s="693"/>
      <c r="H213" s="692"/>
      <c r="I213" s="692"/>
      <c r="J213" s="692"/>
      <c r="K213" s="692"/>
      <c r="L213" s="734"/>
      <c r="M213" s="730"/>
      <c r="N213" s="692"/>
      <c r="O213" s="695"/>
      <c r="Q213" s="690"/>
      <c r="R213" s="623"/>
      <c r="S213" s="213" t="str">
        <f t="array" ref="S213">IFERROR(INDEX('💻シート作成'!$D$6:$D1001, MATCH(T213, '💻シート作成'!$E$6:$E1001, 0)), "")</f>
        <v/>
      </c>
      <c r="T213" s="170"/>
      <c r="U213" s="626"/>
      <c r="V213" s="719"/>
      <c r="W213" s="623"/>
      <c r="X213" s="718"/>
      <c r="Y213" s="623"/>
      <c r="Z213" s="623"/>
    </row>
    <row r="214" hidden="1" outlineLevel="1">
      <c r="A214" s="623"/>
      <c r="B214" s="691"/>
      <c r="C214" s="692"/>
      <c r="D214" s="692"/>
      <c r="E214" s="692"/>
      <c r="F214" s="692"/>
      <c r="G214" s="693"/>
      <c r="H214" s="692"/>
      <c r="I214" s="692"/>
      <c r="J214" s="692"/>
      <c r="K214" s="692"/>
      <c r="L214" s="734"/>
      <c r="M214" s="730"/>
      <c r="N214" s="692"/>
      <c r="O214" s="695"/>
      <c r="Q214" s="690"/>
      <c r="R214" s="623"/>
      <c r="S214" s="213" t="str">
        <f t="array" ref="S214">IFERROR(INDEX('💻シート作成'!$D$6:$D1001, MATCH(T214, '💻シート作成'!$E$6:$E1001, 0)), "")</f>
        <v/>
      </c>
      <c r="T214" s="170"/>
      <c r="U214" s="626"/>
      <c r="V214" s="719"/>
      <c r="W214" s="623"/>
      <c r="X214" s="718"/>
      <c r="Y214" s="623"/>
      <c r="Z214" s="623"/>
    </row>
    <row r="215" hidden="1" outlineLevel="1">
      <c r="A215" s="623"/>
      <c r="B215" s="691"/>
      <c r="C215" s="692"/>
      <c r="D215" s="692"/>
      <c r="E215" s="692"/>
      <c r="F215" s="692"/>
      <c r="G215" s="693"/>
      <c r="H215" s="692"/>
      <c r="I215" s="692"/>
      <c r="J215" s="692"/>
      <c r="K215" s="692"/>
      <c r="L215" s="734"/>
      <c r="M215" s="730"/>
      <c r="N215" s="692"/>
      <c r="O215" s="695"/>
      <c r="Q215" s="690"/>
      <c r="R215" s="623"/>
      <c r="S215" s="213" t="str">
        <f t="array" ref="S215">IFERROR(INDEX('💻シート作成'!$D$6:$D1001, MATCH(T215, '💻シート作成'!$E$6:$E1001, 0)), "")</f>
        <v/>
      </c>
      <c r="T215" s="170"/>
      <c r="U215" s="626"/>
      <c r="V215" s="719"/>
      <c r="W215" s="623"/>
      <c r="X215" s="718"/>
      <c r="Y215" s="623"/>
      <c r="Z215" s="623"/>
    </row>
    <row r="216" hidden="1" outlineLevel="1">
      <c r="A216" s="623"/>
      <c r="B216" s="691"/>
      <c r="C216" s="692"/>
      <c r="D216" s="692"/>
      <c r="E216" s="692"/>
      <c r="F216" s="692"/>
      <c r="G216" s="693"/>
      <c r="H216" s="692"/>
      <c r="I216" s="692"/>
      <c r="J216" s="692"/>
      <c r="K216" s="692"/>
      <c r="L216" s="734"/>
      <c r="M216" s="730"/>
      <c r="N216" s="692"/>
      <c r="O216" s="695"/>
      <c r="Q216" s="690"/>
      <c r="R216" s="623"/>
      <c r="S216" s="213" t="str">
        <f t="array" ref="S216">IFERROR(INDEX('💻シート作成'!$D$6:$D1001, MATCH(T216, '💻シート作成'!$E$6:$E1001, 0)), "")</f>
        <v/>
      </c>
      <c r="T216" s="170"/>
      <c r="U216" s="626"/>
      <c r="V216" s="719"/>
      <c r="W216" s="623"/>
      <c r="X216" s="718"/>
      <c r="Y216" s="623"/>
      <c r="Z216" s="623"/>
    </row>
    <row r="217" hidden="1" outlineLevel="1">
      <c r="A217" s="623"/>
      <c r="B217" s="691"/>
      <c r="C217" s="692"/>
      <c r="D217" s="692"/>
      <c r="E217" s="692"/>
      <c r="F217" s="692"/>
      <c r="G217" s="693"/>
      <c r="H217" s="692"/>
      <c r="I217" s="692"/>
      <c r="J217" s="692"/>
      <c r="K217" s="692"/>
      <c r="L217" s="734"/>
      <c r="M217" s="730"/>
      <c r="N217" s="692"/>
      <c r="O217" s="695"/>
      <c r="Q217" s="690"/>
      <c r="R217" s="623"/>
      <c r="S217" s="213" t="str">
        <f t="array" ref="S217">IFERROR(INDEX('💻シート作成'!$D$6:$D1001, MATCH(T217, '💻シート作成'!$E$6:$E1001, 0)), "")</f>
        <v/>
      </c>
      <c r="T217" s="170"/>
      <c r="U217" s="626"/>
      <c r="V217" s="719"/>
      <c r="W217" s="623"/>
      <c r="X217" s="718"/>
      <c r="Y217" s="623"/>
      <c r="Z217" s="623"/>
    </row>
    <row r="218" hidden="1" outlineLevel="1">
      <c r="A218" s="623"/>
      <c r="B218" s="691"/>
      <c r="C218" s="692"/>
      <c r="D218" s="692"/>
      <c r="E218" s="692"/>
      <c r="F218" s="692"/>
      <c r="G218" s="693"/>
      <c r="H218" s="692"/>
      <c r="I218" s="692"/>
      <c r="J218" s="692"/>
      <c r="K218" s="692"/>
      <c r="L218" s="734"/>
      <c r="M218" s="730"/>
      <c r="N218" s="692"/>
      <c r="O218" s="695"/>
      <c r="Q218" s="690"/>
      <c r="R218" s="623"/>
      <c r="S218" s="213" t="str">
        <f t="array" ref="S218">IFERROR(INDEX('💻シート作成'!$D$6:$D1001, MATCH(T218, '💻シート作成'!$E$6:$E1001, 0)), "")</f>
        <v/>
      </c>
      <c r="T218" s="170"/>
      <c r="U218" s="626"/>
      <c r="V218" s="719"/>
      <c r="W218" s="623"/>
      <c r="X218" s="718"/>
      <c r="Y218" s="623"/>
      <c r="Z218" s="623"/>
    </row>
    <row r="219" hidden="1" outlineLevel="1">
      <c r="A219" s="623"/>
      <c r="B219" s="691"/>
      <c r="C219" s="692"/>
      <c r="D219" s="692"/>
      <c r="E219" s="692"/>
      <c r="F219" s="659"/>
      <c r="G219" s="660"/>
      <c r="H219" s="659"/>
      <c r="I219" s="659"/>
      <c r="J219" s="659"/>
      <c r="K219" s="659"/>
      <c r="L219" s="734"/>
      <c r="M219" s="730"/>
      <c r="N219" s="659"/>
      <c r="O219" s="662"/>
      <c r="P219" s="663"/>
      <c r="Q219" s="699"/>
      <c r="R219" s="623"/>
      <c r="S219" s="213" t="str">
        <f t="array" ref="S219">IFERROR(INDEX('💻シート作成'!$D$6:$D1001, MATCH(T219, '💻シート作成'!$E$6:$E1001, 0)), "")</f>
        <v/>
      </c>
      <c r="T219" s="170"/>
      <c r="U219" s="626"/>
      <c r="V219" s="719"/>
      <c r="W219" s="623"/>
      <c r="X219" s="718"/>
      <c r="Y219" s="623"/>
      <c r="Z219" s="623"/>
    </row>
    <row r="220" hidden="1" outlineLevel="1">
      <c r="A220" s="623"/>
      <c r="B220" s="700"/>
      <c r="C220" s="659"/>
      <c r="D220" s="659"/>
      <c r="E220" s="659"/>
      <c r="F220" s="701" t="s">
        <v>425</v>
      </c>
      <c r="G220" s="702"/>
      <c r="H220" s="703"/>
      <c r="I220" s="703"/>
      <c r="J220" s="703"/>
      <c r="K220" s="703"/>
      <c r="L220" s="702"/>
      <c r="M220" s="702"/>
      <c r="N220" s="702"/>
      <c r="O220" s="702"/>
      <c r="P220" s="702"/>
      <c r="Q220" s="704"/>
      <c r="R220" s="623"/>
      <c r="S220" s="213" t="str">
        <f t="array" ref="S220">IFERROR(INDEX('💻シート作成'!$D$6:$D1001, MATCH(T220, '💻シート作成'!$E$6:$E1001, 0)), "")</f>
        <v/>
      </c>
      <c r="T220" s="170"/>
      <c r="U220" s="626"/>
      <c r="V220" s="719"/>
      <c r="W220" s="623"/>
      <c r="X220" s="718"/>
      <c r="Y220" s="623"/>
      <c r="Z220" s="623"/>
    </row>
    <row r="221" hidden="1" outlineLevel="1">
      <c r="A221" s="623"/>
      <c r="B221" s="705"/>
      <c r="C221" s="706">
        <f>IF(C210="","",IF(DAY(C210+1)=1,"",C210+1))</f>
        <v>46073</v>
      </c>
      <c r="D221" s="707" t="str">
        <f>TEXT(C221,"ddd")</f>
        <v>金</v>
      </c>
      <c r="E221" s="708"/>
      <c r="F221" s="735" t="s">
        <v>422</v>
      </c>
      <c r="G221" s="748"/>
      <c r="H221" s="736"/>
      <c r="I221" s="737">
        <v>0.0</v>
      </c>
      <c r="J221" s="707"/>
      <c r="K221" s="707"/>
      <c r="L221" s="716"/>
      <c r="M221" s="716"/>
      <c r="N221" s="735"/>
      <c r="O221" s="738"/>
      <c r="P221" s="732"/>
      <c r="Q221" s="733"/>
      <c r="R221" s="623"/>
      <c r="S221" s="213" t="str">
        <f t="array" ref="S221">IFERROR(INDEX('💻シート作成'!$D$6:$D1001, MATCH(T221, '💻シート作成'!$E$6:$E1001, 0)), "")</f>
        <v/>
      </c>
      <c r="T221" s="170"/>
      <c r="U221" s="626"/>
      <c r="V221" s="719"/>
      <c r="W221" s="623"/>
      <c r="X221" s="718"/>
      <c r="Y221" s="623"/>
      <c r="Z221" s="623"/>
    </row>
    <row r="222" hidden="1" outlineLevel="1">
      <c r="A222" s="623"/>
      <c r="B222" s="691"/>
      <c r="C222" s="692"/>
      <c r="D222" s="692"/>
      <c r="E222" s="692"/>
      <c r="F222" s="692"/>
      <c r="G222" s="693"/>
      <c r="H222" s="692"/>
      <c r="I222" s="692"/>
      <c r="J222" s="692"/>
      <c r="K222" s="692"/>
      <c r="L222" s="716"/>
      <c r="M222" s="716"/>
      <c r="N222" s="692"/>
      <c r="O222" s="695"/>
      <c r="Q222" s="690"/>
      <c r="R222" s="623"/>
      <c r="S222" s="213" t="str">
        <f t="array" ref="S222">IFERROR(INDEX('💻シート作成'!$D$6:$D1001, MATCH(T222, '💻シート作成'!$E$6:$E1001, 0)), "")</f>
        <v/>
      </c>
      <c r="T222" s="170"/>
      <c r="U222" s="626"/>
      <c r="V222" s="719"/>
      <c r="W222" s="623"/>
      <c r="X222" s="718"/>
      <c r="Y222" s="623"/>
      <c r="Z222" s="623"/>
    </row>
    <row r="223" hidden="1" outlineLevel="1">
      <c r="A223" s="623"/>
      <c r="B223" s="691"/>
      <c r="C223" s="692"/>
      <c r="D223" s="692"/>
      <c r="E223" s="692"/>
      <c r="F223" s="692"/>
      <c r="G223" s="693"/>
      <c r="H223" s="692"/>
      <c r="I223" s="692"/>
      <c r="J223" s="692"/>
      <c r="K223" s="692"/>
      <c r="L223" s="716"/>
      <c r="M223" s="716"/>
      <c r="N223" s="692"/>
      <c r="O223" s="695"/>
      <c r="Q223" s="690"/>
      <c r="R223" s="623"/>
      <c r="S223" s="213" t="str">
        <f t="array" ref="S223">IFERROR(INDEX('💻シート作成'!$D$6:$D1001, MATCH(T223, '💻シート作成'!$E$6:$E1001, 0)), "")</f>
        <v/>
      </c>
      <c r="T223" s="170"/>
      <c r="U223" s="626"/>
      <c r="V223" s="719"/>
      <c r="W223" s="623"/>
      <c r="X223" s="718"/>
      <c r="Y223" s="623"/>
      <c r="Z223" s="623"/>
    </row>
    <row r="224" hidden="1" outlineLevel="1">
      <c r="A224" s="623"/>
      <c r="B224" s="691"/>
      <c r="C224" s="692"/>
      <c r="D224" s="692"/>
      <c r="E224" s="692"/>
      <c r="F224" s="692"/>
      <c r="G224" s="693"/>
      <c r="H224" s="692"/>
      <c r="I224" s="692"/>
      <c r="J224" s="692"/>
      <c r="K224" s="692"/>
      <c r="L224" s="717"/>
      <c r="M224" s="716"/>
      <c r="N224" s="692"/>
      <c r="O224" s="695"/>
      <c r="Q224" s="690"/>
      <c r="R224" s="623"/>
      <c r="S224" s="213" t="str">
        <f t="array" ref="S224">IFERROR(INDEX('💻シート作成'!$D$6:$D1001, MATCH(T224, '💻シート作成'!$E$6:$E1001, 0)), "")</f>
        <v/>
      </c>
      <c r="T224" s="170"/>
      <c r="U224" s="626"/>
      <c r="V224" s="719"/>
      <c r="W224" s="623"/>
      <c r="X224" s="718"/>
      <c r="Y224" s="623"/>
      <c r="Z224" s="623"/>
    </row>
    <row r="225" hidden="1" outlineLevel="1">
      <c r="A225" s="623"/>
      <c r="B225" s="691"/>
      <c r="C225" s="692"/>
      <c r="D225" s="692"/>
      <c r="E225" s="692"/>
      <c r="F225" s="692"/>
      <c r="G225" s="693"/>
      <c r="H225" s="692"/>
      <c r="I225" s="692"/>
      <c r="J225" s="692"/>
      <c r="K225" s="692"/>
      <c r="L225" s="717"/>
      <c r="M225" s="716"/>
      <c r="N225" s="692"/>
      <c r="O225" s="695"/>
      <c r="Q225" s="690"/>
      <c r="R225" s="623"/>
      <c r="S225" s="213" t="str">
        <f t="array" ref="S225">IFERROR(INDEX('💻シート作成'!$D$6:$D1001, MATCH(T225, '💻シート作成'!$E$6:$E1001, 0)), "")</f>
        <v/>
      </c>
      <c r="T225" s="170"/>
      <c r="U225" s="626"/>
      <c r="V225" s="719"/>
      <c r="W225" s="623"/>
      <c r="X225" s="718"/>
      <c r="Y225" s="623"/>
      <c r="Z225" s="623"/>
    </row>
    <row r="226" hidden="1" outlineLevel="1">
      <c r="A226" s="623"/>
      <c r="B226" s="691"/>
      <c r="C226" s="692"/>
      <c r="D226" s="692"/>
      <c r="E226" s="692"/>
      <c r="F226" s="692"/>
      <c r="G226" s="693"/>
      <c r="H226" s="692"/>
      <c r="I226" s="692"/>
      <c r="J226" s="692"/>
      <c r="K226" s="692"/>
      <c r="L226" s="717"/>
      <c r="M226" s="716"/>
      <c r="N226" s="692"/>
      <c r="O226" s="695"/>
      <c r="Q226" s="690"/>
      <c r="R226" s="623"/>
      <c r="S226" s="213" t="str">
        <f t="array" ref="S226">IFERROR(INDEX('💻シート作成'!$D$6:$D1001, MATCH(T226, '💻シート作成'!$E$6:$E1001, 0)), "")</f>
        <v/>
      </c>
      <c r="T226" s="170"/>
      <c r="U226" s="626"/>
      <c r="V226" s="719"/>
      <c r="W226" s="623"/>
      <c r="X226" s="718"/>
      <c r="Y226" s="623"/>
      <c r="Z226" s="623"/>
    </row>
    <row r="227" hidden="1" outlineLevel="1">
      <c r="A227" s="623"/>
      <c r="B227" s="691"/>
      <c r="C227" s="692"/>
      <c r="D227" s="692"/>
      <c r="E227" s="692"/>
      <c r="F227" s="692"/>
      <c r="G227" s="693"/>
      <c r="H227" s="692"/>
      <c r="I227" s="692"/>
      <c r="J227" s="692"/>
      <c r="K227" s="692"/>
      <c r="L227" s="717"/>
      <c r="M227" s="716"/>
      <c r="N227" s="692"/>
      <c r="O227" s="695"/>
      <c r="Q227" s="690"/>
      <c r="R227" s="623"/>
      <c r="S227" s="213" t="str">
        <f t="array" ref="S227">IFERROR(INDEX('💻シート作成'!$D$6:$D1001, MATCH(T227, '💻シート作成'!$E$6:$E1001, 0)), "")</f>
        <v/>
      </c>
      <c r="T227" s="170"/>
      <c r="U227" s="626"/>
      <c r="V227" s="719"/>
      <c r="W227" s="623"/>
      <c r="X227" s="718"/>
      <c r="Y227" s="623"/>
      <c r="Z227" s="623"/>
    </row>
    <row r="228" hidden="1" outlineLevel="1">
      <c r="A228" s="623"/>
      <c r="B228" s="691"/>
      <c r="C228" s="692"/>
      <c r="D228" s="692"/>
      <c r="E228" s="692"/>
      <c r="F228" s="692"/>
      <c r="G228" s="693"/>
      <c r="H228" s="692"/>
      <c r="I228" s="692"/>
      <c r="J228" s="692"/>
      <c r="K228" s="692"/>
      <c r="L228" s="717"/>
      <c r="M228" s="716"/>
      <c r="N228" s="692"/>
      <c r="O228" s="695"/>
      <c r="Q228" s="690"/>
      <c r="R228" s="623"/>
      <c r="S228" s="213" t="str">
        <f t="array" ref="S228">IFERROR(INDEX('💻シート作成'!$D$6:$D1001, MATCH(T228, '💻シート作成'!$E$6:$E1001, 0)), "")</f>
        <v/>
      </c>
      <c r="T228" s="170"/>
      <c r="U228" s="626"/>
      <c r="V228" s="719"/>
      <c r="W228" s="623"/>
      <c r="X228" s="718"/>
      <c r="Y228" s="623"/>
      <c r="Z228" s="623"/>
    </row>
    <row r="229" hidden="1" outlineLevel="1">
      <c r="A229" s="623"/>
      <c r="B229" s="691"/>
      <c r="C229" s="692"/>
      <c r="D229" s="692"/>
      <c r="E229" s="692"/>
      <c r="F229" s="692"/>
      <c r="G229" s="693"/>
      <c r="H229" s="692"/>
      <c r="I229" s="692"/>
      <c r="J229" s="692"/>
      <c r="K229" s="692"/>
      <c r="L229" s="717"/>
      <c r="M229" s="716"/>
      <c r="N229" s="692"/>
      <c r="O229" s="695"/>
      <c r="Q229" s="690"/>
      <c r="R229" s="623"/>
      <c r="S229" s="213" t="str">
        <f t="array" ref="S229">IFERROR(INDEX('💻シート作成'!$D$6:$D1001, MATCH(T229, '💻シート作成'!$E$6:$E1001, 0)), "")</f>
        <v/>
      </c>
      <c r="T229" s="170"/>
      <c r="U229" s="626"/>
      <c r="V229" s="719"/>
      <c r="W229" s="623"/>
      <c r="X229" s="718"/>
      <c r="Y229" s="623"/>
      <c r="Z229" s="623"/>
    </row>
    <row r="230" hidden="1" outlineLevel="1">
      <c r="A230" s="623"/>
      <c r="B230" s="691"/>
      <c r="C230" s="692"/>
      <c r="D230" s="692"/>
      <c r="E230" s="692"/>
      <c r="F230" s="659"/>
      <c r="G230" s="660"/>
      <c r="H230" s="659"/>
      <c r="I230" s="659"/>
      <c r="J230" s="659"/>
      <c r="K230" s="659"/>
      <c r="L230" s="717"/>
      <c r="M230" s="716"/>
      <c r="N230" s="659"/>
      <c r="O230" s="662"/>
      <c r="P230" s="663"/>
      <c r="Q230" s="699"/>
      <c r="R230" s="623"/>
      <c r="S230" s="213" t="str">
        <f t="array" ref="S230">IFERROR(INDEX('💻シート作成'!$D$6:$D1001, MATCH(T230, '💻シート作成'!$E$6:$E1001, 0)), "")</f>
        <v/>
      </c>
      <c r="T230" s="170"/>
      <c r="U230" s="626"/>
      <c r="V230" s="719"/>
      <c r="W230" s="623"/>
      <c r="X230" s="718"/>
      <c r="Y230" s="623"/>
      <c r="Z230" s="623"/>
    </row>
    <row r="231" hidden="1" outlineLevel="1">
      <c r="A231" s="623"/>
      <c r="B231" s="700"/>
      <c r="C231" s="659"/>
      <c r="D231" s="659"/>
      <c r="E231" s="659"/>
      <c r="F231" s="720" t="s">
        <v>425</v>
      </c>
      <c r="G231" s="721"/>
      <c r="H231" s="703"/>
      <c r="I231" s="703"/>
      <c r="J231" s="703"/>
      <c r="K231" s="703"/>
      <c r="L231" s="721"/>
      <c r="M231" s="721"/>
      <c r="N231" s="721"/>
      <c r="O231" s="721"/>
      <c r="P231" s="721"/>
      <c r="Q231" s="722"/>
      <c r="R231" s="623"/>
      <c r="S231" s="213" t="str">
        <f t="array" ref="S231">IFERROR(INDEX('💻シート作成'!$D$6:$D1001, MATCH(T231, '💻シート作成'!$E$6:$E1001, 0)), "")</f>
        <v/>
      </c>
      <c r="T231" s="170"/>
      <c r="U231" s="626"/>
      <c r="V231" s="719"/>
      <c r="W231" s="623"/>
      <c r="X231" s="718"/>
      <c r="Y231" s="623"/>
      <c r="Z231" s="623"/>
    </row>
    <row r="232" collapsed="1">
      <c r="A232" s="623"/>
      <c r="B232" s="739" t="s">
        <v>440</v>
      </c>
      <c r="C232" s="740"/>
      <c r="D232" s="740"/>
      <c r="E232" s="740"/>
      <c r="F232" s="741"/>
      <c r="G232" s="742"/>
      <c r="H232" s="743"/>
      <c r="I232" s="743"/>
      <c r="J232" s="744"/>
      <c r="K232" s="744"/>
      <c r="L232" s="742"/>
      <c r="M232" s="742"/>
      <c r="N232" s="745"/>
      <c r="O232" s="746"/>
      <c r="P232" s="746"/>
      <c r="Q232" s="747"/>
      <c r="R232" s="623"/>
      <c r="S232" s="213" t="str">
        <f t="array" ref="S232">IFERROR(INDEX('💻シート作成'!$D$6:$D1001, MATCH(T232, '💻シート作成'!$E$6:$E1001, 0)), "")</f>
        <v/>
      </c>
      <c r="T232" s="170"/>
      <c r="U232" s="626"/>
      <c r="V232" s="719"/>
      <c r="W232" s="623"/>
      <c r="X232" s="718"/>
      <c r="Y232" s="623"/>
      <c r="Z232" s="623"/>
    </row>
    <row r="233" hidden="1" outlineLevel="1">
      <c r="A233" s="623"/>
      <c r="B233" s="723"/>
      <c r="C233" s="724">
        <f>IF(C221="","",IF(DAY(C221+1)=1,"",C221+1))</f>
        <v>46074</v>
      </c>
      <c r="D233" s="725" t="str">
        <f>TEXT(C233,"ddd")</f>
        <v>土</v>
      </c>
      <c r="E233" s="726"/>
      <c r="F233" s="727" t="s">
        <v>422</v>
      </c>
      <c r="G233" s="749"/>
      <c r="H233" s="728"/>
      <c r="I233" s="729">
        <v>0.0</v>
      </c>
      <c r="J233" s="725"/>
      <c r="K233" s="725"/>
      <c r="L233" s="730"/>
      <c r="M233" s="730"/>
      <c r="N233" s="727"/>
      <c r="O233" s="731"/>
      <c r="P233" s="732"/>
      <c r="Q233" s="733"/>
      <c r="R233" s="623"/>
      <c r="S233" s="213" t="str">
        <f t="array" ref="S233">IFERROR(INDEX('💻シート作成'!$D$6:$D1001, MATCH(T233, '💻シート作成'!$E$6:$E1001, 0)), "")</f>
        <v/>
      </c>
      <c r="T233" s="170"/>
      <c r="U233" s="626"/>
      <c r="V233" s="719"/>
      <c r="W233" s="623"/>
      <c r="X233" s="718"/>
      <c r="Y233" s="623"/>
      <c r="Z233" s="623"/>
    </row>
    <row r="234" hidden="1" outlineLevel="1">
      <c r="A234" s="623"/>
      <c r="B234" s="691"/>
      <c r="C234" s="692"/>
      <c r="D234" s="692"/>
      <c r="E234" s="692"/>
      <c r="F234" s="692"/>
      <c r="G234" s="693"/>
      <c r="H234" s="692"/>
      <c r="I234" s="692"/>
      <c r="J234" s="692"/>
      <c r="K234" s="692"/>
      <c r="L234" s="730"/>
      <c r="M234" s="730"/>
      <c r="N234" s="692"/>
      <c r="O234" s="695"/>
      <c r="Q234" s="690"/>
      <c r="R234" s="623"/>
      <c r="S234" s="213" t="str">
        <f t="array" ref="S234">IFERROR(INDEX('💻シート作成'!$D$6:$D1001, MATCH(T234, '💻シート作成'!$E$6:$E1001, 0)), "")</f>
        <v/>
      </c>
      <c r="T234" s="170"/>
      <c r="U234" s="626"/>
      <c r="V234" s="719"/>
      <c r="W234" s="623"/>
      <c r="X234" s="718"/>
      <c r="Y234" s="623"/>
      <c r="Z234" s="623"/>
    </row>
    <row r="235" hidden="1" outlineLevel="1">
      <c r="A235" s="623"/>
      <c r="B235" s="691"/>
      <c r="C235" s="692"/>
      <c r="D235" s="692"/>
      <c r="E235" s="692"/>
      <c r="F235" s="692"/>
      <c r="G235" s="693"/>
      <c r="H235" s="692"/>
      <c r="I235" s="692"/>
      <c r="J235" s="692"/>
      <c r="K235" s="692"/>
      <c r="L235" s="730"/>
      <c r="M235" s="730"/>
      <c r="N235" s="692"/>
      <c r="O235" s="695"/>
      <c r="Q235" s="690"/>
      <c r="R235" s="623"/>
      <c r="S235" s="213" t="str">
        <f t="array" ref="S235">IFERROR(INDEX('💻シート作成'!$D$6:$D1001, MATCH(T235, '💻シート作成'!$E$6:$E1001, 0)), "")</f>
        <v/>
      </c>
      <c r="T235" s="170"/>
      <c r="U235" s="626"/>
      <c r="V235" s="719"/>
      <c r="W235" s="623"/>
      <c r="X235" s="718"/>
      <c r="Y235" s="623"/>
      <c r="Z235" s="623"/>
    </row>
    <row r="236" hidden="1" outlineLevel="1">
      <c r="A236" s="623"/>
      <c r="B236" s="691"/>
      <c r="C236" s="692"/>
      <c r="D236" s="692"/>
      <c r="E236" s="692"/>
      <c r="F236" s="692"/>
      <c r="G236" s="693"/>
      <c r="H236" s="692"/>
      <c r="I236" s="692"/>
      <c r="J236" s="692"/>
      <c r="K236" s="692"/>
      <c r="L236" s="734"/>
      <c r="M236" s="730"/>
      <c r="N236" s="692"/>
      <c r="O236" s="695"/>
      <c r="Q236" s="690"/>
      <c r="R236" s="623"/>
      <c r="S236" s="213" t="str">
        <f t="array" ref="S236">IFERROR(INDEX('💻シート作成'!$D$6:$D1001, MATCH(T236, '💻シート作成'!$E$6:$E1001, 0)), "")</f>
        <v/>
      </c>
      <c r="T236" s="170"/>
      <c r="U236" s="626"/>
      <c r="V236" s="719"/>
      <c r="W236" s="623"/>
      <c r="X236" s="718"/>
      <c r="Y236" s="623"/>
      <c r="Z236" s="623"/>
    </row>
    <row r="237" hidden="1" outlineLevel="1">
      <c r="A237" s="623"/>
      <c r="B237" s="691"/>
      <c r="C237" s="692"/>
      <c r="D237" s="692"/>
      <c r="E237" s="692"/>
      <c r="F237" s="692"/>
      <c r="G237" s="693"/>
      <c r="H237" s="692"/>
      <c r="I237" s="692"/>
      <c r="J237" s="692"/>
      <c r="K237" s="692"/>
      <c r="L237" s="734"/>
      <c r="M237" s="730"/>
      <c r="N237" s="692"/>
      <c r="O237" s="695"/>
      <c r="Q237" s="690"/>
      <c r="R237" s="623"/>
      <c r="S237" s="213" t="str">
        <f t="array" ref="S237">IFERROR(INDEX('💻シート作成'!$D$6:$D1001, MATCH(T237, '💻シート作成'!$E$6:$E1001, 0)), "")</f>
        <v/>
      </c>
      <c r="T237" s="170"/>
      <c r="U237" s="626"/>
      <c r="V237" s="719"/>
      <c r="W237" s="623"/>
      <c r="X237" s="718"/>
      <c r="Y237" s="623"/>
      <c r="Z237" s="623"/>
    </row>
    <row r="238" hidden="1" outlineLevel="1">
      <c r="A238" s="623"/>
      <c r="B238" s="691"/>
      <c r="C238" s="692"/>
      <c r="D238" s="692"/>
      <c r="E238" s="692"/>
      <c r="F238" s="692"/>
      <c r="G238" s="693"/>
      <c r="H238" s="692"/>
      <c r="I238" s="692"/>
      <c r="J238" s="692"/>
      <c r="K238" s="692"/>
      <c r="L238" s="734"/>
      <c r="M238" s="730"/>
      <c r="N238" s="692"/>
      <c r="O238" s="695"/>
      <c r="Q238" s="690"/>
      <c r="R238" s="623"/>
      <c r="S238" s="213" t="str">
        <f t="array" ref="S238">IFERROR(INDEX('💻シート作成'!$D$6:$D1001, MATCH(T238, '💻シート作成'!$E$6:$E1001, 0)), "")</f>
        <v/>
      </c>
      <c r="T238" s="170"/>
      <c r="U238" s="626"/>
      <c r="V238" s="719"/>
      <c r="W238" s="623"/>
      <c r="X238" s="718"/>
      <c r="Y238" s="623"/>
      <c r="Z238" s="623"/>
    </row>
    <row r="239" hidden="1" outlineLevel="1">
      <c r="A239" s="623"/>
      <c r="B239" s="691"/>
      <c r="C239" s="692"/>
      <c r="D239" s="692"/>
      <c r="E239" s="692"/>
      <c r="F239" s="692"/>
      <c r="G239" s="693"/>
      <c r="H239" s="692"/>
      <c r="I239" s="692"/>
      <c r="J239" s="692"/>
      <c r="K239" s="692"/>
      <c r="L239" s="734"/>
      <c r="M239" s="730"/>
      <c r="N239" s="692"/>
      <c r="O239" s="695"/>
      <c r="Q239" s="690"/>
      <c r="R239" s="623"/>
      <c r="S239" s="213" t="str">
        <f t="array" ref="S239">IFERROR(INDEX('💻シート作成'!$D$6:$D1001, MATCH(T239, '💻シート作成'!$E$6:$E1001, 0)), "")</f>
        <v/>
      </c>
      <c r="T239" s="170"/>
      <c r="U239" s="626"/>
      <c r="V239" s="719"/>
      <c r="W239" s="623"/>
      <c r="X239" s="718"/>
      <c r="Y239" s="623"/>
      <c r="Z239" s="623"/>
    </row>
    <row r="240" hidden="1" outlineLevel="1">
      <c r="A240" s="623"/>
      <c r="B240" s="691"/>
      <c r="C240" s="692"/>
      <c r="D240" s="692"/>
      <c r="E240" s="692"/>
      <c r="F240" s="692"/>
      <c r="G240" s="693"/>
      <c r="H240" s="692"/>
      <c r="I240" s="692"/>
      <c r="J240" s="692"/>
      <c r="K240" s="692"/>
      <c r="L240" s="734"/>
      <c r="M240" s="730"/>
      <c r="N240" s="692"/>
      <c r="O240" s="695"/>
      <c r="Q240" s="690"/>
      <c r="R240" s="623"/>
      <c r="S240" s="213" t="str">
        <f t="array" ref="S240">IFERROR(INDEX('💻シート作成'!$D$6:$D1001, MATCH(T240, '💻シート作成'!$E$6:$E1001, 0)), "")</f>
        <v/>
      </c>
      <c r="T240" s="170"/>
      <c r="U240" s="626"/>
      <c r="V240" s="719"/>
      <c r="W240" s="623"/>
      <c r="X240" s="718"/>
      <c r="Y240" s="623"/>
      <c r="Z240" s="623"/>
    </row>
    <row r="241" hidden="1" outlineLevel="1">
      <c r="A241" s="623"/>
      <c r="B241" s="691"/>
      <c r="C241" s="692"/>
      <c r="D241" s="692"/>
      <c r="E241" s="692"/>
      <c r="F241" s="692"/>
      <c r="G241" s="693"/>
      <c r="H241" s="692"/>
      <c r="I241" s="692"/>
      <c r="J241" s="692"/>
      <c r="K241" s="692"/>
      <c r="L241" s="734"/>
      <c r="M241" s="730"/>
      <c r="N241" s="692"/>
      <c r="O241" s="695"/>
      <c r="Q241" s="690"/>
      <c r="R241" s="623"/>
      <c r="S241" s="213" t="str">
        <f t="array" ref="S241">IFERROR(INDEX('💻シート作成'!$D$6:$D1001, MATCH(T241, '💻シート作成'!$E$6:$E1001, 0)), "")</f>
        <v/>
      </c>
      <c r="T241" s="170"/>
      <c r="U241" s="626"/>
      <c r="V241" s="719"/>
      <c r="W241" s="623"/>
      <c r="X241" s="718"/>
      <c r="Y241" s="623"/>
      <c r="Z241" s="623"/>
    </row>
    <row r="242" hidden="1" outlineLevel="1">
      <c r="A242" s="623"/>
      <c r="B242" s="691"/>
      <c r="C242" s="692"/>
      <c r="D242" s="692"/>
      <c r="E242" s="692"/>
      <c r="F242" s="659"/>
      <c r="G242" s="660"/>
      <c r="H242" s="659"/>
      <c r="I242" s="659"/>
      <c r="J242" s="659"/>
      <c r="K242" s="659"/>
      <c r="L242" s="734"/>
      <c r="M242" s="730"/>
      <c r="N242" s="659"/>
      <c r="O242" s="662"/>
      <c r="P242" s="663"/>
      <c r="Q242" s="699"/>
      <c r="R242" s="623"/>
      <c r="S242" s="213" t="str">
        <f t="array" ref="S242">IFERROR(INDEX('💻シート作成'!$D$6:$D1001, MATCH(T242, '💻シート作成'!$E$6:$E1001, 0)), "")</f>
        <v/>
      </c>
      <c r="T242" s="170"/>
      <c r="U242" s="626"/>
      <c r="V242" s="719"/>
      <c r="W242" s="623"/>
      <c r="X242" s="718"/>
      <c r="Y242" s="623"/>
      <c r="Z242" s="623"/>
    </row>
    <row r="243" hidden="1" outlineLevel="1">
      <c r="A243" s="623"/>
      <c r="B243" s="700"/>
      <c r="C243" s="659"/>
      <c r="D243" s="659"/>
      <c r="E243" s="659"/>
      <c r="F243" s="701" t="s">
        <v>425</v>
      </c>
      <c r="G243" s="702"/>
      <c r="H243" s="703"/>
      <c r="I243" s="703"/>
      <c r="J243" s="703"/>
      <c r="K243" s="703"/>
      <c r="L243" s="702"/>
      <c r="M243" s="702"/>
      <c r="N243" s="702"/>
      <c r="O243" s="702"/>
      <c r="P243" s="702"/>
      <c r="Q243" s="704"/>
      <c r="R243" s="623"/>
      <c r="S243" s="213" t="str">
        <f t="array" ref="S243">IFERROR(INDEX('💻シート作成'!$D$6:$D1001, MATCH(T243, '💻シート作成'!$E$6:$E1001, 0)), "")</f>
        <v/>
      </c>
      <c r="T243" s="170"/>
      <c r="U243" s="626"/>
      <c r="V243" s="719"/>
      <c r="W243" s="623"/>
      <c r="X243" s="718"/>
      <c r="Y243" s="623"/>
      <c r="Z243" s="623"/>
    </row>
    <row r="244" hidden="1" outlineLevel="1">
      <c r="A244" s="623"/>
      <c r="B244" s="705"/>
      <c r="C244" s="706">
        <f>IF(C233="","",IF(DAY(C233+1)=1,"",C233+1))</f>
        <v>46075</v>
      </c>
      <c r="D244" s="707" t="str">
        <f>TEXT(C244,"ddd")</f>
        <v>日</v>
      </c>
      <c r="E244" s="708"/>
      <c r="F244" s="735" t="s">
        <v>422</v>
      </c>
      <c r="G244" s="748"/>
      <c r="H244" s="736"/>
      <c r="I244" s="737">
        <v>0.0</v>
      </c>
      <c r="J244" s="707"/>
      <c r="K244" s="707"/>
      <c r="L244" s="716"/>
      <c r="M244" s="716"/>
      <c r="N244" s="735"/>
      <c r="O244" s="738"/>
      <c r="P244" s="732"/>
      <c r="Q244" s="733"/>
      <c r="R244" s="623"/>
      <c r="S244" s="213" t="str">
        <f t="array" ref="S244">IFERROR(INDEX('💻シート作成'!$D$6:$D1001, MATCH(T244, '💻シート作成'!$E$6:$E1001, 0)), "")</f>
        <v/>
      </c>
      <c r="T244" s="170"/>
      <c r="U244" s="626"/>
      <c r="V244" s="719"/>
      <c r="W244" s="623"/>
      <c r="X244" s="718"/>
      <c r="Y244" s="623"/>
      <c r="Z244" s="623"/>
    </row>
    <row r="245" hidden="1" outlineLevel="1">
      <c r="A245" s="623"/>
      <c r="B245" s="691"/>
      <c r="C245" s="692"/>
      <c r="D245" s="692"/>
      <c r="E245" s="692"/>
      <c r="F245" s="692"/>
      <c r="G245" s="693"/>
      <c r="H245" s="692"/>
      <c r="I245" s="692"/>
      <c r="J245" s="692"/>
      <c r="K245" s="692"/>
      <c r="L245" s="716"/>
      <c r="M245" s="716"/>
      <c r="N245" s="692"/>
      <c r="O245" s="695"/>
      <c r="Q245" s="690"/>
      <c r="R245" s="623"/>
      <c r="S245" s="213" t="str">
        <f t="array" ref="S245">IFERROR(INDEX('💻シート作成'!$D$6:$D1001, MATCH(T245, '💻シート作成'!$E$6:$E1001, 0)), "")</f>
        <v/>
      </c>
      <c r="T245" s="170"/>
      <c r="U245" s="626"/>
      <c r="V245" s="719"/>
      <c r="W245" s="623"/>
      <c r="X245" s="718"/>
      <c r="Y245" s="623"/>
      <c r="Z245" s="623"/>
    </row>
    <row r="246" hidden="1" outlineLevel="1">
      <c r="A246" s="623"/>
      <c r="B246" s="691"/>
      <c r="C246" s="692"/>
      <c r="D246" s="692"/>
      <c r="E246" s="692"/>
      <c r="F246" s="692"/>
      <c r="G246" s="693"/>
      <c r="H246" s="692"/>
      <c r="I246" s="692"/>
      <c r="J246" s="692"/>
      <c r="K246" s="692"/>
      <c r="L246" s="716"/>
      <c r="M246" s="716"/>
      <c r="N246" s="692"/>
      <c r="O246" s="695"/>
      <c r="Q246" s="690"/>
      <c r="R246" s="623"/>
      <c r="S246" s="213" t="str">
        <f t="array" ref="S246">IFERROR(INDEX('💻シート作成'!$D$6:$D1001, MATCH(T246, '💻シート作成'!$E$6:$E1001, 0)), "")</f>
        <v/>
      </c>
      <c r="T246" s="170"/>
      <c r="U246" s="626"/>
      <c r="V246" s="719"/>
      <c r="W246" s="623"/>
      <c r="X246" s="718"/>
      <c r="Y246" s="623"/>
      <c r="Z246" s="623"/>
    </row>
    <row r="247" hidden="1" outlineLevel="1">
      <c r="A247" s="623"/>
      <c r="B247" s="691"/>
      <c r="C247" s="692"/>
      <c r="D247" s="692"/>
      <c r="E247" s="692"/>
      <c r="F247" s="692"/>
      <c r="G247" s="693"/>
      <c r="H247" s="692"/>
      <c r="I247" s="692"/>
      <c r="J247" s="692"/>
      <c r="K247" s="692"/>
      <c r="L247" s="717"/>
      <c r="M247" s="716"/>
      <c r="N247" s="692"/>
      <c r="O247" s="695"/>
      <c r="Q247" s="690"/>
      <c r="R247" s="623"/>
      <c r="S247" s="213" t="str">
        <f t="array" ref="S247">IFERROR(INDEX('💻シート作成'!$D$6:$D1001, MATCH(T247, '💻シート作成'!$E$6:$E1001, 0)), "")</f>
        <v/>
      </c>
      <c r="T247" s="170"/>
      <c r="U247" s="626"/>
      <c r="V247" s="719"/>
      <c r="W247" s="623"/>
      <c r="X247" s="718"/>
      <c r="Y247" s="623"/>
      <c r="Z247" s="623"/>
    </row>
    <row r="248" hidden="1" outlineLevel="1">
      <c r="A248" s="623"/>
      <c r="B248" s="691"/>
      <c r="C248" s="692"/>
      <c r="D248" s="692"/>
      <c r="E248" s="692"/>
      <c r="F248" s="692"/>
      <c r="G248" s="693"/>
      <c r="H248" s="692"/>
      <c r="I248" s="692"/>
      <c r="J248" s="692"/>
      <c r="K248" s="692"/>
      <c r="L248" s="717"/>
      <c r="M248" s="716"/>
      <c r="N248" s="692"/>
      <c r="O248" s="695"/>
      <c r="Q248" s="690"/>
      <c r="R248" s="623"/>
      <c r="S248" s="213" t="str">
        <f t="array" ref="S248">IFERROR(INDEX('💻シート作成'!$D$6:$D1001, MATCH(T248, '💻シート作成'!$E$6:$E1001, 0)), "")</f>
        <v/>
      </c>
      <c r="T248" s="170"/>
      <c r="U248" s="626"/>
      <c r="V248" s="719"/>
      <c r="W248" s="623"/>
      <c r="X248" s="718"/>
      <c r="Y248" s="623"/>
      <c r="Z248" s="623"/>
    </row>
    <row r="249" hidden="1" outlineLevel="1">
      <c r="A249" s="623"/>
      <c r="B249" s="691"/>
      <c r="C249" s="692"/>
      <c r="D249" s="692"/>
      <c r="E249" s="692"/>
      <c r="F249" s="692"/>
      <c r="G249" s="693"/>
      <c r="H249" s="692"/>
      <c r="I249" s="692"/>
      <c r="J249" s="692"/>
      <c r="K249" s="692"/>
      <c r="L249" s="717"/>
      <c r="M249" s="716"/>
      <c r="N249" s="692"/>
      <c r="O249" s="695"/>
      <c r="Q249" s="690"/>
      <c r="R249" s="623"/>
      <c r="S249" s="213" t="str">
        <f t="array" ref="S249">IFERROR(INDEX('💻シート作成'!$D$6:$D1001, MATCH(T249, '💻シート作成'!$E$6:$E1001, 0)), "")</f>
        <v/>
      </c>
      <c r="T249" s="170"/>
      <c r="U249" s="626"/>
      <c r="V249" s="719"/>
      <c r="W249" s="623"/>
      <c r="X249" s="718"/>
      <c r="Y249" s="623"/>
      <c r="Z249" s="623"/>
    </row>
    <row r="250" hidden="1" outlineLevel="1">
      <c r="A250" s="623"/>
      <c r="B250" s="691"/>
      <c r="C250" s="692"/>
      <c r="D250" s="692"/>
      <c r="E250" s="692"/>
      <c r="F250" s="692"/>
      <c r="G250" s="693"/>
      <c r="H250" s="692"/>
      <c r="I250" s="692"/>
      <c r="J250" s="692"/>
      <c r="K250" s="692"/>
      <c r="L250" s="717"/>
      <c r="M250" s="716"/>
      <c r="N250" s="692"/>
      <c r="O250" s="695"/>
      <c r="Q250" s="690"/>
      <c r="R250" s="623"/>
      <c r="S250" s="213" t="str">
        <f t="array" ref="S250">IFERROR(INDEX('💻シート作成'!$D$6:$D1001, MATCH(T250, '💻シート作成'!$E$6:$E1001, 0)), "")</f>
        <v/>
      </c>
      <c r="T250" s="170"/>
      <c r="U250" s="626"/>
      <c r="V250" s="719"/>
      <c r="W250" s="623"/>
      <c r="X250" s="718"/>
      <c r="Y250" s="623"/>
      <c r="Z250" s="623"/>
    </row>
    <row r="251" hidden="1" outlineLevel="1">
      <c r="A251" s="623"/>
      <c r="B251" s="691"/>
      <c r="C251" s="692"/>
      <c r="D251" s="692"/>
      <c r="E251" s="692"/>
      <c r="F251" s="692"/>
      <c r="G251" s="693"/>
      <c r="H251" s="692"/>
      <c r="I251" s="692"/>
      <c r="J251" s="692"/>
      <c r="K251" s="692"/>
      <c r="L251" s="717"/>
      <c r="M251" s="716"/>
      <c r="N251" s="692"/>
      <c r="O251" s="695"/>
      <c r="Q251" s="690"/>
      <c r="R251" s="623"/>
      <c r="S251" s="213" t="str">
        <f t="array" ref="S251">IFERROR(INDEX('💻シート作成'!$D$6:$D1001, MATCH(T251, '💻シート作成'!$E$6:$E1001, 0)), "")</f>
        <v/>
      </c>
      <c r="T251" s="170"/>
      <c r="U251" s="626"/>
      <c r="V251" s="719"/>
      <c r="W251" s="623"/>
      <c r="X251" s="718"/>
      <c r="Y251" s="623"/>
      <c r="Z251" s="623"/>
    </row>
    <row r="252" hidden="1" outlineLevel="1">
      <c r="A252" s="623"/>
      <c r="B252" s="691"/>
      <c r="C252" s="692"/>
      <c r="D252" s="692"/>
      <c r="E252" s="692"/>
      <c r="F252" s="692"/>
      <c r="G252" s="693"/>
      <c r="H252" s="692"/>
      <c r="I252" s="692"/>
      <c r="J252" s="692"/>
      <c r="K252" s="692"/>
      <c r="L252" s="717"/>
      <c r="M252" s="716"/>
      <c r="N252" s="692"/>
      <c r="O252" s="695"/>
      <c r="Q252" s="690"/>
      <c r="R252" s="623"/>
      <c r="S252" s="213" t="str">
        <f t="array" ref="S252">IFERROR(INDEX('💻シート作成'!$D$6:$D1001, MATCH(T252, '💻シート作成'!$E$6:$E1001, 0)), "")</f>
        <v/>
      </c>
      <c r="T252" s="170"/>
      <c r="U252" s="626"/>
      <c r="V252" s="719"/>
      <c r="W252" s="623"/>
      <c r="X252" s="718"/>
      <c r="Y252" s="623"/>
      <c r="Z252" s="623"/>
    </row>
    <row r="253" hidden="1" outlineLevel="1">
      <c r="A253" s="623"/>
      <c r="B253" s="691"/>
      <c r="C253" s="692"/>
      <c r="D253" s="692"/>
      <c r="E253" s="692"/>
      <c r="F253" s="659"/>
      <c r="G253" s="660"/>
      <c r="H253" s="659"/>
      <c r="I253" s="659"/>
      <c r="J253" s="659"/>
      <c r="K253" s="659"/>
      <c r="L253" s="717"/>
      <c r="M253" s="716"/>
      <c r="N253" s="659"/>
      <c r="O253" s="662"/>
      <c r="P253" s="663"/>
      <c r="Q253" s="699"/>
      <c r="R253" s="623"/>
      <c r="S253" s="213" t="str">
        <f t="array" ref="S253">IFERROR(INDEX('💻シート作成'!$D$6:$D1001, MATCH(T253, '💻シート作成'!$E$6:$E1001, 0)), "")</f>
        <v/>
      </c>
      <c r="T253" s="170"/>
      <c r="U253" s="626"/>
      <c r="V253" s="719"/>
      <c r="W253" s="623"/>
      <c r="X253" s="718"/>
      <c r="Y253" s="623"/>
      <c r="Z253" s="623"/>
    </row>
    <row r="254" hidden="1" outlineLevel="1">
      <c r="A254" s="623"/>
      <c r="B254" s="700"/>
      <c r="C254" s="659"/>
      <c r="D254" s="659"/>
      <c r="E254" s="659"/>
      <c r="F254" s="720" t="s">
        <v>425</v>
      </c>
      <c r="G254" s="721"/>
      <c r="H254" s="703"/>
      <c r="I254" s="703"/>
      <c r="J254" s="703"/>
      <c r="K254" s="703"/>
      <c r="L254" s="721"/>
      <c r="M254" s="721"/>
      <c r="N254" s="721"/>
      <c r="O254" s="721"/>
      <c r="P254" s="721"/>
      <c r="Q254" s="722"/>
      <c r="R254" s="623"/>
      <c r="S254" s="213" t="str">
        <f t="array" ref="S254">IFERROR(INDEX('💻シート作成'!$D$6:$D1001, MATCH(T254, '💻シート作成'!$E$6:$E1001, 0)), "")</f>
        <v/>
      </c>
      <c r="T254" s="170"/>
      <c r="U254" s="626"/>
      <c r="V254" s="719"/>
      <c r="W254" s="623"/>
      <c r="X254" s="718"/>
      <c r="Y254" s="623"/>
      <c r="Z254" s="623"/>
    </row>
    <row r="255" hidden="1" outlineLevel="1">
      <c r="A255" s="623"/>
      <c r="B255" s="723"/>
      <c r="C255" s="724">
        <f>IF(C244="","",IF(DAY(C244+1)=1,"",C244+1))</f>
        <v>46076</v>
      </c>
      <c r="D255" s="725" t="str">
        <f>TEXT(C255,"ddd")</f>
        <v>月</v>
      </c>
      <c r="E255" s="726"/>
      <c r="F255" s="727" t="s">
        <v>422</v>
      </c>
      <c r="G255" s="749"/>
      <c r="H255" s="728"/>
      <c r="I255" s="729">
        <v>0.0</v>
      </c>
      <c r="J255" s="725"/>
      <c r="K255" s="725"/>
      <c r="L255" s="730"/>
      <c r="M255" s="730"/>
      <c r="N255" s="727"/>
      <c r="O255" s="731"/>
      <c r="P255" s="732"/>
      <c r="Q255" s="733"/>
      <c r="R255" s="623"/>
      <c r="S255" s="213" t="str">
        <f t="array" ref="S255">IFERROR(INDEX('💻シート作成'!$D$6:$D1001, MATCH(T255, '💻シート作成'!$E$6:$E1001, 0)), "")</f>
        <v/>
      </c>
      <c r="T255" s="170"/>
      <c r="U255" s="626"/>
      <c r="V255" s="719"/>
      <c r="W255" s="623"/>
      <c r="X255" s="718"/>
      <c r="Y255" s="623"/>
      <c r="Z255" s="623"/>
    </row>
    <row r="256" hidden="1" outlineLevel="1">
      <c r="A256" s="623"/>
      <c r="B256" s="691"/>
      <c r="C256" s="692"/>
      <c r="D256" s="692"/>
      <c r="E256" s="692"/>
      <c r="F256" s="692"/>
      <c r="G256" s="693"/>
      <c r="H256" s="692"/>
      <c r="I256" s="692"/>
      <c r="J256" s="692"/>
      <c r="K256" s="692"/>
      <c r="L256" s="730"/>
      <c r="M256" s="730"/>
      <c r="N256" s="692"/>
      <c r="O256" s="695"/>
      <c r="Q256" s="690"/>
      <c r="R256" s="623"/>
      <c r="S256" s="213" t="str">
        <f t="array" ref="S256">IFERROR(INDEX('💻シート作成'!$D$6:$D1001, MATCH(T256, '💻シート作成'!$E$6:$E1001, 0)), "")</f>
        <v/>
      </c>
      <c r="T256" s="170"/>
      <c r="U256" s="626"/>
      <c r="V256" s="719"/>
      <c r="W256" s="623"/>
      <c r="X256" s="718"/>
      <c r="Y256" s="623"/>
      <c r="Z256" s="623"/>
    </row>
    <row r="257" hidden="1" outlineLevel="1">
      <c r="A257" s="623"/>
      <c r="B257" s="691"/>
      <c r="C257" s="692"/>
      <c r="D257" s="692"/>
      <c r="E257" s="692"/>
      <c r="F257" s="692"/>
      <c r="G257" s="693"/>
      <c r="H257" s="692"/>
      <c r="I257" s="692"/>
      <c r="J257" s="692"/>
      <c r="K257" s="692"/>
      <c r="L257" s="730"/>
      <c r="M257" s="730"/>
      <c r="N257" s="692"/>
      <c r="O257" s="695"/>
      <c r="Q257" s="690"/>
      <c r="R257" s="623"/>
      <c r="S257" s="213" t="str">
        <f t="array" ref="S257">IFERROR(INDEX('💻シート作成'!$D$6:$D1001, MATCH(T257, '💻シート作成'!$E$6:$E1001, 0)), "")</f>
        <v/>
      </c>
      <c r="T257" s="170"/>
      <c r="U257" s="626"/>
      <c r="V257" s="719"/>
      <c r="W257" s="623"/>
      <c r="X257" s="718"/>
      <c r="Y257" s="623"/>
      <c r="Z257" s="623"/>
    </row>
    <row r="258" hidden="1" outlineLevel="1">
      <c r="A258" s="623"/>
      <c r="B258" s="691"/>
      <c r="C258" s="692"/>
      <c r="D258" s="692"/>
      <c r="E258" s="692"/>
      <c r="F258" s="692"/>
      <c r="G258" s="693"/>
      <c r="H258" s="692"/>
      <c r="I258" s="692"/>
      <c r="J258" s="692"/>
      <c r="K258" s="692"/>
      <c r="L258" s="734"/>
      <c r="M258" s="730"/>
      <c r="N258" s="692"/>
      <c r="O258" s="695"/>
      <c r="Q258" s="690"/>
      <c r="R258" s="623"/>
      <c r="S258" s="213" t="str">
        <f t="array" ref="S258">IFERROR(INDEX('💻シート作成'!$D$6:$D1001, MATCH(T258, '💻シート作成'!$E$6:$E1001, 0)), "")</f>
        <v/>
      </c>
      <c r="T258" s="170"/>
      <c r="U258" s="626"/>
      <c r="V258" s="719"/>
      <c r="W258" s="623"/>
      <c r="X258" s="718"/>
      <c r="Y258" s="623"/>
      <c r="Z258" s="623"/>
    </row>
    <row r="259" hidden="1" outlineLevel="1">
      <c r="A259" s="623"/>
      <c r="B259" s="691"/>
      <c r="C259" s="692"/>
      <c r="D259" s="692"/>
      <c r="E259" s="692"/>
      <c r="F259" s="692"/>
      <c r="G259" s="693"/>
      <c r="H259" s="692"/>
      <c r="I259" s="692"/>
      <c r="J259" s="692"/>
      <c r="K259" s="692"/>
      <c r="L259" s="734"/>
      <c r="M259" s="730"/>
      <c r="N259" s="692"/>
      <c r="O259" s="695"/>
      <c r="Q259" s="690"/>
      <c r="R259" s="623"/>
      <c r="S259" s="213" t="str">
        <f t="array" ref="S259">IFERROR(INDEX('💻シート作成'!$D$6:$D1001, MATCH(T259, '💻シート作成'!$E$6:$E1001, 0)), "")</f>
        <v/>
      </c>
      <c r="T259" s="170"/>
      <c r="U259" s="626"/>
      <c r="V259" s="719"/>
      <c r="W259" s="623"/>
      <c r="X259" s="718"/>
      <c r="Y259" s="623"/>
      <c r="Z259" s="623"/>
    </row>
    <row r="260" hidden="1" outlineLevel="1">
      <c r="A260" s="623"/>
      <c r="B260" s="691"/>
      <c r="C260" s="692"/>
      <c r="D260" s="692"/>
      <c r="E260" s="692"/>
      <c r="F260" s="692"/>
      <c r="G260" s="693"/>
      <c r="H260" s="692"/>
      <c r="I260" s="692"/>
      <c r="J260" s="692"/>
      <c r="K260" s="692"/>
      <c r="L260" s="734"/>
      <c r="M260" s="730"/>
      <c r="N260" s="692"/>
      <c r="O260" s="695"/>
      <c r="Q260" s="690"/>
      <c r="R260" s="623"/>
      <c r="S260" s="213" t="str">
        <f t="array" ref="S260">IFERROR(INDEX('💻シート作成'!$D$6:$D1001, MATCH(T260, '💻シート作成'!$E$6:$E1001, 0)), "")</f>
        <v/>
      </c>
      <c r="T260" s="170"/>
      <c r="U260" s="626"/>
      <c r="V260" s="719"/>
      <c r="W260" s="623"/>
      <c r="X260" s="718"/>
      <c r="Y260" s="623"/>
      <c r="Z260" s="623"/>
    </row>
    <row r="261" hidden="1" outlineLevel="1">
      <c r="A261" s="623"/>
      <c r="B261" s="691"/>
      <c r="C261" s="692"/>
      <c r="D261" s="692"/>
      <c r="E261" s="692"/>
      <c r="F261" s="692"/>
      <c r="G261" s="693"/>
      <c r="H261" s="692"/>
      <c r="I261" s="692"/>
      <c r="J261" s="692"/>
      <c r="K261" s="692"/>
      <c r="L261" s="734"/>
      <c r="M261" s="730"/>
      <c r="N261" s="692"/>
      <c r="O261" s="695"/>
      <c r="Q261" s="690"/>
      <c r="R261" s="623"/>
      <c r="S261" s="213" t="str">
        <f t="array" ref="S261">IFERROR(INDEX('💻シート作成'!$D$6:$D1001, MATCH(T261, '💻シート作成'!$E$6:$E1001, 0)), "")</f>
        <v/>
      </c>
      <c r="T261" s="170"/>
      <c r="U261" s="626"/>
      <c r="V261" s="719"/>
      <c r="W261" s="623"/>
      <c r="X261" s="718"/>
      <c r="Y261" s="623"/>
      <c r="Z261" s="623"/>
    </row>
    <row r="262" hidden="1" outlineLevel="1">
      <c r="A262" s="623"/>
      <c r="B262" s="691"/>
      <c r="C262" s="692"/>
      <c r="D262" s="692"/>
      <c r="E262" s="692"/>
      <c r="F262" s="692"/>
      <c r="G262" s="693"/>
      <c r="H262" s="692"/>
      <c r="I262" s="692"/>
      <c r="J262" s="692"/>
      <c r="K262" s="692"/>
      <c r="L262" s="734"/>
      <c r="M262" s="730"/>
      <c r="N262" s="692"/>
      <c r="O262" s="695"/>
      <c r="Q262" s="690"/>
      <c r="R262" s="623"/>
      <c r="S262" s="213" t="str">
        <f t="array" ref="S262">IFERROR(INDEX('💻シート作成'!$D$6:$D1001, MATCH(T262, '💻シート作成'!$E$6:$E1001, 0)), "")</f>
        <v/>
      </c>
      <c r="T262" s="170"/>
      <c r="U262" s="626"/>
      <c r="V262" s="719"/>
      <c r="W262" s="623"/>
      <c r="X262" s="718"/>
      <c r="Y262" s="623"/>
      <c r="Z262" s="623"/>
    </row>
    <row r="263" hidden="1" outlineLevel="1">
      <c r="A263" s="623"/>
      <c r="B263" s="691"/>
      <c r="C263" s="692"/>
      <c r="D263" s="692"/>
      <c r="E263" s="692"/>
      <c r="F263" s="692"/>
      <c r="G263" s="693"/>
      <c r="H263" s="692"/>
      <c r="I263" s="692"/>
      <c r="J263" s="692"/>
      <c r="K263" s="692"/>
      <c r="L263" s="734"/>
      <c r="M263" s="730"/>
      <c r="N263" s="692"/>
      <c r="O263" s="695"/>
      <c r="Q263" s="690"/>
      <c r="R263" s="623"/>
      <c r="S263" s="213" t="str">
        <f t="array" ref="S263">IFERROR(INDEX('💻シート作成'!$D$6:$D1001, MATCH(T263, '💻シート作成'!$E$6:$E1001, 0)), "")</f>
        <v/>
      </c>
      <c r="T263" s="170"/>
      <c r="U263" s="626"/>
      <c r="V263" s="719"/>
      <c r="W263" s="623"/>
      <c r="X263" s="718"/>
      <c r="Y263" s="623"/>
      <c r="Z263" s="623"/>
    </row>
    <row r="264" hidden="1" outlineLevel="1">
      <c r="A264" s="623"/>
      <c r="B264" s="691"/>
      <c r="C264" s="692"/>
      <c r="D264" s="692"/>
      <c r="E264" s="692"/>
      <c r="F264" s="659"/>
      <c r="G264" s="660"/>
      <c r="H264" s="659"/>
      <c r="I264" s="659"/>
      <c r="J264" s="659"/>
      <c r="K264" s="659"/>
      <c r="L264" s="734"/>
      <c r="M264" s="730"/>
      <c r="N264" s="659"/>
      <c r="O264" s="662"/>
      <c r="P264" s="663"/>
      <c r="Q264" s="699"/>
      <c r="R264" s="623"/>
      <c r="S264" s="213" t="str">
        <f t="array" ref="S264">IFERROR(INDEX('💻シート作成'!$D$6:$D1001, MATCH(T264, '💻シート作成'!$E$6:$E1001, 0)), "")</f>
        <v/>
      </c>
      <c r="T264" s="170"/>
      <c r="U264" s="626"/>
      <c r="V264" s="719"/>
      <c r="W264" s="623"/>
      <c r="X264" s="718"/>
      <c r="Y264" s="623"/>
      <c r="Z264" s="623"/>
    </row>
    <row r="265" hidden="1" outlineLevel="1">
      <c r="A265" s="623"/>
      <c r="B265" s="700"/>
      <c r="C265" s="659"/>
      <c r="D265" s="659"/>
      <c r="E265" s="659"/>
      <c r="F265" s="701" t="s">
        <v>425</v>
      </c>
      <c r="G265" s="702"/>
      <c r="H265" s="703"/>
      <c r="I265" s="703"/>
      <c r="J265" s="703"/>
      <c r="K265" s="703"/>
      <c r="L265" s="702"/>
      <c r="M265" s="702"/>
      <c r="N265" s="702"/>
      <c r="O265" s="702"/>
      <c r="P265" s="702"/>
      <c r="Q265" s="704"/>
      <c r="R265" s="623"/>
      <c r="S265" s="213" t="str">
        <f t="array" ref="S265">IFERROR(INDEX('💻シート作成'!$D$6:$D1001, MATCH(T265, '💻シート作成'!$E$6:$E1001, 0)), "")</f>
        <v/>
      </c>
      <c r="T265" s="170"/>
      <c r="U265" s="626"/>
      <c r="V265" s="719"/>
      <c r="W265" s="623"/>
      <c r="X265" s="718"/>
      <c r="Y265" s="623"/>
      <c r="Z265" s="623"/>
    </row>
    <row r="266" hidden="1" outlineLevel="1">
      <c r="A266" s="623"/>
      <c r="B266" s="705"/>
      <c r="C266" s="706">
        <f>IF(C255="","",IF(DAY(C255+1)=1,"",C255+1))</f>
        <v>46077</v>
      </c>
      <c r="D266" s="707" t="str">
        <f>TEXT(C266,"ddd")</f>
        <v>火</v>
      </c>
      <c r="E266" s="708"/>
      <c r="F266" s="735" t="s">
        <v>422</v>
      </c>
      <c r="G266" s="748"/>
      <c r="H266" s="736"/>
      <c r="I266" s="737">
        <v>0.0</v>
      </c>
      <c r="J266" s="707"/>
      <c r="K266" s="707"/>
      <c r="L266" s="716"/>
      <c r="M266" s="716"/>
      <c r="N266" s="735"/>
      <c r="O266" s="738"/>
      <c r="P266" s="732"/>
      <c r="Q266" s="733"/>
      <c r="R266" s="623"/>
      <c r="S266" s="213" t="str">
        <f t="array" ref="S266">IFERROR(INDEX('💻シート作成'!$D$6:$D1001, MATCH(T266, '💻シート作成'!$E$6:$E1001, 0)), "")</f>
        <v/>
      </c>
      <c r="T266" s="170"/>
      <c r="U266" s="626"/>
      <c r="V266" s="719"/>
      <c r="W266" s="623"/>
      <c r="X266" s="718"/>
      <c r="Y266" s="623"/>
      <c r="Z266" s="623"/>
    </row>
    <row r="267" hidden="1" outlineLevel="1">
      <c r="A267" s="623"/>
      <c r="B267" s="691"/>
      <c r="C267" s="692"/>
      <c r="D267" s="692"/>
      <c r="E267" s="692"/>
      <c r="F267" s="692"/>
      <c r="G267" s="693"/>
      <c r="H267" s="692"/>
      <c r="I267" s="692"/>
      <c r="J267" s="692"/>
      <c r="K267" s="692"/>
      <c r="L267" s="716"/>
      <c r="M267" s="716"/>
      <c r="N267" s="692"/>
      <c r="O267" s="695"/>
      <c r="Q267" s="690"/>
      <c r="R267" s="623"/>
      <c r="S267" s="213" t="str">
        <f t="array" ref="S267">IFERROR(INDEX('💻シート作成'!$D$6:$D1001, MATCH(T267, '💻シート作成'!$E$6:$E1001, 0)), "")</f>
        <v/>
      </c>
      <c r="T267" s="170"/>
      <c r="U267" s="626"/>
      <c r="V267" s="719"/>
      <c r="W267" s="623"/>
      <c r="X267" s="718"/>
      <c r="Y267" s="623"/>
      <c r="Z267" s="623"/>
    </row>
    <row r="268" hidden="1" outlineLevel="1">
      <c r="A268" s="623"/>
      <c r="B268" s="691"/>
      <c r="C268" s="692"/>
      <c r="D268" s="692"/>
      <c r="E268" s="692"/>
      <c r="F268" s="692"/>
      <c r="G268" s="693"/>
      <c r="H268" s="692"/>
      <c r="I268" s="692"/>
      <c r="J268" s="692"/>
      <c r="K268" s="692"/>
      <c r="L268" s="716"/>
      <c r="M268" s="716"/>
      <c r="N268" s="692"/>
      <c r="O268" s="695"/>
      <c r="Q268" s="690"/>
      <c r="R268" s="623"/>
      <c r="S268" s="213" t="str">
        <f t="array" ref="S268">IFERROR(INDEX('💻シート作成'!$D$6:$D1001, MATCH(T268, '💻シート作成'!$E$6:$E1001, 0)), "")</f>
        <v/>
      </c>
      <c r="T268" s="170"/>
      <c r="U268" s="626"/>
      <c r="V268" s="719"/>
      <c r="W268" s="623"/>
      <c r="X268" s="718"/>
      <c r="Y268" s="623"/>
      <c r="Z268" s="623"/>
    </row>
    <row r="269" hidden="1" outlineLevel="1">
      <c r="A269" s="623"/>
      <c r="B269" s="691"/>
      <c r="C269" s="692"/>
      <c r="D269" s="692"/>
      <c r="E269" s="692"/>
      <c r="F269" s="692"/>
      <c r="G269" s="693"/>
      <c r="H269" s="692"/>
      <c r="I269" s="692"/>
      <c r="J269" s="692"/>
      <c r="K269" s="692"/>
      <c r="L269" s="717"/>
      <c r="M269" s="716"/>
      <c r="N269" s="692"/>
      <c r="O269" s="695"/>
      <c r="Q269" s="690"/>
      <c r="R269" s="623"/>
      <c r="S269" s="213" t="str">
        <f t="array" ref="S269">IFERROR(INDEX('💻シート作成'!$D$6:$D1001, MATCH(T269, '💻シート作成'!$E$6:$E1001, 0)), "")</f>
        <v/>
      </c>
      <c r="T269" s="170"/>
      <c r="U269" s="626"/>
      <c r="V269" s="719"/>
      <c r="W269" s="623"/>
      <c r="X269" s="718"/>
      <c r="Y269" s="623"/>
      <c r="Z269" s="623"/>
    </row>
    <row r="270" hidden="1" outlineLevel="1">
      <c r="A270" s="623"/>
      <c r="B270" s="691"/>
      <c r="C270" s="692"/>
      <c r="D270" s="692"/>
      <c r="E270" s="692"/>
      <c r="F270" s="692"/>
      <c r="G270" s="693"/>
      <c r="H270" s="692"/>
      <c r="I270" s="692"/>
      <c r="J270" s="692"/>
      <c r="K270" s="692"/>
      <c r="L270" s="717"/>
      <c r="M270" s="716"/>
      <c r="N270" s="692"/>
      <c r="O270" s="695"/>
      <c r="Q270" s="690"/>
      <c r="R270" s="623"/>
      <c r="S270" s="213" t="str">
        <f t="array" ref="S270">IFERROR(INDEX('💻シート作成'!$D$6:$D1001, MATCH(T270, '💻シート作成'!$E$6:$E1001, 0)), "")</f>
        <v/>
      </c>
      <c r="T270" s="170"/>
      <c r="U270" s="626"/>
      <c r="V270" s="719"/>
      <c r="W270" s="623"/>
      <c r="X270" s="718"/>
      <c r="Y270" s="623"/>
      <c r="Z270" s="623"/>
    </row>
    <row r="271" hidden="1" outlineLevel="1">
      <c r="A271" s="623"/>
      <c r="B271" s="691"/>
      <c r="C271" s="692"/>
      <c r="D271" s="692"/>
      <c r="E271" s="692"/>
      <c r="F271" s="692"/>
      <c r="G271" s="693"/>
      <c r="H271" s="692"/>
      <c r="I271" s="692"/>
      <c r="J271" s="692"/>
      <c r="K271" s="692"/>
      <c r="L271" s="717"/>
      <c r="M271" s="716"/>
      <c r="N271" s="692"/>
      <c r="O271" s="695"/>
      <c r="Q271" s="690"/>
      <c r="R271" s="623"/>
      <c r="S271" s="213" t="str">
        <f t="array" ref="S271">IFERROR(INDEX('💻シート作成'!$D$6:$D1001, MATCH(T271, '💻シート作成'!$E$6:$E1001, 0)), "")</f>
        <v/>
      </c>
      <c r="T271" s="170"/>
      <c r="U271" s="626"/>
      <c r="V271" s="719"/>
      <c r="W271" s="623"/>
      <c r="X271" s="718"/>
      <c r="Y271" s="623"/>
      <c r="Z271" s="623"/>
    </row>
    <row r="272" hidden="1" outlineLevel="1">
      <c r="A272" s="623"/>
      <c r="B272" s="691"/>
      <c r="C272" s="692"/>
      <c r="D272" s="692"/>
      <c r="E272" s="692"/>
      <c r="F272" s="692"/>
      <c r="G272" s="693"/>
      <c r="H272" s="692"/>
      <c r="I272" s="692"/>
      <c r="J272" s="692"/>
      <c r="K272" s="692"/>
      <c r="L272" s="717"/>
      <c r="M272" s="716"/>
      <c r="N272" s="692"/>
      <c r="O272" s="695"/>
      <c r="Q272" s="690"/>
      <c r="R272" s="623"/>
      <c r="S272" s="213" t="str">
        <f t="array" ref="S272">IFERROR(INDEX('💻シート作成'!$D$6:$D1001, MATCH(T272, '💻シート作成'!$E$6:$E1001, 0)), "")</f>
        <v/>
      </c>
      <c r="T272" s="170"/>
      <c r="U272" s="626"/>
      <c r="V272" s="719"/>
      <c r="W272" s="623"/>
      <c r="X272" s="718"/>
      <c r="Y272" s="623"/>
      <c r="Z272" s="623"/>
    </row>
    <row r="273" hidden="1" outlineLevel="1">
      <c r="A273" s="623"/>
      <c r="B273" s="691"/>
      <c r="C273" s="692"/>
      <c r="D273" s="692"/>
      <c r="E273" s="692"/>
      <c r="F273" s="692"/>
      <c r="G273" s="693"/>
      <c r="H273" s="692"/>
      <c r="I273" s="692"/>
      <c r="J273" s="692"/>
      <c r="K273" s="692"/>
      <c r="L273" s="717"/>
      <c r="M273" s="716"/>
      <c r="N273" s="692"/>
      <c r="O273" s="695"/>
      <c r="Q273" s="690"/>
      <c r="R273" s="623"/>
      <c r="S273" s="213" t="str">
        <f t="array" ref="S273">IFERROR(INDEX('💻シート作成'!$D$6:$D1001, MATCH(T273, '💻シート作成'!$E$6:$E1001, 0)), "")</f>
        <v/>
      </c>
      <c r="T273" s="170"/>
      <c r="U273" s="626"/>
      <c r="V273" s="719"/>
      <c r="W273" s="623"/>
      <c r="X273" s="718"/>
      <c r="Y273" s="623"/>
      <c r="Z273" s="623"/>
    </row>
    <row r="274" hidden="1" outlineLevel="1">
      <c r="A274" s="623"/>
      <c r="B274" s="691"/>
      <c r="C274" s="692"/>
      <c r="D274" s="692"/>
      <c r="E274" s="692"/>
      <c r="F274" s="692"/>
      <c r="G274" s="693"/>
      <c r="H274" s="692"/>
      <c r="I274" s="692"/>
      <c r="J274" s="692"/>
      <c r="K274" s="692"/>
      <c r="L274" s="717"/>
      <c r="M274" s="716"/>
      <c r="N274" s="692"/>
      <c r="O274" s="695"/>
      <c r="Q274" s="690"/>
      <c r="R274" s="623"/>
      <c r="S274" s="213" t="str">
        <f t="array" ref="S274">IFERROR(INDEX('💻シート作成'!$D$6:$D1001, MATCH(T274, '💻シート作成'!$E$6:$E1001, 0)), "")</f>
        <v/>
      </c>
      <c r="T274" s="170"/>
      <c r="U274" s="626"/>
      <c r="V274" s="719"/>
      <c r="W274" s="623"/>
      <c r="X274" s="718"/>
      <c r="Y274" s="623"/>
      <c r="Z274" s="623"/>
    </row>
    <row r="275" hidden="1" outlineLevel="1">
      <c r="A275" s="623"/>
      <c r="B275" s="691"/>
      <c r="C275" s="692"/>
      <c r="D275" s="692"/>
      <c r="E275" s="692"/>
      <c r="F275" s="659"/>
      <c r="G275" s="660"/>
      <c r="H275" s="659"/>
      <c r="I275" s="659"/>
      <c r="J275" s="659"/>
      <c r="K275" s="659"/>
      <c r="L275" s="717"/>
      <c r="M275" s="716"/>
      <c r="N275" s="659"/>
      <c r="O275" s="662"/>
      <c r="P275" s="663"/>
      <c r="Q275" s="699"/>
      <c r="R275" s="623"/>
      <c r="S275" s="213" t="str">
        <f t="array" ref="S275">IFERROR(INDEX('💻シート作成'!$D$6:$D1001, MATCH(T275, '💻シート作成'!$E$6:$E1001, 0)), "")</f>
        <v/>
      </c>
      <c r="T275" s="170"/>
      <c r="U275" s="626"/>
      <c r="V275" s="719"/>
      <c r="W275" s="623"/>
      <c r="X275" s="718"/>
      <c r="Y275" s="623"/>
      <c r="Z275" s="623"/>
    </row>
    <row r="276" hidden="1" outlineLevel="1">
      <c r="A276" s="623"/>
      <c r="B276" s="700"/>
      <c r="C276" s="659"/>
      <c r="D276" s="659"/>
      <c r="E276" s="659"/>
      <c r="F276" s="720" t="s">
        <v>425</v>
      </c>
      <c r="G276" s="721"/>
      <c r="H276" s="703"/>
      <c r="I276" s="703"/>
      <c r="J276" s="703"/>
      <c r="K276" s="703"/>
      <c r="L276" s="721"/>
      <c r="M276" s="721"/>
      <c r="N276" s="721"/>
      <c r="O276" s="721"/>
      <c r="P276" s="721"/>
      <c r="Q276" s="722"/>
      <c r="R276" s="623"/>
      <c r="S276" s="213" t="str">
        <f t="array" ref="S276">IFERROR(INDEX('💻シート作成'!$D$6:$D1001, MATCH(T276, '💻シート作成'!$E$6:$E1001, 0)), "")</f>
        <v/>
      </c>
      <c r="T276" s="170"/>
      <c r="U276" s="626"/>
      <c r="V276" s="719"/>
      <c r="W276" s="623"/>
      <c r="X276" s="718"/>
      <c r="Y276" s="623"/>
      <c r="Z276" s="623"/>
    </row>
    <row r="277" hidden="1" outlineLevel="1">
      <c r="A277" s="623"/>
      <c r="B277" s="723"/>
      <c r="C277" s="724">
        <f>IF(C266="","",IF(DAY(C266+1)=1,"",C266+1))</f>
        <v>46078</v>
      </c>
      <c r="D277" s="725" t="str">
        <f>TEXT(C277,"ddd")</f>
        <v>水</v>
      </c>
      <c r="E277" s="726"/>
      <c r="F277" s="727" t="s">
        <v>422</v>
      </c>
      <c r="G277" s="749"/>
      <c r="H277" s="728"/>
      <c r="I277" s="729">
        <v>0.0</v>
      </c>
      <c r="J277" s="725"/>
      <c r="K277" s="725"/>
      <c r="L277" s="730"/>
      <c r="M277" s="730"/>
      <c r="N277" s="727"/>
      <c r="O277" s="731"/>
      <c r="P277" s="732"/>
      <c r="Q277" s="733"/>
      <c r="R277" s="623"/>
      <c r="S277" s="213" t="str">
        <f t="array" ref="S277">IFERROR(INDEX('💻シート作成'!$D$6:$D1001, MATCH(T277, '💻シート作成'!$E$6:$E1001, 0)), "")</f>
        <v/>
      </c>
      <c r="T277" s="170"/>
      <c r="U277" s="626"/>
      <c r="V277" s="719"/>
      <c r="W277" s="623"/>
      <c r="X277" s="718"/>
      <c r="Y277" s="623"/>
      <c r="Z277" s="623"/>
    </row>
    <row r="278" hidden="1" outlineLevel="1">
      <c r="A278" s="623"/>
      <c r="B278" s="691"/>
      <c r="C278" s="692"/>
      <c r="D278" s="692"/>
      <c r="E278" s="692"/>
      <c r="F278" s="692"/>
      <c r="G278" s="693"/>
      <c r="H278" s="692"/>
      <c r="I278" s="692"/>
      <c r="J278" s="692"/>
      <c r="K278" s="692"/>
      <c r="L278" s="730"/>
      <c r="M278" s="730"/>
      <c r="N278" s="692"/>
      <c r="O278" s="695"/>
      <c r="Q278" s="690"/>
      <c r="R278" s="623"/>
      <c r="S278" s="213" t="str">
        <f t="array" ref="S278">IFERROR(INDEX('💻シート作成'!$D$6:$D1001, MATCH(T278, '💻シート作成'!$E$6:$E1001, 0)), "")</f>
        <v/>
      </c>
      <c r="T278" s="170"/>
      <c r="U278" s="626"/>
      <c r="V278" s="719"/>
      <c r="W278" s="623"/>
      <c r="X278" s="718"/>
      <c r="Y278" s="623"/>
      <c r="Z278" s="623"/>
    </row>
    <row r="279" hidden="1" outlineLevel="1">
      <c r="A279" s="623"/>
      <c r="B279" s="691"/>
      <c r="C279" s="692"/>
      <c r="D279" s="692"/>
      <c r="E279" s="692"/>
      <c r="F279" s="692"/>
      <c r="G279" s="693"/>
      <c r="H279" s="692"/>
      <c r="I279" s="692"/>
      <c r="J279" s="692"/>
      <c r="K279" s="692"/>
      <c r="L279" s="730"/>
      <c r="M279" s="730"/>
      <c r="N279" s="692"/>
      <c r="O279" s="695"/>
      <c r="Q279" s="690"/>
      <c r="R279" s="623"/>
      <c r="S279" s="213" t="str">
        <f t="array" ref="S279">IFERROR(INDEX('💻シート作成'!$D$6:$D1001, MATCH(T279, '💻シート作成'!$E$6:$E1001, 0)), "")</f>
        <v/>
      </c>
      <c r="T279" s="170"/>
      <c r="U279" s="626"/>
      <c r="V279" s="719"/>
      <c r="W279" s="623"/>
      <c r="X279" s="718"/>
      <c r="Y279" s="623"/>
      <c r="Z279" s="623"/>
    </row>
    <row r="280" hidden="1" outlineLevel="1">
      <c r="A280" s="623"/>
      <c r="B280" s="691"/>
      <c r="C280" s="692"/>
      <c r="D280" s="692"/>
      <c r="E280" s="692"/>
      <c r="F280" s="692"/>
      <c r="G280" s="693"/>
      <c r="H280" s="692"/>
      <c r="I280" s="692"/>
      <c r="J280" s="692"/>
      <c r="K280" s="692"/>
      <c r="L280" s="734"/>
      <c r="M280" s="730"/>
      <c r="N280" s="692"/>
      <c r="O280" s="695"/>
      <c r="Q280" s="690"/>
      <c r="R280" s="623"/>
      <c r="S280" s="213" t="str">
        <f t="array" ref="S280">IFERROR(INDEX('💻シート作成'!$D$6:$D1001, MATCH(T280, '💻シート作成'!$E$6:$E1001, 0)), "")</f>
        <v/>
      </c>
      <c r="T280" s="170"/>
      <c r="U280" s="626"/>
      <c r="V280" s="719"/>
      <c r="W280" s="623"/>
      <c r="X280" s="718"/>
      <c r="Y280" s="623"/>
      <c r="Z280" s="623"/>
    </row>
    <row r="281" hidden="1" outlineLevel="1">
      <c r="A281" s="623"/>
      <c r="B281" s="691"/>
      <c r="C281" s="692"/>
      <c r="D281" s="692"/>
      <c r="E281" s="692"/>
      <c r="F281" s="692"/>
      <c r="G281" s="693"/>
      <c r="H281" s="692"/>
      <c r="I281" s="692"/>
      <c r="J281" s="692"/>
      <c r="K281" s="692"/>
      <c r="L281" s="734"/>
      <c r="M281" s="730"/>
      <c r="N281" s="692"/>
      <c r="O281" s="695"/>
      <c r="Q281" s="690"/>
      <c r="R281" s="623"/>
      <c r="S281" s="213" t="str">
        <f t="array" ref="S281">IFERROR(INDEX('💻シート作成'!$D$6:$D1001, MATCH(T281, '💻シート作成'!$E$6:$E1001, 0)), "")</f>
        <v/>
      </c>
      <c r="T281" s="170"/>
      <c r="U281" s="626"/>
      <c r="V281" s="719"/>
      <c r="W281" s="623"/>
      <c r="X281" s="718"/>
      <c r="Y281" s="623"/>
      <c r="Z281" s="623"/>
    </row>
    <row r="282" hidden="1" outlineLevel="1">
      <c r="A282" s="623"/>
      <c r="B282" s="691"/>
      <c r="C282" s="692"/>
      <c r="D282" s="692"/>
      <c r="E282" s="692"/>
      <c r="F282" s="692"/>
      <c r="G282" s="693"/>
      <c r="H282" s="692"/>
      <c r="I282" s="692"/>
      <c r="J282" s="692"/>
      <c r="K282" s="692"/>
      <c r="L282" s="734"/>
      <c r="M282" s="730"/>
      <c r="N282" s="692"/>
      <c r="O282" s="695"/>
      <c r="Q282" s="690"/>
      <c r="R282" s="623"/>
      <c r="S282" s="213" t="str">
        <f t="array" ref="S282">IFERROR(INDEX('💻シート作成'!$D$6:$D1001, MATCH(T282, '💻シート作成'!$E$6:$E1001, 0)), "")</f>
        <v/>
      </c>
      <c r="T282" s="170"/>
      <c r="U282" s="626"/>
      <c r="V282" s="719"/>
      <c r="W282" s="623"/>
      <c r="X282" s="718"/>
      <c r="Y282" s="623"/>
      <c r="Z282" s="623"/>
    </row>
    <row r="283" hidden="1" outlineLevel="1">
      <c r="A283" s="623"/>
      <c r="B283" s="691"/>
      <c r="C283" s="692"/>
      <c r="D283" s="692"/>
      <c r="E283" s="692"/>
      <c r="F283" s="692"/>
      <c r="G283" s="693"/>
      <c r="H283" s="692"/>
      <c r="I283" s="692"/>
      <c r="J283" s="692"/>
      <c r="K283" s="692"/>
      <c r="L283" s="734"/>
      <c r="M283" s="730"/>
      <c r="N283" s="692"/>
      <c r="O283" s="695"/>
      <c r="Q283" s="690"/>
      <c r="R283" s="623"/>
      <c r="S283" s="213" t="str">
        <f t="array" ref="S283">IFERROR(INDEX('💻シート作成'!$D$6:$D1001, MATCH(T283, '💻シート作成'!$E$6:$E1001, 0)), "")</f>
        <v/>
      </c>
      <c r="T283" s="170"/>
      <c r="U283" s="626"/>
      <c r="V283" s="719"/>
      <c r="W283" s="623"/>
      <c r="X283" s="718"/>
      <c r="Y283" s="623"/>
      <c r="Z283" s="623"/>
    </row>
    <row r="284" hidden="1" outlineLevel="1">
      <c r="A284" s="623"/>
      <c r="B284" s="691"/>
      <c r="C284" s="692"/>
      <c r="D284" s="692"/>
      <c r="E284" s="692"/>
      <c r="F284" s="692"/>
      <c r="G284" s="693"/>
      <c r="H284" s="692"/>
      <c r="I284" s="692"/>
      <c r="J284" s="692"/>
      <c r="K284" s="692"/>
      <c r="L284" s="734"/>
      <c r="M284" s="730"/>
      <c r="N284" s="692"/>
      <c r="O284" s="695"/>
      <c r="Q284" s="690"/>
      <c r="R284" s="623"/>
      <c r="S284" s="213" t="str">
        <f t="array" ref="S284">IFERROR(INDEX('💻シート作成'!$D$6:$D1001, MATCH(T284, '💻シート作成'!$E$6:$E1001, 0)), "")</f>
        <v/>
      </c>
      <c r="T284" s="170"/>
      <c r="U284" s="626"/>
      <c r="V284" s="719"/>
      <c r="W284" s="623"/>
      <c r="X284" s="718"/>
      <c r="Y284" s="623"/>
      <c r="Z284" s="623"/>
    </row>
    <row r="285" hidden="1" outlineLevel="1">
      <c r="A285" s="623"/>
      <c r="B285" s="691"/>
      <c r="C285" s="692"/>
      <c r="D285" s="692"/>
      <c r="E285" s="692"/>
      <c r="F285" s="692"/>
      <c r="G285" s="693"/>
      <c r="H285" s="692"/>
      <c r="I285" s="692"/>
      <c r="J285" s="692"/>
      <c r="K285" s="692"/>
      <c r="L285" s="734"/>
      <c r="M285" s="730"/>
      <c r="N285" s="692"/>
      <c r="O285" s="695"/>
      <c r="Q285" s="690"/>
      <c r="R285" s="623"/>
      <c r="S285" s="213" t="str">
        <f t="array" ref="S285">IFERROR(INDEX('💻シート作成'!$D$6:$D1001, MATCH(T285, '💻シート作成'!$E$6:$E1001, 0)), "")</f>
        <v/>
      </c>
      <c r="T285" s="170"/>
      <c r="U285" s="626"/>
      <c r="V285" s="719"/>
      <c r="W285" s="623"/>
      <c r="X285" s="718"/>
      <c r="Y285" s="623"/>
      <c r="Z285" s="623"/>
    </row>
    <row r="286" hidden="1" outlineLevel="1">
      <c r="A286" s="623"/>
      <c r="B286" s="691"/>
      <c r="C286" s="692"/>
      <c r="D286" s="692"/>
      <c r="E286" s="692"/>
      <c r="F286" s="659"/>
      <c r="G286" s="660"/>
      <c r="H286" s="659"/>
      <c r="I286" s="659"/>
      <c r="J286" s="659"/>
      <c r="K286" s="659"/>
      <c r="L286" s="734"/>
      <c r="M286" s="730"/>
      <c r="N286" s="659"/>
      <c r="O286" s="662"/>
      <c r="P286" s="663"/>
      <c r="Q286" s="699"/>
      <c r="R286" s="623"/>
      <c r="S286" s="213" t="str">
        <f t="array" ref="S286">IFERROR(INDEX('💻シート作成'!$D$6:$D1001, MATCH(T286, '💻シート作成'!$E$6:$E1001, 0)), "")</f>
        <v/>
      </c>
      <c r="T286" s="170"/>
      <c r="U286" s="626"/>
      <c r="V286" s="719"/>
      <c r="W286" s="623"/>
      <c r="X286" s="718"/>
      <c r="Y286" s="623"/>
      <c r="Z286" s="623"/>
    </row>
    <row r="287" hidden="1" outlineLevel="1">
      <c r="A287" s="623"/>
      <c r="B287" s="700"/>
      <c r="C287" s="659"/>
      <c r="D287" s="659"/>
      <c r="E287" s="659"/>
      <c r="F287" s="701" t="s">
        <v>425</v>
      </c>
      <c r="G287" s="702"/>
      <c r="H287" s="703"/>
      <c r="I287" s="703"/>
      <c r="J287" s="703"/>
      <c r="K287" s="703"/>
      <c r="L287" s="702"/>
      <c r="M287" s="702"/>
      <c r="N287" s="702"/>
      <c r="O287" s="702"/>
      <c r="P287" s="702"/>
      <c r="Q287" s="704"/>
      <c r="R287" s="623"/>
      <c r="S287" s="213" t="str">
        <f t="array" ref="S287">IFERROR(INDEX('💻シート作成'!$D$6:$D1001, MATCH(T287, '💻シート作成'!$E$6:$E1001, 0)), "")</f>
        <v/>
      </c>
      <c r="T287" s="170"/>
      <c r="U287" s="626"/>
      <c r="V287" s="719"/>
      <c r="W287" s="623"/>
      <c r="X287" s="718"/>
      <c r="Y287" s="623"/>
      <c r="Z287" s="623"/>
    </row>
    <row r="288" collapsed="1">
      <c r="A288" s="623"/>
      <c r="B288" s="739" t="s">
        <v>441</v>
      </c>
      <c r="C288" s="740"/>
      <c r="D288" s="740"/>
      <c r="E288" s="740"/>
      <c r="F288" s="741"/>
      <c r="G288" s="742"/>
      <c r="H288" s="743"/>
      <c r="I288" s="743"/>
      <c r="J288" s="744"/>
      <c r="K288" s="744"/>
      <c r="L288" s="742"/>
      <c r="M288" s="742"/>
      <c r="N288" s="745"/>
      <c r="O288" s="746"/>
      <c r="P288" s="746"/>
      <c r="Q288" s="747"/>
      <c r="R288" s="623"/>
      <c r="S288" s="213" t="str">
        <f t="array" ref="S288">IFERROR(INDEX('💻シート作成'!$D$6:$D1001, MATCH(T288, '💻シート作成'!$E$6:$E1001, 0)), "")</f>
        <v/>
      </c>
      <c r="T288" s="170"/>
      <c r="U288" s="626"/>
      <c r="V288" s="719"/>
      <c r="W288" s="623"/>
      <c r="X288" s="718"/>
      <c r="Y288" s="623"/>
      <c r="Z288" s="623"/>
    </row>
    <row r="289" hidden="1" outlineLevel="1">
      <c r="A289" s="623"/>
      <c r="B289" s="705"/>
      <c r="C289" s="706">
        <f>IF(C277="","",IF(DAY(C277+1)=1,"",C277+1))</f>
        <v>46079</v>
      </c>
      <c r="D289" s="707" t="str">
        <f>TEXT(C289,"ddd")</f>
        <v>木</v>
      </c>
      <c r="E289" s="708"/>
      <c r="F289" s="735" t="s">
        <v>422</v>
      </c>
      <c r="G289" s="748"/>
      <c r="H289" s="736"/>
      <c r="I289" s="737">
        <v>0.0</v>
      </c>
      <c r="J289" s="707"/>
      <c r="K289" s="707"/>
      <c r="L289" s="716"/>
      <c r="M289" s="716"/>
      <c r="N289" s="735"/>
      <c r="O289" s="738"/>
      <c r="P289" s="732"/>
      <c r="Q289" s="733"/>
      <c r="R289" s="623"/>
      <c r="S289" s="623"/>
      <c r="T289" s="623"/>
      <c r="U289" s="626"/>
      <c r="V289" s="627"/>
      <c r="W289" s="623"/>
      <c r="X289" s="623"/>
      <c r="Y289" s="623"/>
      <c r="Z289" s="623"/>
    </row>
    <row r="290" hidden="1" outlineLevel="1">
      <c r="A290" s="623"/>
      <c r="B290" s="691"/>
      <c r="C290" s="692"/>
      <c r="D290" s="692"/>
      <c r="E290" s="692"/>
      <c r="F290" s="692"/>
      <c r="G290" s="693"/>
      <c r="H290" s="692"/>
      <c r="I290" s="692"/>
      <c r="J290" s="692"/>
      <c r="K290" s="692"/>
      <c r="L290" s="716"/>
      <c r="M290" s="716"/>
      <c r="N290" s="692"/>
      <c r="O290" s="695"/>
      <c r="Q290" s="690"/>
      <c r="R290" s="623"/>
      <c r="S290" s="623"/>
      <c r="T290" s="623"/>
      <c r="U290" s="626"/>
      <c r="V290" s="627"/>
      <c r="W290" s="623"/>
      <c r="X290" s="623"/>
      <c r="Y290" s="623"/>
      <c r="Z290" s="623"/>
    </row>
    <row r="291" hidden="1" outlineLevel="1">
      <c r="A291" s="623"/>
      <c r="B291" s="691"/>
      <c r="C291" s="692"/>
      <c r="D291" s="692"/>
      <c r="E291" s="692"/>
      <c r="F291" s="692"/>
      <c r="G291" s="693"/>
      <c r="H291" s="692"/>
      <c r="I291" s="692"/>
      <c r="J291" s="692"/>
      <c r="K291" s="692"/>
      <c r="L291" s="716"/>
      <c r="M291" s="716"/>
      <c r="N291" s="692"/>
      <c r="O291" s="695"/>
      <c r="Q291" s="690"/>
      <c r="R291" s="623"/>
      <c r="S291" s="623"/>
      <c r="T291" s="623"/>
      <c r="U291" s="626"/>
      <c r="V291" s="627"/>
      <c r="W291" s="623"/>
      <c r="X291" s="623"/>
      <c r="Y291" s="623"/>
      <c r="Z291" s="623"/>
    </row>
    <row r="292" hidden="1" outlineLevel="1">
      <c r="A292" s="623"/>
      <c r="B292" s="691"/>
      <c r="C292" s="692"/>
      <c r="D292" s="692"/>
      <c r="E292" s="692"/>
      <c r="F292" s="692"/>
      <c r="G292" s="693"/>
      <c r="H292" s="692"/>
      <c r="I292" s="692"/>
      <c r="J292" s="692"/>
      <c r="K292" s="692"/>
      <c r="L292" s="717"/>
      <c r="M292" s="716"/>
      <c r="N292" s="692"/>
      <c r="O292" s="695"/>
      <c r="Q292" s="690"/>
      <c r="R292" s="623"/>
      <c r="S292" s="623"/>
      <c r="T292" s="623"/>
      <c r="U292" s="626"/>
      <c r="V292" s="627"/>
      <c r="W292" s="623"/>
      <c r="X292" s="623"/>
      <c r="Y292" s="623"/>
      <c r="Z292" s="623"/>
    </row>
    <row r="293" hidden="1" outlineLevel="1">
      <c r="A293" s="623"/>
      <c r="B293" s="691"/>
      <c r="C293" s="692"/>
      <c r="D293" s="692"/>
      <c r="E293" s="692"/>
      <c r="F293" s="692"/>
      <c r="G293" s="693"/>
      <c r="H293" s="692"/>
      <c r="I293" s="692"/>
      <c r="J293" s="692"/>
      <c r="K293" s="692"/>
      <c r="L293" s="717"/>
      <c r="M293" s="716"/>
      <c r="N293" s="692"/>
      <c r="O293" s="695"/>
      <c r="Q293" s="690"/>
      <c r="R293" s="623"/>
      <c r="S293" s="623"/>
      <c r="T293" s="623"/>
      <c r="U293" s="626"/>
      <c r="V293" s="627"/>
      <c r="W293" s="623"/>
      <c r="X293" s="623"/>
      <c r="Y293" s="623"/>
      <c r="Z293" s="623"/>
    </row>
    <row r="294" hidden="1" outlineLevel="1">
      <c r="A294" s="623"/>
      <c r="B294" s="691"/>
      <c r="C294" s="692"/>
      <c r="D294" s="692"/>
      <c r="E294" s="692"/>
      <c r="F294" s="692"/>
      <c r="G294" s="693"/>
      <c r="H294" s="692"/>
      <c r="I294" s="692"/>
      <c r="J294" s="692"/>
      <c r="K294" s="692"/>
      <c r="L294" s="717"/>
      <c r="M294" s="716"/>
      <c r="N294" s="692"/>
      <c r="O294" s="695"/>
      <c r="Q294" s="690"/>
      <c r="R294" s="623"/>
      <c r="S294" s="623"/>
      <c r="T294" s="623"/>
      <c r="U294" s="626"/>
      <c r="V294" s="627"/>
      <c r="W294" s="623"/>
      <c r="X294" s="623"/>
      <c r="Y294" s="623"/>
      <c r="Z294" s="623"/>
    </row>
    <row r="295" hidden="1" outlineLevel="1">
      <c r="A295" s="623"/>
      <c r="B295" s="691"/>
      <c r="C295" s="692"/>
      <c r="D295" s="692"/>
      <c r="E295" s="692"/>
      <c r="F295" s="692"/>
      <c r="G295" s="693"/>
      <c r="H295" s="692"/>
      <c r="I295" s="692"/>
      <c r="J295" s="692"/>
      <c r="K295" s="692"/>
      <c r="L295" s="717"/>
      <c r="M295" s="716"/>
      <c r="N295" s="692"/>
      <c r="O295" s="695"/>
      <c r="Q295" s="690"/>
      <c r="R295" s="623"/>
      <c r="S295" s="623"/>
      <c r="T295" s="623"/>
      <c r="U295" s="626"/>
      <c r="V295" s="627"/>
      <c r="W295" s="623"/>
      <c r="X295" s="623"/>
      <c r="Y295" s="623"/>
      <c r="Z295" s="623"/>
    </row>
    <row r="296" hidden="1" outlineLevel="1">
      <c r="A296" s="623"/>
      <c r="B296" s="691"/>
      <c r="C296" s="692"/>
      <c r="D296" s="692"/>
      <c r="E296" s="692"/>
      <c r="F296" s="692"/>
      <c r="G296" s="693"/>
      <c r="H296" s="692"/>
      <c r="I296" s="692"/>
      <c r="J296" s="692"/>
      <c r="K296" s="692"/>
      <c r="L296" s="717"/>
      <c r="M296" s="716"/>
      <c r="N296" s="692"/>
      <c r="O296" s="695"/>
      <c r="Q296" s="690"/>
      <c r="R296" s="623"/>
      <c r="S296" s="623"/>
      <c r="T296" s="623"/>
      <c r="U296" s="626"/>
      <c r="V296" s="627"/>
      <c r="W296" s="623"/>
      <c r="X296" s="623"/>
      <c r="Y296" s="623"/>
      <c r="Z296" s="623"/>
    </row>
    <row r="297" hidden="1" outlineLevel="1">
      <c r="A297" s="623"/>
      <c r="B297" s="691"/>
      <c r="C297" s="692"/>
      <c r="D297" s="692"/>
      <c r="E297" s="692"/>
      <c r="F297" s="692"/>
      <c r="G297" s="693"/>
      <c r="H297" s="692"/>
      <c r="I297" s="692"/>
      <c r="J297" s="692"/>
      <c r="K297" s="692"/>
      <c r="L297" s="717"/>
      <c r="M297" s="716"/>
      <c r="N297" s="692"/>
      <c r="O297" s="695"/>
      <c r="Q297" s="690"/>
      <c r="R297" s="623"/>
      <c r="S297" s="623"/>
      <c r="T297" s="623"/>
      <c r="U297" s="626"/>
      <c r="V297" s="627"/>
      <c r="W297" s="623"/>
      <c r="X297" s="623"/>
      <c r="Y297" s="623"/>
      <c r="Z297" s="623"/>
    </row>
    <row r="298" hidden="1" outlineLevel="1">
      <c r="A298" s="623"/>
      <c r="B298" s="691"/>
      <c r="C298" s="692"/>
      <c r="D298" s="692"/>
      <c r="E298" s="692"/>
      <c r="F298" s="659"/>
      <c r="G298" s="660"/>
      <c r="H298" s="659"/>
      <c r="I298" s="659"/>
      <c r="J298" s="659"/>
      <c r="K298" s="659"/>
      <c r="L298" s="717"/>
      <c r="M298" s="716"/>
      <c r="N298" s="659"/>
      <c r="O298" s="662"/>
      <c r="P298" s="663"/>
      <c r="Q298" s="699"/>
      <c r="R298" s="623"/>
      <c r="S298" s="623"/>
      <c r="T298" s="623"/>
      <c r="U298" s="626"/>
      <c r="V298" s="627"/>
      <c r="W298" s="623"/>
      <c r="X298" s="623"/>
      <c r="Y298" s="623"/>
      <c r="Z298" s="623"/>
    </row>
    <row r="299" hidden="1" outlineLevel="1">
      <c r="A299" s="623"/>
      <c r="B299" s="700"/>
      <c r="C299" s="659"/>
      <c r="D299" s="659"/>
      <c r="E299" s="659"/>
      <c r="F299" s="720" t="s">
        <v>425</v>
      </c>
      <c r="G299" s="721"/>
      <c r="H299" s="703"/>
      <c r="I299" s="703"/>
      <c r="J299" s="703"/>
      <c r="K299" s="703"/>
      <c r="L299" s="721"/>
      <c r="M299" s="721"/>
      <c r="N299" s="721"/>
      <c r="O299" s="721"/>
      <c r="P299" s="721"/>
      <c r="Q299" s="722"/>
      <c r="R299" s="623"/>
      <c r="S299" s="623"/>
      <c r="T299" s="623"/>
      <c r="U299" s="626"/>
      <c r="V299" s="627"/>
      <c r="W299" s="623"/>
      <c r="X299" s="623"/>
      <c r="Y299" s="623"/>
      <c r="Z299" s="623"/>
    </row>
    <row r="300" hidden="1" outlineLevel="1">
      <c r="A300" s="623"/>
      <c r="B300" s="723"/>
      <c r="C300" s="724">
        <f>IF(C289="","",IF(DAY(C289+1)=1,"",C289+1))</f>
        <v>46080</v>
      </c>
      <c r="D300" s="725" t="str">
        <f>TEXT(C300,"ddd")</f>
        <v>金</v>
      </c>
      <c r="E300" s="726"/>
      <c r="F300" s="727" t="s">
        <v>422</v>
      </c>
      <c r="G300" s="749"/>
      <c r="H300" s="728"/>
      <c r="I300" s="729">
        <v>0.0</v>
      </c>
      <c r="J300" s="725"/>
      <c r="K300" s="725"/>
      <c r="L300" s="730"/>
      <c r="M300" s="730"/>
      <c r="N300" s="727"/>
      <c r="O300" s="731"/>
      <c r="P300" s="732"/>
      <c r="Q300" s="733"/>
      <c r="R300" s="623"/>
      <c r="S300" s="623"/>
      <c r="T300" s="623"/>
      <c r="U300" s="626"/>
      <c r="V300" s="627"/>
      <c r="W300" s="623"/>
      <c r="X300" s="623"/>
      <c r="Y300" s="623"/>
      <c r="Z300" s="623"/>
    </row>
    <row r="301" hidden="1" outlineLevel="1">
      <c r="A301" s="623"/>
      <c r="B301" s="691"/>
      <c r="C301" s="692"/>
      <c r="D301" s="692"/>
      <c r="E301" s="692"/>
      <c r="F301" s="692"/>
      <c r="G301" s="693"/>
      <c r="H301" s="692"/>
      <c r="I301" s="692"/>
      <c r="J301" s="692"/>
      <c r="K301" s="692"/>
      <c r="L301" s="730"/>
      <c r="M301" s="730"/>
      <c r="N301" s="692"/>
      <c r="O301" s="695"/>
      <c r="Q301" s="690"/>
      <c r="R301" s="623"/>
      <c r="S301" s="623"/>
      <c r="T301" s="623"/>
      <c r="U301" s="626"/>
      <c r="V301" s="627"/>
      <c r="W301" s="623"/>
      <c r="X301" s="623"/>
      <c r="Y301" s="623"/>
      <c r="Z301" s="623"/>
    </row>
    <row r="302" hidden="1" outlineLevel="1">
      <c r="A302" s="623"/>
      <c r="B302" s="691"/>
      <c r="C302" s="692"/>
      <c r="D302" s="692"/>
      <c r="E302" s="692"/>
      <c r="F302" s="692"/>
      <c r="G302" s="693"/>
      <c r="H302" s="692"/>
      <c r="I302" s="692"/>
      <c r="J302" s="692"/>
      <c r="K302" s="692"/>
      <c r="L302" s="730"/>
      <c r="M302" s="730"/>
      <c r="N302" s="692"/>
      <c r="O302" s="695"/>
      <c r="Q302" s="690"/>
      <c r="R302" s="623"/>
      <c r="S302" s="623"/>
      <c r="T302" s="623"/>
      <c r="U302" s="626"/>
      <c r="V302" s="627"/>
      <c r="W302" s="623"/>
      <c r="X302" s="623"/>
      <c r="Y302" s="623"/>
      <c r="Z302" s="623"/>
    </row>
    <row r="303" hidden="1" outlineLevel="1">
      <c r="A303" s="623"/>
      <c r="B303" s="691"/>
      <c r="C303" s="692"/>
      <c r="D303" s="692"/>
      <c r="E303" s="692"/>
      <c r="F303" s="692"/>
      <c r="G303" s="693"/>
      <c r="H303" s="692"/>
      <c r="I303" s="692"/>
      <c r="J303" s="692"/>
      <c r="K303" s="692"/>
      <c r="L303" s="734"/>
      <c r="M303" s="730"/>
      <c r="N303" s="692"/>
      <c r="O303" s="695"/>
      <c r="Q303" s="690"/>
      <c r="R303" s="623"/>
      <c r="S303" s="623"/>
      <c r="T303" s="623"/>
      <c r="U303" s="626"/>
      <c r="V303" s="627"/>
      <c r="W303" s="623"/>
      <c r="X303" s="623"/>
      <c r="Y303" s="623"/>
      <c r="Z303" s="623"/>
    </row>
    <row r="304" hidden="1" outlineLevel="1">
      <c r="A304" s="623"/>
      <c r="B304" s="691"/>
      <c r="C304" s="692"/>
      <c r="D304" s="692"/>
      <c r="E304" s="692"/>
      <c r="F304" s="692"/>
      <c r="G304" s="693"/>
      <c r="H304" s="692"/>
      <c r="I304" s="692"/>
      <c r="J304" s="692"/>
      <c r="K304" s="692"/>
      <c r="L304" s="734"/>
      <c r="M304" s="730"/>
      <c r="N304" s="692"/>
      <c r="O304" s="695"/>
      <c r="Q304" s="690"/>
      <c r="R304" s="623"/>
      <c r="S304" s="623"/>
      <c r="T304" s="623"/>
      <c r="U304" s="626"/>
      <c r="V304" s="627"/>
      <c r="W304" s="623"/>
      <c r="X304" s="623"/>
      <c r="Y304" s="623"/>
      <c r="Z304" s="623"/>
    </row>
    <row r="305" hidden="1" outlineLevel="1">
      <c r="A305" s="623"/>
      <c r="B305" s="691"/>
      <c r="C305" s="692"/>
      <c r="D305" s="692"/>
      <c r="E305" s="692"/>
      <c r="F305" s="692"/>
      <c r="G305" s="693"/>
      <c r="H305" s="692"/>
      <c r="I305" s="692"/>
      <c r="J305" s="692"/>
      <c r="K305" s="692"/>
      <c r="L305" s="734"/>
      <c r="M305" s="730"/>
      <c r="N305" s="692"/>
      <c r="O305" s="695"/>
      <c r="Q305" s="690"/>
      <c r="R305" s="623"/>
      <c r="S305" s="623"/>
      <c r="T305" s="623"/>
      <c r="U305" s="626"/>
      <c r="V305" s="627"/>
      <c r="W305" s="623"/>
      <c r="X305" s="623"/>
      <c r="Y305" s="623"/>
      <c r="Z305" s="623"/>
    </row>
    <row r="306" hidden="1" outlineLevel="1">
      <c r="A306" s="623"/>
      <c r="B306" s="691"/>
      <c r="C306" s="692"/>
      <c r="D306" s="692"/>
      <c r="E306" s="692"/>
      <c r="F306" s="692"/>
      <c r="G306" s="693"/>
      <c r="H306" s="692"/>
      <c r="I306" s="692"/>
      <c r="J306" s="692"/>
      <c r="K306" s="692"/>
      <c r="L306" s="734"/>
      <c r="M306" s="730"/>
      <c r="N306" s="692"/>
      <c r="O306" s="695"/>
      <c r="Q306" s="690"/>
      <c r="R306" s="623"/>
      <c r="S306" s="623"/>
      <c r="T306" s="623"/>
      <c r="U306" s="626"/>
      <c r="V306" s="627"/>
      <c r="W306" s="623"/>
      <c r="X306" s="623"/>
      <c r="Y306" s="623"/>
      <c r="Z306" s="623"/>
    </row>
    <row r="307" hidden="1" outlineLevel="1">
      <c r="A307" s="623"/>
      <c r="B307" s="691"/>
      <c r="C307" s="692"/>
      <c r="D307" s="692"/>
      <c r="E307" s="692"/>
      <c r="F307" s="692"/>
      <c r="G307" s="693"/>
      <c r="H307" s="692"/>
      <c r="I307" s="692"/>
      <c r="J307" s="692"/>
      <c r="K307" s="692"/>
      <c r="L307" s="734"/>
      <c r="M307" s="730"/>
      <c r="N307" s="692"/>
      <c r="O307" s="695"/>
      <c r="Q307" s="690"/>
      <c r="R307" s="623"/>
      <c r="S307" s="623"/>
      <c r="T307" s="623"/>
      <c r="U307" s="626"/>
      <c r="V307" s="627"/>
      <c r="W307" s="623"/>
      <c r="X307" s="623"/>
      <c r="Y307" s="623"/>
      <c r="Z307" s="623"/>
    </row>
    <row r="308" hidden="1" outlineLevel="1">
      <c r="A308" s="623"/>
      <c r="B308" s="691"/>
      <c r="C308" s="692"/>
      <c r="D308" s="692"/>
      <c r="E308" s="692"/>
      <c r="F308" s="692"/>
      <c r="G308" s="693"/>
      <c r="H308" s="692"/>
      <c r="I308" s="692"/>
      <c r="J308" s="692"/>
      <c r="K308" s="692"/>
      <c r="L308" s="734"/>
      <c r="M308" s="730"/>
      <c r="N308" s="692"/>
      <c r="O308" s="695"/>
      <c r="Q308" s="690"/>
      <c r="R308" s="623"/>
      <c r="S308" s="623"/>
      <c r="T308" s="623"/>
      <c r="U308" s="626"/>
      <c r="V308" s="627"/>
      <c r="W308" s="623"/>
      <c r="X308" s="623"/>
      <c r="Y308" s="623"/>
      <c r="Z308" s="623"/>
    </row>
    <row r="309" hidden="1" outlineLevel="1">
      <c r="A309" s="623"/>
      <c r="B309" s="691"/>
      <c r="C309" s="692"/>
      <c r="D309" s="692"/>
      <c r="E309" s="692"/>
      <c r="F309" s="659"/>
      <c r="G309" s="660"/>
      <c r="H309" s="659"/>
      <c r="I309" s="659"/>
      <c r="J309" s="659"/>
      <c r="K309" s="659"/>
      <c r="L309" s="734"/>
      <c r="M309" s="730"/>
      <c r="N309" s="659"/>
      <c r="O309" s="662"/>
      <c r="P309" s="663"/>
      <c r="Q309" s="699"/>
      <c r="R309" s="623"/>
      <c r="S309" s="623"/>
      <c r="T309" s="623"/>
      <c r="U309" s="626"/>
      <c r="V309" s="627"/>
      <c r="W309" s="623"/>
      <c r="X309" s="623"/>
      <c r="Y309" s="623"/>
      <c r="Z309" s="623"/>
    </row>
    <row r="310" hidden="1" outlineLevel="1">
      <c r="A310" s="623"/>
      <c r="B310" s="700"/>
      <c r="C310" s="659"/>
      <c r="D310" s="659"/>
      <c r="E310" s="659"/>
      <c r="F310" s="701" t="s">
        <v>425</v>
      </c>
      <c r="G310" s="702"/>
      <c r="H310" s="703"/>
      <c r="I310" s="703"/>
      <c r="J310" s="703"/>
      <c r="K310" s="703"/>
      <c r="L310" s="702"/>
      <c r="M310" s="702"/>
      <c r="N310" s="702"/>
      <c r="O310" s="702"/>
      <c r="P310" s="702"/>
      <c r="Q310" s="704"/>
      <c r="R310" s="623"/>
      <c r="S310" s="623"/>
      <c r="T310" s="623"/>
      <c r="U310" s="626"/>
      <c r="V310" s="627"/>
      <c r="W310" s="623"/>
      <c r="X310" s="623"/>
      <c r="Y310" s="623"/>
      <c r="Z310" s="623"/>
    </row>
    <row r="311" hidden="1" outlineLevel="1">
      <c r="A311" s="623"/>
      <c r="B311" s="705"/>
      <c r="C311" s="706">
        <f>IF(C300="","",IF(DAY(C300+1)=1,"",C300+1))</f>
        <v>46081</v>
      </c>
      <c r="D311" s="707" t="str">
        <f>TEXT(C311,"ddd")</f>
        <v>土</v>
      </c>
      <c r="E311" s="708"/>
      <c r="F311" s="735" t="s">
        <v>422</v>
      </c>
      <c r="G311" s="748"/>
      <c r="H311" s="736"/>
      <c r="I311" s="737">
        <v>0.0</v>
      </c>
      <c r="J311" s="707"/>
      <c r="K311" s="707"/>
      <c r="L311" s="716"/>
      <c r="M311" s="716"/>
      <c r="N311" s="735"/>
      <c r="O311" s="738"/>
      <c r="P311" s="732"/>
      <c r="Q311" s="733"/>
      <c r="R311" s="623"/>
      <c r="S311" s="623"/>
      <c r="T311" s="623"/>
      <c r="U311" s="626"/>
      <c r="V311" s="627"/>
      <c r="W311" s="623"/>
      <c r="X311" s="623"/>
      <c r="Y311" s="623"/>
      <c r="Z311" s="623"/>
    </row>
    <row r="312" hidden="1" outlineLevel="1">
      <c r="A312" s="623"/>
      <c r="B312" s="691"/>
      <c r="C312" s="692"/>
      <c r="D312" s="692"/>
      <c r="E312" s="692"/>
      <c r="F312" s="692"/>
      <c r="G312" s="693"/>
      <c r="H312" s="692"/>
      <c r="I312" s="692"/>
      <c r="J312" s="692"/>
      <c r="K312" s="692"/>
      <c r="L312" s="716"/>
      <c r="M312" s="716"/>
      <c r="N312" s="692"/>
      <c r="O312" s="695"/>
      <c r="Q312" s="690"/>
      <c r="R312" s="623"/>
      <c r="S312" s="623"/>
      <c r="T312" s="623"/>
      <c r="U312" s="626"/>
      <c r="V312" s="627"/>
      <c r="W312" s="623"/>
      <c r="X312" s="623"/>
      <c r="Y312" s="623"/>
      <c r="Z312" s="623"/>
    </row>
    <row r="313" hidden="1" outlineLevel="1">
      <c r="A313" s="623"/>
      <c r="B313" s="691"/>
      <c r="C313" s="692"/>
      <c r="D313" s="692"/>
      <c r="E313" s="692"/>
      <c r="F313" s="692"/>
      <c r="G313" s="693"/>
      <c r="H313" s="692"/>
      <c r="I313" s="692"/>
      <c r="J313" s="692"/>
      <c r="K313" s="692"/>
      <c r="L313" s="716"/>
      <c r="M313" s="716"/>
      <c r="N313" s="692"/>
      <c r="O313" s="695"/>
      <c r="Q313" s="690"/>
      <c r="R313" s="623"/>
      <c r="S313" s="623"/>
      <c r="T313" s="623"/>
      <c r="U313" s="626"/>
      <c r="V313" s="627"/>
      <c r="W313" s="623"/>
      <c r="X313" s="623"/>
      <c r="Y313" s="623"/>
      <c r="Z313" s="623"/>
    </row>
    <row r="314" hidden="1" outlineLevel="1">
      <c r="A314" s="623"/>
      <c r="B314" s="691"/>
      <c r="C314" s="692"/>
      <c r="D314" s="692"/>
      <c r="E314" s="692"/>
      <c r="F314" s="692"/>
      <c r="G314" s="693"/>
      <c r="H314" s="692"/>
      <c r="I314" s="692"/>
      <c r="J314" s="692"/>
      <c r="K314" s="692"/>
      <c r="L314" s="717"/>
      <c r="M314" s="716"/>
      <c r="N314" s="692"/>
      <c r="O314" s="695"/>
      <c r="Q314" s="690"/>
      <c r="R314" s="623"/>
      <c r="S314" s="623"/>
      <c r="T314" s="623"/>
      <c r="U314" s="626"/>
      <c r="V314" s="627"/>
      <c r="W314" s="623"/>
      <c r="X314" s="623"/>
      <c r="Y314" s="623"/>
      <c r="Z314" s="623"/>
    </row>
    <row r="315" hidden="1" outlineLevel="1">
      <c r="A315" s="623"/>
      <c r="B315" s="691"/>
      <c r="C315" s="692"/>
      <c r="D315" s="692"/>
      <c r="E315" s="692"/>
      <c r="F315" s="692"/>
      <c r="G315" s="693"/>
      <c r="H315" s="692"/>
      <c r="I315" s="692"/>
      <c r="J315" s="692"/>
      <c r="K315" s="692"/>
      <c r="L315" s="717"/>
      <c r="M315" s="716"/>
      <c r="N315" s="692"/>
      <c r="O315" s="695"/>
      <c r="Q315" s="690"/>
      <c r="R315" s="623"/>
      <c r="S315" s="623"/>
      <c r="T315" s="623"/>
      <c r="U315" s="626"/>
      <c r="V315" s="627"/>
      <c r="W315" s="623"/>
      <c r="X315" s="623"/>
      <c r="Y315" s="623"/>
      <c r="Z315" s="623"/>
    </row>
    <row r="316" hidden="1" outlineLevel="1">
      <c r="A316" s="623"/>
      <c r="B316" s="691"/>
      <c r="C316" s="692"/>
      <c r="D316" s="692"/>
      <c r="E316" s="692"/>
      <c r="F316" s="692"/>
      <c r="G316" s="693"/>
      <c r="H316" s="692"/>
      <c r="I316" s="692"/>
      <c r="J316" s="692"/>
      <c r="K316" s="692"/>
      <c r="L316" s="717"/>
      <c r="M316" s="716"/>
      <c r="N316" s="692"/>
      <c r="O316" s="695"/>
      <c r="Q316" s="690"/>
      <c r="R316" s="623"/>
      <c r="S316" s="623"/>
      <c r="T316" s="623"/>
      <c r="U316" s="626"/>
      <c r="V316" s="627"/>
      <c r="W316" s="623"/>
      <c r="X316" s="623"/>
      <c r="Y316" s="623"/>
      <c r="Z316" s="623"/>
    </row>
    <row r="317" hidden="1" outlineLevel="1">
      <c r="A317" s="623"/>
      <c r="B317" s="691"/>
      <c r="C317" s="692"/>
      <c r="D317" s="692"/>
      <c r="E317" s="692"/>
      <c r="F317" s="692"/>
      <c r="G317" s="693"/>
      <c r="H317" s="692"/>
      <c r="I317" s="692"/>
      <c r="J317" s="692"/>
      <c r="K317" s="692"/>
      <c r="L317" s="717"/>
      <c r="M317" s="716"/>
      <c r="N317" s="692"/>
      <c r="O317" s="695"/>
      <c r="Q317" s="690"/>
      <c r="R317" s="623"/>
      <c r="S317" s="623"/>
      <c r="T317" s="623"/>
      <c r="U317" s="626"/>
      <c r="V317" s="627"/>
      <c r="W317" s="623"/>
      <c r="X317" s="623"/>
      <c r="Y317" s="623"/>
      <c r="Z317" s="623"/>
    </row>
    <row r="318" hidden="1" outlineLevel="1">
      <c r="A318" s="623"/>
      <c r="B318" s="691"/>
      <c r="C318" s="692"/>
      <c r="D318" s="692"/>
      <c r="E318" s="692"/>
      <c r="F318" s="692"/>
      <c r="G318" s="693"/>
      <c r="H318" s="692"/>
      <c r="I318" s="692"/>
      <c r="J318" s="692"/>
      <c r="K318" s="692"/>
      <c r="L318" s="717"/>
      <c r="M318" s="716"/>
      <c r="N318" s="692"/>
      <c r="O318" s="695"/>
      <c r="Q318" s="690"/>
      <c r="R318" s="623"/>
      <c r="S318" s="623"/>
      <c r="T318" s="623"/>
      <c r="U318" s="626"/>
      <c r="V318" s="627"/>
      <c r="W318" s="623"/>
      <c r="X318" s="623"/>
      <c r="Y318" s="623"/>
      <c r="Z318" s="623"/>
    </row>
    <row r="319" hidden="1" outlineLevel="1">
      <c r="A319" s="623"/>
      <c r="B319" s="691"/>
      <c r="C319" s="692"/>
      <c r="D319" s="692"/>
      <c r="E319" s="692"/>
      <c r="F319" s="692"/>
      <c r="G319" s="693"/>
      <c r="H319" s="692"/>
      <c r="I319" s="692"/>
      <c r="J319" s="692"/>
      <c r="K319" s="692"/>
      <c r="L319" s="717"/>
      <c r="M319" s="716"/>
      <c r="N319" s="692"/>
      <c r="O319" s="695"/>
      <c r="Q319" s="690"/>
      <c r="R319" s="623"/>
      <c r="S319" s="623"/>
      <c r="T319" s="623"/>
      <c r="U319" s="626"/>
      <c r="V319" s="627"/>
      <c r="W319" s="623"/>
      <c r="X319" s="623"/>
      <c r="Y319" s="623"/>
      <c r="Z319" s="623"/>
    </row>
    <row r="320" hidden="1" outlineLevel="1">
      <c r="A320" s="623"/>
      <c r="B320" s="691"/>
      <c r="C320" s="692"/>
      <c r="D320" s="692"/>
      <c r="E320" s="692"/>
      <c r="F320" s="659"/>
      <c r="G320" s="660"/>
      <c r="H320" s="659"/>
      <c r="I320" s="659"/>
      <c r="J320" s="659"/>
      <c r="K320" s="659"/>
      <c r="L320" s="717"/>
      <c r="M320" s="716"/>
      <c r="N320" s="659"/>
      <c r="O320" s="662"/>
      <c r="P320" s="663"/>
      <c r="Q320" s="699"/>
      <c r="R320" s="623"/>
      <c r="S320" s="623"/>
      <c r="T320" s="623"/>
      <c r="U320" s="626"/>
      <c r="V320" s="627"/>
      <c r="W320" s="623"/>
      <c r="X320" s="623"/>
      <c r="Y320" s="623"/>
      <c r="Z320" s="623"/>
    </row>
    <row r="321" hidden="1" outlineLevel="1">
      <c r="A321" s="623"/>
      <c r="B321" s="700"/>
      <c r="C321" s="659"/>
      <c r="D321" s="659"/>
      <c r="E321" s="659"/>
      <c r="F321" s="720" t="s">
        <v>425</v>
      </c>
      <c r="G321" s="721"/>
      <c r="H321" s="703"/>
      <c r="I321" s="703"/>
      <c r="J321" s="703"/>
      <c r="K321" s="703"/>
      <c r="L321" s="721"/>
      <c r="M321" s="721"/>
      <c r="N321" s="721"/>
      <c r="O321" s="721"/>
      <c r="P321" s="721"/>
      <c r="Q321" s="722"/>
      <c r="R321" s="623"/>
      <c r="S321" s="623"/>
      <c r="T321" s="623"/>
      <c r="U321" s="626"/>
      <c r="V321" s="627"/>
      <c r="W321" s="623"/>
      <c r="X321" s="623"/>
      <c r="Y321" s="623"/>
      <c r="Z321" s="623"/>
    </row>
    <row r="322" hidden="1" outlineLevel="1">
      <c r="A322" s="623"/>
      <c r="B322" s="723"/>
      <c r="C322" s="724" t="str">
        <f>IF(C311="","",IF(DAY(C311+1)=1,"",C311+1))</f>
        <v/>
      </c>
      <c r="D322" s="725" t="str">
        <f>TEXT(C322,"ddd")</f>
        <v/>
      </c>
      <c r="E322" s="726"/>
      <c r="F322" s="727" t="s">
        <v>422</v>
      </c>
      <c r="G322" s="749"/>
      <c r="H322" s="728"/>
      <c r="I322" s="729">
        <v>0.0</v>
      </c>
      <c r="J322" s="725"/>
      <c r="K322" s="725"/>
      <c r="L322" s="730"/>
      <c r="M322" s="730"/>
      <c r="N322" s="727"/>
      <c r="O322" s="731"/>
      <c r="P322" s="732"/>
      <c r="Q322" s="733"/>
      <c r="R322" s="623"/>
      <c r="S322" s="623"/>
      <c r="T322" s="623"/>
      <c r="U322" s="626"/>
      <c r="V322" s="627"/>
      <c r="W322" s="623"/>
      <c r="X322" s="623"/>
      <c r="Y322" s="623"/>
      <c r="Z322" s="623"/>
    </row>
    <row r="323" hidden="1" outlineLevel="1">
      <c r="A323" s="623"/>
      <c r="B323" s="691"/>
      <c r="C323" s="692"/>
      <c r="D323" s="692"/>
      <c r="E323" s="692"/>
      <c r="F323" s="692"/>
      <c r="G323" s="693"/>
      <c r="H323" s="692"/>
      <c r="I323" s="692"/>
      <c r="J323" s="692"/>
      <c r="K323" s="692"/>
      <c r="L323" s="730"/>
      <c r="M323" s="730"/>
      <c r="N323" s="692"/>
      <c r="O323" s="695"/>
      <c r="Q323" s="690"/>
      <c r="R323" s="623"/>
      <c r="S323" s="623"/>
      <c r="T323" s="623"/>
      <c r="U323" s="626"/>
      <c r="V323" s="627"/>
      <c r="W323" s="623"/>
      <c r="X323" s="623"/>
      <c r="Y323" s="623"/>
      <c r="Z323" s="623"/>
    </row>
    <row r="324" hidden="1" outlineLevel="1">
      <c r="A324" s="623"/>
      <c r="B324" s="691"/>
      <c r="C324" s="692"/>
      <c r="D324" s="692"/>
      <c r="E324" s="692"/>
      <c r="F324" s="692"/>
      <c r="G324" s="693"/>
      <c r="H324" s="692"/>
      <c r="I324" s="692"/>
      <c r="J324" s="692"/>
      <c r="K324" s="692"/>
      <c r="L324" s="730"/>
      <c r="M324" s="730"/>
      <c r="N324" s="692"/>
      <c r="O324" s="695"/>
      <c r="Q324" s="690"/>
      <c r="R324" s="623"/>
      <c r="S324" s="623"/>
      <c r="T324" s="623"/>
      <c r="U324" s="626"/>
      <c r="V324" s="627"/>
      <c r="W324" s="623"/>
      <c r="X324" s="623"/>
      <c r="Y324" s="623"/>
      <c r="Z324" s="623"/>
    </row>
    <row r="325" hidden="1" outlineLevel="1">
      <c r="A325" s="623"/>
      <c r="B325" s="691"/>
      <c r="C325" s="692"/>
      <c r="D325" s="692"/>
      <c r="E325" s="692"/>
      <c r="F325" s="692"/>
      <c r="G325" s="693"/>
      <c r="H325" s="692"/>
      <c r="I325" s="692"/>
      <c r="J325" s="692"/>
      <c r="K325" s="692"/>
      <c r="L325" s="734"/>
      <c r="M325" s="730"/>
      <c r="N325" s="692"/>
      <c r="O325" s="695"/>
      <c r="Q325" s="690"/>
      <c r="R325" s="623"/>
      <c r="S325" s="623"/>
      <c r="T325" s="623"/>
      <c r="U325" s="626"/>
      <c r="V325" s="627"/>
      <c r="W325" s="623"/>
      <c r="X325" s="623"/>
      <c r="Y325" s="623"/>
      <c r="Z325" s="623"/>
    </row>
    <row r="326" hidden="1" outlineLevel="1">
      <c r="A326" s="623"/>
      <c r="B326" s="691"/>
      <c r="C326" s="692"/>
      <c r="D326" s="692"/>
      <c r="E326" s="692"/>
      <c r="F326" s="692"/>
      <c r="G326" s="693"/>
      <c r="H326" s="692"/>
      <c r="I326" s="692"/>
      <c r="J326" s="692"/>
      <c r="K326" s="692"/>
      <c r="L326" s="734"/>
      <c r="M326" s="730"/>
      <c r="N326" s="692"/>
      <c r="O326" s="695"/>
      <c r="Q326" s="690"/>
      <c r="R326" s="623"/>
      <c r="S326" s="623"/>
      <c r="T326" s="623"/>
      <c r="U326" s="626"/>
      <c r="V326" s="627"/>
      <c r="W326" s="623"/>
      <c r="X326" s="623"/>
      <c r="Y326" s="623"/>
      <c r="Z326" s="623"/>
    </row>
    <row r="327" hidden="1" outlineLevel="1">
      <c r="A327" s="623"/>
      <c r="B327" s="691"/>
      <c r="C327" s="692"/>
      <c r="D327" s="692"/>
      <c r="E327" s="692"/>
      <c r="F327" s="692"/>
      <c r="G327" s="693"/>
      <c r="H327" s="692"/>
      <c r="I327" s="692"/>
      <c r="J327" s="692"/>
      <c r="K327" s="692"/>
      <c r="L327" s="734"/>
      <c r="M327" s="730"/>
      <c r="N327" s="692"/>
      <c r="O327" s="695"/>
      <c r="Q327" s="690"/>
      <c r="R327" s="623"/>
      <c r="S327" s="623"/>
      <c r="T327" s="623"/>
      <c r="U327" s="626"/>
      <c r="V327" s="627"/>
      <c r="W327" s="623"/>
      <c r="X327" s="623"/>
      <c r="Y327" s="623"/>
      <c r="Z327" s="623"/>
    </row>
    <row r="328" hidden="1" outlineLevel="1">
      <c r="A328" s="623"/>
      <c r="B328" s="691"/>
      <c r="C328" s="692"/>
      <c r="D328" s="692"/>
      <c r="E328" s="692"/>
      <c r="F328" s="692"/>
      <c r="G328" s="693"/>
      <c r="H328" s="692"/>
      <c r="I328" s="692"/>
      <c r="J328" s="692"/>
      <c r="K328" s="692"/>
      <c r="L328" s="734"/>
      <c r="M328" s="730"/>
      <c r="N328" s="692"/>
      <c r="O328" s="695"/>
      <c r="Q328" s="690"/>
      <c r="R328" s="623"/>
      <c r="S328" s="623"/>
      <c r="T328" s="623"/>
      <c r="U328" s="626"/>
      <c r="V328" s="627"/>
      <c r="W328" s="623"/>
      <c r="X328" s="623"/>
      <c r="Y328" s="623"/>
      <c r="Z328" s="623"/>
    </row>
    <row r="329" hidden="1" outlineLevel="1">
      <c r="A329" s="623"/>
      <c r="B329" s="691"/>
      <c r="C329" s="692"/>
      <c r="D329" s="692"/>
      <c r="E329" s="692"/>
      <c r="F329" s="692"/>
      <c r="G329" s="693"/>
      <c r="H329" s="692"/>
      <c r="I329" s="692"/>
      <c r="J329" s="692"/>
      <c r="K329" s="692"/>
      <c r="L329" s="734"/>
      <c r="M329" s="730"/>
      <c r="N329" s="692"/>
      <c r="O329" s="695"/>
      <c r="Q329" s="690"/>
      <c r="R329" s="623"/>
      <c r="S329" s="623"/>
      <c r="T329" s="623"/>
      <c r="U329" s="626"/>
      <c r="V329" s="627"/>
      <c r="W329" s="623"/>
      <c r="X329" s="623"/>
      <c r="Y329" s="623"/>
      <c r="Z329" s="623"/>
    </row>
    <row r="330" hidden="1" outlineLevel="1">
      <c r="A330" s="623"/>
      <c r="B330" s="691"/>
      <c r="C330" s="692"/>
      <c r="D330" s="692"/>
      <c r="E330" s="692"/>
      <c r="F330" s="692"/>
      <c r="G330" s="693"/>
      <c r="H330" s="692"/>
      <c r="I330" s="692"/>
      <c r="J330" s="692"/>
      <c r="K330" s="692"/>
      <c r="L330" s="734"/>
      <c r="M330" s="730"/>
      <c r="N330" s="692"/>
      <c r="O330" s="695"/>
      <c r="Q330" s="690"/>
      <c r="R330" s="623"/>
      <c r="S330" s="623"/>
      <c r="T330" s="623"/>
      <c r="U330" s="626"/>
      <c r="V330" s="627"/>
      <c r="W330" s="623"/>
      <c r="X330" s="623"/>
      <c r="Y330" s="623"/>
      <c r="Z330" s="623"/>
    </row>
    <row r="331" hidden="1" outlineLevel="1">
      <c r="A331" s="623"/>
      <c r="B331" s="691"/>
      <c r="C331" s="692"/>
      <c r="D331" s="692"/>
      <c r="E331" s="692"/>
      <c r="F331" s="659"/>
      <c r="G331" s="660"/>
      <c r="H331" s="659"/>
      <c r="I331" s="659"/>
      <c r="J331" s="659"/>
      <c r="K331" s="659"/>
      <c r="L331" s="734"/>
      <c r="M331" s="730"/>
      <c r="N331" s="659"/>
      <c r="O331" s="662"/>
      <c r="P331" s="663"/>
      <c r="Q331" s="699"/>
      <c r="R331" s="623"/>
      <c r="S331" s="623"/>
      <c r="T331" s="623"/>
      <c r="U331" s="626"/>
      <c r="V331" s="627"/>
      <c r="W331" s="623"/>
      <c r="X331" s="623"/>
      <c r="Y331" s="623"/>
      <c r="Z331" s="623"/>
    </row>
    <row r="332" hidden="1" outlineLevel="1">
      <c r="A332" s="623"/>
      <c r="B332" s="700"/>
      <c r="C332" s="659"/>
      <c r="D332" s="659"/>
      <c r="E332" s="659"/>
      <c r="F332" s="701" t="s">
        <v>425</v>
      </c>
      <c r="G332" s="702"/>
      <c r="H332" s="703"/>
      <c r="I332" s="703"/>
      <c r="J332" s="703"/>
      <c r="K332" s="703"/>
      <c r="L332" s="702"/>
      <c r="M332" s="702"/>
      <c r="N332" s="702"/>
      <c r="O332" s="702"/>
      <c r="P332" s="702"/>
      <c r="Q332" s="704"/>
      <c r="R332" s="623"/>
      <c r="S332" s="623"/>
      <c r="T332" s="623"/>
      <c r="U332" s="626"/>
      <c r="V332" s="627"/>
      <c r="W332" s="623"/>
      <c r="X332" s="623"/>
      <c r="Y332" s="623"/>
      <c r="Z332" s="623"/>
    </row>
    <row r="333" hidden="1" outlineLevel="1">
      <c r="A333" s="623"/>
      <c r="B333" s="705"/>
      <c r="C333" s="706" t="str">
        <f>IF(C322="","",IF(DAY(C322+1)=1,"",C322+1))</f>
        <v/>
      </c>
      <c r="D333" s="707" t="str">
        <f>TEXT(C333,"ddd")</f>
        <v/>
      </c>
      <c r="E333" s="708"/>
      <c r="F333" s="735" t="s">
        <v>422</v>
      </c>
      <c r="G333" s="748"/>
      <c r="H333" s="736"/>
      <c r="I333" s="737">
        <v>0.0</v>
      </c>
      <c r="J333" s="707"/>
      <c r="K333" s="707"/>
      <c r="L333" s="716"/>
      <c r="M333" s="716"/>
      <c r="N333" s="735"/>
      <c r="O333" s="738"/>
      <c r="P333" s="732"/>
      <c r="Q333" s="733"/>
      <c r="R333" s="623"/>
      <c r="S333" s="623"/>
      <c r="T333" s="623"/>
      <c r="U333" s="626"/>
      <c r="V333" s="627"/>
      <c r="W333" s="623"/>
      <c r="X333" s="623"/>
      <c r="Y333" s="623"/>
      <c r="Z333" s="623"/>
    </row>
    <row r="334" hidden="1" outlineLevel="1">
      <c r="A334" s="623"/>
      <c r="B334" s="691"/>
      <c r="C334" s="692"/>
      <c r="D334" s="692"/>
      <c r="E334" s="692"/>
      <c r="F334" s="692"/>
      <c r="G334" s="693"/>
      <c r="H334" s="692"/>
      <c r="I334" s="692"/>
      <c r="J334" s="692"/>
      <c r="K334" s="692"/>
      <c r="L334" s="716"/>
      <c r="M334" s="716"/>
      <c r="N334" s="692"/>
      <c r="O334" s="695"/>
      <c r="Q334" s="690"/>
      <c r="R334" s="623"/>
      <c r="S334" s="623"/>
      <c r="T334" s="623"/>
      <c r="U334" s="626"/>
      <c r="V334" s="627"/>
      <c r="W334" s="623"/>
      <c r="X334" s="623"/>
      <c r="Y334" s="623"/>
      <c r="Z334" s="623"/>
    </row>
    <row r="335" hidden="1" outlineLevel="1">
      <c r="A335" s="623"/>
      <c r="B335" s="691"/>
      <c r="C335" s="692"/>
      <c r="D335" s="692"/>
      <c r="E335" s="692"/>
      <c r="F335" s="692"/>
      <c r="G335" s="693"/>
      <c r="H335" s="692"/>
      <c r="I335" s="692"/>
      <c r="J335" s="692"/>
      <c r="K335" s="692"/>
      <c r="L335" s="716"/>
      <c r="M335" s="716"/>
      <c r="N335" s="692"/>
      <c r="O335" s="695"/>
      <c r="Q335" s="690"/>
      <c r="R335" s="623"/>
      <c r="S335" s="623"/>
      <c r="T335" s="623"/>
      <c r="U335" s="626"/>
      <c r="V335" s="627"/>
      <c r="W335" s="623"/>
      <c r="X335" s="623"/>
      <c r="Y335" s="623"/>
      <c r="Z335" s="623"/>
    </row>
    <row r="336" hidden="1" outlineLevel="1">
      <c r="A336" s="623"/>
      <c r="B336" s="691"/>
      <c r="C336" s="692"/>
      <c r="D336" s="692"/>
      <c r="E336" s="692"/>
      <c r="F336" s="692"/>
      <c r="G336" s="693"/>
      <c r="H336" s="692"/>
      <c r="I336" s="692"/>
      <c r="J336" s="692"/>
      <c r="K336" s="692"/>
      <c r="L336" s="717"/>
      <c r="M336" s="716"/>
      <c r="N336" s="692"/>
      <c r="O336" s="695"/>
      <c r="Q336" s="690"/>
      <c r="R336" s="623"/>
      <c r="S336" s="623"/>
      <c r="T336" s="623"/>
      <c r="U336" s="626"/>
      <c r="V336" s="627"/>
      <c r="W336" s="623"/>
      <c r="X336" s="623"/>
      <c r="Y336" s="623"/>
      <c r="Z336" s="623"/>
    </row>
    <row r="337" hidden="1" outlineLevel="1">
      <c r="A337" s="623"/>
      <c r="B337" s="691"/>
      <c r="C337" s="692"/>
      <c r="D337" s="692"/>
      <c r="E337" s="692"/>
      <c r="F337" s="692"/>
      <c r="G337" s="693"/>
      <c r="H337" s="692"/>
      <c r="I337" s="692"/>
      <c r="J337" s="692"/>
      <c r="K337" s="692"/>
      <c r="L337" s="717"/>
      <c r="M337" s="716"/>
      <c r="N337" s="692"/>
      <c r="O337" s="695"/>
      <c r="Q337" s="690"/>
      <c r="R337" s="623"/>
      <c r="S337" s="623"/>
      <c r="T337" s="623"/>
      <c r="U337" s="626"/>
      <c r="V337" s="627"/>
      <c r="W337" s="623"/>
      <c r="X337" s="623"/>
      <c r="Y337" s="623"/>
      <c r="Z337" s="623"/>
    </row>
    <row r="338" hidden="1" outlineLevel="1">
      <c r="A338" s="623"/>
      <c r="B338" s="691"/>
      <c r="C338" s="692"/>
      <c r="D338" s="692"/>
      <c r="E338" s="692"/>
      <c r="F338" s="692"/>
      <c r="G338" s="693"/>
      <c r="H338" s="692"/>
      <c r="I338" s="692"/>
      <c r="J338" s="692"/>
      <c r="K338" s="692"/>
      <c r="L338" s="717"/>
      <c r="M338" s="716"/>
      <c r="N338" s="692"/>
      <c r="O338" s="695"/>
      <c r="Q338" s="690"/>
      <c r="R338" s="623"/>
      <c r="S338" s="623"/>
      <c r="T338" s="623"/>
      <c r="U338" s="626"/>
      <c r="V338" s="627"/>
      <c r="W338" s="623"/>
      <c r="X338" s="623"/>
      <c r="Y338" s="623"/>
      <c r="Z338" s="623"/>
    </row>
    <row r="339" hidden="1" outlineLevel="1">
      <c r="A339" s="623"/>
      <c r="B339" s="691"/>
      <c r="C339" s="692"/>
      <c r="D339" s="692"/>
      <c r="E339" s="692"/>
      <c r="F339" s="692"/>
      <c r="G339" s="693"/>
      <c r="H339" s="692"/>
      <c r="I339" s="692"/>
      <c r="J339" s="692"/>
      <c r="K339" s="692"/>
      <c r="L339" s="717"/>
      <c r="M339" s="716"/>
      <c r="N339" s="692"/>
      <c r="O339" s="695"/>
      <c r="Q339" s="690"/>
      <c r="R339" s="623"/>
      <c r="S339" s="623"/>
      <c r="T339" s="623"/>
      <c r="U339" s="626"/>
      <c r="V339" s="627"/>
      <c r="W339" s="623"/>
      <c r="X339" s="623"/>
      <c r="Y339" s="623"/>
      <c r="Z339" s="623"/>
    </row>
    <row r="340" hidden="1" outlineLevel="1">
      <c r="A340" s="623"/>
      <c r="B340" s="691"/>
      <c r="C340" s="692"/>
      <c r="D340" s="692"/>
      <c r="E340" s="692"/>
      <c r="F340" s="692"/>
      <c r="G340" s="693"/>
      <c r="H340" s="692"/>
      <c r="I340" s="692"/>
      <c r="J340" s="692"/>
      <c r="K340" s="692"/>
      <c r="L340" s="717"/>
      <c r="M340" s="716"/>
      <c r="N340" s="692"/>
      <c r="O340" s="695"/>
      <c r="Q340" s="690"/>
      <c r="R340" s="623"/>
      <c r="S340" s="623"/>
      <c r="T340" s="623"/>
      <c r="U340" s="626"/>
      <c r="V340" s="627"/>
      <c r="W340" s="623"/>
      <c r="X340" s="623"/>
      <c r="Y340" s="623"/>
      <c r="Z340" s="623"/>
    </row>
    <row r="341" hidden="1" outlineLevel="1">
      <c r="A341" s="623"/>
      <c r="B341" s="691"/>
      <c r="C341" s="692"/>
      <c r="D341" s="692"/>
      <c r="E341" s="692"/>
      <c r="F341" s="692"/>
      <c r="G341" s="693"/>
      <c r="H341" s="692"/>
      <c r="I341" s="692"/>
      <c r="J341" s="692"/>
      <c r="K341" s="692"/>
      <c r="L341" s="717"/>
      <c r="M341" s="716"/>
      <c r="N341" s="692"/>
      <c r="O341" s="695"/>
      <c r="Q341" s="690"/>
      <c r="R341" s="623"/>
      <c r="S341" s="623"/>
      <c r="T341" s="623"/>
      <c r="U341" s="626"/>
      <c r="V341" s="627"/>
      <c r="W341" s="623"/>
      <c r="X341" s="623"/>
      <c r="Y341" s="623"/>
      <c r="Z341" s="623"/>
    </row>
    <row r="342" hidden="1" outlineLevel="1">
      <c r="A342" s="623"/>
      <c r="B342" s="691"/>
      <c r="C342" s="692"/>
      <c r="D342" s="692"/>
      <c r="E342" s="692"/>
      <c r="F342" s="659"/>
      <c r="G342" s="660"/>
      <c r="H342" s="659"/>
      <c r="I342" s="659"/>
      <c r="J342" s="659"/>
      <c r="K342" s="659"/>
      <c r="L342" s="717"/>
      <c r="M342" s="716"/>
      <c r="N342" s="659"/>
      <c r="O342" s="662"/>
      <c r="P342" s="663"/>
      <c r="Q342" s="699"/>
      <c r="R342" s="623"/>
      <c r="S342" s="623"/>
      <c r="T342" s="623"/>
      <c r="U342" s="626"/>
      <c r="V342" s="627"/>
      <c r="W342" s="623"/>
      <c r="X342" s="623"/>
      <c r="Y342" s="623"/>
      <c r="Z342" s="623"/>
    </row>
    <row r="343" hidden="1" outlineLevel="1">
      <c r="A343" s="623"/>
      <c r="B343" s="700"/>
      <c r="C343" s="659"/>
      <c r="D343" s="659"/>
      <c r="E343" s="659"/>
      <c r="F343" s="720" t="s">
        <v>425</v>
      </c>
      <c r="G343" s="721"/>
      <c r="H343" s="703"/>
      <c r="I343" s="703"/>
      <c r="J343" s="703"/>
      <c r="K343" s="703"/>
      <c r="L343" s="721"/>
      <c r="M343" s="721"/>
      <c r="N343" s="721"/>
      <c r="O343" s="721"/>
      <c r="P343" s="721"/>
      <c r="Q343" s="722"/>
      <c r="R343" s="623"/>
      <c r="S343" s="623"/>
      <c r="T343" s="623"/>
      <c r="U343" s="626"/>
      <c r="V343" s="627"/>
      <c r="W343" s="623"/>
      <c r="X343" s="623"/>
      <c r="Y343" s="623"/>
      <c r="Z343" s="623"/>
    </row>
    <row r="344" hidden="1" outlineLevel="1">
      <c r="A344" s="623"/>
      <c r="B344" s="723"/>
      <c r="C344" s="724" t="str">
        <f>IF(C333="","",IF(DAY(C333+1)=1,"",C333+1))</f>
        <v/>
      </c>
      <c r="D344" s="725" t="str">
        <f>TEXT(C344,"ddd")</f>
        <v/>
      </c>
      <c r="E344" s="726"/>
      <c r="F344" s="727" t="s">
        <v>422</v>
      </c>
      <c r="G344" s="749"/>
      <c r="H344" s="728"/>
      <c r="I344" s="729">
        <v>0.0</v>
      </c>
      <c r="J344" s="725"/>
      <c r="K344" s="725"/>
      <c r="L344" s="730"/>
      <c r="M344" s="730"/>
      <c r="N344" s="727"/>
      <c r="O344" s="731"/>
      <c r="P344" s="732"/>
      <c r="Q344" s="733"/>
      <c r="R344" s="623"/>
      <c r="S344" s="623"/>
      <c r="T344" s="623"/>
      <c r="U344" s="626"/>
      <c r="V344" s="627"/>
      <c r="W344" s="623"/>
      <c r="X344" s="623"/>
      <c r="Y344" s="623"/>
      <c r="Z344" s="623"/>
    </row>
    <row r="345" hidden="1" outlineLevel="1">
      <c r="A345" s="623"/>
      <c r="B345" s="691"/>
      <c r="C345" s="692"/>
      <c r="D345" s="692"/>
      <c r="E345" s="692"/>
      <c r="F345" s="692"/>
      <c r="G345" s="693"/>
      <c r="H345" s="692"/>
      <c r="I345" s="692"/>
      <c r="J345" s="692"/>
      <c r="K345" s="692"/>
      <c r="L345" s="730"/>
      <c r="M345" s="730"/>
      <c r="N345" s="692"/>
      <c r="O345" s="695"/>
      <c r="Q345" s="690"/>
      <c r="R345" s="623"/>
      <c r="S345" s="623"/>
      <c r="T345" s="623"/>
      <c r="U345" s="626"/>
      <c r="V345" s="627"/>
      <c r="W345" s="623"/>
      <c r="X345" s="623"/>
      <c r="Y345" s="623"/>
      <c r="Z345" s="623"/>
    </row>
    <row r="346" hidden="1" outlineLevel="1">
      <c r="A346" s="623"/>
      <c r="B346" s="691"/>
      <c r="C346" s="692"/>
      <c r="D346" s="692"/>
      <c r="E346" s="692"/>
      <c r="F346" s="692"/>
      <c r="G346" s="693"/>
      <c r="H346" s="692"/>
      <c r="I346" s="692"/>
      <c r="J346" s="692"/>
      <c r="K346" s="692"/>
      <c r="L346" s="730"/>
      <c r="M346" s="730"/>
      <c r="N346" s="692"/>
      <c r="O346" s="695"/>
      <c r="Q346" s="690"/>
      <c r="R346" s="623"/>
      <c r="S346" s="623"/>
      <c r="T346" s="623"/>
      <c r="U346" s="626"/>
      <c r="V346" s="627"/>
      <c r="W346" s="623"/>
      <c r="X346" s="623"/>
      <c r="Y346" s="623"/>
      <c r="Z346" s="623"/>
    </row>
    <row r="347" hidden="1" outlineLevel="1">
      <c r="A347" s="623"/>
      <c r="B347" s="691"/>
      <c r="C347" s="692"/>
      <c r="D347" s="692"/>
      <c r="E347" s="692"/>
      <c r="F347" s="692"/>
      <c r="G347" s="693"/>
      <c r="H347" s="692"/>
      <c r="I347" s="692"/>
      <c r="J347" s="692"/>
      <c r="K347" s="692"/>
      <c r="L347" s="734"/>
      <c r="M347" s="730"/>
      <c r="N347" s="692"/>
      <c r="O347" s="695"/>
      <c r="Q347" s="690"/>
      <c r="R347" s="623"/>
      <c r="S347" s="623"/>
      <c r="T347" s="623"/>
      <c r="U347" s="626"/>
      <c r="V347" s="627"/>
      <c r="W347" s="623"/>
      <c r="X347" s="623"/>
      <c r="Y347" s="623"/>
      <c r="Z347" s="623"/>
    </row>
    <row r="348" hidden="1" outlineLevel="1">
      <c r="A348" s="623"/>
      <c r="B348" s="691"/>
      <c r="C348" s="692"/>
      <c r="D348" s="692"/>
      <c r="E348" s="692"/>
      <c r="F348" s="692"/>
      <c r="G348" s="693"/>
      <c r="H348" s="692"/>
      <c r="I348" s="692"/>
      <c r="J348" s="692"/>
      <c r="K348" s="692"/>
      <c r="L348" s="734"/>
      <c r="M348" s="730"/>
      <c r="N348" s="692"/>
      <c r="O348" s="695"/>
      <c r="Q348" s="690"/>
      <c r="R348" s="623"/>
      <c r="S348" s="623"/>
      <c r="T348" s="623"/>
      <c r="U348" s="626"/>
      <c r="V348" s="627"/>
      <c r="W348" s="623"/>
      <c r="X348" s="623"/>
      <c r="Y348" s="623"/>
      <c r="Z348" s="623"/>
    </row>
    <row r="349" hidden="1" outlineLevel="1">
      <c r="A349" s="623"/>
      <c r="B349" s="691"/>
      <c r="C349" s="692"/>
      <c r="D349" s="692"/>
      <c r="E349" s="692"/>
      <c r="F349" s="692"/>
      <c r="G349" s="693"/>
      <c r="H349" s="692"/>
      <c r="I349" s="692"/>
      <c r="J349" s="692"/>
      <c r="K349" s="692"/>
      <c r="L349" s="734"/>
      <c r="M349" s="730"/>
      <c r="N349" s="692"/>
      <c r="O349" s="695"/>
      <c r="Q349" s="690"/>
      <c r="R349" s="623"/>
      <c r="S349" s="623"/>
      <c r="T349" s="623"/>
      <c r="U349" s="626"/>
      <c r="V349" s="627"/>
      <c r="W349" s="623"/>
      <c r="X349" s="623"/>
      <c r="Y349" s="623"/>
      <c r="Z349" s="623"/>
    </row>
    <row r="350" hidden="1" outlineLevel="1">
      <c r="A350" s="623"/>
      <c r="B350" s="691"/>
      <c r="C350" s="692"/>
      <c r="D350" s="692"/>
      <c r="E350" s="692"/>
      <c r="F350" s="692"/>
      <c r="G350" s="693"/>
      <c r="H350" s="692"/>
      <c r="I350" s="692"/>
      <c r="J350" s="692"/>
      <c r="K350" s="692"/>
      <c r="L350" s="734"/>
      <c r="M350" s="730"/>
      <c r="N350" s="692"/>
      <c r="O350" s="695"/>
      <c r="Q350" s="690"/>
      <c r="R350" s="623"/>
      <c r="S350" s="623"/>
      <c r="T350" s="623"/>
      <c r="U350" s="626"/>
      <c r="V350" s="627"/>
      <c r="W350" s="623"/>
      <c r="X350" s="623"/>
      <c r="Y350" s="623"/>
      <c r="Z350" s="623"/>
    </row>
    <row r="351" hidden="1" outlineLevel="1">
      <c r="A351" s="623"/>
      <c r="B351" s="691"/>
      <c r="C351" s="692"/>
      <c r="D351" s="692"/>
      <c r="E351" s="692"/>
      <c r="F351" s="692"/>
      <c r="G351" s="693"/>
      <c r="H351" s="692"/>
      <c r="I351" s="692"/>
      <c r="J351" s="692"/>
      <c r="K351" s="692"/>
      <c r="L351" s="734"/>
      <c r="M351" s="730"/>
      <c r="N351" s="692"/>
      <c r="O351" s="695"/>
      <c r="Q351" s="690"/>
      <c r="R351" s="623"/>
      <c r="S351" s="623"/>
      <c r="T351" s="623"/>
      <c r="U351" s="626"/>
      <c r="V351" s="627"/>
      <c r="W351" s="623"/>
      <c r="X351" s="623"/>
      <c r="Y351" s="623"/>
      <c r="Z351" s="623"/>
    </row>
    <row r="352" hidden="1" outlineLevel="1">
      <c r="A352" s="623"/>
      <c r="B352" s="691"/>
      <c r="C352" s="692"/>
      <c r="D352" s="692"/>
      <c r="E352" s="692"/>
      <c r="F352" s="692"/>
      <c r="G352" s="693"/>
      <c r="H352" s="692"/>
      <c r="I352" s="692"/>
      <c r="J352" s="692"/>
      <c r="K352" s="692"/>
      <c r="L352" s="734"/>
      <c r="M352" s="730"/>
      <c r="N352" s="692"/>
      <c r="O352" s="695"/>
      <c r="Q352" s="690"/>
      <c r="R352" s="623"/>
      <c r="S352" s="623"/>
      <c r="T352" s="623"/>
      <c r="U352" s="626"/>
      <c r="V352" s="627"/>
      <c r="W352" s="623"/>
      <c r="X352" s="623"/>
      <c r="Y352" s="623"/>
      <c r="Z352" s="623"/>
    </row>
    <row r="353" hidden="1" outlineLevel="1">
      <c r="A353" s="623"/>
      <c r="B353" s="691"/>
      <c r="C353" s="692"/>
      <c r="D353" s="692"/>
      <c r="E353" s="692"/>
      <c r="F353" s="659"/>
      <c r="G353" s="660"/>
      <c r="H353" s="659"/>
      <c r="I353" s="659"/>
      <c r="J353" s="659"/>
      <c r="K353" s="659"/>
      <c r="L353" s="734"/>
      <c r="M353" s="730"/>
      <c r="N353" s="659"/>
      <c r="O353" s="662"/>
      <c r="P353" s="663"/>
      <c r="Q353" s="699"/>
      <c r="R353" s="623"/>
      <c r="S353" s="623"/>
      <c r="T353" s="623"/>
      <c r="U353" s="626"/>
      <c r="V353" s="627"/>
      <c r="W353" s="623"/>
      <c r="X353" s="623"/>
      <c r="Y353" s="623"/>
      <c r="Z353" s="623"/>
    </row>
    <row r="354" hidden="1" outlineLevel="1">
      <c r="A354" s="623"/>
      <c r="B354" s="750"/>
      <c r="C354" s="751"/>
      <c r="D354" s="751"/>
      <c r="E354" s="751"/>
      <c r="F354" s="752" t="s">
        <v>425</v>
      </c>
      <c r="G354" s="753"/>
      <c r="H354" s="754"/>
      <c r="I354" s="754"/>
      <c r="J354" s="754"/>
      <c r="K354" s="754"/>
      <c r="L354" s="753"/>
      <c r="M354" s="753"/>
      <c r="N354" s="753"/>
      <c r="O354" s="753"/>
      <c r="P354" s="753"/>
      <c r="Q354" s="755"/>
      <c r="R354" s="623"/>
      <c r="S354" s="623"/>
      <c r="T354" s="623"/>
      <c r="U354" s="626"/>
      <c r="V354" s="627"/>
      <c r="W354" s="623"/>
      <c r="X354" s="623"/>
      <c r="Y354" s="623"/>
      <c r="Z354" s="623"/>
    </row>
    <row r="355">
      <c r="A355" s="623"/>
      <c r="B355" s="625"/>
      <c r="C355" s="756"/>
      <c r="D355" s="757"/>
      <c r="E355" s="642"/>
      <c r="F355" s="758"/>
      <c r="G355" s="758"/>
      <c r="H355" s="758"/>
      <c r="I355" s="758"/>
      <c r="J355" s="758"/>
      <c r="K355" s="758"/>
      <c r="L355" s="758"/>
      <c r="M355" s="758"/>
      <c r="N355" s="758"/>
      <c r="O355" s="758"/>
      <c r="P355" s="758"/>
      <c r="Q355" s="758"/>
      <c r="R355" s="623"/>
      <c r="S355" s="623"/>
      <c r="T355" s="623"/>
      <c r="U355" s="626"/>
      <c r="V355" s="627"/>
      <c r="W355" s="623"/>
      <c r="X355" s="623"/>
      <c r="Y355" s="623"/>
      <c r="Z355" s="623"/>
    </row>
    <row r="356">
      <c r="A356" s="623"/>
      <c r="B356" s="625"/>
      <c r="C356" s="756"/>
      <c r="D356" s="757"/>
      <c r="E356" s="642"/>
      <c r="F356" s="758"/>
      <c r="G356" s="758"/>
      <c r="H356" s="758"/>
      <c r="I356" s="758"/>
      <c r="J356" s="758"/>
      <c r="K356" s="758"/>
      <c r="L356" s="758"/>
      <c r="M356" s="758"/>
      <c r="N356" s="758"/>
      <c r="O356" s="758"/>
      <c r="P356" s="758"/>
      <c r="Q356" s="758"/>
      <c r="R356" s="623"/>
      <c r="S356" s="623"/>
      <c r="T356" s="623"/>
      <c r="U356" s="626"/>
      <c r="V356" s="627"/>
      <c r="W356" s="623"/>
      <c r="X356" s="623"/>
      <c r="Y356" s="623"/>
      <c r="Z356" s="623"/>
    </row>
    <row r="357">
      <c r="A357" s="623"/>
      <c r="B357" s="625"/>
      <c r="C357" s="756"/>
      <c r="D357" s="757"/>
      <c r="E357" s="642"/>
      <c r="F357" s="758"/>
      <c r="G357" s="758"/>
      <c r="H357" s="758"/>
      <c r="I357" s="758"/>
      <c r="J357" s="758"/>
      <c r="K357" s="758"/>
      <c r="L357" s="758"/>
      <c r="M357" s="758"/>
      <c r="N357" s="758"/>
      <c r="O357" s="758"/>
      <c r="P357" s="758"/>
      <c r="Q357" s="758"/>
      <c r="R357" s="623"/>
      <c r="S357" s="623"/>
      <c r="T357" s="623"/>
      <c r="U357" s="626"/>
      <c r="V357" s="627"/>
      <c r="W357" s="623"/>
      <c r="X357" s="623"/>
      <c r="Y357" s="623"/>
      <c r="Z357" s="623"/>
    </row>
    <row r="358">
      <c r="A358" s="623"/>
      <c r="B358" s="625"/>
      <c r="C358" s="756"/>
      <c r="D358" s="757"/>
      <c r="E358" s="642"/>
      <c r="F358" s="758"/>
      <c r="G358" s="758"/>
      <c r="H358" s="758"/>
      <c r="I358" s="758"/>
      <c r="J358" s="758"/>
      <c r="K358" s="758"/>
      <c r="L358" s="758"/>
      <c r="M358" s="758"/>
      <c r="N358" s="758"/>
      <c r="O358" s="758"/>
      <c r="P358" s="758"/>
      <c r="Q358" s="758"/>
      <c r="R358" s="623"/>
      <c r="S358" s="623"/>
      <c r="T358" s="623"/>
      <c r="U358" s="626"/>
      <c r="V358" s="627"/>
      <c r="W358" s="623"/>
      <c r="X358" s="623"/>
      <c r="Y358" s="623"/>
      <c r="Z358" s="623"/>
    </row>
    <row r="359">
      <c r="A359" s="623"/>
      <c r="B359" s="625"/>
      <c r="C359" s="756"/>
      <c r="D359" s="757"/>
      <c r="E359" s="642"/>
      <c r="F359" s="758"/>
      <c r="G359" s="758"/>
      <c r="H359" s="758"/>
      <c r="I359" s="758"/>
      <c r="J359" s="758"/>
      <c r="K359" s="758"/>
      <c r="L359" s="758"/>
      <c r="M359" s="758"/>
      <c r="N359" s="758"/>
      <c r="O359" s="758"/>
      <c r="P359" s="758"/>
      <c r="Q359" s="758"/>
      <c r="R359" s="623"/>
      <c r="S359" s="623"/>
      <c r="T359" s="623"/>
      <c r="U359" s="626"/>
      <c r="V359" s="627"/>
      <c r="W359" s="623"/>
      <c r="X359" s="623"/>
      <c r="Y359" s="623"/>
      <c r="Z359" s="623"/>
    </row>
    <row r="360">
      <c r="A360" s="623"/>
      <c r="B360" s="625"/>
      <c r="C360" s="756"/>
      <c r="D360" s="757"/>
      <c r="E360" s="642"/>
      <c r="F360" s="758"/>
      <c r="G360" s="758"/>
      <c r="H360" s="758"/>
      <c r="I360" s="758"/>
      <c r="J360" s="758"/>
      <c r="K360" s="758"/>
      <c r="L360" s="758"/>
      <c r="M360" s="758"/>
      <c r="N360" s="758"/>
      <c r="O360" s="758"/>
      <c r="P360" s="758"/>
      <c r="Q360" s="758"/>
      <c r="R360" s="623"/>
      <c r="S360" s="623"/>
      <c r="T360" s="623"/>
      <c r="U360" s="626"/>
      <c r="V360" s="627"/>
      <c r="W360" s="623"/>
      <c r="X360" s="623"/>
      <c r="Y360" s="623"/>
      <c r="Z360" s="623"/>
    </row>
    <row r="361">
      <c r="A361" s="623"/>
      <c r="B361" s="625"/>
      <c r="C361" s="756"/>
      <c r="D361" s="757"/>
      <c r="E361" s="642"/>
      <c r="F361" s="758"/>
      <c r="G361" s="758"/>
      <c r="H361" s="758"/>
      <c r="I361" s="758"/>
      <c r="J361" s="758"/>
      <c r="K361" s="758"/>
      <c r="L361" s="758"/>
      <c r="M361" s="758"/>
      <c r="N361" s="758"/>
      <c r="O361" s="758"/>
      <c r="P361" s="758"/>
      <c r="Q361" s="758"/>
      <c r="R361" s="623"/>
      <c r="S361" s="623"/>
      <c r="T361" s="623"/>
      <c r="U361" s="626"/>
      <c r="V361" s="627"/>
      <c r="W361" s="623"/>
      <c r="X361" s="623"/>
      <c r="Y361" s="623"/>
      <c r="Z361" s="623"/>
    </row>
    <row r="362">
      <c r="A362" s="623"/>
      <c r="B362" s="625"/>
      <c r="C362" s="756"/>
      <c r="D362" s="757"/>
      <c r="E362" s="642"/>
      <c r="F362" s="758"/>
      <c r="G362" s="758"/>
      <c r="H362" s="758"/>
      <c r="I362" s="758"/>
      <c r="J362" s="758"/>
      <c r="K362" s="758"/>
      <c r="L362" s="758"/>
      <c r="M362" s="758"/>
      <c r="N362" s="758"/>
      <c r="O362" s="758"/>
      <c r="P362" s="758"/>
      <c r="Q362" s="758"/>
      <c r="R362" s="623"/>
      <c r="S362" s="623"/>
      <c r="T362" s="623"/>
      <c r="U362" s="626"/>
      <c r="V362" s="627"/>
      <c r="W362" s="623"/>
      <c r="X362" s="623"/>
      <c r="Y362" s="623"/>
      <c r="Z362" s="623"/>
    </row>
    <row r="363">
      <c r="A363" s="623"/>
      <c r="B363" s="625"/>
      <c r="C363" s="756"/>
      <c r="D363" s="757"/>
      <c r="E363" s="642"/>
      <c r="F363" s="758"/>
      <c r="G363" s="758"/>
      <c r="H363" s="758"/>
      <c r="I363" s="758"/>
      <c r="J363" s="758"/>
      <c r="K363" s="758"/>
      <c r="L363" s="758"/>
      <c r="M363" s="758"/>
      <c r="N363" s="758"/>
      <c r="O363" s="758"/>
      <c r="P363" s="758"/>
      <c r="Q363" s="758"/>
      <c r="R363" s="623"/>
      <c r="S363" s="623"/>
      <c r="T363" s="623"/>
      <c r="U363" s="626"/>
      <c r="V363" s="627"/>
      <c r="W363" s="623"/>
      <c r="X363" s="623"/>
      <c r="Y363" s="623"/>
      <c r="Z363" s="623"/>
    </row>
    <row r="364">
      <c r="A364" s="623"/>
      <c r="B364" s="625"/>
      <c r="C364" s="756"/>
      <c r="D364" s="757"/>
      <c r="E364" s="642"/>
      <c r="F364" s="758"/>
      <c r="G364" s="758"/>
      <c r="H364" s="758"/>
      <c r="I364" s="758"/>
      <c r="J364" s="758"/>
      <c r="K364" s="758"/>
      <c r="L364" s="758"/>
      <c r="M364" s="758"/>
      <c r="N364" s="758"/>
      <c r="O364" s="758"/>
      <c r="P364" s="758"/>
      <c r="Q364" s="758"/>
      <c r="R364" s="623"/>
      <c r="S364" s="623"/>
      <c r="T364" s="623"/>
      <c r="U364" s="626"/>
      <c r="V364" s="627"/>
      <c r="W364" s="623"/>
      <c r="X364" s="623"/>
      <c r="Y364" s="623"/>
      <c r="Z364" s="623"/>
    </row>
    <row r="365">
      <c r="A365" s="623"/>
      <c r="B365" s="625"/>
      <c r="C365" s="756"/>
      <c r="D365" s="757"/>
      <c r="E365" s="642"/>
      <c r="F365" s="758"/>
      <c r="G365" s="758"/>
      <c r="H365" s="758"/>
      <c r="I365" s="758"/>
      <c r="J365" s="758"/>
      <c r="K365" s="758"/>
      <c r="L365" s="758"/>
      <c r="M365" s="758"/>
      <c r="N365" s="758"/>
      <c r="O365" s="758"/>
      <c r="P365" s="758"/>
      <c r="Q365" s="758"/>
      <c r="R365" s="623"/>
      <c r="S365" s="623"/>
      <c r="T365" s="623"/>
      <c r="U365" s="626"/>
      <c r="V365" s="627"/>
      <c r="W365" s="623"/>
      <c r="X365" s="623"/>
      <c r="Y365" s="623"/>
      <c r="Z365" s="623"/>
    </row>
    <row r="366">
      <c r="A366" s="623"/>
      <c r="B366" s="625"/>
      <c r="C366" s="756"/>
      <c r="D366" s="757"/>
      <c r="E366" s="642"/>
      <c r="F366" s="758"/>
      <c r="G366" s="758"/>
      <c r="H366" s="758"/>
      <c r="I366" s="758"/>
      <c r="J366" s="758"/>
      <c r="K366" s="758"/>
      <c r="L366" s="758"/>
      <c r="M366" s="758"/>
      <c r="N366" s="758"/>
      <c r="O366" s="758"/>
      <c r="P366" s="758"/>
      <c r="Q366" s="758"/>
      <c r="R366" s="623"/>
      <c r="S366" s="623"/>
      <c r="T366" s="623"/>
      <c r="U366" s="626"/>
      <c r="V366" s="627"/>
      <c r="W366" s="623"/>
      <c r="X366" s="623"/>
      <c r="Y366" s="623"/>
      <c r="Z366" s="623"/>
    </row>
    <row r="367">
      <c r="A367" s="623"/>
      <c r="B367" s="625"/>
      <c r="C367" s="756"/>
      <c r="D367" s="757"/>
      <c r="E367" s="642"/>
      <c r="F367" s="758"/>
      <c r="G367" s="758"/>
      <c r="H367" s="758"/>
      <c r="I367" s="758"/>
      <c r="J367" s="758"/>
      <c r="K367" s="758"/>
      <c r="L367" s="758"/>
      <c r="M367" s="758"/>
      <c r="N367" s="758"/>
      <c r="O367" s="758"/>
      <c r="P367" s="758"/>
      <c r="Q367" s="758"/>
      <c r="R367" s="623"/>
      <c r="S367" s="623"/>
      <c r="T367" s="623"/>
      <c r="U367" s="626"/>
      <c r="V367" s="627"/>
      <c r="W367" s="623"/>
      <c r="X367" s="623"/>
      <c r="Y367" s="623"/>
      <c r="Z367" s="623"/>
    </row>
    <row r="368">
      <c r="A368" s="623"/>
      <c r="B368" s="625"/>
      <c r="C368" s="756"/>
      <c r="D368" s="757"/>
      <c r="E368" s="642"/>
      <c r="F368" s="758"/>
      <c r="G368" s="758"/>
      <c r="H368" s="758"/>
      <c r="I368" s="758"/>
      <c r="J368" s="758"/>
      <c r="K368" s="758"/>
      <c r="L368" s="758"/>
      <c r="M368" s="758"/>
      <c r="N368" s="758"/>
      <c r="O368" s="758"/>
      <c r="P368" s="758"/>
      <c r="Q368" s="758"/>
      <c r="R368" s="623"/>
      <c r="S368" s="623"/>
      <c r="T368" s="623"/>
      <c r="U368" s="626"/>
      <c r="V368" s="627"/>
      <c r="W368" s="623"/>
      <c r="X368" s="623"/>
      <c r="Y368" s="623"/>
      <c r="Z368" s="623"/>
    </row>
    <row r="369">
      <c r="A369" s="623"/>
      <c r="B369" s="625"/>
      <c r="C369" s="756"/>
      <c r="D369" s="757"/>
      <c r="E369" s="642"/>
      <c r="F369" s="758"/>
      <c r="G369" s="758"/>
      <c r="H369" s="758"/>
      <c r="I369" s="758"/>
      <c r="J369" s="758"/>
      <c r="K369" s="758"/>
      <c r="L369" s="758"/>
      <c r="M369" s="758"/>
      <c r="N369" s="758"/>
      <c r="O369" s="758"/>
      <c r="P369" s="758"/>
      <c r="Q369" s="758"/>
      <c r="R369" s="623"/>
      <c r="S369" s="623"/>
      <c r="T369" s="623"/>
      <c r="U369" s="626"/>
      <c r="V369" s="627"/>
      <c r="W369" s="623"/>
      <c r="X369" s="623"/>
      <c r="Y369" s="623"/>
      <c r="Z369" s="623"/>
    </row>
    <row r="370">
      <c r="A370" s="623"/>
      <c r="B370" s="625"/>
      <c r="C370" s="756"/>
      <c r="D370" s="757"/>
      <c r="E370" s="642"/>
      <c r="F370" s="758"/>
      <c r="G370" s="758"/>
      <c r="H370" s="758"/>
      <c r="I370" s="758"/>
      <c r="J370" s="758"/>
      <c r="K370" s="758"/>
      <c r="L370" s="758"/>
      <c r="M370" s="758"/>
      <c r="N370" s="758"/>
      <c r="O370" s="758"/>
      <c r="P370" s="758"/>
      <c r="Q370" s="758"/>
      <c r="R370" s="623"/>
      <c r="S370" s="623"/>
      <c r="T370" s="623"/>
      <c r="U370" s="626"/>
      <c r="V370" s="627"/>
      <c r="W370" s="623"/>
      <c r="X370" s="623"/>
      <c r="Y370" s="623"/>
      <c r="Z370" s="623"/>
    </row>
    <row r="371">
      <c r="A371" s="623"/>
      <c r="B371" s="625"/>
      <c r="C371" s="756"/>
      <c r="D371" s="757"/>
      <c r="E371" s="642"/>
      <c r="F371" s="758"/>
      <c r="G371" s="758"/>
      <c r="H371" s="758"/>
      <c r="I371" s="758"/>
      <c r="J371" s="758"/>
      <c r="K371" s="758"/>
      <c r="L371" s="758"/>
      <c r="M371" s="758"/>
      <c r="N371" s="758"/>
      <c r="O371" s="758"/>
      <c r="P371" s="758"/>
      <c r="Q371" s="758"/>
      <c r="R371" s="623"/>
      <c r="S371" s="623"/>
      <c r="T371" s="623"/>
      <c r="U371" s="626"/>
      <c r="V371" s="627"/>
      <c r="W371" s="623"/>
      <c r="X371" s="623"/>
      <c r="Y371" s="623"/>
      <c r="Z371" s="623"/>
    </row>
    <row r="372">
      <c r="A372" s="623"/>
      <c r="B372" s="625"/>
      <c r="C372" s="756"/>
      <c r="D372" s="757"/>
      <c r="E372" s="642"/>
      <c r="F372" s="758"/>
      <c r="G372" s="758"/>
      <c r="H372" s="758"/>
      <c r="I372" s="758"/>
      <c r="J372" s="758"/>
      <c r="K372" s="758"/>
      <c r="L372" s="758"/>
      <c r="M372" s="758"/>
      <c r="N372" s="758"/>
      <c r="O372" s="758"/>
      <c r="P372" s="758"/>
      <c r="Q372" s="758"/>
      <c r="R372" s="623"/>
      <c r="S372" s="623"/>
      <c r="T372" s="623"/>
      <c r="U372" s="626"/>
      <c r="V372" s="627"/>
      <c r="W372" s="623"/>
      <c r="X372" s="623"/>
      <c r="Y372" s="623"/>
      <c r="Z372" s="623"/>
    </row>
    <row r="373">
      <c r="A373" s="623"/>
      <c r="B373" s="625"/>
      <c r="C373" s="756"/>
      <c r="D373" s="757"/>
      <c r="E373" s="642"/>
      <c r="F373" s="758"/>
      <c r="G373" s="758"/>
      <c r="H373" s="758"/>
      <c r="I373" s="758"/>
      <c r="J373" s="758"/>
      <c r="K373" s="758"/>
      <c r="L373" s="758"/>
      <c r="M373" s="758"/>
      <c r="N373" s="758"/>
      <c r="O373" s="758"/>
      <c r="P373" s="758"/>
      <c r="Q373" s="758"/>
      <c r="R373" s="623"/>
      <c r="S373" s="623"/>
      <c r="T373" s="623"/>
      <c r="U373" s="626"/>
      <c r="V373" s="627"/>
      <c r="W373" s="623"/>
      <c r="X373" s="623"/>
      <c r="Y373" s="623"/>
      <c r="Z373" s="623"/>
    </row>
    <row r="374">
      <c r="A374" s="623"/>
      <c r="B374" s="625"/>
      <c r="C374" s="756"/>
      <c r="D374" s="757"/>
      <c r="E374" s="642"/>
      <c r="F374" s="758"/>
      <c r="G374" s="758"/>
      <c r="H374" s="758"/>
      <c r="I374" s="758"/>
      <c r="J374" s="758"/>
      <c r="K374" s="758"/>
      <c r="L374" s="758"/>
      <c r="M374" s="758"/>
      <c r="N374" s="758"/>
      <c r="O374" s="758"/>
      <c r="P374" s="758"/>
      <c r="Q374" s="758"/>
      <c r="R374" s="623"/>
      <c r="S374" s="623"/>
      <c r="T374" s="623"/>
      <c r="U374" s="626"/>
      <c r="V374" s="627"/>
      <c r="W374" s="623"/>
      <c r="X374" s="623"/>
      <c r="Y374" s="623"/>
      <c r="Z374" s="623"/>
    </row>
    <row r="375">
      <c r="A375" s="623"/>
      <c r="B375" s="625"/>
      <c r="C375" s="756"/>
      <c r="D375" s="757"/>
      <c r="E375" s="642"/>
      <c r="F375" s="758"/>
      <c r="G375" s="758"/>
      <c r="H375" s="758"/>
      <c r="I375" s="758"/>
      <c r="J375" s="758"/>
      <c r="K375" s="758"/>
      <c r="L375" s="758"/>
      <c r="M375" s="758"/>
      <c r="N375" s="758"/>
      <c r="O375" s="758"/>
      <c r="P375" s="758"/>
      <c r="Q375" s="758"/>
      <c r="R375" s="623"/>
      <c r="S375" s="623"/>
      <c r="T375" s="623"/>
      <c r="U375" s="626"/>
      <c r="V375" s="627"/>
      <c r="W375" s="623"/>
      <c r="X375" s="623"/>
      <c r="Y375" s="623"/>
      <c r="Z375" s="623"/>
    </row>
    <row r="376">
      <c r="A376" s="623"/>
      <c r="B376" s="625"/>
      <c r="C376" s="756"/>
      <c r="D376" s="757"/>
      <c r="E376" s="642"/>
      <c r="F376" s="758"/>
      <c r="G376" s="758"/>
      <c r="H376" s="758"/>
      <c r="I376" s="758"/>
      <c r="J376" s="758"/>
      <c r="K376" s="758"/>
      <c r="L376" s="758"/>
      <c r="M376" s="758"/>
      <c r="N376" s="758"/>
      <c r="O376" s="758"/>
      <c r="P376" s="758"/>
      <c r="Q376" s="758"/>
      <c r="R376" s="623"/>
      <c r="S376" s="623"/>
      <c r="T376" s="623"/>
      <c r="U376" s="626"/>
      <c r="V376" s="627"/>
      <c r="W376" s="623"/>
      <c r="X376" s="623"/>
      <c r="Y376" s="623"/>
      <c r="Z376" s="623"/>
    </row>
    <row r="377">
      <c r="A377" s="623"/>
      <c r="B377" s="625"/>
      <c r="C377" s="756"/>
      <c r="D377" s="757"/>
      <c r="E377" s="642"/>
      <c r="F377" s="758"/>
      <c r="G377" s="758"/>
      <c r="H377" s="758"/>
      <c r="I377" s="758"/>
      <c r="J377" s="758"/>
      <c r="K377" s="758"/>
      <c r="L377" s="758"/>
      <c r="M377" s="758"/>
      <c r="N377" s="758"/>
      <c r="O377" s="758"/>
      <c r="P377" s="758"/>
      <c r="Q377" s="758"/>
      <c r="R377" s="623"/>
      <c r="S377" s="623"/>
      <c r="T377" s="623"/>
      <c r="U377" s="626"/>
      <c r="V377" s="627"/>
      <c r="W377" s="623"/>
      <c r="X377" s="623"/>
      <c r="Y377" s="623"/>
      <c r="Z377" s="623"/>
    </row>
    <row r="378">
      <c r="A378" s="623"/>
      <c r="B378" s="625"/>
      <c r="C378" s="756"/>
      <c r="D378" s="757"/>
      <c r="E378" s="642"/>
      <c r="F378" s="758"/>
      <c r="G378" s="758"/>
      <c r="H378" s="758"/>
      <c r="I378" s="758"/>
      <c r="J378" s="758"/>
      <c r="K378" s="758"/>
      <c r="L378" s="758"/>
      <c r="M378" s="758"/>
      <c r="N378" s="758"/>
      <c r="O378" s="758"/>
      <c r="P378" s="758"/>
      <c r="Q378" s="758"/>
      <c r="R378" s="623"/>
      <c r="S378" s="623"/>
      <c r="T378" s="623"/>
      <c r="U378" s="626"/>
      <c r="V378" s="627"/>
      <c r="W378" s="623"/>
      <c r="X378" s="623"/>
      <c r="Y378" s="623"/>
      <c r="Z378" s="623"/>
    </row>
    <row r="379">
      <c r="A379" s="623"/>
      <c r="B379" s="625"/>
      <c r="C379" s="756"/>
      <c r="D379" s="757"/>
      <c r="E379" s="642"/>
      <c r="F379" s="758"/>
      <c r="G379" s="758"/>
      <c r="H379" s="758"/>
      <c r="I379" s="758"/>
      <c r="J379" s="758"/>
      <c r="K379" s="758"/>
      <c r="L379" s="758"/>
      <c r="M379" s="758"/>
      <c r="N379" s="758"/>
      <c r="O379" s="758"/>
      <c r="P379" s="758"/>
      <c r="Q379" s="758"/>
      <c r="R379" s="623"/>
      <c r="S379" s="623"/>
      <c r="T379" s="623"/>
      <c r="U379" s="626"/>
      <c r="V379" s="627"/>
      <c r="W379" s="623"/>
      <c r="X379" s="623"/>
      <c r="Y379" s="623"/>
      <c r="Z379" s="623"/>
    </row>
    <row r="380">
      <c r="A380" s="623"/>
      <c r="B380" s="625"/>
      <c r="C380" s="756"/>
      <c r="D380" s="757"/>
      <c r="E380" s="642"/>
      <c r="F380" s="758"/>
      <c r="G380" s="758"/>
      <c r="H380" s="758"/>
      <c r="I380" s="758"/>
      <c r="J380" s="758"/>
      <c r="K380" s="758"/>
      <c r="L380" s="758"/>
      <c r="M380" s="758"/>
      <c r="N380" s="758"/>
      <c r="O380" s="758"/>
      <c r="P380" s="758"/>
      <c r="Q380" s="758"/>
      <c r="R380" s="623"/>
      <c r="S380" s="623"/>
      <c r="T380" s="623"/>
      <c r="U380" s="626"/>
      <c r="V380" s="627"/>
      <c r="W380" s="623"/>
      <c r="X380" s="623"/>
      <c r="Y380" s="623"/>
      <c r="Z380" s="623"/>
    </row>
    <row r="381">
      <c r="A381" s="623"/>
      <c r="B381" s="625"/>
      <c r="C381" s="756"/>
      <c r="D381" s="757"/>
      <c r="E381" s="642"/>
      <c r="F381" s="758"/>
      <c r="G381" s="758"/>
      <c r="H381" s="758"/>
      <c r="I381" s="758"/>
      <c r="J381" s="758"/>
      <c r="K381" s="758"/>
      <c r="L381" s="758"/>
      <c r="M381" s="758"/>
      <c r="N381" s="758"/>
      <c r="O381" s="758"/>
      <c r="P381" s="758"/>
      <c r="Q381" s="758"/>
      <c r="R381" s="623"/>
      <c r="S381" s="623"/>
      <c r="T381" s="623"/>
      <c r="U381" s="626"/>
      <c r="V381" s="627"/>
      <c r="W381" s="623"/>
      <c r="X381" s="623"/>
      <c r="Y381" s="623"/>
      <c r="Z381" s="623"/>
    </row>
    <row r="382">
      <c r="A382" s="623"/>
      <c r="B382" s="625"/>
      <c r="C382" s="756"/>
      <c r="D382" s="757"/>
      <c r="E382" s="642"/>
      <c r="F382" s="758"/>
      <c r="G382" s="758"/>
      <c r="H382" s="758"/>
      <c r="I382" s="758"/>
      <c r="J382" s="758"/>
      <c r="K382" s="758"/>
      <c r="L382" s="758"/>
      <c r="M382" s="758"/>
      <c r="N382" s="758"/>
      <c r="O382" s="758"/>
      <c r="P382" s="758"/>
      <c r="Q382" s="758"/>
      <c r="R382" s="623"/>
      <c r="S382" s="623"/>
      <c r="T382" s="623"/>
      <c r="U382" s="626"/>
      <c r="V382" s="627"/>
      <c r="W382" s="623"/>
      <c r="X382" s="623"/>
      <c r="Y382" s="623"/>
      <c r="Z382" s="623"/>
    </row>
    <row r="383">
      <c r="A383" s="623"/>
      <c r="B383" s="625"/>
      <c r="C383" s="756"/>
      <c r="D383" s="757"/>
      <c r="E383" s="642"/>
      <c r="F383" s="758"/>
      <c r="G383" s="758"/>
      <c r="H383" s="758"/>
      <c r="I383" s="758"/>
      <c r="J383" s="758"/>
      <c r="K383" s="758"/>
      <c r="L383" s="758"/>
      <c r="M383" s="758"/>
      <c r="N383" s="758"/>
      <c r="O383" s="758"/>
      <c r="P383" s="758"/>
      <c r="Q383" s="758"/>
      <c r="R383" s="623"/>
      <c r="S383" s="623"/>
      <c r="T383" s="623"/>
      <c r="U383" s="626"/>
      <c r="V383" s="627"/>
      <c r="W383" s="623"/>
      <c r="X383" s="623"/>
      <c r="Y383" s="623"/>
      <c r="Z383" s="623"/>
    </row>
    <row r="384">
      <c r="A384" s="623"/>
      <c r="B384" s="625"/>
      <c r="C384" s="756"/>
      <c r="D384" s="757"/>
      <c r="E384" s="642"/>
      <c r="F384" s="758"/>
      <c r="G384" s="758"/>
      <c r="H384" s="758"/>
      <c r="I384" s="758"/>
      <c r="J384" s="758"/>
      <c r="K384" s="758"/>
      <c r="L384" s="758"/>
      <c r="M384" s="758"/>
      <c r="N384" s="758"/>
      <c r="O384" s="758"/>
      <c r="P384" s="758"/>
      <c r="Q384" s="758"/>
      <c r="R384" s="623"/>
      <c r="S384" s="623"/>
      <c r="T384" s="623"/>
      <c r="U384" s="626"/>
      <c r="V384" s="627"/>
      <c r="W384" s="623"/>
      <c r="X384" s="623"/>
      <c r="Y384" s="623"/>
      <c r="Z384" s="623"/>
    </row>
    <row r="385">
      <c r="A385" s="623"/>
      <c r="B385" s="625"/>
      <c r="C385" s="756"/>
      <c r="D385" s="757"/>
      <c r="E385" s="642"/>
      <c r="F385" s="758"/>
      <c r="G385" s="758"/>
      <c r="H385" s="758"/>
      <c r="I385" s="758"/>
      <c r="J385" s="758"/>
      <c r="K385" s="758"/>
      <c r="L385" s="758"/>
      <c r="M385" s="758"/>
      <c r="N385" s="758"/>
      <c r="O385" s="758"/>
      <c r="P385" s="758"/>
      <c r="Q385" s="758"/>
      <c r="R385" s="623"/>
      <c r="S385" s="623"/>
      <c r="T385" s="623"/>
      <c r="U385" s="626"/>
      <c r="V385" s="627"/>
      <c r="W385" s="623"/>
      <c r="X385" s="623"/>
      <c r="Y385" s="623"/>
      <c r="Z385" s="623"/>
    </row>
    <row r="386">
      <c r="A386" s="623"/>
      <c r="B386" s="625"/>
      <c r="C386" s="756"/>
      <c r="D386" s="757"/>
      <c r="E386" s="642"/>
      <c r="F386" s="758"/>
      <c r="G386" s="758"/>
      <c r="H386" s="758"/>
      <c r="I386" s="758"/>
      <c r="J386" s="758"/>
      <c r="K386" s="758"/>
      <c r="L386" s="758"/>
      <c r="M386" s="758"/>
      <c r="N386" s="758"/>
      <c r="O386" s="758"/>
      <c r="P386" s="758"/>
      <c r="Q386" s="758"/>
      <c r="R386" s="623"/>
      <c r="S386" s="623"/>
      <c r="T386" s="623"/>
      <c r="U386" s="626"/>
      <c r="V386" s="627"/>
      <c r="W386" s="623"/>
      <c r="X386" s="623"/>
      <c r="Y386" s="623"/>
      <c r="Z386" s="623"/>
    </row>
    <row r="387">
      <c r="A387" s="623"/>
      <c r="B387" s="625"/>
      <c r="C387" s="756"/>
      <c r="D387" s="757"/>
      <c r="E387" s="642"/>
      <c r="F387" s="758"/>
      <c r="G387" s="758"/>
      <c r="H387" s="758"/>
      <c r="I387" s="758"/>
      <c r="J387" s="758"/>
      <c r="K387" s="758"/>
      <c r="L387" s="758"/>
      <c r="M387" s="758"/>
      <c r="N387" s="758"/>
      <c r="O387" s="758"/>
      <c r="P387" s="758"/>
      <c r="Q387" s="758"/>
      <c r="R387" s="623"/>
      <c r="S387" s="623"/>
      <c r="T387" s="623"/>
      <c r="U387" s="626"/>
      <c r="V387" s="627"/>
      <c r="W387" s="623"/>
      <c r="X387" s="623"/>
      <c r="Y387" s="623"/>
      <c r="Z387" s="623"/>
    </row>
    <row r="388">
      <c r="A388" s="623"/>
      <c r="B388" s="625"/>
      <c r="C388" s="756"/>
      <c r="D388" s="757"/>
      <c r="E388" s="642"/>
      <c r="F388" s="758"/>
      <c r="G388" s="758"/>
      <c r="H388" s="758"/>
      <c r="I388" s="758"/>
      <c r="J388" s="758"/>
      <c r="K388" s="758"/>
      <c r="L388" s="758"/>
      <c r="M388" s="758"/>
      <c r="N388" s="758"/>
      <c r="O388" s="758"/>
      <c r="P388" s="758"/>
      <c r="Q388" s="758"/>
      <c r="R388" s="623"/>
      <c r="S388" s="623"/>
      <c r="T388" s="623"/>
      <c r="U388" s="626"/>
      <c r="V388" s="627"/>
      <c r="W388" s="623"/>
      <c r="X388" s="623"/>
      <c r="Y388" s="623"/>
      <c r="Z388" s="623"/>
    </row>
    <row r="389">
      <c r="A389" s="623"/>
      <c r="B389" s="625"/>
      <c r="C389" s="756"/>
      <c r="D389" s="757"/>
      <c r="E389" s="642"/>
      <c r="F389" s="758"/>
      <c r="G389" s="758"/>
      <c r="H389" s="758"/>
      <c r="I389" s="758"/>
      <c r="J389" s="758"/>
      <c r="K389" s="758"/>
      <c r="L389" s="758"/>
      <c r="M389" s="758"/>
      <c r="N389" s="758"/>
      <c r="O389" s="758"/>
      <c r="P389" s="758"/>
      <c r="Q389" s="758"/>
      <c r="R389" s="623"/>
      <c r="S389" s="623"/>
      <c r="T389" s="623"/>
      <c r="U389" s="626"/>
      <c r="V389" s="627"/>
      <c r="W389" s="623"/>
      <c r="X389" s="623"/>
      <c r="Y389" s="623"/>
      <c r="Z389" s="623"/>
    </row>
    <row r="390">
      <c r="A390" s="623"/>
      <c r="B390" s="625"/>
      <c r="C390" s="756"/>
      <c r="D390" s="757"/>
      <c r="E390" s="642"/>
      <c r="F390" s="758"/>
      <c r="G390" s="758"/>
      <c r="H390" s="758"/>
      <c r="I390" s="758"/>
      <c r="J390" s="758"/>
      <c r="K390" s="758"/>
      <c r="L390" s="758"/>
      <c r="M390" s="758"/>
      <c r="N390" s="758"/>
      <c r="O390" s="758"/>
      <c r="P390" s="758"/>
      <c r="Q390" s="758"/>
      <c r="R390" s="623"/>
      <c r="S390" s="623"/>
      <c r="T390" s="623"/>
      <c r="U390" s="626"/>
      <c r="V390" s="627"/>
      <c r="W390" s="623"/>
      <c r="X390" s="623"/>
      <c r="Y390" s="623"/>
      <c r="Z390" s="623"/>
    </row>
    <row r="391">
      <c r="A391" s="623"/>
      <c r="B391" s="625"/>
      <c r="C391" s="756"/>
      <c r="D391" s="757"/>
      <c r="E391" s="642"/>
      <c r="F391" s="758"/>
      <c r="G391" s="758"/>
      <c r="H391" s="758"/>
      <c r="I391" s="758"/>
      <c r="J391" s="758"/>
      <c r="K391" s="758"/>
      <c r="L391" s="758"/>
      <c r="M391" s="758"/>
      <c r="N391" s="758"/>
      <c r="O391" s="758"/>
      <c r="P391" s="758"/>
      <c r="Q391" s="758"/>
      <c r="R391" s="623"/>
      <c r="S391" s="623"/>
      <c r="T391" s="623"/>
      <c r="U391" s="626"/>
      <c r="V391" s="627"/>
      <c r="W391" s="623"/>
      <c r="X391" s="623"/>
      <c r="Y391" s="623"/>
      <c r="Z391" s="623"/>
    </row>
    <row r="392">
      <c r="A392" s="623"/>
      <c r="B392" s="625"/>
      <c r="C392" s="756"/>
      <c r="D392" s="757"/>
      <c r="E392" s="642"/>
      <c r="F392" s="758"/>
      <c r="G392" s="758"/>
      <c r="H392" s="758"/>
      <c r="I392" s="758"/>
      <c r="J392" s="758"/>
      <c r="K392" s="758"/>
      <c r="L392" s="758"/>
      <c r="M392" s="758"/>
      <c r="N392" s="758"/>
      <c r="O392" s="758"/>
      <c r="P392" s="758"/>
      <c r="Q392" s="758"/>
      <c r="R392" s="623"/>
      <c r="S392" s="623"/>
      <c r="T392" s="623"/>
      <c r="U392" s="626"/>
      <c r="V392" s="627"/>
      <c r="W392" s="623"/>
      <c r="X392" s="623"/>
      <c r="Y392" s="623"/>
      <c r="Z392" s="623"/>
    </row>
    <row r="393">
      <c r="A393" s="623"/>
      <c r="B393" s="625"/>
      <c r="C393" s="756"/>
      <c r="D393" s="757"/>
      <c r="E393" s="642"/>
      <c r="F393" s="758"/>
      <c r="G393" s="758"/>
      <c r="H393" s="758"/>
      <c r="I393" s="758"/>
      <c r="J393" s="758"/>
      <c r="K393" s="758"/>
      <c r="L393" s="758"/>
      <c r="M393" s="758"/>
      <c r="N393" s="758"/>
      <c r="O393" s="758"/>
      <c r="P393" s="758"/>
      <c r="Q393" s="758"/>
      <c r="R393" s="623"/>
      <c r="S393" s="623"/>
      <c r="T393" s="623"/>
      <c r="U393" s="626"/>
      <c r="V393" s="627"/>
      <c r="W393" s="623"/>
      <c r="X393" s="623"/>
      <c r="Y393" s="623"/>
      <c r="Z393" s="623"/>
    </row>
    <row r="394">
      <c r="A394" s="623"/>
      <c r="B394" s="625"/>
      <c r="C394" s="756"/>
      <c r="D394" s="757"/>
      <c r="E394" s="642"/>
      <c r="F394" s="758"/>
      <c r="G394" s="758"/>
      <c r="H394" s="758"/>
      <c r="I394" s="758"/>
      <c r="J394" s="758"/>
      <c r="K394" s="758"/>
      <c r="L394" s="758"/>
      <c r="M394" s="758"/>
      <c r="N394" s="758"/>
      <c r="O394" s="758"/>
      <c r="P394" s="758"/>
      <c r="Q394" s="758"/>
      <c r="R394" s="623"/>
      <c r="S394" s="623"/>
      <c r="T394" s="623"/>
      <c r="U394" s="626"/>
      <c r="V394" s="627"/>
      <c r="W394" s="623"/>
      <c r="X394" s="623"/>
      <c r="Y394" s="623"/>
      <c r="Z394" s="623"/>
    </row>
    <row r="395">
      <c r="A395" s="623"/>
      <c r="B395" s="625"/>
      <c r="C395" s="756"/>
      <c r="D395" s="757"/>
      <c r="E395" s="642"/>
      <c r="F395" s="758"/>
      <c r="G395" s="758"/>
      <c r="H395" s="758"/>
      <c r="I395" s="758"/>
      <c r="J395" s="758"/>
      <c r="K395" s="758"/>
      <c r="L395" s="758"/>
      <c r="M395" s="758"/>
      <c r="N395" s="758"/>
      <c r="O395" s="758"/>
      <c r="P395" s="758"/>
      <c r="Q395" s="758"/>
      <c r="R395" s="623"/>
      <c r="S395" s="623"/>
      <c r="T395" s="623"/>
      <c r="U395" s="626"/>
      <c r="V395" s="627"/>
      <c r="W395" s="623"/>
      <c r="X395" s="623"/>
      <c r="Y395" s="623"/>
      <c r="Z395" s="623"/>
    </row>
    <row r="396">
      <c r="A396" s="623"/>
      <c r="B396" s="625"/>
      <c r="C396" s="756"/>
      <c r="D396" s="757"/>
      <c r="E396" s="642"/>
      <c r="F396" s="758"/>
      <c r="G396" s="758"/>
      <c r="H396" s="758"/>
      <c r="I396" s="758"/>
      <c r="J396" s="758"/>
      <c r="K396" s="758"/>
      <c r="L396" s="758"/>
      <c r="M396" s="758"/>
      <c r="N396" s="758"/>
      <c r="O396" s="758"/>
      <c r="P396" s="758"/>
      <c r="Q396" s="758"/>
      <c r="R396" s="623"/>
      <c r="S396" s="623"/>
      <c r="T396" s="623"/>
      <c r="U396" s="626"/>
      <c r="V396" s="627"/>
      <c r="W396" s="623"/>
      <c r="X396" s="623"/>
      <c r="Y396" s="623"/>
      <c r="Z396" s="623"/>
    </row>
    <row r="397">
      <c r="A397" s="623"/>
      <c r="B397" s="625"/>
      <c r="C397" s="756"/>
      <c r="D397" s="757"/>
      <c r="E397" s="642"/>
      <c r="F397" s="758"/>
      <c r="G397" s="758"/>
      <c r="H397" s="758"/>
      <c r="I397" s="758"/>
      <c r="J397" s="758"/>
      <c r="K397" s="758"/>
      <c r="L397" s="758"/>
      <c r="M397" s="758"/>
      <c r="N397" s="758"/>
      <c r="O397" s="758"/>
      <c r="P397" s="758"/>
      <c r="Q397" s="758"/>
      <c r="R397" s="623"/>
      <c r="S397" s="623"/>
      <c r="T397" s="623"/>
      <c r="U397" s="626"/>
      <c r="V397" s="627"/>
      <c r="W397" s="623"/>
      <c r="X397" s="623"/>
      <c r="Y397" s="623"/>
      <c r="Z397" s="623"/>
    </row>
    <row r="398">
      <c r="A398" s="623"/>
      <c r="B398" s="625"/>
      <c r="C398" s="756"/>
      <c r="D398" s="757"/>
      <c r="E398" s="642"/>
      <c r="F398" s="758"/>
      <c r="G398" s="758"/>
      <c r="H398" s="758"/>
      <c r="I398" s="758"/>
      <c r="J398" s="758"/>
      <c r="K398" s="758"/>
      <c r="L398" s="758"/>
      <c r="M398" s="758"/>
      <c r="N398" s="758"/>
      <c r="O398" s="758"/>
      <c r="P398" s="758"/>
      <c r="Q398" s="758"/>
      <c r="R398" s="623"/>
      <c r="S398" s="623"/>
      <c r="T398" s="623"/>
      <c r="U398" s="626"/>
      <c r="V398" s="627"/>
      <c r="W398" s="623"/>
      <c r="X398" s="623"/>
      <c r="Y398" s="623"/>
      <c r="Z398" s="623"/>
    </row>
    <row r="399">
      <c r="A399" s="623"/>
      <c r="B399" s="625"/>
      <c r="C399" s="756"/>
      <c r="D399" s="757"/>
      <c r="E399" s="642"/>
      <c r="F399" s="758"/>
      <c r="G399" s="758"/>
      <c r="H399" s="758"/>
      <c r="I399" s="758"/>
      <c r="J399" s="758"/>
      <c r="K399" s="758"/>
      <c r="L399" s="758"/>
      <c r="M399" s="758"/>
      <c r="N399" s="758"/>
      <c r="O399" s="758"/>
      <c r="P399" s="758"/>
      <c r="Q399" s="758"/>
      <c r="R399" s="623"/>
      <c r="S399" s="623"/>
      <c r="T399" s="623"/>
      <c r="U399" s="626"/>
      <c r="V399" s="627"/>
      <c r="W399" s="623"/>
      <c r="X399" s="623"/>
      <c r="Y399" s="623"/>
      <c r="Z399" s="623"/>
    </row>
    <row r="400">
      <c r="A400" s="623"/>
      <c r="B400" s="625"/>
      <c r="C400" s="756"/>
      <c r="D400" s="757"/>
      <c r="E400" s="642"/>
      <c r="F400" s="758"/>
      <c r="G400" s="758"/>
      <c r="H400" s="758"/>
      <c r="I400" s="758"/>
      <c r="J400" s="758"/>
      <c r="K400" s="758"/>
      <c r="L400" s="758"/>
      <c r="M400" s="758"/>
      <c r="N400" s="758"/>
      <c r="O400" s="758"/>
      <c r="P400" s="758"/>
      <c r="Q400" s="758"/>
      <c r="R400" s="623"/>
      <c r="S400" s="623"/>
      <c r="T400" s="623"/>
      <c r="U400" s="626"/>
      <c r="V400" s="627"/>
      <c r="W400" s="623"/>
      <c r="X400" s="623"/>
      <c r="Y400" s="623"/>
      <c r="Z400" s="623"/>
    </row>
    <row r="401">
      <c r="A401" s="623"/>
      <c r="B401" s="625"/>
      <c r="C401" s="756"/>
      <c r="D401" s="757"/>
      <c r="E401" s="642"/>
      <c r="F401" s="758"/>
      <c r="G401" s="758"/>
      <c r="H401" s="758"/>
      <c r="I401" s="758"/>
      <c r="J401" s="758"/>
      <c r="K401" s="758"/>
      <c r="L401" s="758"/>
      <c r="M401" s="758"/>
      <c r="N401" s="758"/>
      <c r="O401" s="758"/>
      <c r="P401" s="758"/>
      <c r="Q401" s="758"/>
      <c r="R401" s="623"/>
      <c r="S401" s="623"/>
      <c r="T401" s="623"/>
      <c r="U401" s="626"/>
      <c r="V401" s="627"/>
      <c r="W401" s="623"/>
      <c r="X401" s="623"/>
      <c r="Y401" s="623"/>
      <c r="Z401" s="623"/>
    </row>
    <row r="402">
      <c r="A402" s="623"/>
      <c r="B402" s="625"/>
      <c r="C402" s="756"/>
      <c r="D402" s="757"/>
      <c r="E402" s="642"/>
      <c r="F402" s="758"/>
      <c r="G402" s="758"/>
      <c r="H402" s="758"/>
      <c r="I402" s="758"/>
      <c r="J402" s="758"/>
      <c r="K402" s="758"/>
      <c r="L402" s="758"/>
      <c r="M402" s="758"/>
      <c r="N402" s="758"/>
      <c r="O402" s="758"/>
      <c r="P402" s="758"/>
      <c r="Q402" s="758"/>
      <c r="R402" s="623"/>
      <c r="S402" s="623"/>
      <c r="T402" s="623"/>
      <c r="U402" s="626"/>
      <c r="V402" s="627"/>
      <c r="W402" s="623"/>
      <c r="X402" s="623"/>
      <c r="Y402" s="623"/>
      <c r="Z402" s="623"/>
    </row>
    <row r="403">
      <c r="A403" s="623"/>
      <c r="B403" s="625"/>
      <c r="C403" s="756"/>
      <c r="D403" s="757"/>
      <c r="E403" s="642"/>
      <c r="F403" s="758"/>
      <c r="G403" s="758"/>
      <c r="H403" s="758"/>
      <c r="I403" s="758"/>
      <c r="J403" s="758"/>
      <c r="K403" s="758"/>
      <c r="L403" s="758"/>
      <c r="M403" s="758"/>
      <c r="N403" s="758"/>
      <c r="O403" s="758"/>
      <c r="P403" s="758"/>
      <c r="Q403" s="758"/>
      <c r="R403" s="623"/>
      <c r="S403" s="623"/>
      <c r="T403" s="623"/>
      <c r="U403" s="626"/>
      <c r="V403" s="627"/>
      <c r="W403" s="623"/>
      <c r="X403" s="623"/>
      <c r="Y403" s="623"/>
      <c r="Z403" s="623"/>
    </row>
    <row r="404">
      <c r="A404" s="623"/>
      <c r="B404" s="625"/>
      <c r="C404" s="756"/>
      <c r="D404" s="757"/>
      <c r="E404" s="642"/>
      <c r="F404" s="758"/>
      <c r="G404" s="758"/>
      <c r="H404" s="758"/>
      <c r="I404" s="758"/>
      <c r="J404" s="758"/>
      <c r="K404" s="758"/>
      <c r="L404" s="758"/>
      <c r="M404" s="758"/>
      <c r="N404" s="758"/>
      <c r="O404" s="758"/>
      <c r="P404" s="758"/>
      <c r="Q404" s="758"/>
      <c r="R404" s="623"/>
      <c r="S404" s="623"/>
      <c r="T404" s="623"/>
      <c r="U404" s="626"/>
      <c r="V404" s="627"/>
      <c r="W404" s="623"/>
      <c r="X404" s="623"/>
      <c r="Y404" s="623"/>
      <c r="Z404" s="623"/>
    </row>
    <row r="405">
      <c r="A405" s="623"/>
      <c r="B405" s="625"/>
      <c r="C405" s="756"/>
      <c r="D405" s="757"/>
      <c r="E405" s="642"/>
      <c r="F405" s="758"/>
      <c r="G405" s="758"/>
      <c r="H405" s="758"/>
      <c r="I405" s="758"/>
      <c r="J405" s="758"/>
      <c r="K405" s="758"/>
      <c r="L405" s="758"/>
      <c r="M405" s="758"/>
      <c r="N405" s="758"/>
      <c r="O405" s="758"/>
      <c r="P405" s="758"/>
      <c r="Q405" s="758"/>
      <c r="R405" s="623"/>
      <c r="S405" s="623"/>
      <c r="T405" s="623"/>
      <c r="U405" s="626"/>
      <c r="V405" s="627"/>
      <c r="W405" s="623"/>
      <c r="X405" s="623"/>
      <c r="Y405" s="623"/>
      <c r="Z405" s="623"/>
    </row>
    <row r="406">
      <c r="A406" s="623"/>
      <c r="B406" s="625"/>
      <c r="C406" s="756"/>
      <c r="D406" s="757"/>
      <c r="E406" s="642"/>
      <c r="F406" s="758"/>
      <c r="G406" s="758"/>
      <c r="H406" s="758"/>
      <c r="I406" s="758"/>
      <c r="J406" s="758"/>
      <c r="K406" s="758"/>
      <c r="L406" s="758"/>
      <c r="M406" s="758"/>
      <c r="N406" s="758"/>
      <c r="O406" s="758"/>
      <c r="P406" s="758"/>
      <c r="Q406" s="758"/>
      <c r="R406" s="623"/>
      <c r="S406" s="623"/>
      <c r="T406" s="623"/>
      <c r="U406" s="626"/>
      <c r="V406" s="627"/>
      <c r="W406" s="623"/>
      <c r="X406" s="623"/>
      <c r="Y406" s="623"/>
      <c r="Z406" s="623"/>
    </row>
    <row r="407">
      <c r="A407" s="623"/>
      <c r="B407" s="625"/>
      <c r="C407" s="756"/>
      <c r="D407" s="757"/>
      <c r="E407" s="642"/>
      <c r="F407" s="758"/>
      <c r="G407" s="758"/>
      <c r="H407" s="758"/>
      <c r="I407" s="758"/>
      <c r="J407" s="758"/>
      <c r="K407" s="758"/>
      <c r="L407" s="758"/>
      <c r="M407" s="758"/>
      <c r="N407" s="758"/>
      <c r="O407" s="758"/>
      <c r="P407" s="758"/>
      <c r="Q407" s="758"/>
      <c r="R407" s="623"/>
      <c r="S407" s="623"/>
      <c r="T407" s="623"/>
      <c r="U407" s="626"/>
      <c r="V407" s="627"/>
      <c r="W407" s="623"/>
      <c r="X407" s="623"/>
      <c r="Y407" s="623"/>
      <c r="Z407" s="623"/>
    </row>
    <row r="408">
      <c r="A408" s="623"/>
      <c r="B408" s="625"/>
      <c r="C408" s="756"/>
      <c r="D408" s="757"/>
      <c r="E408" s="642"/>
      <c r="F408" s="758"/>
      <c r="G408" s="758"/>
      <c r="H408" s="758"/>
      <c r="I408" s="758"/>
      <c r="J408" s="758"/>
      <c r="K408" s="758"/>
      <c r="L408" s="758"/>
      <c r="M408" s="758"/>
      <c r="N408" s="758"/>
      <c r="O408" s="758"/>
      <c r="P408" s="758"/>
      <c r="Q408" s="758"/>
      <c r="R408" s="623"/>
      <c r="S408" s="623"/>
      <c r="T408" s="623"/>
      <c r="U408" s="626"/>
      <c r="V408" s="627"/>
      <c r="W408" s="623"/>
      <c r="X408" s="623"/>
      <c r="Y408" s="623"/>
      <c r="Z408" s="623"/>
    </row>
    <row r="409">
      <c r="A409" s="623"/>
      <c r="B409" s="625"/>
      <c r="C409" s="756"/>
      <c r="D409" s="757"/>
      <c r="E409" s="642"/>
      <c r="F409" s="758"/>
      <c r="G409" s="758"/>
      <c r="H409" s="758"/>
      <c r="I409" s="758"/>
      <c r="J409" s="758"/>
      <c r="K409" s="758"/>
      <c r="L409" s="758"/>
      <c r="M409" s="758"/>
      <c r="N409" s="758"/>
      <c r="O409" s="758"/>
      <c r="P409" s="758"/>
      <c r="Q409" s="758"/>
      <c r="R409" s="623"/>
      <c r="S409" s="623"/>
      <c r="T409" s="623"/>
      <c r="U409" s="626"/>
      <c r="V409" s="627"/>
      <c r="W409" s="623"/>
      <c r="X409" s="623"/>
      <c r="Y409" s="623"/>
      <c r="Z409" s="623"/>
    </row>
    <row r="410">
      <c r="A410" s="623"/>
      <c r="B410" s="625"/>
      <c r="C410" s="756"/>
      <c r="D410" s="757"/>
      <c r="E410" s="642"/>
      <c r="F410" s="758"/>
      <c r="G410" s="758"/>
      <c r="H410" s="758"/>
      <c r="I410" s="758"/>
      <c r="J410" s="758"/>
      <c r="K410" s="758"/>
      <c r="L410" s="758"/>
      <c r="M410" s="758"/>
      <c r="N410" s="758"/>
      <c r="O410" s="758"/>
      <c r="P410" s="758"/>
      <c r="Q410" s="758"/>
      <c r="R410" s="623"/>
      <c r="S410" s="623"/>
      <c r="T410" s="623"/>
      <c r="U410" s="626"/>
      <c r="V410" s="627"/>
      <c r="W410" s="623"/>
      <c r="X410" s="623"/>
      <c r="Y410" s="623"/>
      <c r="Z410" s="623"/>
    </row>
    <row r="411">
      <c r="A411" s="623"/>
      <c r="B411" s="625"/>
      <c r="C411" s="756"/>
      <c r="D411" s="757"/>
      <c r="E411" s="642"/>
      <c r="F411" s="758"/>
      <c r="G411" s="758"/>
      <c r="H411" s="758"/>
      <c r="I411" s="758"/>
      <c r="J411" s="758"/>
      <c r="K411" s="758"/>
      <c r="L411" s="758"/>
      <c r="M411" s="758"/>
      <c r="N411" s="758"/>
      <c r="O411" s="758"/>
      <c r="P411" s="758"/>
      <c r="Q411" s="758"/>
      <c r="R411" s="623"/>
      <c r="S411" s="623"/>
      <c r="T411" s="623"/>
      <c r="U411" s="626"/>
      <c r="V411" s="627"/>
      <c r="W411" s="623"/>
      <c r="X411" s="623"/>
      <c r="Y411" s="623"/>
      <c r="Z411" s="623"/>
    </row>
    <row r="412">
      <c r="A412" s="623"/>
      <c r="B412" s="625"/>
      <c r="C412" s="756"/>
      <c r="D412" s="757"/>
      <c r="E412" s="642"/>
      <c r="F412" s="758"/>
      <c r="G412" s="758"/>
      <c r="H412" s="758"/>
      <c r="I412" s="758"/>
      <c r="J412" s="758"/>
      <c r="K412" s="758"/>
      <c r="L412" s="758"/>
      <c r="M412" s="758"/>
      <c r="N412" s="758"/>
      <c r="O412" s="758"/>
      <c r="P412" s="758"/>
      <c r="Q412" s="758"/>
      <c r="R412" s="623"/>
      <c r="S412" s="623"/>
      <c r="T412" s="623"/>
      <c r="U412" s="626"/>
      <c r="V412" s="627"/>
      <c r="W412" s="623"/>
      <c r="X412" s="623"/>
      <c r="Y412" s="623"/>
      <c r="Z412" s="623"/>
    </row>
    <row r="413">
      <c r="A413" s="623"/>
      <c r="B413" s="625"/>
      <c r="C413" s="756"/>
      <c r="D413" s="757"/>
      <c r="E413" s="642"/>
      <c r="F413" s="758"/>
      <c r="G413" s="758"/>
      <c r="H413" s="758"/>
      <c r="I413" s="758"/>
      <c r="J413" s="758"/>
      <c r="K413" s="758"/>
      <c r="L413" s="758"/>
      <c r="M413" s="758"/>
      <c r="N413" s="758"/>
      <c r="O413" s="758"/>
      <c r="P413" s="758"/>
      <c r="Q413" s="758"/>
      <c r="R413" s="623"/>
      <c r="S413" s="623"/>
      <c r="T413" s="623"/>
      <c r="U413" s="626"/>
      <c r="V413" s="627"/>
      <c r="W413" s="623"/>
      <c r="X413" s="623"/>
      <c r="Y413" s="623"/>
      <c r="Z413" s="623"/>
    </row>
    <row r="414">
      <c r="A414" s="623"/>
      <c r="B414" s="625"/>
      <c r="C414" s="756"/>
      <c r="D414" s="757"/>
      <c r="E414" s="642"/>
      <c r="F414" s="758"/>
      <c r="G414" s="758"/>
      <c r="H414" s="758"/>
      <c r="I414" s="758"/>
      <c r="J414" s="758"/>
      <c r="K414" s="758"/>
      <c r="L414" s="758"/>
      <c r="M414" s="758"/>
      <c r="N414" s="758"/>
      <c r="O414" s="758"/>
      <c r="P414" s="758"/>
      <c r="Q414" s="758"/>
      <c r="R414" s="623"/>
      <c r="S414" s="623"/>
      <c r="T414" s="623"/>
      <c r="U414" s="626"/>
      <c r="V414" s="627"/>
      <c r="W414" s="623"/>
      <c r="X414" s="623"/>
      <c r="Y414" s="623"/>
      <c r="Z414" s="623"/>
    </row>
    <row r="415">
      <c r="A415" s="623"/>
      <c r="B415" s="625"/>
      <c r="C415" s="756"/>
      <c r="D415" s="757"/>
      <c r="E415" s="642"/>
      <c r="F415" s="758"/>
      <c r="G415" s="758"/>
      <c r="H415" s="758"/>
      <c r="I415" s="758"/>
      <c r="J415" s="758"/>
      <c r="K415" s="758"/>
      <c r="L415" s="758"/>
      <c r="M415" s="758"/>
      <c r="N415" s="758"/>
      <c r="O415" s="758"/>
      <c r="P415" s="758"/>
      <c r="Q415" s="758"/>
      <c r="R415" s="623"/>
      <c r="S415" s="623"/>
      <c r="T415" s="623"/>
      <c r="U415" s="626"/>
      <c r="V415" s="627"/>
      <c r="W415" s="623"/>
      <c r="X415" s="623"/>
      <c r="Y415" s="623"/>
      <c r="Z415" s="623"/>
    </row>
    <row r="416">
      <c r="A416" s="623"/>
      <c r="B416" s="625"/>
      <c r="C416" s="756"/>
      <c r="D416" s="757"/>
      <c r="E416" s="642"/>
      <c r="F416" s="758"/>
      <c r="G416" s="758"/>
      <c r="H416" s="758"/>
      <c r="I416" s="758"/>
      <c r="J416" s="758"/>
      <c r="K416" s="758"/>
      <c r="L416" s="758"/>
      <c r="M416" s="758"/>
      <c r="N416" s="758"/>
      <c r="O416" s="758"/>
      <c r="P416" s="758"/>
      <c r="Q416" s="758"/>
      <c r="R416" s="623"/>
      <c r="S416" s="623"/>
      <c r="T416" s="623"/>
      <c r="U416" s="626"/>
      <c r="V416" s="627"/>
      <c r="W416" s="623"/>
      <c r="X416" s="623"/>
      <c r="Y416" s="623"/>
      <c r="Z416" s="623"/>
    </row>
    <row r="417">
      <c r="A417" s="623"/>
      <c r="B417" s="625"/>
      <c r="C417" s="756"/>
      <c r="D417" s="757"/>
      <c r="E417" s="642"/>
      <c r="F417" s="758"/>
      <c r="G417" s="758"/>
      <c r="H417" s="758"/>
      <c r="I417" s="758"/>
      <c r="J417" s="758"/>
      <c r="K417" s="758"/>
      <c r="L417" s="758"/>
      <c r="M417" s="758"/>
      <c r="N417" s="758"/>
      <c r="O417" s="758"/>
      <c r="P417" s="758"/>
      <c r="Q417" s="758"/>
      <c r="R417" s="623"/>
      <c r="S417" s="623"/>
      <c r="T417" s="623"/>
      <c r="U417" s="626"/>
      <c r="V417" s="627"/>
      <c r="W417" s="623"/>
      <c r="X417" s="623"/>
      <c r="Y417" s="623"/>
      <c r="Z417" s="623"/>
    </row>
    <row r="418">
      <c r="A418" s="623"/>
      <c r="B418" s="625"/>
      <c r="C418" s="756"/>
      <c r="D418" s="757"/>
      <c r="E418" s="642"/>
      <c r="F418" s="758"/>
      <c r="G418" s="758"/>
      <c r="H418" s="758"/>
      <c r="I418" s="758"/>
      <c r="J418" s="758"/>
      <c r="K418" s="758"/>
      <c r="L418" s="758"/>
      <c r="M418" s="758"/>
      <c r="N418" s="758"/>
      <c r="O418" s="758"/>
      <c r="P418" s="758"/>
      <c r="Q418" s="758"/>
      <c r="R418" s="623"/>
      <c r="S418" s="623"/>
      <c r="T418" s="623"/>
      <c r="U418" s="626"/>
      <c r="V418" s="627"/>
      <c r="W418" s="623"/>
      <c r="X418" s="623"/>
      <c r="Y418" s="623"/>
      <c r="Z418" s="623"/>
    </row>
    <row r="419">
      <c r="A419" s="623"/>
      <c r="B419" s="625"/>
      <c r="C419" s="756"/>
      <c r="D419" s="757"/>
      <c r="E419" s="642"/>
      <c r="F419" s="758"/>
      <c r="G419" s="758"/>
      <c r="H419" s="758"/>
      <c r="I419" s="758"/>
      <c r="J419" s="758"/>
      <c r="K419" s="758"/>
      <c r="L419" s="758"/>
      <c r="M419" s="758"/>
      <c r="N419" s="758"/>
      <c r="O419" s="758"/>
      <c r="P419" s="758"/>
      <c r="Q419" s="758"/>
      <c r="R419" s="623"/>
      <c r="S419" s="623"/>
      <c r="T419" s="623"/>
      <c r="U419" s="626"/>
      <c r="V419" s="627"/>
      <c r="W419" s="623"/>
      <c r="X419" s="623"/>
      <c r="Y419" s="623"/>
      <c r="Z419" s="623"/>
    </row>
    <row r="420">
      <c r="A420" s="623"/>
      <c r="B420" s="625"/>
      <c r="C420" s="756"/>
      <c r="D420" s="757"/>
      <c r="E420" s="642"/>
      <c r="F420" s="758"/>
      <c r="G420" s="758"/>
      <c r="H420" s="758"/>
      <c r="I420" s="758"/>
      <c r="J420" s="758"/>
      <c r="K420" s="758"/>
      <c r="L420" s="758"/>
      <c r="M420" s="758"/>
      <c r="N420" s="758"/>
      <c r="O420" s="758"/>
      <c r="P420" s="758"/>
      <c r="Q420" s="758"/>
      <c r="R420" s="623"/>
      <c r="S420" s="623"/>
      <c r="T420" s="623"/>
      <c r="U420" s="626"/>
      <c r="V420" s="627"/>
      <c r="W420" s="623"/>
      <c r="X420" s="623"/>
      <c r="Y420" s="623"/>
      <c r="Z420" s="623"/>
    </row>
    <row r="421">
      <c r="A421" s="623"/>
      <c r="B421" s="625"/>
      <c r="C421" s="756"/>
      <c r="D421" s="757"/>
      <c r="E421" s="642"/>
      <c r="F421" s="758"/>
      <c r="G421" s="758"/>
      <c r="H421" s="758"/>
      <c r="I421" s="758"/>
      <c r="J421" s="758"/>
      <c r="K421" s="758"/>
      <c r="L421" s="758"/>
      <c r="M421" s="758"/>
      <c r="N421" s="758"/>
      <c r="O421" s="758"/>
      <c r="P421" s="758"/>
      <c r="Q421" s="758"/>
      <c r="R421" s="623"/>
      <c r="S421" s="623"/>
      <c r="T421" s="623"/>
      <c r="U421" s="626"/>
      <c r="V421" s="627"/>
      <c r="W421" s="623"/>
      <c r="X421" s="623"/>
      <c r="Y421" s="623"/>
      <c r="Z421" s="623"/>
    </row>
    <row r="422">
      <c r="A422" s="623"/>
      <c r="B422" s="625"/>
      <c r="C422" s="756"/>
      <c r="D422" s="757"/>
      <c r="E422" s="642"/>
      <c r="F422" s="758"/>
      <c r="G422" s="758"/>
      <c r="H422" s="758"/>
      <c r="I422" s="758"/>
      <c r="J422" s="758"/>
      <c r="K422" s="758"/>
      <c r="L422" s="758"/>
      <c r="M422" s="758"/>
      <c r="N422" s="758"/>
      <c r="O422" s="758"/>
      <c r="P422" s="758"/>
      <c r="Q422" s="758"/>
      <c r="R422" s="623"/>
      <c r="S422" s="623"/>
      <c r="T422" s="623"/>
      <c r="U422" s="626"/>
      <c r="V422" s="627"/>
      <c r="W422" s="623"/>
      <c r="X422" s="623"/>
      <c r="Y422" s="623"/>
      <c r="Z422" s="623"/>
    </row>
    <row r="423">
      <c r="A423" s="623"/>
      <c r="B423" s="625"/>
      <c r="C423" s="756"/>
      <c r="D423" s="757"/>
      <c r="E423" s="642"/>
      <c r="F423" s="758"/>
      <c r="G423" s="758"/>
      <c r="H423" s="758"/>
      <c r="I423" s="758"/>
      <c r="J423" s="758"/>
      <c r="K423" s="758"/>
      <c r="L423" s="758"/>
      <c r="M423" s="758"/>
      <c r="N423" s="758"/>
      <c r="O423" s="758"/>
      <c r="P423" s="758"/>
      <c r="Q423" s="758"/>
      <c r="R423" s="623"/>
      <c r="S423" s="623"/>
      <c r="T423" s="623"/>
      <c r="U423" s="626"/>
      <c r="V423" s="627"/>
      <c r="W423" s="623"/>
      <c r="X423" s="623"/>
      <c r="Y423" s="623"/>
      <c r="Z423" s="623"/>
    </row>
    <row r="424">
      <c r="A424" s="623"/>
      <c r="B424" s="625"/>
      <c r="C424" s="756"/>
      <c r="D424" s="757"/>
      <c r="E424" s="642"/>
      <c r="F424" s="758"/>
      <c r="G424" s="758"/>
      <c r="H424" s="758"/>
      <c r="I424" s="758"/>
      <c r="J424" s="758"/>
      <c r="K424" s="758"/>
      <c r="L424" s="758"/>
      <c r="M424" s="758"/>
      <c r="N424" s="758"/>
      <c r="O424" s="758"/>
      <c r="P424" s="758"/>
      <c r="Q424" s="758"/>
      <c r="R424" s="623"/>
      <c r="S424" s="623"/>
      <c r="T424" s="623"/>
      <c r="U424" s="626"/>
      <c r="V424" s="627"/>
      <c r="W424" s="623"/>
      <c r="X424" s="623"/>
      <c r="Y424" s="623"/>
      <c r="Z424" s="623"/>
    </row>
    <row r="425">
      <c r="A425" s="623"/>
      <c r="B425" s="625"/>
      <c r="C425" s="756"/>
      <c r="D425" s="757"/>
      <c r="E425" s="642"/>
      <c r="F425" s="758"/>
      <c r="G425" s="758"/>
      <c r="H425" s="758"/>
      <c r="I425" s="758"/>
      <c r="J425" s="758"/>
      <c r="K425" s="758"/>
      <c r="L425" s="758"/>
      <c r="M425" s="758"/>
      <c r="N425" s="758"/>
      <c r="O425" s="758"/>
      <c r="P425" s="758"/>
      <c r="Q425" s="758"/>
      <c r="R425" s="623"/>
      <c r="S425" s="623"/>
      <c r="T425" s="623"/>
      <c r="U425" s="626"/>
      <c r="V425" s="627"/>
      <c r="W425" s="623"/>
      <c r="X425" s="623"/>
      <c r="Y425" s="623"/>
      <c r="Z425" s="623"/>
    </row>
    <row r="426">
      <c r="A426" s="623"/>
      <c r="B426" s="625"/>
      <c r="C426" s="756"/>
      <c r="D426" s="757"/>
      <c r="E426" s="642"/>
      <c r="F426" s="758"/>
      <c r="G426" s="758"/>
      <c r="H426" s="758"/>
      <c r="I426" s="758"/>
      <c r="J426" s="758"/>
      <c r="K426" s="758"/>
      <c r="L426" s="758"/>
      <c r="M426" s="758"/>
      <c r="N426" s="758"/>
      <c r="O426" s="758"/>
      <c r="P426" s="758"/>
      <c r="Q426" s="758"/>
      <c r="R426" s="623"/>
      <c r="S426" s="623"/>
      <c r="T426" s="623"/>
      <c r="U426" s="626"/>
      <c r="V426" s="627"/>
      <c r="W426" s="623"/>
      <c r="X426" s="623"/>
      <c r="Y426" s="623"/>
      <c r="Z426" s="623"/>
    </row>
    <row r="427">
      <c r="A427" s="623"/>
      <c r="B427" s="625"/>
      <c r="C427" s="756"/>
      <c r="D427" s="757"/>
      <c r="E427" s="642"/>
      <c r="F427" s="758"/>
      <c r="G427" s="758"/>
      <c r="H427" s="758"/>
      <c r="I427" s="758"/>
      <c r="J427" s="758"/>
      <c r="K427" s="758"/>
      <c r="L427" s="758"/>
      <c r="M427" s="758"/>
      <c r="N427" s="758"/>
      <c r="O427" s="758"/>
      <c r="P427" s="758"/>
      <c r="Q427" s="758"/>
      <c r="R427" s="623"/>
      <c r="S427" s="623"/>
      <c r="T427" s="623"/>
      <c r="U427" s="626"/>
      <c r="V427" s="627"/>
      <c r="W427" s="623"/>
      <c r="X427" s="623"/>
      <c r="Y427" s="623"/>
      <c r="Z427" s="623"/>
    </row>
    <row r="428">
      <c r="A428" s="623"/>
      <c r="B428" s="625"/>
      <c r="C428" s="756"/>
      <c r="D428" s="757"/>
      <c r="E428" s="642"/>
      <c r="F428" s="758"/>
      <c r="G428" s="758"/>
      <c r="H428" s="758"/>
      <c r="I428" s="758"/>
      <c r="J428" s="758"/>
      <c r="K428" s="758"/>
      <c r="L428" s="758"/>
      <c r="M428" s="758"/>
      <c r="N428" s="758"/>
      <c r="O428" s="758"/>
      <c r="P428" s="758"/>
      <c r="Q428" s="758"/>
      <c r="R428" s="623"/>
      <c r="S428" s="623"/>
      <c r="T428" s="623"/>
      <c r="U428" s="626"/>
      <c r="V428" s="627"/>
      <c r="W428" s="623"/>
      <c r="X428" s="623"/>
      <c r="Y428" s="623"/>
      <c r="Z428" s="623"/>
    </row>
    <row r="429">
      <c r="A429" s="623"/>
      <c r="B429" s="625"/>
      <c r="C429" s="756"/>
      <c r="D429" s="757"/>
      <c r="E429" s="642"/>
      <c r="F429" s="758"/>
      <c r="G429" s="758"/>
      <c r="H429" s="758"/>
      <c r="I429" s="758"/>
      <c r="J429" s="758"/>
      <c r="K429" s="758"/>
      <c r="L429" s="758"/>
      <c r="M429" s="758"/>
      <c r="N429" s="758"/>
      <c r="O429" s="758"/>
      <c r="P429" s="758"/>
      <c r="Q429" s="758"/>
      <c r="R429" s="623"/>
      <c r="S429" s="623"/>
      <c r="T429" s="623"/>
      <c r="U429" s="626"/>
      <c r="V429" s="627"/>
      <c r="W429" s="623"/>
      <c r="X429" s="623"/>
      <c r="Y429" s="623"/>
      <c r="Z429" s="623"/>
    </row>
    <row r="430">
      <c r="A430" s="623"/>
      <c r="B430" s="625"/>
      <c r="C430" s="756"/>
      <c r="D430" s="757"/>
      <c r="E430" s="642"/>
      <c r="F430" s="758"/>
      <c r="G430" s="758"/>
      <c r="H430" s="758"/>
      <c r="I430" s="758"/>
      <c r="J430" s="758"/>
      <c r="K430" s="758"/>
      <c r="L430" s="758"/>
      <c r="M430" s="758"/>
      <c r="N430" s="758"/>
      <c r="O430" s="758"/>
      <c r="P430" s="758"/>
      <c r="Q430" s="758"/>
      <c r="R430" s="623"/>
      <c r="S430" s="623"/>
      <c r="T430" s="623"/>
      <c r="U430" s="626"/>
      <c r="V430" s="627"/>
      <c r="W430" s="623"/>
      <c r="X430" s="623"/>
      <c r="Y430" s="623"/>
      <c r="Z430" s="623"/>
    </row>
    <row r="431">
      <c r="A431" s="623"/>
      <c r="B431" s="625"/>
      <c r="C431" s="756"/>
      <c r="D431" s="757"/>
      <c r="E431" s="642"/>
      <c r="F431" s="758"/>
      <c r="G431" s="758"/>
      <c r="H431" s="758"/>
      <c r="I431" s="758"/>
      <c r="J431" s="758"/>
      <c r="K431" s="758"/>
      <c r="L431" s="758"/>
      <c r="M431" s="758"/>
      <c r="N431" s="758"/>
      <c r="O431" s="758"/>
      <c r="P431" s="758"/>
      <c r="Q431" s="758"/>
      <c r="R431" s="623"/>
      <c r="S431" s="623"/>
      <c r="T431" s="623"/>
      <c r="U431" s="626"/>
      <c r="V431" s="627"/>
      <c r="W431" s="623"/>
      <c r="X431" s="623"/>
      <c r="Y431" s="623"/>
      <c r="Z431" s="623"/>
    </row>
    <row r="432">
      <c r="A432" s="623"/>
      <c r="B432" s="625"/>
      <c r="C432" s="756"/>
      <c r="D432" s="757"/>
      <c r="E432" s="642"/>
      <c r="F432" s="758"/>
      <c r="G432" s="758"/>
      <c r="H432" s="758"/>
      <c r="I432" s="758"/>
      <c r="J432" s="758"/>
      <c r="K432" s="758"/>
      <c r="L432" s="758"/>
      <c r="M432" s="758"/>
      <c r="N432" s="758"/>
      <c r="O432" s="758"/>
      <c r="P432" s="758"/>
      <c r="Q432" s="758"/>
      <c r="R432" s="623"/>
      <c r="S432" s="623"/>
      <c r="T432" s="623"/>
      <c r="U432" s="626"/>
      <c r="V432" s="627"/>
      <c r="W432" s="623"/>
      <c r="X432" s="623"/>
      <c r="Y432" s="623"/>
      <c r="Z432" s="623"/>
    </row>
    <row r="433">
      <c r="A433" s="623"/>
      <c r="B433" s="625"/>
      <c r="C433" s="756"/>
      <c r="D433" s="757"/>
      <c r="E433" s="642"/>
      <c r="F433" s="758"/>
      <c r="G433" s="758"/>
      <c r="H433" s="758"/>
      <c r="I433" s="758"/>
      <c r="J433" s="758"/>
      <c r="K433" s="758"/>
      <c r="L433" s="758"/>
      <c r="M433" s="758"/>
      <c r="N433" s="758"/>
      <c r="O433" s="758"/>
      <c r="P433" s="758"/>
      <c r="Q433" s="758"/>
      <c r="R433" s="623"/>
      <c r="S433" s="623"/>
      <c r="T433" s="623"/>
      <c r="U433" s="626"/>
      <c r="V433" s="627"/>
      <c r="W433" s="623"/>
      <c r="X433" s="623"/>
      <c r="Y433" s="623"/>
      <c r="Z433" s="623"/>
    </row>
    <row r="434">
      <c r="A434" s="623"/>
      <c r="B434" s="625"/>
      <c r="C434" s="756"/>
      <c r="D434" s="757"/>
      <c r="E434" s="642"/>
      <c r="F434" s="758"/>
      <c r="G434" s="758"/>
      <c r="H434" s="758"/>
      <c r="I434" s="758"/>
      <c r="J434" s="758"/>
      <c r="K434" s="758"/>
      <c r="L434" s="758"/>
      <c r="M434" s="758"/>
      <c r="N434" s="758"/>
      <c r="O434" s="758"/>
      <c r="P434" s="758"/>
      <c r="Q434" s="758"/>
      <c r="R434" s="623"/>
      <c r="S434" s="623"/>
      <c r="T434" s="623"/>
      <c r="U434" s="626"/>
      <c r="V434" s="627"/>
      <c r="W434" s="623"/>
      <c r="X434" s="623"/>
      <c r="Y434" s="623"/>
      <c r="Z434" s="623"/>
    </row>
    <row r="435">
      <c r="A435" s="623"/>
      <c r="B435" s="625"/>
      <c r="C435" s="756"/>
      <c r="D435" s="757"/>
      <c r="E435" s="642"/>
      <c r="F435" s="758"/>
      <c r="G435" s="758"/>
      <c r="H435" s="758"/>
      <c r="I435" s="758"/>
      <c r="J435" s="758"/>
      <c r="K435" s="758"/>
      <c r="L435" s="758"/>
      <c r="M435" s="758"/>
      <c r="N435" s="758"/>
      <c r="O435" s="758"/>
      <c r="P435" s="758"/>
      <c r="Q435" s="758"/>
      <c r="R435" s="623"/>
      <c r="S435" s="623"/>
      <c r="T435" s="623"/>
      <c r="U435" s="626"/>
      <c r="V435" s="627"/>
      <c r="W435" s="623"/>
      <c r="X435" s="623"/>
      <c r="Y435" s="623"/>
      <c r="Z435" s="623"/>
    </row>
    <row r="436">
      <c r="A436" s="623"/>
      <c r="B436" s="625"/>
      <c r="C436" s="756"/>
      <c r="D436" s="757"/>
      <c r="E436" s="642"/>
      <c r="F436" s="758"/>
      <c r="G436" s="758"/>
      <c r="H436" s="758"/>
      <c r="I436" s="758"/>
      <c r="J436" s="758"/>
      <c r="K436" s="758"/>
      <c r="L436" s="758"/>
      <c r="M436" s="758"/>
      <c r="N436" s="758"/>
      <c r="O436" s="758"/>
      <c r="P436" s="758"/>
      <c r="Q436" s="758"/>
      <c r="R436" s="623"/>
      <c r="S436" s="623"/>
      <c r="T436" s="623"/>
      <c r="U436" s="626"/>
      <c r="V436" s="627"/>
      <c r="W436" s="623"/>
      <c r="X436" s="623"/>
      <c r="Y436" s="623"/>
      <c r="Z436" s="623"/>
    </row>
    <row r="437">
      <c r="A437" s="623"/>
      <c r="B437" s="625"/>
      <c r="C437" s="756"/>
      <c r="D437" s="757"/>
      <c r="E437" s="642"/>
      <c r="F437" s="758"/>
      <c r="G437" s="758"/>
      <c r="H437" s="758"/>
      <c r="I437" s="758"/>
      <c r="J437" s="758"/>
      <c r="K437" s="758"/>
      <c r="L437" s="758"/>
      <c r="M437" s="758"/>
      <c r="N437" s="758"/>
      <c r="O437" s="758"/>
      <c r="P437" s="758"/>
      <c r="Q437" s="758"/>
      <c r="R437" s="623"/>
      <c r="S437" s="623"/>
      <c r="T437" s="623"/>
      <c r="U437" s="626"/>
      <c r="V437" s="627"/>
      <c r="W437" s="623"/>
      <c r="X437" s="623"/>
      <c r="Y437" s="623"/>
      <c r="Z437" s="623"/>
    </row>
    <row r="438">
      <c r="A438" s="623"/>
      <c r="B438" s="625"/>
      <c r="C438" s="756"/>
      <c r="D438" s="757"/>
      <c r="E438" s="642"/>
      <c r="F438" s="758"/>
      <c r="G438" s="758"/>
      <c r="H438" s="758"/>
      <c r="I438" s="758"/>
      <c r="J438" s="758"/>
      <c r="K438" s="758"/>
      <c r="L438" s="758"/>
      <c r="M438" s="758"/>
      <c r="N438" s="758"/>
      <c r="O438" s="758"/>
      <c r="P438" s="758"/>
      <c r="Q438" s="758"/>
      <c r="R438" s="623"/>
      <c r="S438" s="623"/>
      <c r="T438" s="623"/>
      <c r="U438" s="626"/>
      <c r="V438" s="627"/>
      <c r="W438" s="623"/>
      <c r="X438" s="623"/>
      <c r="Y438" s="623"/>
      <c r="Z438" s="623"/>
    </row>
    <row r="439">
      <c r="A439" s="623"/>
      <c r="B439" s="625"/>
      <c r="C439" s="756"/>
      <c r="D439" s="757"/>
      <c r="E439" s="642"/>
      <c r="F439" s="758"/>
      <c r="G439" s="758"/>
      <c r="H439" s="758"/>
      <c r="I439" s="758"/>
      <c r="J439" s="758"/>
      <c r="K439" s="758"/>
      <c r="L439" s="758"/>
      <c r="M439" s="758"/>
      <c r="N439" s="758"/>
      <c r="O439" s="758"/>
      <c r="P439" s="758"/>
      <c r="Q439" s="758"/>
      <c r="R439" s="623"/>
      <c r="S439" s="623"/>
      <c r="T439" s="623"/>
      <c r="U439" s="626"/>
      <c r="V439" s="627"/>
      <c r="W439" s="623"/>
      <c r="X439" s="623"/>
      <c r="Y439" s="623"/>
      <c r="Z439" s="623"/>
    </row>
    <row r="440">
      <c r="A440" s="623"/>
      <c r="B440" s="625"/>
      <c r="C440" s="756"/>
      <c r="D440" s="757"/>
      <c r="E440" s="642"/>
      <c r="F440" s="758"/>
      <c r="G440" s="758"/>
      <c r="H440" s="758"/>
      <c r="I440" s="758"/>
      <c r="J440" s="758"/>
      <c r="K440" s="758"/>
      <c r="L440" s="758"/>
      <c r="M440" s="758"/>
      <c r="N440" s="758"/>
      <c r="O440" s="758"/>
      <c r="P440" s="758"/>
      <c r="Q440" s="758"/>
      <c r="R440" s="623"/>
      <c r="S440" s="623"/>
      <c r="T440" s="623"/>
      <c r="U440" s="626"/>
      <c r="V440" s="627"/>
      <c r="W440" s="623"/>
      <c r="X440" s="623"/>
      <c r="Y440" s="623"/>
      <c r="Z440" s="623"/>
    </row>
    <row r="441">
      <c r="A441" s="623"/>
      <c r="B441" s="625"/>
      <c r="C441" s="756"/>
      <c r="D441" s="757"/>
      <c r="E441" s="642"/>
      <c r="F441" s="758"/>
      <c r="G441" s="758"/>
      <c r="H441" s="758"/>
      <c r="I441" s="758"/>
      <c r="J441" s="758"/>
      <c r="K441" s="758"/>
      <c r="L441" s="758"/>
      <c r="M441" s="758"/>
      <c r="N441" s="758"/>
      <c r="O441" s="758"/>
      <c r="P441" s="758"/>
      <c r="Q441" s="758"/>
      <c r="R441" s="623"/>
      <c r="S441" s="623"/>
      <c r="T441" s="623"/>
      <c r="U441" s="626"/>
      <c r="V441" s="627"/>
      <c r="W441" s="623"/>
      <c r="X441" s="623"/>
      <c r="Y441" s="623"/>
      <c r="Z441" s="623"/>
    </row>
    <row r="442">
      <c r="A442" s="623"/>
      <c r="B442" s="625"/>
      <c r="C442" s="756"/>
      <c r="D442" s="757"/>
      <c r="E442" s="642"/>
      <c r="F442" s="758"/>
      <c r="G442" s="758"/>
      <c r="H442" s="758"/>
      <c r="I442" s="758"/>
      <c r="J442" s="758"/>
      <c r="K442" s="758"/>
      <c r="L442" s="758"/>
      <c r="M442" s="758"/>
      <c r="N442" s="758"/>
      <c r="O442" s="758"/>
      <c r="P442" s="758"/>
      <c r="Q442" s="758"/>
      <c r="R442" s="623"/>
      <c r="S442" s="623"/>
      <c r="T442" s="623"/>
      <c r="U442" s="626"/>
      <c r="V442" s="627"/>
      <c r="W442" s="623"/>
      <c r="X442" s="623"/>
      <c r="Y442" s="623"/>
      <c r="Z442" s="623"/>
    </row>
    <row r="443">
      <c r="A443" s="623"/>
      <c r="B443" s="625"/>
      <c r="C443" s="756"/>
      <c r="D443" s="757"/>
      <c r="E443" s="642"/>
      <c r="F443" s="758"/>
      <c r="G443" s="758"/>
      <c r="H443" s="758"/>
      <c r="I443" s="758"/>
      <c r="J443" s="758"/>
      <c r="K443" s="758"/>
      <c r="L443" s="758"/>
      <c r="M443" s="758"/>
      <c r="N443" s="758"/>
      <c r="O443" s="758"/>
      <c r="P443" s="758"/>
      <c r="Q443" s="758"/>
      <c r="R443" s="623"/>
      <c r="S443" s="623"/>
      <c r="T443" s="623"/>
      <c r="U443" s="626"/>
      <c r="V443" s="627"/>
      <c r="W443" s="623"/>
      <c r="X443" s="623"/>
      <c r="Y443" s="623"/>
      <c r="Z443" s="623"/>
    </row>
    <row r="444">
      <c r="A444" s="623"/>
      <c r="B444" s="625"/>
      <c r="C444" s="756"/>
      <c r="D444" s="757"/>
      <c r="E444" s="642"/>
      <c r="F444" s="758"/>
      <c r="G444" s="758"/>
      <c r="H444" s="758"/>
      <c r="I444" s="758"/>
      <c r="J444" s="758"/>
      <c r="K444" s="758"/>
      <c r="L444" s="758"/>
      <c r="M444" s="758"/>
      <c r="N444" s="758"/>
      <c r="O444" s="758"/>
      <c r="P444" s="758"/>
      <c r="Q444" s="758"/>
      <c r="R444" s="623"/>
      <c r="S444" s="623"/>
      <c r="T444" s="623"/>
      <c r="U444" s="626"/>
      <c r="V444" s="627"/>
      <c r="W444" s="623"/>
      <c r="X444" s="623"/>
      <c r="Y444" s="623"/>
      <c r="Z444" s="623"/>
    </row>
    <row r="445">
      <c r="A445" s="623"/>
      <c r="B445" s="625"/>
      <c r="C445" s="756"/>
      <c r="D445" s="757"/>
      <c r="E445" s="642"/>
      <c r="F445" s="758"/>
      <c r="G445" s="758"/>
      <c r="H445" s="758"/>
      <c r="I445" s="758"/>
      <c r="J445" s="758"/>
      <c r="K445" s="758"/>
      <c r="L445" s="758"/>
      <c r="M445" s="758"/>
      <c r="N445" s="758"/>
      <c r="O445" s="758"/>
      <c r="P445" s="758"/>
      <c r="Q445" s="758"/>
      <c r="R445" s="623"/>
      <c r="S445" s="623"/>
      <c r="T445" s="623"/>
      <c r="U445" s="626"/>
      <c r="V445" s="627"/>
      <c r="W445" s="623"/>
      <c r="X445" s="623"/>
      <c r="Y445" s="623"/>
      <c r="Z445" s="623"/>
    </row>
    <row r="446">
      <c r="A446" s="623"/>
      <c r="B446" s="625"/>
      <c r="C446" s="756"/>
      <c r="D446" s="757"/>
      <c r="E446" s="642"/>
      <c r="F446" s="758"/>
      <c r="G446" s="758"/>
      <c r="H446" s="758"/>
      <c r="I446" s="758"/>
      <c r="J446" s="758"/>
      <c r="K446" s="758"/>
      <c r="L446" s="758"/>
      <c r="M446" s="758"/>
      <c r="N446" s="758"/>
      <c r="O446" s="758"/>
      <c r="P446" s="758"/>
      <c r="Q446" s="758"/>
      <c r="R446" s="623"/>
      <c r="S446" s="623"/>
      <c r="T446" s="623"/>
      <c r="U446" s="626"/>
      <c r="V446" s="627"/>
      <c r="W446" s="623"/>
      <c r="X446" s="623"/>
      <c r="Y446" s="623"/>
      <c r="Z446" s="623"/>
    </row>
    <row r="447">
      <c r="A447" s="623"/>
      <c r="B447" s="625"/>
      <c r="C447" s="756"/>
      <c r="D447" s="757"/>
      <c r="E447" s="642"/>
      <c r="F447" s="758"/>
      <c r="G447" s="758"/>
      <c r="H447" s="758"/>
      <c r="I447" s="758"/>
      <c r="J447" s="758"/>
      <c r="K447" s="758"/>
      <c r="L447" s="758"/>
      <c r="M447" s="758"/>
      <c r="N447" s="758"/>
      <c r="O447" s="758"/>
      <c r="P447" s="758"/>
      <c r="Q447" s="758"/>
      <c r="R447" s="623"/>
      <c r="S447" s="623"/>
      <c r="T447" s="623"/>
      <c r="U447" s="626"/>
      <c r="V447" s="627"/>
      <c r="W447" s="623"/>
      <c r="X447" s="623"/>
      <c r="Y447" s="623"/>
      <c r="Z447" s="623"/>
    </row>
    <row r="448">
      <c r="A448" s="623"/>
      <c r="B448" s="625"/>
      <c r="C448" s="756"/>
      <c r="D448" s="757"/>
      <c r="E448" s="642"/>
      <c r="F448" s="758"/>
      <c r="G448" s="758"/>
      <c r="H448" s="758"/>
      <c r="I448" s="758"/>
      <c r="J448" s="758"/>
      <c r="K448" s="758"/>
      <c r="L448" s="758"/>
      <c r="M448" s="758"/>
      <c r="N448" s="758"/>
      <c r="O448" s="758"/>
      <c r="P448" s="758"/>
      <c r="Q448" s="758"/>
      <c r="R448" s="623"/>
      <c r="S448" s="623"/>
      <c r="T448" s="623"/>
      <c r="U448" s="626"/>
      <c r="V448" s="627"/>
      <c r="W448" s="623"/>
      <c r="X448" s="623"/>
      <c r="Y448" s="623"/>
      <c r="Z448" s="623"/>
    </row>
    <row r="449">
      <c r="A449" s="623"/>
      <c r="B449" s="625"/>
      <c r="C449" s="756"/>
      <c r="D449" s="757"/>
      <c r="E449" s="642"/>
      <c r="F449" s="758"/>
      <c r="G449" s="758"/>
      <c r="H449" s="758"/>
      <c r="I449" s="758"/>
      <c r="J449" s="758"/>
      <c r="K449" s="758"/>
      <c r="L449" s="758"/>
      <c r="M449" s="758"/>
      <c r="N449" s="758"/>
      <c r="O449" s="758"/>
      <c r="P449" s="758"/>
      <c r="Q449" s="758"/>
      <c r="R449" s="623"/>
      <c r="S449" s="623"/>
      <c r="T449" s="623"/>
      <c r="U449" s="626"/>
      <c r="V449" s="627"/>
      <c r="W449" s="623"/>
      <c r="X449" s="623"/>
      <c r="Y449" s="623"/>
      <c r="Z449" s="623"/>
    </row>
    <row r="450">
      <c r="A450" s="623"/>
      <c r="B450" s="625"/>
      <c r="C450" s="756"/>
      <c r="D450" s="757"/>
      <c r="E450" s="642"/>
      <c r="F450" s="758"/>
      <c r="G450" s="758"/>
      <c r="H450" s="758"/>
      <c r="I450" s="758"/>
      <c r="J450" s="758"/>
      <c r="K450" s="758"/>
      <c r="L450" s="758"/>
      <c r="M450" s="758"/>
      <c r="N450" s="758"/>
      <c r="O450" s="758"/>
      <c r="P450" s="758"/>
      <c r="Q450" s="758"/>
      <c r="R450" s="623"/>
      <c r="S450" s="623"/>
      <c r="T450" s="623"/>
      <c r="U450" s="626"/>
      <c r="V450" s="627"/>
      <c r="W450" s="623"/>
      <c r="X450" s="623"/>
      <c r="Y450" s="623"/>
      <c r="Z450" s="623"/>
    </row>
    <row r="451">
      <c r="A451" s="623"/>
      <c r="B451" s="625"/>
      <c r="C451" s="756"/>
      <c r="D451" s="757"/>
      <c r="E451" s="642"/>
      <c r="F451" s="758"/>
      <c r="G451" s="758"/>
      <c r="H451" s="758"/>
      <c r="I451" s="758"/>
      <c r="J451" s="758"/>
      <c r="K451" s="758"/>
      <c r="L451" s="758"/>
      <c r="M451" s="758"/>
      <c r="N451" s="758"/>
      <c r="O451" s="758"/>
      <c r="P451" s="758"/>
      <c r="Q451" s="758"/>
      <c r="R451" s="623"/>
      <c r="S451" s="623"/>
      <c r="T451" s="623"/>
      <c r="U451" s="626"/>
      <c r="V451" s="627"/>
      <c r="W451" s="623"/>
      <c r="X451" s="623"/>
      <c r="Y451" s="623"/>
      <c r="Z451" s="623"/>
    </row>
    <row r="452">
      <c r="A452" s="623"/>
      <c r="B452" s="625"/>
      <c r="C452" s="756"/>
      <c r="D452" s="757"/>
      <c r="E452" s="642"/>
      <c r="F452" s="758"/>
      <c r="G452" s="758"/>
      <c r="H452" s="758"/>
      <c r="I452" s="758"/>
      <c r="J452" s="758"/>
      <c r="K452" s="758"/>
      <c r="L452" s="758"/>
      <c r="M452" s="758"/>
      <c r="N452" s="758"/>
      <c r="O452" s="758"/>
      <c r="P452" s="758"/>
      <c r="Q452" s="758"/>
      <c r="R452" s="623"/>
      <c r="S452" s="623"/>
      <c r="T452" s="623"/>
      <c r="U452" s="626"/>
      <c r="V452" s="627"/>
      <c r="W452" s="623"/>
      <c r="X452" s="623"/>
      <c r="Y452" s="623"/>
      <c r="Z452" s="623"/>
    </row>
    <row r="453">
      <c r="A453" s="623"/>
      <c r="B453" s="625"/>
      <c r="C453" s="756"/>
      <c r="D453" s="757"/>
      <c r="E453" s="642"/>
      <c r="F453" s="758"/>
      <c r="G453" s="758"/>
      <c r="H453" s="758"/>
      <c r="I453" s="758"/>
      <c r="J453" s="758"/>
      <c r="K453" s="758"/>
      <c r="L453" s="758"/>
      <c r="M453" s="758"/>
      <c r="N453" s="758"/>
      <c r="O453" s="758"/>
      <c r="P453" s="758"/>
      <c r="Q453" s="758"/>
      <c r="R453" s="623"/>
      <c r="S453" s="623"/>
      <c r="T453" s="623"/>
      <c r="U453" s="626"/>
      <c r="V453" s="627"/>
      <c r="W453" s="623"/>
      <c r="X453" s="623"/>
      <c r="Y453" s="623"/>
      <c r="Z453" s="623"/>
    </row>
    <row r="454">
      <c r="A454" s="623"/>
      <c r="B454" s="625"/>
      <c r="C454" s="756"/>
      <c r="D454" s="757"/>
      <c r="E454" s="642"/>
      <c r="F454" s="758"/>
      <c r="G454" s="758"/>
      <c r="H454" s="758"/>
      <c r="I454" s="758"/>
      <c r="J454" s="758"/>
      <c r="K454" s="758"/>
      <c r="L454" s="758"/>
      <c r="M454" s="758"/>
      <c r="N454" s="758"/>
      <c r="O454" s="758"/>
      <c r="P454" s="758"/>
      <c r="Q454" s="758"/>
      <c r="R454" s="623"/>
      <c r="S454" s="623"/>
      <c r="T454" s="623"/>
      <c r="U454" s="626"/>
      <c r="V454" s="627"/>
      <c r="W454" s="623"/>
      <c r="X454" s="623"/>
      <c r="Y454" s="623"/>
      <c r="Z454" s="623"/>
    </row>
    <row r="455">
      <c r="A455" s="623"/>
      <c r="B455" s="625"/>
      <c r="C455" s="756"/>
      <c r="D455" s="757"/>
      <c r="E455" s="642"/>
      <c r="F455" s="758"/>
      <c r="G455" s="758"/>
      <c r="H455" s="758"/>
      <c r="I455" s="758"/>
      <c r="J455" s="758"/>
      <c r="K455" s="758"/>
      <c r="L455" s="758"/>
      <c r="M455" s="758"/>
      <c r="N455" s="758"/>
      <c r="O455" s="758"/>
      <c r="P455" s="758"/>
      <c r="Q455" s="758"/>
      <c r="R455" s="623"/>
      <c r="S455" s="623"/>
      <c r="T455" s="623"/>
      <c r="U455" s="626"/>
      <c r="V455" s="627"/>
      <c r="W455" s="623"/>
      <c r="X455" s="623"/>
      <c r="Y455" s="623"/>
      <c r="Z455" s="623"/>
    </row>
    <row r="456">
      <c r="A456" s="623"/>
      <c r="B456" s="625"/>
      <c r="C456" s="756"/>
      <c r="D456" s="757"/>
      <c r="E456" s="642"/>
      <c r="F456" s="758"/>
      <c r="G456" s="758"/>
      <c r="H456" s="758"/>
      <c r="I456" s="758"/>
      <c r="J456" s="758"/>
      <c r="K456" s="758"/>
      <c r="L456" s="758"/>
      <c r="M456" s="758"/>
      <c r="N456" s="758"/>
      <c r="O456" s="758"/>
      <c r="P456" s="758"/>
      <c r="Q456" s="758"/>
      <c r="R456" s="623"/>
      <c r="S456" s="623"/>
      <c r="T456" s="623"/>
      <c r="U456" s="626"/>
      <c r="V456" s="627"/>
      <c r="W456" s="623"/>
      <c r="X456" s="623"/>
      <c r="Y456" s="623"/>
      <c r="Z456" s="623"/>
    </row>
    <row r="457">
      <c r="A457" s="623"/>
      <c r="B457" s="625"/>
      <c r="C457" s="756"/>
      <c r="D457" s="757"/>
      <c r="E457" s="642"/>
      <c r="F457" s="758"/>
      <c r="G457" s="758"/>
      <c r="H457" s="758"/>
      <c r="I457" s="758"/>
      <c r="J457" s="758"/>
      <c r="K457" s="758"/>
      <c r="L457" s="758"/>
      <c r="M457" s="758"/>
      <c r="N457" s="758"/>
      <c r="O457" s="758"/>
      <c r="P457" s="758"/>
      <c r="Q457" s="758"/>
      <c r="R457" s="623"/>
      <c r="S457" s="623"/>
      <c r="T457" s="623"/>
      <c r="U457" s="626"/>
      <c r="V457" s="627"/>
      <c r="W457" s="623"/>
      <c r="X457" s="623"/>
      <c r="Y457" s="623"/>
      <c r="Z457" s="623"/>
    </row>
    <row r="458">
      <c r="A458" s="623"/>
      <c r="B458" s="625"/>
      <c r="C458" s="756"/>
      <c r="D458" s="757"/>
      <c r="E458" s="642"/>
      <c r="F458" s="758"/>
      <c r="G458" s="758"/>
      <c r="H458" s="758"/>
      <c r="I458" s="758"/>
      <c r="J458" s="758"/>
      <c r="K458" s="758"/>
      <c r="L458" s="758"/>
      <c r="M458" s="758"/>
      <c r="N458" s="758"/>
      <c r="O458" s="758"/>
      <c r="P458" s="758"/>
      <c r="Q458" s="758"/>
      <c r="R458" s="623"/>
      <c r="S458" s="623"/>
      <c r="T458" s="623"/>
      <c r="U458" s="626"/>
      <c r="V458" s="627"/>
      <c r="W458" s="623"/>
      <c r="X458" s="623"/>
      <c r="Y458" s="623"/>
      <c r="Z458" s="623"/>
    </row>
    <row r="459">
      <c r="A459" s="623"/>
      <c r="B459" s="625"/>
      <c r="C459" s="756"/>
      <c r="D459" s="757"/>
      <c r="E459" s="642"/>
      <c r="F459" s="758"/>
      <c r="G459" s="758"/>
      <c r="H459" s="758"/>
      <c r="I459" s="758"/>
      <c r="J459" s="758"/>
      <c r="K459" s="758"/>
      <c r="L459" s="758"/>
      <c r="M459" s="758"/>
      <c r="N459" s="758"/>
      <c r="O459" s="758"/>
      <c r="P459" s="758"/>
      <c r="Q459" s="758"/>
      <c r="R459" s="623"/>
      <c r="S459" s="623"/>
      <c r="T459" s="623"/>
      <c r="U459" s="626"/>
      <c r="V459" s="627"/>
      <c r="W459" s="623"/>
      <c r="X459" s="623"/>
      <c r="Y459" s="623"/>
      <c r="Z459" s="623"/>
    </row>
    <row r="460">
      <c r="A460" s="623"/>
      <c r="B460" s="625"/>
      <c r="C460" s="756"/>
      <c r="D460" s="757"/>
      <c r="E460" s="642"/>
      <c r="F460" s="758"/>
      <c r="G460" s="758"/>
      <c r="H460" s="758"/>
      <c r="I460" s="758"/>
      <c r="J460" s="758"/>
      <c r="K460" s="758"/>
      <c r="L460" s="758"/>
      <c r="M460" s="758"/>
      <c r="N460" s="758"/>
      <c r="O460" s="758"/>
      <c r="P460" s="758"/>
      <c r="Q460" s="758"/>
      <c r="R460" s="623"/>
      <c r="S460" s="623"/>
      <c r="T460" s="623"/>
      <c r="U460" s="626"/>
      <c r="V460" s="627"/>
      <c r="W460" s="623"/>
      <c r="X460" s="623"/>
      <c r="Y460" s="623"/>
      <c r="Z460" s="623"/>
    </row>
    <row r="461">
      <c r="A461" s="623"/>
      <c r="B461" s="625"/>
      <c r="C461" s="756"/>
      <c r="D461" s="757"/>
      <c r="E461" s="642"/>
      <c r="F461" s="758"/>
      <c r="G461" s="758"/>
      <c r="H461" s="758"/>
      <c r="I461" s="758"/>
      <c r="J461" s="758"/>
      <c r="K461" s="758"/>
      <c r="L461" s="758"/>
      <c r="M461" s="758"/>
      <c r="N461" s="758"/>
      <c r="O461" s="758"/>
      <c r="P461" s="758"/>
      <c r="Q461" s="758"/>
      <c r="R461" s="623"/>
      <c r="S461" s="623"/>
      <c r="T461" s="623"/>
      <c r="U461" s="626"/>
      <c r="V461" s="627"/>
      <c r="W461" s="623"/>
      <c r="X461" s="623"/>
      <c r="Y461" s="623"/>
      <c r="Z461" s="623"/>
    </row>
    <row r="462">
      <c r="A462" s="623"/>
      <c r="B462" s="625"/>
      <c r="C462" s="756"/>
      <c r="D462" s="757"/>
      <c r="E462" s="642"/>
      <c r="F462" s="758"/>
      <c r="G462" s="758"/>
      <c r="H462" s="758"/>
      <c r="I462" s="758"/>
      <c r="J462" s="758"/>
      <c r="K462" s="758"/>
      <c r="L462" s="758"/>
      <c r="M462" s="758"/>
      <c r="N462" s="758"/>
      <c r="O462" s="758"/>
      <c r="P462" s="758"/>
      <c r="Q462" s="758"/>
      <c r="R462" s="623"/>
      <c r="S462" s="623"/>
      <c r="T462" s="623"/>
      <c r="U462" s="626"/>
      <c r="V462" s="627"/>
      <c r="W462" s="623"/>
      <c r="X462" s="623"/>
      <c r="Y462" s="623"/>
      <c r="Z462" s="623"/>
    </row>
    <row r="463">
      <c r="A463" s="623"/>
      <c r="B463" s="625"/>
      <c r="C463" s="756"/>
      <c r="D463" s="757"/>
      <c r="E463" s="642"/>
      <c r="F463" s="758"/>
      <c r="G463" s="758"/>
      <c r="H463" s="758"/>
      <c r="I463" s="758"/>
      <c r="J463" s="758"/>
      <c r="K463" s="758"/>
      <c r="L463" s="758"/>
      <c r="M463" s="758"/>
      <c r="N463" s="758"/>
      <c r="O463" s="758"/>
      <c r="P463" s="758"/>
      <c r="Q463" s="758"/>
      <c r="R463" s="623"/>
      <c r="S463" s="623"/>
      <c r="T463" s="623"/>
      <c r="U463" s="626"/>
      <c r="V463" s="627"/>
      <c r="W463" s="623"/>
      <c r="X463" s="623"/>
      <c r="Y463" s="623"/>
      <c r="Z463" s="623"/>
    </row>
    <row r="464">
      <c r="A464" s="623"/>
      <c r="B464" s="625"/>
      <c r="C464" s="756"/>
      <c r="D464" s="757"/>
      <c r="E464" s="642"/>
      <c r="F464" s="758"/>
      <c r="G464" s="758"/>
      <c r="H464" s="758"/>
      <c r="I464" s="758"/>
      <c r="J464" s="758"/>
      <c r="K464" s="758"/>
      <c r="L464" s="758"/>
      <c r="M464" s="758"/>
      <c r="N464" s="758"/>
      <c r="O464" s="758"/>
      <c r="P464" s="758"/>
      <c r="Q464" s="758"/>
      <c r="R464" s="623"/>
      <c r="S464" s="623"/>
      <c r="T464" s="623"/>
      <c r="U464" s="626"/>
      <c r="V464" s="627"/>
      <c r="W464" s="623"/>
      <c r="X464" s="623"/>
      <c r="Y464" s="623"/>
      <c r="Z464" s="623"/>
    </row>
    <row r="465">
      <c r="A465" s="623"/>
      <c r="B465" s="625"/>
      <c r="C465" s="756"/>
      <c r="D465" s="757"/>
      <c r="E465" s="642"/>
      <c r="F465" s="758"/>
      <c r="G465" s="758"/>
      <c r="H465" s="758"/>
      <c r="I465" s="758"/>
      <c r="J465" s="758"/>
      <c r="K465" s="758"/>
      <c r="L465" s="758"/>
      <c r="M465" s="758"/>
      <c r="N465" s="758"/>
      <c r="O465" s="758"/>
      <c r="P465" s="758"/>
      <c r="Q465" s="758"/>
      <c r="R465" s="623"/>
      <c r="S465" s="623"/>
      <c r="T465" s="623"/>
      <c r="U465" s="626"/>
      <c r="V465" s="627"/>
      <c r="W465" s="623"/>
      <c r="X465" s="623"/>
      <c r="Y465" s="623"/>
      <c r="Z465" s="623"/>
    </row>
    <row r="466">
      <c r="A466" s="623"/>
      <c r="B466" s="625"/>
      <c r="C466" s="756"/>
      <c r="D466" s="757"/>
      <c r="E466" s="642"/>
      <c r="F466" s="758"/>
      <c r="G466" s="758"/>
      <c r="H466" s="758"/>
      <c r="I466" s="758"/>
      <c r="J466" s="758"/>
      <c r="K466" s="758"/>
      <c r="L466" s="758"/>
      <c r="M466" s="758"/>
      <c r="N466" s="758"/>
      <c r="O466" s="758"/>
      <c r="P466" s="758"/>
      <c r="Q466" s="758"/>
      <c r="R466" s="623"/>
      <c r="S466" s="623"/>
      <c r="T466" s="623"/>
      <c r="U466" s="626"/>
      <c r="V466" s="627"/>
      <c r="W466" s="623"/>
      <c r="X466" s="623"/>
      <c r="Y466" s="623"/>
      <c r="Z466" s="623"/>
    </row>
    <row r="467">
      <c r="A467" s="623"/>
      <c r="B467" s="625"/>
      <c r="C467" s="756"/>
      <c r="D467" s="757"/>
      <c r="E467" s="642"/>
      <c r="F467" s="758"/>
      <c r="G467" s="758"/>
      <c r="H467" s="758"/>
      <c r="I467" s="758"/>
      <c r="J467" s="758"/>
      <c r="K467" s="758"/>
      <c r="L467" s="758"/>
      <c r="M467" s="758"/>
      <c r="N467" s="758"/>
      <c r="O467" s="758"/>
      <c r="P467" s="758"/>
      <c r="Q467" s="758"/>
      <c r="R467" s="623"/>
      <c r="S467" s="623"/>
      <c r="T467" s="623"/>
      <c r="U467" s="626"/>
      <c r="V467" s="627"/>
      <c r="W467" s="623"/>
      <c r="X467" s="623"/>
      <c r="Y467" s="623"/>
      <c r="Z467" s="623"/>
    </row>
    <row r="468">
      <c r="A468" s="623"/>
      <c r="B468" s="625"/>
      <c r="C468" s="756"/>
      <c r="D468" s="757"/>
      <c r="E468" s="642"/>
      <c r="F468" s="758"/>
      <c r="G468" s="758"/>
      <c r="H468" s="758"/>
      <c r="I468" s="758"/>
      <c r="J468" s="758"/>
      <c r="K468" s="758"/>
      <c r="L468" s="758"/>
      <c r="M468" s="758"/>
      <c r="N468" s="758"/>
      <c r="O468" s="758"/>
      <c r="P468" s="758"/>
      <c r="Q468" s="758"/>
      <c r="R468" s="623"/>
      <c r="S468" s="623"/>
      <c r="T468" s="623"/>
      <c r="U468" s="626"/>
      <c r="V468" s="627"/>
      <c r="W468" s="623"/>
      <c r="X468" s="623"/>
      <c r="Y468" s="623"/>
      <c r="Z468" s="623"/>
    </row>
    <row r="469">
      <c r="A469" s="623"/>
      <c r="B469" s="625"/>
      <c r="C469" s="756"/>
      <c r="D469" s="757"/>
      <c r="E469" s="642"/>
      <c r="F469" s="758"/>
      <c r="G469" s="758"/>
      <c r="H469" s="758"/>
      <c r="I469" s="758"/>
      <c r="J469" s="758"/>
      <c r="K469" s="758"/>
      <c r="L469" s="758"/>
      <c r="M469" s="758"/>
      <c r="N469" s="758"/>
      <c r="O469" s="758"/>
      <c r="P469" s="758"/>
      <c r="Q469" s="758"/>
      <c r="R469" s="623"/>
      <c r="S469" s="623"/>
      <c r="T469" s="623"/>
      <c r="U469" s="626"/>
      <c r="V469" s="627"/>
      <c r="W469" s="623"/>
      <c r="X469" s="623"/>
      <c r="Y469" s="623"/>
      <c r="Z469" s="623"/>
    </row>
    <row r="470">
      <c r="A470" s="623"/>
      <c r="B470" s="625"/>
      <c r="C470" s="756"/>
      <c r="D470" s="757"/>
      <c r="E470" s="642"/>
      <c r="F470" s="758"/>
      <c r="G470" s="758"/>
      <c r="H470" s="758"/>
      <c r="I470" s="758"/>
      <c r="J470" s="758"/>
      <c r="K470" s="758"/>
      <c r="L470" s="758"/>
      <c r="M470" s="758"/>
      <c r="N470" s="758"/>
      <c r="O470" s="758"/>
      <c r="P470" s="758"/>
      <c r="Q470" s="758"/>
      <c r="R470" s="623"/>
      <c r="S470" s="623"/>
      <c r="T470" s="623"/>
      <c r="U470" s="626"/>
      <c r="V470" s="627"/>
      <c r="W470" s="623"/>
      <c r="X470" s="623"/>
      <c r="Y470" s="623"/>
      <c r="Z470" s="623"/>
    </row>
    <row r="471">
      <c r="A471" s="623"/>
      <c r="B471" s="625"/>
      <c r="C471" s="756"/>
      <c r="D471" s="757"/>
      <c r="E471" s="642"/>
      <c r="F471" s="758"/>
      <c r="G471" s="758"/>
      <c r="H471" s="758"/>
      <c r="I471" s="758"/>
      <c r="J471" s="758"/>
      <c r="K471" s="758"/>
      <c r="L471" s="758"/>
      <c r="M471" s="758"/>
      <c r="N471" s="758"/>
      <c r="O471" s="758"/>
      <c r="P471" s="758"/>
      <c r="Q471" s="758"/>
      <c r="R471" s="623"/>
      <c r="S471" s="623"/>
      <c r="T471" s="623"/>
      <c r="U471" s="626"/>
      <c r="V471" s="627"/>
      <c r="W471" s="623"/>
      <c r="X471" s="623"/>
      <c r="Y471" s="623"/>
      <c r="Z471" s="623"/>
    </row>
    <row r="472">
      <c r="A472" s="623"/>
      <c r="B472" s="625"/>
      <c r="C472" s="756"/>
      <c r="D472" s="757"/>
      <c r="E472" s="642"/>
      <c r="F472" s="758"/>
      <c r="G472" s="758"/>
      <c r="H472" s="758"/>
      <c r="I472" s="758"/>
      <c r="J472" s="758"/>
      <c r="K472" s="758"/>
      <c r="L472" s="758"/>
      <c r="M472" s="758"/>
      <c r="N472" s="758"/>
      <c r="O472" s="758"/>
      <c r="P472" s="758"/>
      <c r="Q472" s="758"/>
      <c r="R472" s="623"/>
      <c r="S472" s="623"/>
      <c r="T472" s="623"/>
      <c r="U472" s="626"/>
      <c r="V472" s="627"/>
      <c r="W472" s="623"/>
      <c r="X472" s="623"/>
      <c r="Y472" s="623"/>
      <c r="Z472" s="623"/>
    </row>
    <row r="473">
      <c r="A473" s="623"/>
      <c r="B473" s="625"/>
      <c r="C473" s="756"/>
      <c r="D473" s="757"/>
      <c r="E473" s="642"/>
      <c r="F473" s="758"/>
      <c r="G473" s="758"/>
      <c r="H473" s="758"/>
      <c r="I473" s="758"/>
      <c r="J473" s="758"/>
      <c r="K473" s="758"/>
      <c r="L473" s="758"/>
      <c r="M473" s="758"/>
      <c r="N473" s="758"/>
      <c r="O473" s="758"/>
      <c r="P473" s="758"/>
      <c r="Q473" s="758"/>
      <c r="R473" s="623"/>
      <c r="S473" s="623"/>
      <c r="T473" s="623"/>
      <c r="U473" s="626"/>
      <c r="V473" s="627"/>
      <c r="W473" s="623"/>
      <c r="X473" s="623"/>
      <c r="Y473" s="623"/>
      <c r="Z473" s="623"/>
    </row>
    <row r="474">
      <c r="A474" s="623"/>
      <c r="B474" s="625"/>
      <c r="C474" s="756"/>
      <c r="D474" s="757"/>
      <c r="E474" s="642"/>
      <c r="F474" s="758"/>
      <c r="G474" s="758"/>
      <c r="H474" s="758"/>
      <c r="I474" s="758"/>
      <c r="J474" s="758"/>
      <c r="K474" s="758"/>
      <c r="L474" s="758"/>
      <c r="M474" s="758"/>
      <c r="N474" s="758"/>
      <c r="O474" s="758"/>
      <c r="P474" s="758"/>
      <c r="Q474" s="758"/>
      <c r="R474" s="623"/>
      <c r="S474" s="623"/>
      <c r="T474" s="623"/>
      <c r="U474" s="626"/>
      <c r="V474" s="627"/>
      <c r="W474" s="623"/>
      <c r="X474" s="623"/>
      <c r="Y474" s="623"/>
      <c r="Z474" s="623"/>
    </row>
    <row r="475">
      <c r="A475" s="623"/>
      <c r="B475" s="625"/>
      <c r="C475" s="756"/>
      <c r="D475" s="757"/>
      <c r="E475" s="642"/>
      <c r="F475" s="758"/>
      <c r="G475" s="758"/>
      <c r="H475" s="758"/>
      <c r="I475" s="758"/>
      <c r="J475" s="758"/>
      <c r="K475" s="758"/>
      <c r="L475" s="758"/>
      <c r="M475" s="758"/>
      <c r="N475" s="758"/>
      <c r="O475" s="758"/>
      <c r="P475" s="758"/>
      <c r="Q475" s="758"/>
      <c r="R475" s="623"/>
      <c r="S475" s="623"/>
      <c r="T475" s="623"/>
      <c r="U475" s="626"/>
      <c r="V475" s="627"/>
      <c r="W475" s="623"/>
      <c r="X475" s="623"/>
      <c r="Y475" s="623"/>
      <c r="Z475" s="623"/>
    </row>
    <row r="476">
      <c r="A476" s="623"/>
      <c r="B476" s="625"/>
      <c r="C476" s="756"/>
      <c r="D476" s="757"/>
      <c r="E476" s="642"/>
      <c r="F476" s="758"/>
      <c r="G476" s="758"/>
      <c r="H476" s="758"/>
      <c r="I476" s="758"/>
      <c r="J476" s="758"/>
      <c r="K476" s="758"/>
      <c r="L476" s="758"/>
      <c r="M476" s="758"/>
      <c r="N476" s="758"/>
      <c r="O476" s="758"/>
      <c r="P476" s="758"/>
      <c r="Q476" s="758"/>
      <c r="R476" s="623"/>
      <c r="S476" s="623"/>
      <c r="T476" s="623"/>
      <c r="U476" s="626"/>
      <c r="V476" s="627"/>
      <c r="W476" s="623"/>
      <c r="X476" s="623"/>
      <c r="Y476" s="623"/>
      <c r="Z476" s="623"/>
    </row>
    <row r="477">
      <c r="A477" s="623"/>
      <c r="B477" s="625"/>
      <c r="C477" s="756"/>
      <c r="D477" s="757"/>
      <c r="E477" s="642"/>
      <c r="F477" s="758"/>
      <c r="G477" s="758"/>
      <c r="H477" s="758"/>
      <c r="I477" s="758"/>
      <c r="J477" s="758"/>
      <c r="K477" s="758"/>
      <c r="L477" s="758"/>
      <c r="M477" s="758"/>
      <c r="N477" s="758"/>
      <c r="O477" s="758"/>
      <c r="P477" s="758"/>
      <c r="Q477" s="758"/>
      <c r="R477" s="623"/>
      <c r="S477" s="623"/>
      <c r="T477" s="623"/>
      <c r="U477" s="626"/>
      <c r="V477" s="627"/>
      <c r="W477" s="623"/>
      <c r="X477" s="623"/>
      <c r="Y477" s="623"/>
      <c r="Z477" s="623"/>
    </row>
    <row r="478">
      <c r="A478" s="623"/>
      <c r="B478" s="625"/>
      <c r="C478" s="756"/>
      <c r="D478" s="757"/>
      <c r="E478" s="642"/>
      <c r="F478" s="758"/>
      <c r="G478" s="758"/>
      <c r="H478" s="758"/>
      <c r="I478" s="758"/>
      <c r="J478" s="758"/>
      <c r="K478" s="758"/>
      <c r="L478" s="758"/>
      <c r="M478" s="758"/>
      <c r="N478" s="758"/>
      <c r="O478" s="758"/>
      <c r="P478" s="758"/>
      <c r="Q478" s="758"/>
      <c r="R478" s="623"/>
      <c r="S478" s="623"/>
      <c r="T478" s="623"/>
      <c r="U478" s="626"/>
      <c r="V478" s="627"/>
      <c r="W478" s="623"/>
      <c r="X478" s="623"/>
      <c r="Y478" s="623"/>
      <c r="Z478" s="623"/>
    </row>
    <row r="479">
      <c r="A479" s="623"/>
      <c r="B479" s="625"/>
      <c r="C479" s="756"/>
      <c r="D479" s="757"/>
      <c r="E479" s="642"/>
      <c r="F479" s="758"/>
      <c r="G479" s="758"/>
      <c r="H479" s="758"/>
      <c r="I479" s="758"/>
      <c r="J479" s="758"/>
      <c r="K479" s="758"/>
      <c r="L479" s="758"/>
      <c r="M479" s="758"/>
      <c r="N479" s="758"/>
      <c r="O479" s="758"/>
      <c r="P479" s="758"/>
      <c r="Q479" s="758"/>
      <c r="R479" s="623"/>
      <c r="S479" s="623"/>
      <c r="T479" s="623"/>
      <c r="U479" s="626"/>
      <c r="V479" s="627"/>
      <c r="W479" s="623"/>
      <c r="X479" s="623"/>
      <c r="Y479" s="623"/>
      <c r="Z479" s="623"/>
    </row>
    <row r="480">
      <c r="A480" s="623"/>
      <c r="B480" s="625"/>
      <c r="C480" s="756"/>
      <c r="D480" s="757"/>
      <c r="E480" s="642"/>
      <c r="F480" s="758"/>
      <c r="G480" s="758"/>
      <c r="H480" s="758"/>
      <c r="I480" s="758"/>
      <c r="J480" s="758"/>
      <c r="K480" s="758"/>
      <c r="L480" s="758"/>
      <c r="M480" s="758"/>
      <c r="N480" s="758"/>
      <c r="O480" s="758"/>
      <c r="P480" s="758"/>
      <c r="Q480" s="758"/>
      <c r="R480" s="623"/>
      <c r="S480" s="623"/>
      <c r="T480" s="623"/>
      <c r="U480" s="626"/>
      <c r="V480" s="627"/>
      <c r="W480" s="623"/>
      <c r="X480" s="623"/>
      <c r="Y480" s="623"/>
      <c r="Z480" s="623"/>
    </row>
    <row r="481">
      <c r="A481" s="623"/>
      <c r="B481" s="625"/>
      <c r="C481" s="756"/>
      <c r="D481" s="757"/>
      <c r="E481" s="642"/>
      <c r="F481" s="758"/>
      <c r="G481" s="758"/>
      <c r="H481" s="758"/>
      <c r="I481" s="758"/>
      <c r="J481" s="758"/>
      <c r="K481" s="758"/>
      <c r="L481" s="758"/>
      <c r="M481" s="758"/>
      <c r="N481" s="758"/>
      <c r="O481" s="758"/>
      <c r="P481" s="758"/>
      <c r="Q481" s="758"/>
      <c r="R481" s="623"/>
      <c r="S481" s="623"/>
      <c r="T481" s="623"/>
      <c r="U481" s="626"/>
      <c r="V481" s="627"/>
      <c r="W481" s="623"/>
      <c r="X481" s="623"/>
      <c r="Y481" s="623"/>
      <c r="Z481" s="623"/>
    </row>
    <row r="482">
      <c r="A482" s="623"/>
      <c r="B482" s="625"/>
      <c r="C482" s="756"/>
      <c r="D482" s="757"/>
      <c r="E482" s="642"/>
      <c r="F482" s="758"/>
      <c r="G482" s="758"/>
      <c r="H482" s="758"/>
      <c r="I482" s="758"/>
      <c r="J482" s="758"/>
      <c r="K482" s="758"/>
      <c r="L482" s="758"/>
      <c r="M482" s="758"/>
      <c r="N482" s="758"/>
      <c r="O482" s="758"/>
      <c r="P482" s="758"/>
      <c r="Q482" s="758"/>
      <c r="R482" s="623"/>
      <c r="S482" s="623"/>
      <c r="T482" s="623"/>
      <c r="U482" s="626"/>
      <c r="V482" s="627"/>
      <c r="W482" s="623"/>
      <c r="X482" s="623"/>
      <c r="Y482" s="623"/>
      <c r="Z482" s="623"/>
    </row>
    <row r="483">
      <c r="A483" s="623"/>
      <c r="B483" s="625"/>
      <c r="C483" s="756"/>
      <c r="D483" s="757"/>
      <c r="E483" s="642"/>
      <c r="F483" s="758"/>
      <c r="G483" s="758"/>
      <c r="H483" s="758"/>
      <c r="I483" s="758"/>
      <c r="J483" s="758"/>
      <c r="K483" s="758"/>
      <c r="L483" s="758"/>
      <c r="M483" s="758"/>
      <c r="N483" s="758"/>
      <c r="O483" s="758"/>
      <c r="P483" s="758"/>
      <c r="Q483" s="758"/>
      <c r="R483" s="623"/>
      <c r="S483" s="623"/>
      <c r="T483" s="623"/>
      <c r="U483" s="626"/>
      <c r="V483" s="627"/>
      <c r="W483" s="623"/>
      <c r="X483" s="623"/>
      <c r="Y483" s="623"/>
      <c r="Z483" s="623"/>
    </row>
    <row r="484">
      <c r="A484" s="623"/>
      <c r="B484" s="625"/>
      <c r="C484" s="756"/>
      <c r="D484" s="757"/>
      <c r="E484" s="642"/>
      <c r="F484" s="758"/>
      <c r="G484" s="758"/>
      <c r="H484" s="758"/>
      <c r="I484" s="758"/>
      <c r="J484" s="758"/>
      <c r="K484" s="758"/>
      <c r="L484" s="758"/>
      <c r="M484" s="758"/>
      <c r="N484" s="758"/>
      <c r="O484" s="758"/>
      <c r="P484" s="758"/>
      <c r="Q484" s="758"/>
      <c r="R484" s="623"/>
      <c r="S484" s="623"/>
      <c r="T484" s="623"/>
      <c r="U484" s="626"/>
      <c r="V484" s="627"/>
      <c r="W484" s="623"/>
      <c r="X484" s="623"/>
      <c r="Y484" s="623"/>
      <c r="Z484" s="623"/>
    </row>
    <row r="485">
      <c r="A485" s="623"/>
      <c r="B485" s="625"/>
      <c r="C485" s="756"/>
      <c r="D485" s="757"/>
      <c r="E485" s="642"/>
      <c r="F485" s="758"/>
      <c r="G485" s="758"/>
      <c r="H485" s="758"/>
      <c r="I485" s="758"/>
      <c r="J485" s="758"/>
      <c r="K485" s="758"/>
      <c r="L485" s="758"/>
      <c r="M485" s="758"/>
      <c r="N485" s="758"/>
      <c r="O485" s="758"/>
      <c r="P485" s="758"/>
      <c r="Q485" s="758"/>
      <c r="R485" s="623"/>
      <c r="S485" s="623"/>
      <c r="T485" s="623"/>
      <c r="U485" s="626"/>
      <c r="V485" s="627"/>
      <c r="W485" s="623"/>
      <c r="X485" s="623"/>
      <c r="Y485" s="623"/>
      <c r="Z485" s="623"/>
    </row>
    <row r="486">
      <c r="A486" s="623"/>
      <c r="B486" s="625"/>
      <c r="C486" s="756"/>
      <c r="D486" s="757"/>
      <c r="E486" s="642"/>
      <c r="F486" s="758"/>
      <c r="G486" s="758"/>
      <c r="H486" s="758"/>
      <c r="I486" s="758"/>
      <c r="J486" s="758"/>
      <c r="K486" s="758"/>
      <c r="L486" s="758"/>
      <c r="M486" s="758"/>
      <c r="N486" s="758"/>
      <c r="O486" s="758"/>
      <c r="P486" s="758"/>
      <c r="Q486" s="758"/>
      <c r="R486" s="623"/>
      <c r="S486" s="623"/>
      <c r="T486" s="623"/>
      <c r="U486" s="626"/>
      <c r="V486" s="627"/>
      <c r="W486" s="623"/>
      <c r="X486" s="623"/>
      <c r="Y486" s="623"/>
      <c r="Z486" s="623"/>
    </row>
    <row r="487">
      <c r="A487" s="623"/>
      <c r="B487" s="625"/>
      <c r="C487" s="756"/>
      <c r="D487" s="757"/>
      <c r="E487" s="642"/>
      <c r="F487" s="758"/>
      <c r="G487" s="758"/>
      <c r="H487" s="758"/>
      <c r="I487" s="758"/>
      <c r="J487" s="758"/>
      <c r="K487" s="758"/>
      <c r="L487" s="758"/>
      <c r="M487" s="758"/>
      <c r="N487" s="758"/>
      <c r="O487" s="758"/>
      <c r="P487" s="758"/>
      <c r="Q487" s="758"/>
      <c r="R487" s="623"/>
      <c r="S487" s="623"/>
      <c r="T487" s="623"/>
      <c r="U487" s="626"/>
      <c r="V487" s="627"/>
      <c r="W487" s="623"/>
      <c r="X487" s="623"/>
      <c r="Y487" s="623"/>
      <c r="Z487" s="623"/>
    </row>
    <row r="488">
      <c r="A488" s="623"/>
      <c r="B488" s="625"/>
      <c r="C488" s="756"/>
      <c r="D488" s="757"/>
      <c r="E488" s="642"/>
      <c r="F488" s="758"/>
      <c r="G488" s="758"/>
      <c r="H488" s="758"/>
      <c r="I488" s="758"/>
      <c r="J488" s="758"/>
      <c r="K488" s="758"/>
      <c r="L488" s="758"/>
      <c r="M488" s="758"/>
      <c r="N488" s="758"/>
      <c r="O488" s="758"/>
      <c r="P488" s="758"/>
      <c r="Q488" s="758"/>
      <c r="R488" s="623"/>
      <c r="S488" s="623"/>
      <c r="T488" s="623"/>
      <c r="U488" s="626"/>
      <c r="V488" s="627"/>
      <c r="W488" s="623"/>
      <c r="X488" s="623"/>
      <c r="Y488" s="623"/>
      <c r="Z488" s="623"/>
    </row>
    <row r="489">
      <c r="A489" s="623"/>
      <c r="B489" s="625"/>
      <c r="C489" s="756"/>
      <c r="D489" s="757"/>
      <c r="E489" s="642"/>
      <c r="F489" s="758"/>
      <c r="G489" s="758"/>
      <c r="H489" s="758"/>
      <c r="I489" s="758"/>
      <c r="J489" s="758"/>
      <c r="K489" s="758"/>
      <c r="L489" s="758"/>
      <c r="M489" s="758"/>
      <c r="N489" s="758"/>
      <c r="O489" s="758"/>
      <c r="P489" s="758"/>
      <c r="Q489" s="758"/>
      <c r="R489" s="623"/>
      <c r="S489" s="623"/>
      <c r="T489" s="623"/>
      <c r="U489" s="626"/>
      <c r="V489" s="627"/>
      <c r="W489" s="623"/>
      <c r="X489" s="623"/>
      <c r="Y489" s="623"/>
      <c r="Z489" s="623"/>
    </row>
    <row r="490">
      <c r="A490" s="623"/>
      <c r="B490" s="625"/>
      <c r="C490" s="756"/>
      <c r="D490" s="757"/>
      <c r="E490" s="642"/>
      <c r="F490" s="758"/>
      <c r="G490" s="758"/>
      <c r="H490" s="758"/>
      <c r="I490" s="758"/>
      <c r="J490" s="758"/>
      <c r="K490" s="758"/>
      <c r="L490" s="758"/>
      <c r="M490" s="758"/>
      <c r="N490" s="758"/>
      <c r="O490" s="758"/>
      <c r="P490" s="758"/>
      <c r="Q490" s="758"/>
      <c r="R490" s="623"/>
      <c r="S490" s="623"/>
      <c r="T490" s="623"/>
      <c r="U490" s="626"/>
      <c r="V490" s="627"/>
      <c r="W490" s="623"/>
      <c r="X490" s="623"/>
      <c r="Y490" s="623"/>
      <c r="Z490" s="623"/>
    </row>
    <row r="491">
      <c r="A491" s="623"/>
      <c r="B491" s="625"/>
      <c r="C491" s="756"/>
      <c r="D491" s="757"/>
      <c r="E491" s="642"/>
      <c r="F491" s="758"/>
      <c r="G491" s="758"/>
      <c r="H491" s="758"/>
      <c r="I491" s="758"/>
      <c r="J491" s="758"/>
      <c r="K491" s="758"/>
      <c r="L491" s="758"/>
      <c r="M491" s="758"/>
      <c r="N491" s="758"/>
      <c r="O491" s="758"/>
      <c r="P491" s="758"/>
      <c r="Q491" s="758"/>
      <c r="R491" s="623"/>
      <c r="S491" s="623"/>
      <c r="T491" s="623"/>
      <c r="U491" s="626"/>
      <c r="V491" s="627"/>
      <c r="W491" s="623"/>
      <c r="X491" s="623"/>
      <c r="Y491" s="623"/>
      <c r="Z491" s="623"/>
    </row>
    <row r="492">
      <c r="A492" s="623"/>
      <c r="B492" s="625"/>
      <c r="C492" s="756"/>
      <c r="D492" s="757"/>
      <c r="E492" s="642"/>
      <c r="F492" s="758"/>
      <c r="G492" s="758"/>
      <c r="H492" s="758"/>
      <c r="I492" s="758"/>
      <c r="J492" s="758"/>
      <c r="K492" s="758"/>
      <c r="L492" s="758"/>
      <c r="M492" s="758"/>
      <c r="N492" s="758"/>
      <c r="O492" s="758"/>
      <c r="P492" s="758"/>
      <c r="Q492" s="758"/>
      <c r="R492" s="623"/>
      <c r="S492" s="623"/>
      <c r="T492" s="623"/>
      <c r="U492" s="626"/>
      <c r="V492" s="627"/>
      <c r="W492" s="623"/>
      <c r="X492" s="623"/>
      <c r="Y492" s="623"/>
      <c r="Z492" s="623"/>
    </row>
    <row r="493">
      <c r="A493" s="623"/>
      <c r="B493" s="625"/>
      <c r="C493" s="756"/>
      <c r="D493" s="757"/>
      <c r="E493" s="642"/>
      <c r="F493" s="758"/>
      <c r="G493" s="758"/>
      <c r="H493" s="758"/>
      <c r="I493" s="758"/>
      <c r="J493" s="758"/>
      <c r="K493" s="758"/>
      <c r="L493" s="758"/>
      <c r="M493" s="758"/>
      <c r="N493" s="758"/>
      <c r="O493" s="758"/>
      <c r="P493" s="758"/>
      <c r="Q493" s="758"/>
      <c r="R493" s="623"/>
      <c r="S493" s="623"/>
      <c r="T493" s="623"/>
      <c r="U493" s="626"/>
      <c r="V493" s="627"/>
      <c r="W493" s="623"/>
      <c r="X493" s="623"/>
      <c r="Y493" s="623"/>
      <c r="Z493" s="623"/>
    </row>
    <row r="494">
      <c r="A494" s="623"/>
      <c r="B494" s="625"/>
      <c r="C494" s="756"/>
      <c r="D494" s="757"/>
      <c r="E494" s="642"/>
      <c r="F494" s="758"/>
      <c r="G494" s="758"/>
      <c r="H494" s="758"/>
      <c r="I494" s="758"/>
      <c r="J494" s="758"/>
      <c r="K494" s="758"/>
      <c r="L494" s="758"/>
      <c r="M494" s="758"/>
      <c r="N494" s="758"/>
      <c r="O494" s="758"/>
      <c r="P494" s="758"/>
      <c r="Q494" s="758"/>
      <c r="R494" s="623"/>
      <c r="S494" s="623"/>
      <c r="T494" s="623"/>
      <c r="U494" s="626"/>
      <c r="V494" s="627"/>
      <c r="W494" s="623"/>
      <c r="X494" s="623"/>
      <c r="Y494" s="623"/>
      <c r="Z494" s="623"/>
    </row>
    <row r="495">
      <c r="A495" s="623"/>
      <c r="B495" s="625"/>
      <c r="C495" s="756"/>
      <c r="D495" s="757"/>
      <c r="E495" s="642"/>
      <c r="F495" s="758"/>
      <c r="G495" s="758"/>
      <c r="H495" s="758"/>
      <c r="I495" s="758"/>
      <c r="J495" s="758"/>
      <c r="K495" s="758"/>
      <c r="L495" s="758"/>
      <c r="M495" s="758"/>
      <c r="N495" s="758"/>
      <c r="O495" s="758"/>
      <c r="P495" s="758"/>
      <c r="Q495" s="758"/>
      <c r="R495" s="623"/>
      <c r="S495" s="623"/>
      <c r="T495" s="623"/>
      <c r="U495" s="626"/>
      <c r="V495" s="627"/>
      <c r="W495" s="623"/>
      <c r="X495" s="623"/>
      <c r="Y495" s="623"/>
      <c r="Z495" s="623"/>
    </row>
    <row r="496">
      <c r="A496" s="623"/>
      <c r="B496" s="625"/>
      <c r="C496" s="756"/>
      <c r="D496" s="757"/>
      <c r="E496" s="642"/>
      <c r="F496" s="758"/>
      <c r="G496" s="758"/>
      <c r="H496" s="758"/>
      <c r="I496" s="758"/>
      <c r="J496" s="758"/>
      <c r="K496" s="758"/>
      <c r="L496" s="758"/>
      <c r="M496" s="758"/>
      <c r="N496" s="758"/>
      <c r="O496" s="758"/>
      <c r="P496" s="758"/>
      <c r="Q496" s="758"/>
      <c r="R496" s="623"/>
      <c r="S496" s="623"/>
      <c r="T496" s="623"/>
      <c r="U496" s="626"/>
      <c r="V496" s="627"/>
      <c r="W496" s="623"/>
      <c r="X496" s="623"/>
      <c r="Y496" s="623"/>
      <c r="Z496" s="623"/>
    </row>
    <row r="497">
      <c r="A497" s="623"/>
      <c r="B497" s="625"/>
      <c r="C497" s="756"/>
      <c r="D497" s="757"/>
      <c r="E497" s="642"/>
      <c r="F497" s="758"/>
      <c r="G497" s="758"/>
      <c r="H497" s="758"/>
      <c r="I497" s="758"/>
      <c r="J497" s="758"/>
      <c r="K497" s="758"/>
      <c r="L497" s="758"/>
      <c r="M497" s="758"/>
      <c r="N497" s="758"/>
      <c r="O497" s="758"/>
      <c r="P497" s="758"/>
      <c r="Q497" s="758"/>
      <c r="R497" s="623"/>
      <c r="S497" s="623"/>
      <c r="T497" s="623"/>
      <c r="U497" s="626"/>
      <c r="V497" s="627"/>
      <c r="W497" s="623"/>
      <c r="X497" s="623"/>
      <c r="Y497" s="623"/>
      <c r="Z497" s="623"/>
    </row>
    <row r="498">
      <c r="A498" s="623"/>
      <c r="B498" s="625"/>
      <c r="C498" s="756"/>
      <c r="D498" s="757"/>
      <c r="E498" s="642"/>
      <c r="F498" s="758"/>
      <c r="G498" s="758"/>
      <c r="H498" s="758"/>
      <c r="I498" s="758"/>
      <c r="J498" s="758"/>
      <c r="K498" s="758"/>
      <c r="L498" s="758"/>
      <c r="M498" s="758"/>
      <c r="N498" s="758"/>
      <c r="O498" s="758"/>
      <c r="P498" s="758"/>
      <c r="Q498" s="758"/>
      <c r="R498" s="623"/>
      <c r="S498" s="623"/>
      <c r="T498" s="623"/>
      <c r="U498" s="626"/>
      <c r="V498" s="627"/>
      <c r="W498" s="623"/>
      <c r="X498" s="623"/>
      <c r="Y498" s="623"/>
      <c r="Z498" s="623"/>
    </row>
    <row r="499">
      <c r="A499" s="623"/>
      <c r="B499" s="625"/>
      <c r="C499" s="756"/>
      <c r="D499" s="757"/>
      <c r="E499" s="642"/>
      <c r="F499" s="758"/>
      <c r="G499" s="758"/>
      <c r="H499" s="758"/>
      <c r="I499" s="758"/>
      <c r="J499" s="758"/>
      <c r="K499" s="758"/>
      <c r="L499" s="758"/>
      <c r="M499" s="758"/>
      <c r="N499" s="758"/>
      <c r="O499" s="758"/>
      <c r="P499" s="758"/>
      <c r="Q499" s="758"/>
      <c r="R499" s="623"/>
      <c r="S499" s="623"/>
      <c r="T499" s="623"/>
      <c r="U499" s="626"/>
      <c r="V499" s="627"/>
      <c r="W499" s="623"/>
      <c r="X499" s="623"/>
      <c r="Y499" s="623"/>
      <c r="Z499" s="623"/>
    </row>
    <row r="500">
      <c r="A500" s="623"/>
      <c r="B500" s="625"/>
      <c r="C500" s="756"/>
      <c r="D500" s="757"/>
      <c r="E500" s="642"/>
      <c r="F500" s="758"/>
      <c r="G500" s="758"/>
      <c r="H500" s="758"/>
      <c r="I500" s="758"/>
      <c r="J500" s="758"/>
      <c r="K500" s="758"/>
      <c r="L500" s="758"/>
      <c r="M500" s="758"/>
      <c r="N500" s="758"/>
      <c r="O500" s="758"/>
      <c r="P500" s="758"/>
      <c r="Q500" s="758"/>
      <c r="R500" s="623"/>
      <c r="S500" s="623"/>
      <c r="T500" s="623"/>
      <c r="U500" s="626"/>
      <c r="V500" s="627"/>
      <c r="W500" s="623"/>
      <c r="X500" s="623"/>
      <c r="Y500" s="623"/>
      <c r="Z500" s="623"/>
    </row>
    <row r="501">
      <c r="A501" s="623"/>
      <c r="B501" s="625"/>
      <c r="C501" s="756"/>
      <c r="D501" s="757"/>
      <c r="E501" s="642"/>
      <c r="F501" s="758"/>
      <c r="G501" s="758"/>
      <c r="H501" s="758"/>
      <c r="I501" s="758"/>
      <c r="J501" s="758"/>
      <c r="K501" s="758"/>
      <c r="L501" s="758"/>
      <c r="M501" s="758"/>
      <c r="N501" s="758"/>
      <c r="O501" s="758"/>
      <c r="P501" s="758"/>
      <c r="Q501" s="758"/>
      <c r="R501" s="623"/>
      <c r="S501" s="623"/>
      <c r="T501" s="623"/>
      <c r="U501" s="626"/>
      <c r="V501" s="627"/>
      <c r="W501" s="623"/>
      <c r="X501" s="623"/>
      <c r="Y501" s="623"/>
      <c r="Z501" s="623"/>
    </row>
    <row r="502">
      <c r="A502" s="623"/>
      <c r="B502" s="625"/>
      <c r="C502" s="756"/>
      <c r="D502" s="757"/>
      <c r="E502" s="642"/>
      <c r="F502" s="758"/>
      <c r="G502" s="758"/>
      <c r="H502" s="758"/>
      <c r="I502" s="758"/>
      <c r="J502" s="758"/>
      <c r="K502" s="758"/>
      <c r="L502" s="758"/>
      <c r="M502" s="758"/>
      <c r="N502" s="758"/>
      <c r="O502" s="758"/>
      <c r="P502" s="758"/>
      <c r="Q502" s="758"/>
      <c r="R502" s="623"/>
      <c r="S502" s="623"/>
      <c r="T502" s="623"/>
      <c r="U502" s="626"/>
      <c r="V502" s="627"/>
      <c r="W502" s="623"/>
      <c r="X502" s="623"/>
      <c r="Y502" s="623"/>
      <c r="Z502" s="623"/>
    </row>
    <row r="503">
      <c r="A503" s="623"/>
      <c r="B503" s="625"/>
      <c r="C503" s="756"/>
      <c r="D503" s="757"/>
      <c r="E503" s="642"/>
      <c r="F503" s="758"/>
      <c r="G503" s="758"/>
      <c r="H503" s="758"/>
      <c r="I503" s="758"/>
      <c r="J503" s="758"/>
      <c r="K503" s="758"/>
      <c r="L503" s="758"/>
      <c r="M503" s="758"/>
      <c r="N503" s="758"/>
      <c r="O503" s="758"/>
      <c r="P503" s="758"/>
      <c r="Q503" s="758"/>
      <c r="R503" s="623"/>
      <c r="S503" s="623"/>
      <c r="T503" s="623"/>
      <c r="U503" s="626"/>
      <c r="V503" s="627"/>
      <c r="W503" s="623"/>
      <c r="X503" s="623"/>
      <c r="Y503" s="623"/>
      <c r="Z503" s="623"/>
    </row>
    <row r="504">
      <c r="A504" s="623"/>
      <c r="B504" s="625"/>
      <c r="C504" s="756"/>
      <c r="D504" s="757"/>
      <c r="E504" s="642"/>
      <c r="F504" s="758"/>
      <c r="G504" s="758"/>
      <c r="H504" s="758"/>
      <c r="I504" s="758"/>
      <c r="J504" s="758"/>
      <c r="K504" s="758"/>
      <c r="L504" s="758"/>
      <c r="M504" s="758"/>
      <c r="N504" s="758"/>
      <c r="O504" s="758"/>
      <c r="P504" s="758"/>
      <c r="Q504" s="758"/>
      <c r="R504" s="623"/>
      <c r="S504" s="623"/>
      <c r="T504" s="623"/>
      <c r="U504" s="626"/>
      <c r="V504" s="627"/>
      <c r="W504" s="623"/>
      <c r="X504" s="623"/>
      <c r="Y504" s="623"/>
      <c r="Z504" s="623"/>
    </row>
    <row r="505">
      <c r="A505" s="623"/>
      <c r="B505" s="625"/>
      <c r="C505" s="756"/>
      <c r="D505" s="757"/>
      <c r="E505" s="642"/>
      <c r="F505" s="758"/>
      <c r="G505" s="758"/>
      <c r="H505" s="758"/>
      <c r="I505" s="758"/>
      <c r="J505" s="758"/>
      <c r="K505" s="758"/>
      <c r="L505" s="758"/>
      <c r="M505" s="758"/>
      <c r="N505" s="758"/>
      <c r="O505" s="758"/>
      <c r="P505" s="758"/>
      <c r="Q505" s="758"/>
      <c r="R505" s="623"/>
      <c r="S505" s="623"/>
      <c r="T505" s="623"/>
      <c r="U505" s="626"/>
      <c r="V505" s="627"/>
      <c r="W505" s="623"/>
      <c r="X505" s="623"/>
      <c r="Y505" s="623"/>
      <c r="Z505" s="623"/>
    </row>
    <row r="506">
      <c r="A506" s="623"/>
      <c r="B506" s="625"/>
      <c r="C506" s="756"/>
      <c r="D506" s="757"/>
      <c r="E506" s="642"/>
      <c r="F506" s="758"/>
      <c r="G506" s="758"/>
      <c r="H506" s="758"/>
      <c r="I506" s="758"/>
      <c r="J506" s="758"/>
      <c r="K506" s="758"/>
      <c r="L506" s="758"/>
      <c r="M506" s="758"/>
      <c r="N506" s="758"/>
      <c r="O506" s="758"/>
      <c r="P506" s="758"/>
      <c r="Q506" s="758"/>
      <c r="R506" s="623"/>
      <c r="S506" s="623"/>
      <c r="T506" s="623"/>
      <c r="U506" s="626"/>
      <c r="V506" s="627"/>
      <c r="W506" s="623"/>
      <c r="X506" s="623"/>
      <c r="Y506" s="623"/>
      <c r="Z506" s="623"/>
    </row>
    <row r="507">
      <c r="A507" s="623"/>
      <c r="B507" s="625"/>
      <c r="C507" s="756"/>
      <c r="D507" s="757"/>
      <c r="E507" s="642"/>
      <c r="F507" s="758"/>
      <c r="G507" s="758"/>
      <c r="H507" s="758"/>
      <c r="I507" s="758"/>
      <c r="J507" s="758"/>
      <c r="K507" s="758"/>
      <c r="L507" s="758"/>
      <c r="M507" s="758"/>
      <c r="N507" s="758"/>
      <c r="O507" s="758"/>
      <c r="P507" s="758"/>
      <c r="Q507" s="758"/>
      <c r="R507" s="623"/>
      <c r="S507" s="623"/>
      <c r="T507" s="623"/>
      <c r="U507" s="626"/>
      <c r="V507" s="627"/>
      <c r="W507" s="623"/>
      <c r="X507" s="623"/>
      <c r="Y507" s="623"/>
      <c r="Z507" s="623"/>
    </row>
    <row r="508">
      <c r="A508" s="623"/>
      <c r="B508" s="625"/>
      <c r="C508" s="756"/>
      <c r="D508" s="757"/>
      <c r="E508" s="642"/>
      <c r="F508" s="758"/>
      <c r="G508" s="758"/>
      <c r="H508" s="758"/>
      <c r="I508" s="758"/>
      <c r="J508" s="758"/>
      <c r="K508" s="758"/>
      <c r="L508" s="758"/>
      <c r="M508" s="758"/>
      <c r="N508" s="758"/>
      <c r="O508" s="758"/>
      <c r="P508" s="758"/>
      <c r="Q508" s="758"/>
      <c r="R508" s="623"/>
      <c r="S508" s="623"/>
      <c r="T508" s="623"/>
      <c r="U508" s="626"/>
      <c r="V508" s="627"/>
      <c r="W508" s="623"/>
      <c r="X508" s="623"/>
      <c r="Y508" s="623"/>
      <c r="Z508" s="623"/>
    </row>
    <row r="509">
      <c r="A509" s="623"/>
      <c r="B509" s="625"/>
      <c r="C509" s="756"/>
      <c r="D509" s="757"/>
      <c r="E509" s="642"/>
      <c r="F509" s="758"/>
      <c r="G509" s="758"/>
      <c r="H509" s="758"/>
      <c r="I509" s="758"/>
      <c r="J509" s="758"/>
      <c r="K509" s="758"/>
      <c r="L509" s="758"/>
      <c r="M509" s="758"/>
      <c r="N509" s="758"/>
      <c r="O509" s="758"/>
      <c r="P509" s="758"/>
      <c r="Q509" s="758"/>
      <c r="R509" s="623"/>
      <c r="S509" s="623"/>
      <c r="T509" s="623"/>
      <c r="U509" s="626"/>
      <c r="V509" s="627"/>
      <c r="W509" s="623"/>
      <c r="X509" s="623"/>
      <c r="Y509" s="623"/>
      <c r="Z509" s="623"/>
    </row>
    <row r="510">
      <c r="A510" s="623"/>
      <c r="B510" s="625"/>
      <c r="C510" s="756"/>
      <c r="D510" s="757"/>
      <c r="E510" s="642"/>
      <c r="F510" s="758"/>
      <c r="G510" s="758"/>
      <c r="H510" s="758"/>
      <c r="I510" s="758"/>
      <c r="J510" s="758"/>
      <c r="K510" s="758"/>
      <c r="L510" s="758"/>
      <c r="M510" s="758"/>
      <c r="N510" s="758"/>
      <c r="O510" s="758"/>
      <c r="P510" s="758"/>
      <c r="Q510" s="758"/>
      <c r="R510" s="623"/>
      <c r="S510" s="623"/>
      <c r="T510" s="623"/>
      <c r="U510" s="626"/>
      <c r="V510" s="627"/>
      <c r="W510" s="623"/>
      <c r="X510" s="623"/>
      <c r="Y510" s="623"/>
      <c r="Z510" s="623"/>
    </row>
    <row r="511">
      <c r="A511" s="623"/>
      <c r="B511" s="625"/>
      <c r="C511" s="756"/>
      <c r="D511" s="757"/>
      <c r="E511" s="642"/>
      <c r="F511" s="758"/>
      <c r="G511" s="758"/>
      <c r="H511" s="758"/>
      <c r="I511" s="758"/>
      <c r="J511" s="758"/>
      <c r="K511" s="758"/>
      <c r="L511" s="758"/>
      <c r="M511" s="758"/>
      <c r="N511" s="758"/>
      <c r="O511" s="758"/>
      <c r="P511" s="758"/>
      <c r="Q511" s="758"/>
      <c r="R511" s="623"/>
      <c r="S511" s="623"/>
      <c r="T511" s="623"/>
      <c r="U511" s="626"/>
      <c r="V511" s="627"/>
      <c r="W511" s="623"/>
      <c r="X511" s="623"/>
      <c r="Y511" s="623"/>
      <c r="Z511" s="623"/>
    </row>
    <row r="512">
      <c r="A512" s="623"/>
      <c r="B512" s="625"/>
      <c r="C512" s="756"/>
      <c r="D512" s="757"/>
      <c r="E512" s="642"/>
      <c r="F512" s="758"/>
      <c r="G512" s="758"/>
      <c r="H512" s="758"/>
      <c r="I512" s="758"/>
      <c r="J512" s="758"/>
      <c r="K512" s="758"/>
      <c r="L512" s="758"/>
      <c r="M512" s="758"/>
      <c r="N512" s="758"/>
      <c r="O512" s="758"/>
      <c r="P512" s="758"/>
      <c r="Q512" s="758"/>
      <c r="R512" s="623"/>
      <c r="S512" s="623"/>
      <c r="T512" s="623"/>
      <c r="U512" s="626"/>
      <c r="V512" s="627"/>
      <c r="W512" s="623"/>
      <c r="X512" s="623"/>
      <c r="Y512" s="623"/>
      <c r="Z512" s="623"/>
    </row>
    <row r="513">
      <c r="A513" s="623"/>
      <c r="B513" s="625"/>
      <c r="C513" s="756"/>
      <c r="D513" s="757"/>
      <c r="E513" s="642"/>
      <c r="F513" s="758"/>
      <c r="G513" s="758"/>
      <c r="H513" s="758"/>
      <c r="I513" s="758"/>
      <c r="J513" s="758"/>
      <c r="K513" s="758"/>
      <c r="L513" s="758"/>
      <c r="M513" s="758"/>
      <c r="N513" s="758"/>
      <c r="O513" s="758"/>
      <c r="P513" s="758"/>
      <c r="Q513" s="758"/>
      <c r="R513" s="623"/>
      <c r="S513" s="623"/>
      <c r="T513" s="623"/>
      <c r="U513" s="626"/>
      <c r="V513" s="627"/>
      <c r="W513" s="623"/>
      <c r="X513" s="623"/>
      <c r="Y513" s="623"/>
      <c r="Z513" s="623"/>
    </row>
    <row r="514">
      <c r="A514" s="623"/>
      <c r="B514" s="625"/>
      <c r="C514" s="756"/>
      <c r="D514" s="757"/>
      <c r="E514" s="642"/>
      <c r="F514" s="758"/>
      <c r="G514" s="758"/>
      <c r="H514" s="758"/>
      <c r="I514" s="758"/>
      <c r="J514" s="758"/>
      <c r="K514" s="758"/>
      <c r="L514" s="758"/>
      <c r="M514" s="758"/>
      <c r="N514" s="758"/>
      <c r="O514" s="758"/>
      <c r="P514" s="758"/>
      <c r="Q514" s="758"/>
      <c r="R514" s="623"/>
      <c r="S514" s="623"/>
      <c r="T514" s="623"/>
      <c r="U514" s="626"/>
      <c r="V514" s="627"/>
      <c r="W514" s="623"/>
      <c r="X514" s="623"/>
      <c r="Y514" s="623"/>
      <c r="Z514" s="623"/>
    </row>
    <row r="515">
      <c r="A515" s="623"/>
      <c r="B515" s="625"/>
      <c r="C515" s="756"/>
      <c r="D515" s="757"/>
      <c r="E515" s="642"/>
      <c r="F515" s="758"/>
      <c r="G515" s="758"/>
      <c r="H515" s="758"/>
      <c r="I515" s="758"/>
      <c r="J515" s="758"/>
      <c r="K515" s="758"/>
      <c r="L515" s="758"/>
      <c r="M515" s="758"/>
      <c r="N515" s="758"/>
      <c r="O515" s="758"/>
      <c r="P515" s="758"/>
      <c r="Q515" s="758"/>
      <c r="R515" s="623"/>
      <c r="S515" s="623"/>
      <c r="T515" s="623"/>
      <c r="U515" s="626"/>
      <c r="V515" s="627"/>
      <c r="W515" s="623"/>
      <c r="X515" s="623"/>
      <c r="Y515" s="623"/>
      <c r="Z515" s="623"/>
    </row>
    <row r="516">
      <c r="A516" s="623"/>
      <c r="B516" s="625"/>
      <c r="C516" s="756"/>
      <c r="D516" s="757"/>
      <c r="E516" s="642"/>
      <c r="F516" s="758"/>
      <c r="G516" s="758"/>
      <c r="H516" s="758"/>
      <c r="I516" s="758"/>
      <c r="J516" s="758"/>
      <c r="K516" s="758"/>
      <c r="L516" s="758"/>
      <c r="M516" s="758"/>
      <c r="N516" s="758"/>
      <c r="O516" s="758"/>
      <c r="P516" s="758"/>
      <c r="Q516" s="758"/>
      <c r="R516" s="623"/>
      <c r="S516" s="623"/>
      <c r="T516" s="623"/>
      <c r="U516" s="626"/>
      <c r="V516" s="627"/>
      <c r="W516" s="623"/>
      <c r="X516" s="623"/>
      <c r="Y516" s="623"/>
      <c r="Z516" s="623"/>
    </row>
    <row r="517">
      <c r="A517" s="623"/>
      <c r="B517" s="625"/>
      <c r="C517" s="756"/>
      <c r="D517" s="757"/>
      <c r="E517" s="642"/>
      <c r="F517" s="758"/>
      <c r="G517" s="758"/>
      <c r="H517" s="758"/>
      <c r="I517" s="758"/>
      <c r="J517" s="758"/>
      <c r="K517" s="758"/>
      <c r="L517" s="758"/>
      <c r="M517" s="758"/>
      <c r="N517" s="758"/>
      <c r="O517" s="758"/>
      <c r="P517" s="758"/>
      <c r="Q517" s="758"/>
      <c r="R517" s="623"/>
      <c r="S517" s="623"/>
      <c r="T517" s="623"/>
      <c r="U517" s="626"/>
      <c r="V517" s="627"/>
      <c r="W517" s="623"/>
      <c r="X517" s="623"/>
      <c r="Y517" s="623"/>
      <c r="Z517" s="623"/>
    </row>
    <row r="518">
      <c r="A518" s="623"/>
      <c r="B518" s="625"/>
      <c r="C518" s="756"/>
      <c r="D518" s="757"/>
      <c r="E518" s="642"/>
      <c r="F518" s="758"/>
      <c r="G518" s="758"/>
      <c r="H518" s="758"/>
      <c r="I518" s="758"/>
      <c r="J518" s="758"/>
      <c r="K518" s="758"/>
      <c r="L518" s="758"/>
      <c r="M518" s="758"/>
      <c r="N518" s="758"/>
      <c r="O518" s="758"/>
      <c r="P518" s="758"/>
      <c r="Q518" s="758"/>
      <c r="R518" s="623"/>
      <c r="S518" s="623"/>
      <c r="T518" s="623"/>
      <c r="U518" s="626"/>
      <c r="V518" s="627"/>
      <c r="W518" s="623"/>
      <c r="X518" s="623"/>
      <c r="Y518" s="623"/>
      <c r="Z518" s="623"/>
    </row>
    <row r="519">
      <c r="A519" s="623"/>
      <c r="B519" s="625"/>
      <c r="C519" s="756"/>
      <c r="D519" s="757"/>
      <c r="E519" s="642"/>
      <c r="F519" s="758"/>
      <c r="G519" s="758"/>
      <c r="H519" s="758"/>
      <c r="I519" s="758"/>
      <c r="J519" s="758"/>
      <c r="K519" s="758"/>
      <c r="L519" s="758"/>
      <c r="M519" s="758"/>
      <c r="N519" s="758"/>
      <c r="O519" s="758"/>
      <c r="P519" s="758"/>
      <c r="Q519" s="758"/>
      <c r="R519" s="623"/>
      <c r="S519" s="623"/>
      <c r="T519" s="623"/>
      <c r="U519" s="626"/>
      <c r="V519" s="627"/>
      <c r="W519" s="623"/>
      <c r="X519" s="623"/>
      <c r="Y519" s="623"/>
      <c r="Z519" s="623"/>
    </row>
    <row r="520">
      <c r="A520" s="623"/>
      <c r="B520" s="625"/>
      <c r="C520" s="756"/>
      <c r="D520" s="757"/>
      <c r="E520" s="642"/>
      <c r="F520" s="758"/>
      <c r="G520" s="758"/>
      <c r="H520" s="758"/>
      <c r="I520" s="758"/>
      <c r="J520" s="758"/>
      <c r="K520" s="758"/>
      <c r="L520" s="758"/>
      <c r="M520" s="758"/>
      <c r="N520" s="758"/>
      <c r="O520" s="758"/>
      <c r="P520" s="758"/>
      <c r="Q520" s="758"/>
      <c r="R520" s="623"/>
      <c r="S520" s="623"/>
      <c r="T520" s="623"/>
      <c r="U520" s="626"/>
      <c r="V520" s="627"/>
      <c r="W520" s="623"/>
      <c r="X520" s="623"/>
      <c r="Y520" s="623"/>
      <c r="Z520" s="623"/>
    </row>
    <row r="521">
      <c r="A521" s="623"/>
      <c r="B521" s="625"/>
      <c r="C521" s="756"/>
      <c r="D521" s="757"/>
      <c r="E521" s="642"/>
      <c r="F521" s="758"/>
      <c r="G521" s="758"/>
      <c r="H521" s="758"/>
      <c r="I521" s="758"/>
      <c r="J521" s="758"/>
      <c r="K521" s="758"/>
      <c r="L521" s="758"/>
      <c r="M521" s="758"/>
      <c r="N521" s="758"/>
      <c r="O521" s="758"/>
      <c r="P521" s="758"/>
      <c r="Q521" s="758"/>
      <c r="R521" s="623"/>
      <c r="S521" s="623"/>
      <c r="T521" s="623"/>
      <c r="U521" s="626"/>
      <c r="V521" s="627"/>
      <c r="W521" s="623"/>
      <c r="X521" s="623"/>
      <c r="Y521" s="623"/>
      <c r="Z521" s="623"/>
    </row>
    <row r="522">
      <c r="A522" s="623"/>
      <c r="B522" s="625"/>
      <c r="C522" s="756"/>
      <c r="D522" s="757"/>
      <c r="E522" s="642"/>
      <c r="F522" s="758"/>
      <c r="G522" s="758"/>
      <c r="H522" s="758"/>
      <c r="I522" s="758"/>
      <c r="J522" s="758"/>
      <c r="K522" s="758"/>
      <c r="L522" s="758"/>
      <c r="M522" s="758"/>
      <c r="N522" s="758"/>
      <c r="O522" s="758"/>
      <c r="P522" s="758"/>
      <c r="Q522" s="758"/>
      <c r="R522" s="623"/>
      <c r="S522" s="623"/>
      <c r="T522" s="623"/>
      <c r="U522" s="626"/>
      <c r="V522" s="627"/>
      <c r="W522" s="623"/>
      <c r="X522" s="623"/>
      <c r="Y522" s="623"/>
      <c r="Z522" s="623"/>
    </row>
    <row r="523">
      <c r="A523" s="623"/>
      <c r="B523" s="625"/>
      <c r="C523" s="756"/>
      <c r="D523" s="757"/>
      <c r="E523" s="642"/>
      <c r="F523" s="758"/>
      <c r="G523" s="758"/>
      <c r="H523" s="758"/>
      <c r="I523" s="758"/>
      <c r="J523" s="758"/>
      <c r="K523" s="758"/>
      <c r="L523" s="758"/>
      <c r="M523" s="758"/>
      <c r="N523" s="758"/>
      <c r="O523" s="758"/>
      <c r="P523" s="758"/>
      <c r="Q523" s="758"/>
      <c r="R523" s="623"/>
      <c r="S523" s="623"/>
      <c r="T523" s="623"/>
      <c r="U523" s="626"/>
      <c r="V523" s="627"/>
      <c r="W523" s="623"/>
      <c r="X523" s="623"/>
      <c r="Y523" s="623"/>
      <c r="Z523" s="623"/>
    </row>
    <row r="524">
      <c r="A524" s="623"/>
      <c r="B524" s="625"/>
      <c r="C524" s="756"/>
      <c r="D524" s="757"/>
      <c r="E524" s="642"/>
      <c r="F524" s="758"/>
      <c r="G524" s="758"/>
      <c r="H524" s="758"/>
      <c r="I524" s="758"/>
      <c r="J524" s="758"/>
      <c r="K524" s="758"/>
      <c r="L524" s="758"/>
      <c r="M524" s="758"/>
      <c r="N524" s="758"/>
      <c r="O524" s="758"/>
      <c r="P524" s="758"/>
      <c r="Q524" s="758"/>
      <c r="R524" s="623"/>
      <c r="S524" s="623"/>
      <c r="T524" s="623"/>
      <c r="U524" s="626"/>
      <c r="V524" s="627"/>
      <c r="W524" s="623"/>
      <c r="X524" s="623"/>
      <c r="Y524" s="623"/>
      <c r="Z524" s="623"/>
    </row>
    <row r="525">
      <c r="A525" s="623"/>
      <c r="B525" s="625"/>
      <c r="C525" s="756"/>
      <c r="D525" s="757"/>
      <c r="E525" s="642"/>
      <c r="F525" s="758"/>
      <c r="G525" s="758"/>
      <c r="H525" s="758"/>
      <c r="I525" s="758"/>
      <c r="J525" s="758"/>
      <c r="K525" s="758"/>
      <c r="L525" s="758"/>
      <c r="M525" s="758"/>
      <c r="N525" s="758"/>
      <c r="O525" s="758"/>
      <c r="P525" s="758"/>
      <c r="Q525" s="758"/>
      <c r="R525" s="623"/>
      <c r="S525" s="623"/>
      <c r="T525" s="623"/>
      <c r="U525" s="626"/>
      <c r="V525" s="627"/>
      <c r="W525" s="623"/>
      <c r="X525" s="623"/>
      <c r="Y525" s="623"/>
      <c r="Z525" s="623"/>
    </row>
    <row r="526">
      <c r="A526" s="623"/>
      <c r="B526" s="625"/>
      <c r="C526" s="756"/>
      <c r="D526" s="757"/>
      <c r="E526" s="642"/>
      <c r="F526" s="758"/>
      <c r="G526" s="758"/>
      <c r="H526" s="758"/>
      <c r="I526" s="758"/>
      <c r="J526" s="758"/>
      <c r="K526" s="758"/>
      <c r="L526" s="758"/>
      <c r="M526" s="758"/>
      <c r="N526" s="758"/>
      <c r="O526" s="758"/>
      <c r="P526" s="758"/>
      <c r="Q526" s="758"/>
      <c r="R526" s="623"/>
      <c r="S526" s="623"/>
      <c r="T526" s="623"/>
      <c r="U526" s="626"/>
      <c r="V526" s="627"/>
      <c r="W526" s="623"/>
      <c r="X526" s="623"/>
      <c r="Y526" s="623"/>
      <c r="Z526" s="623"/>
    </row>
    <row r="527">
      <c r="A527" s="623"/>
      <c r="B527" s="625"/>
      <c r="C527" s="756"/>
      <c r="D527" s="757"/>
      <c r="E527" s="642"/>
      <c r="F527" s="758"/>
      <c r="G527" s="758"/>
      <c r="H527" s="758"/>
      <c r="I527" s="758"/>
      <c r="J527" s="758"/>
      <c r="K527" s="758"/>
      <c r="L527" s="758"/>
      <c r="M527" s="758"/>
      <c r="N527" s="758"/>
      <c r="O527" s="758"/>
      <c r="P527" s="758"/>
      <c r="Q527" s="758"/>
      <c r="R527" s="623"/>
      <c r="S527" s="623"/>
      <c r="T527" s="623"/>
      <c r="U527" s="626"/>
      <c r="V527" s="627"/>
      <c r="W527" s="623"/>
      <c r="X527" s="623"/>
      <c r="Y527" s="623"/>
      <c r="Z527" s="623"/>
    </row>
    <row r="528">
      <c r="A528" s="623"/>
      <c r="B528" s="625"/>
      <c r="C528" s="756"/>
      <c r="D528" s="757"/>
      <c r="E528" s="642"/>
      <c r="F528" s="758"/>
      <c r="G528" s="758"/>
      <c r="H528" s="758"/>
      <c r="I528" s="758"/>
      <c r="J528" s="758"/>
      <c r="K528" s="758"/>
      <c r="L528" s="758"/>
      <c r="M528" s="758"/>
      <c r="N528" s="758"/>
      <c r="O528" s="758"/>
      <c r="P528" s="758"/>
      <c r="Q528" s="758"/>
      <c r="R528" s="623"/>
      <c r="S528" s="623"/>
      <c r="T528" s="623"/>
      <c r="U528" s="626"/>
      <c r="V528" s="627"/>
      <c r="W528" s="623"/>
      <c r="X528" s="623"/>
      <c r="Y528" s="623"/>
      <c r="Z528" s="623"/>
    </row>
    <row r="529">
      <c r="A529" s="623"/>
      <c r="B529" s="625"/>
      <c r="C529" s="756"/>
      <c r="D529" s="757"/>
      <c r="E529" s="642"/>
      <c r="F529" s="758"/>
      <c r="G529" s="758"/>
      <c r="H529" s="758"/>
      <c r="I529" s="758"/>
      <c r="J529" s="758"/>
      <c r="K529" s="758"/>
      <c r="L529" s="758"/>
      <c r="M529" s="758"/>
      <c r="N529" s="758"/>
      <c r="O529" s="758"/>
      <c r="P529" s="758"/>
      <c r="Q529" s="758"/>
      <c r="R529" s="623"/>
      <c r="S529" s="623"/>
      <c r="T529" s="623"/>
      <c r="U529" s="626"/>
      <c r="V529" s="627"/>
      <c r="W529" s="623"/>
      <c r="X529" s="623"/>
      <c r="Y529" s="623"/>
      <c r="Z529" s="623"/>
    </row>
    <row r="530">
      <c r="A530" s="623"/>
      <c r="B530" s="625"/>
      <c r="C530" s="756"/>
      <c r="D530" s="757"/>
      <c r="E530" s="642"/>
      <c r="F530" s="758"/>
      <c r="G530" s="758"/>
      <c r="H530" s="758"/>
      <c r="I530" s="758"/>
      <c r="J530" s="758"/>
      <c r="K530" s="758"/>
      <c r="L530" s="758"/>
      <c r="M530" s="758"/>
      <c r="N530" s="758"/>
      <c r="O530" s="758"/>
      <c r="P530" s="758"/>
      <c r="Q530" s="758"/>
      <c r="R530" s="623"/>
      <c r="S530" s="623"/>
      <c r="T530" s="623"/>
      <c r="U530" s="626"/>
      <c r="V530" s="627"/>
      <c r="W530" s="623"/>
      <c r="X530" s="623"/>
      <c r="Y530" s="623"/>
      <c r="Z530" s="623"/>
    </row>
    <row r="531">
      <c r="A531" s="623"/>
      <c r="B531" s="625"/>
      <c r="C531" s="756"/>
      <c r="D531" s="757"/>
      <c r="E531" s="642"/>
      <c r="F531" s="758"/>
      <c r="G531" s="758"/>
      <c r="H531" s="758"/>
      <c r="I531" s="758"/>
      <c r="J531" s="758"/>
      <c r="K531" s="758"/>
      <c r="L531" s="758"/>
      <c r="M531" s="758"/>
      <c r="N531" s="758"/>
      <c r="O531" s="758"/>
      <c r="P531" s="758"/>
      <c r="Q531" s="758"/>
      <c r="R531" s="623"/>
      <c r="S531" s="623"/>
      <c r="T531" s="623"/>
      <c r="U531" s="626"/>
      <c r="V531" s="627"/>
      <c r="W531" s="623"/>
      <c r="X531" s="623"/>
      <c r="Y531" s="623"/>
      <c r="Z531" s="623"/>
    </row>
    <row r="532">
      <c r="A532" s="623"/>
      <c r="B532" s="625"/>
      <c r="C532" s="756"/>
      <c r="D532" s="757"/>
      <c r="E532" s="642"/>
      <c r="F532" s="758"/>
      <c r="G532" s="758"/>
      <c r="H532" s="758"/>
      <c r="I532" s="758"/>
      <c r="J532" s="758"/>
      <c r="K532" s="758"/>
      <c r="L532" s="758"/>
      <c r="M532" s="758"/>
      <c r="N532" s="758"/>
      <c r="O532" s="758"/>
      <c r="P532" s="758"/>
      <c r="Q532" s="758"/>
      <c r="R532" s="623"/>
      <c r="S532" s="623"/>
      <c r="T532" s="623"/>
      <c r="U532" s="626"/>
      <c r="V532" s="627"/>
      <c r="W532" s="623"/>
      <c r="X532" s="623"/>
      <c r="Y532" s="623"/>
      <c r="Z532" s="623"/>
    </row>
    <row r="533">
      <c r="A533" s="623"/>
      <c r="B533" s="625"/>
      <c r="C533" s="756"/>
      <c r="D533" s="757"/>
      <c r="E533" s="642"/>
      <c r="F533" s="758"/>
      <c r="G533" s="758"/>
      <c r="H533" s="758"/>
      <c r="I533" s="758"/>
      <c r="J533" s="758"/>
      <c r="K533" s="758"/>
      <c r="L533" s="758"/>
      <c r="M533" s="758"/>
      <c r="N533" s="758"/>
      <c r="O533" s="758"/>
      <c r="P533" s="758"/>
      <c r="Q533" s="758"/>
      <c r="R533" s="623"/>
      <c r="S533" s="623"/>
      <c r="T533" s="623"/>
      <c r="U533" s="626"/>
      <c r="V533" s="627"/>
      <c r="W533" s="623"/>
      <c r="X533" s="623"/>
      <c r="Y533" s="623"/>
      <c r="Z533" s="623"/>
    </row>
    <row r="534">
      <c r="A534" s="623"/>
      <c r="B534" s="625"/>
      <c r="C534" s="756"/>
      <c r="D534" s="757"/>
      <c r="E534" s="642"/>
      <c r="F534" s="758"/>
      <c r="G534" s="758"/>
      <c r="H534" s="758"/>
      <c r="I534" s="758"/>
      <c r="J534" s="758"/>
      <c r="K534" s="758"/>
      <c r="L534" s="758"/>
      <c r="M534" s="758"/>
      <c r="N534" s="758"/>
      <c r="O534" s="758"/>
      <c r="P534" s="758"/>
      <c r="Q534" s="758"/>
      <c r="R534" s="623"/>
      <c r="S534" s="623"/>
      <c r="T534" s="623"/>
      <c r="U534" s="626"/>
      <c r="V534" s="627"/>
      <c r="W534" s="623"/>
      <c r="X534" s="623"/>
      <c r="Y534" s="623"/>
      <c r="Z534" s="623"/>
    </row>
    <row r="535">
      <c r="A535" s="623"/>
      <c r="B535" s="625"/>
      <c r="C535" s="756"/>
      <c r="D535" s="757"/>
      <c r="E535" s="642"/>
      <c r="F535" s="758"/>
      <c r="G535" s="758"/>
      <c r="H535" s="758"/>
      <c r="I535" s="758"/>
      <c r="J535" s="758"/>
      <c r="K535" s="758"/>
      <c r="L535" s="758"/>
      <c r="M535" s="758"/>
      <c r="N535" s="758"/>
      <c r="O535" s="758"/>
      <c r="P535" s="758"/>
      <c r="Q535" s="758"/>
      <c r="R535" s="623"/>
      <c r="S535" s="623"/>
      <c r="T535" s="623"/>
      <c r="U535" s="626"/>
      <c r="V535" s="627"/>
      <c r="W535" s="623"/>
      <c r="X535" s="623"/>
      <c r="Y535" s="623"/>
      <c r="Z535" s="623"/>
    </row>
    <row r="536">
      <c r="A536" s="623"/>
      <c r="B536" s="625"/>
      <c r="C536" s="756"/>
      <c r="D536" s="757"/>
      <c r="E536" s="642"/>
      <c r="F536" s="758"/>
      <c r="G536" s="758"/>
      <c r="H536" s="758"/>
      <c r="I536" s="758"/>
      <c r="J536" s="758"/>
      <c r="K536" s="758"/>
      <c r="L536" s="758"/>
      <c r="M536" s="758"/>
      <c r="N536" s="758"/>
      <c r="O536" s="758"/>
      <c r="P536" s="758"/>
      <c r="Q536" s="758"/>
      <c r="R536" s="623"/>
      <c r="S536" s="623"/>
      <c r="T536" s="623"/>
      <c r="U536" s="626"/>
      <c r="V536" s="627"/>
      <c r="W536" s="623"/>
      <c r="X536" s="623"/>
      <c r="Y536" s="623"/>
      <c r="Z536" s="623"/>
    </row>
    <row r="537">
      <c r="A537" s="623"/>
      <c r="B537" s="625"/>
      <c r="C537" s="756"/>
      <c r="D537" s="757"/>
      <c r="E537" s="642"/>
      <c r="F537" s="758"/>
      <c r="G537" s="758"/>
      <c r="H537" s="758"/>
      <c r="I537" s="758"/>
      <c r="J537" s="758"/>
      <c r="K537" s="758"/>
      <c r="L537" s="758"/>
      <c r="M537" s="758"/>
      <c r="N537" s="758"/>
      <c r="O537" s="758"/>
      <c r="P537" s="758"/>
      <c r="Q537" s="758"/>
      <c r="R537" s="623"/>
      <c r="S537" s="623"/>
      <c r="T537" s="623"/>
      <c r="U537" s="626"/>
      <c r="V537" s="627"/>
      <c r="W537" s="623"/>
      <c r="X537" s="623"/>
      <c r="Y537" s="623"/>
      <c r="Z537" s="623"/>
    </row>
    <row r="538">
      <c r="A538" s="623"/>
      <c r="B538" s="625"/>
      <c r="C538" s="756"/>
      <c r="D538" s="757"/>
      <c r="E538" s="642"/>
      <c r="F538" s="758"/>
      <c r="G538" s="758"/>
      <c r="H538" s="758"/>
      <c r="I538" s="758"/>
      <c r="J538" s="758"/>
      <c r="K538" s="758"/>
      <c r="L538" s="758"/>
      <c r="M538" s="758"/>
      <c r="N538" s="758"/>
      <c r="O538" s="758"/>
      <c r="P538" s="758"/>
      <c r="Q538" s="758"/>
      <c r="R538" s="623"/>
      <c r="S538" s="623"/>
      <c r="T538" s="623"/>
      <c r="U538" s="626"/>
      <c r="V538" s="627"/>
      <c r="W538" s="623"/>
      <c r="X538" s="623"/>
      <c r="Y538" s="623"/>
      <c r="Z538" s="623"/>
    </row>
    <row r="539">
      <c r="A539" s="623"/>
      <c r="B539" s="625"/>
      <c r="C539" s="756"/>
      <c r="D539" s="757"/>
      <c r="E539" s="642"/>
      <c r="F539" s="758"/>
      <c r="G539" s="758"/>
      <c r="H539" s="758"/>
      <c r="I539" s="758"/>
      <c r="J539" s="758"/>
      <c r="K539" s="758"/>
      <c r="L539" s="758"/>
      <c r="M539" s="758"/>
      <c r="N539" s="758"/>
      <c r="O539" s="758"/>
      <c r="P539" s="758"/>
      <c r="Q539" s="758"/>
      <c r="R539" s="623"/>
      <c r="S539" s="623"/>
      <c r="T539" s="623"/>
      <c r="U539" s="626"/>
      <c r="V539" s="627"/>
      <c r="W539" s="623"/>
      <c r="X539" s="623"/>
      <c r="Y539" s="623"/>
      <c r="Z539" s="623"/>
    </row>
    <row r="540">
      <c r="A540" s="623"/>
      <c r="B540" s="625"/>
      <c r="C540" s="756"/>
      <c r="D540" s="757"/>
      <c r="E540" s="642"/>
      <c r="F540" s="758"/>
      <c r="G540" s="758"/>
      <c r="H540" s="758"/>
      <c r="I540" s="758"/>
      <c r="J540" s="758"/>
      <c r="K540" s="758"/>
      <c r="L540" s="758"/>
      <c r="M540" s="758"/>
      <c r="N540" s="758"/>
      <c r="O540" s="758"/>
      <c r="P540" s="758"/>
      <c r="Q540" s="758"/>
      <c r="R540" s="623"/>
      <c r="S540" s="623"/>
      <c r="T540" s="623"/>
      <c r="U540" s="626"/>
      <c r="V540" s="627"/>
      <c r="W540" s="623"/>
      <c r="X540" s="623"/>
      <c r="Y540" s="623"/>
      <c r="Z540" s="623"/>
    </row>
    <row r="541">
      <c r="A541" s="623"/>
      <c r="B541" s="625"/>
      <c r="C541" s="756"/>
      <c r="D541" s="757"/>
      <c r="E541" s="642"/>
      <c r="F541" s="758"/>
      <c r="G541" s="758"/>
      <c r="H541" s="758"/>
      <c r="I541" s="758"/>
      <c r="J541" s="758"/>
      <c r="K541" s="758"/>
      <c r="L541" s="758"/>
      <c r="M541" s="758"/>
      <c r="N541" s="758"/>
      <c r="O541" s="758"/>
      <c r="P541" s="758"/>
      <c r="Q541" s="758"/>
      <c r="R541" s="623"/>
      <c r="S541" s="623"/>
      <c r="T541" s="623"/>
      <c r="U541" s="626"/>
      <c r="V541" s="627"/>
      <c r="W541" s="623"/>
      <c r="X541" s="623"/>
      <c r="Y541" s="623"/>
      <c r="Z541" s="623"/>
    </row>
    <row r="542">
      <c r="A542" s="623"/>
      <c r="B542" s="625"/>
      <c r="C542" s="756"/>
      <c r="D542" s="757"/>
      <c r="E542" s="642"/>
      <c r="F542" s="758"/>
      <c r="G542" s="758"/>
      <c r="H542" s="758"/>
      <c r="I542" s="758"/>
      <c r="J542" s="758"/>
      <c r="K542" s="758"/>
      <c r="L542" s="758"/>
      <c r="M542" s="758"/>
      <c r="N542" s="758"/>
      <c r="O542" s="758"/>
      <c r="P542" s="758"/>
      <c r="Q542" s="758"/>
      <c r="R542" s="623"/>
      <c r="S542" s="623"/>
      <c r="T542" s="623"/>
      <c r="U542" s="626"/>
      <c r="V542" s="627"/>
      <c r="W542" s="623"/>
      <c r="X542" s="623"/>
      <c r="Y542" s="623"/>
      <c r="Z542" s="623"/>
    </row>
    <row r="543">
      <c r="A543" s="623"/>
      <c r="B543" s="625"/>
      <c r="C543" s="756"/>
      <c r="D543" s="757"/>
      <c r="E543" s="642"/>
      <c r="F543" s="758"/>
      <c r="G543" s="758"/>
      <c r="H543" s="758"/>
      <c r="I543" s="758"/>
      <c r="J543" s="758"/>
      <c r="K543" s="758"/>
      <c r="L543" s="758"/>
      <c r="M543" s="758"/>
      <c r="N543" s="758"/>
      <c r="O543" s="758"/>
      <c r="P543" s="758"/>
      <c r="Q543" s="758"/>
      <c r="R543" s="623"/>
      <c r="S543" s="623"/>
      <c r="T543" s="623"/>
      <c r="U543" s="626"/>
      <c r="V543" s="627"/>
      <c r="W543" s="623"/>
      <c r="X543" s="623"/>
      <c r="Y543" s="623"/>
      <c r="Z543" s="623"/>
    </row>
    <row r="544">
      <c r="A544" s="623"/>
      <c r="B544" s="625"/>
      <c r="C544" s="756"/>
      <c r="D544" s="757"/>
      <c r="E544" s="642"/>
      <c r="F544" s="758"/>
      <c r="G544" s="758"/>
      <c r="H544" s="758"/>
      <c r="I544" s="758"/>
      <c r="J544" s="758"/>
      <c r="K544" s="758"/>
      <c r="L544" s="758"/>
      <c r="M544" s="758"/>
      <c r="N544" s="758"/>
      <c r="O544" s="758"/>
      <c r="P544" s="758"/>
      <c r="Q544" s="758"/>
      <c r="R544" s="623"/>
      <c r="S544" s="623"/>
      <c r="T544" s="623"/>
      <c r="U544" s="626"/>
      <c r="V544" s="627"/>
      <c r="W544" s="623"/>
      <c r="X544" s="623"/>
      <c r="Y544" s="623"/>
      <c r="Z544" s="623"/>
    </row>
    <row r="545">
      <c r="A545" s="623"/>
      <c r="B545" s="625"/>
      <c r="C545" s="756"/>
      <c r="D545" s="757"/>
      <c r="E545" s="642"/>
      <c r="F545" s="758"/>
      <c r="G545" s="758"/>
      <c r="H545" s="758"/>
      <c r="I545" s="758"/>
      <c r="J545" s="758"/>
      <c r="K545" s="758"/>
      <c r="L545" s="758"/>
      <c r="M545" s="758"/>
      <c r="N545" s="758"/>
      <c r="O545" s="758"/>
      <c r="P545" s="758"/>
      <c r="Q545" s="758"/>
      <c r="R545" s="623"/>
      <c r="S545" s="623"/>
      <c r="T545" s="623"/>
      <c r="U545" s="626"/>
      <c r="V545" s="627"/>
      <c r="W545" s="623"/>
      <c r="X545" s="623"/>
      <c r="Y545" s="623"/>
      <c r="Z545" s="623"/>
    </row>
    <row r="546">
      <c r="A546" s="623"/>
      <c r="B546" s="625"/>
      <c r="C546" s="756"/>
      <c r="D546" s="757"/>
      <c r="E546" s="642"/>
      <c r="F546" s="758"/>
      <c r="G546" s="758"/>
      <c r="H546" s="758"/>
      <c r="I546" s="758"/>
      <c r="J546" s="758"/>
      <c r="K546" s="758"/>
      <c r="L546" s="758"/>
      <c r="M546" s="758"/>
      <c r="N546" s="758"/>
      <c r="O546" s="758"/>
      <c r="P546" s="758"/>
      <c r="Q546" s="758"/>
      <c r="R546" s="623"/>
      <c r="S546" s="623"/>
      <c r="T546" s="623"/>
      <c r="U546" s="626"/>
      <c r="V546" s="627"/>
      <c r="W546" s="623"/>
      <c r="X546" s="623"/>
      <c r="Y546" s="623"/>
      <c r="Z546" s="623"/>
    </row>
    <row r="547">
      <c r="A547" s="623"/>
      <c r="B547" s="625"/>
      <c r="C547" s="756"/>
      <c r="D547" s="757"/>
      <c r="E547" s="642"/>
      <c r="F547" s="758"/>
      <c r="G547" s="758"/>
      <c r="H547" s="758"/>
      <c r="I547" s="758"/>
      <c r="J547" s="758"/>
      <c r="K547" s="758"/>
      <c r="L547" s="758"/>
      <c r="M547" s="758"/>
      <c r="N547" s="758"/>
      <c r="O547" s="758"/>
      <c r="P547" s="758"/>
      <c r="Q547" s="758"/>
      <c r="R547" s="623"/>
      <c r="S547" s="623"/>
      <c r="T547" s="623"/>
      <c r="U547" s="626"/>
      <c r="V547" s="627"/>
      <c r="W547" s="623"/>
      <c r="X547" s="623"/>
      <c r="Y547" s="623"/>
      <c r="Z547" s="623"/>
    </row>
    <row r="548">
      <c r="A548" s="623"/>
      <c r="B548" s="625"/>
      <c r="C548" s="756"/>
      <c r="D548" s="757"/>
      <c r="E548" s="642"/>
      <c r="F548" s="758"/>
      <c r="G548" s="758"/>
      <c r="H548" s="758"/>
      <c r="I548" s="758"/>
      <c r="J548" s="758"/>
      <c r="K548" s="758"/>
      <c r="L548" s="758"/>
      <c r="M548" s="758"/>
      <c r="N548" s="758"/>
      <c r="O548" s="758"/>
      <c r="P548" s="758"/>
      <c r="Q548" s="758"/>
      <c r="R548" s="623"/>
      <c r="S548" s="623"/>
      <c r="T548" s="623"/>
      <c r="U548" s="626"/>
      <c r="V548" s="627"/>
      <c r="W548" s="623"/>
      <c r="X548" s="623"/>
      <c r="Y548" s="623"/>
      <c r="Z548" s="623"/>
    </row>
    <row r="549">
      <c r="A549" s="623"/>
      <c r="B549" s="625"/>
      <c r="C549" s="756"/>
      <c r="D549" s="757"/>
      <c r="E549" s="642"/>
      <c r="F549" s="758"/>
      <c r="G549" s="758"/>
      <c r="H549" s="758"/>
      <c r="I549" s="758"/>
      <c r="J549" s="758"/>
      <c r="K549" s="758"/>
      <c r="L549" s="758"/>
      <c r="M549" s="758"/>
      <c r="N549" s="758"/>
      <c r="O549" s="758"/>
      <c r="P549" s="758"/>
      <c r="Q549" s="758"/>
      <c r="R549" s="623"/>
      <c r="S549" s="623"/>
      <c r="T549" s="623"/>
      <c r="U549" s="626"/>
      <c r="V549" s="627"/>
      <c r="W549" s="623"/>
      <c r="X549" s="623"/>
      <c r="Y549" s="623"/>
      <c r="Z549" s="623"/>
    </row>
    <row r="550">
      <c r="A550" s="623"/>
      <c r="B550" s="625"/>
      <c r="C550" s="756"/>
      <c r="D550" s="757"/>
      <c r="E550" s="642"/>
      <c r="F550" s="758"/>
      <c r="G550" s="758"/>
      <c r="H550" s="758"/>
      <c r="I550" s="758"/>
      <c r="J550" s="758"/>
      <c r="K550" s="758"/>
      <c r="L550" s="758"/>
      <c r="M550" s="758"/>
      <c r="N550" s="758"/>
      <c r="O550" s="758"/>
      <c r="P550" s="758"/>
      <c r="Q550" s="758"/>
      <c r="R550" s="623"/>
      <c r="S550" s="623"/>
      <c r="T550" s="623"/>
      <c r="U550" s="626"/>
      <c r="V550" s="627"/>
      <c r="W550" s="623"/>
      <c r="X550" s="623"/>
      <c r="Y550" s="623"/>
      <c r="Z550" s="623"/>
    </row>
    <row r="551">
      <c r="A551" s="623"/>
      <c r="B551" s="625"/>
      <c r="C551" s="756"/>
      <c r="D551" s="757"/>
      <c r="E551" s="642"/>
      <c r="F551" s="758"/>
      <c r="G551" s="758"/>
      <c r="H551" s="758"/>
      <c r="I551" s="758"/>
      <c r="J551" s="758"/>
      <c r="K551" s="758"/>
      <c r="L551" s="758"/>
      <c r="M551" s="758"/>
      <c r="N551" s="758"/>
      <c r="O551" s="758"/>
      <c r="P551" s="758"/>
      <c r="Q551" s="758"/>
      <c r="R551" s="623"/>
      <c r="S551" s="623"/>
      <c r="T551" s="623"/>
      <c r="U551" s="626"/>
      <c r="V551" s="627"/>
      <c r="W551" s="623"/>
      <c r="X551" s="623"/>
      <c r="Y551" s="623"/>
      <c r="Z551" s="623"/>
    </row>
    <row r="552">
      <c r="A552" s="623"/>
      <c r="B552" s="625"/>
      <c r="C552" s="756"/>
      <c r="D552" s="757"/>
      <c r="E552" s="642"/>
      <c r="F552" s="758"/>
      <c r="G552" s="758"/>
      <c r="H552" s="758"/>
      <c r="I552" s="758"/>
      <c r="J552" s="758"/>
      <c r="K552" s="758"/>
      <c r="L552" s="758"/>
      <c r="M552" s="758"/>
      <c r="N552" s="758"/>
      <c r="O552" s="758"/>
      <c r="P552" s="758"/>
      <c r="Q552" s="758"/>
      <c r="R552" s="623"/>
      <c r="S552" s="623"/>
      <c r="T552" s="623"/>
      <c r="U552" s="626"/>
      <c r="V552" s="627"/>
      <c r="W552" s="623"/>
      <c r="X552" s="623"/>
      <c r="Y552" s="623"/>
      <c r="Z552" s="623"/>
    </row>
    <row r="553">
      <c r="A553" s="623"/>
      <c r="B553" s="625"/>
      <c r="C553" s="756"/>
      <c r="D553" s="757"/>
      <c r="E553" s="642"/>
      <c r="F553" s="758"/>
      <c r="G553" s="758"/>
      <c r="H553" s="758"/>
      <c r="I553" s="758"/>
      <c r="J553" s="758"/>
      <c r="K553" s="758"/>
      <c r="L553" s="758"/>
      <c r="M553" s="758"/>
      <c r="N553" s="758"/>
      <c r="O553" s="758"/>
      <c r="P553" s="758"/>
      <c r="Q553" s="758"/>
      <c r="R553" s="623"/>
      <c r="S553" s="623"/>
      <c r="T553" s="623"/>
      <c r="U553" s="626"/>
      <c r="V553" s="627"/>
      <c r="W553" s="623"/>
      <c r="X553" s="623"/>
      <c r="Y553" s="623"/>
      <c r="Z553" s="623"/>
    </row>
    <row r="554">
      <c r="A554" s="623"/>
      <c r="B554" s="625"/>
      <c r="C554" s="756"/>
      <c r="D554" s="757"/>
      <c r="E554" s="642"/>
      <c r="F554" s="758"/>
      <c r="G554" s="758"/>
      <c r="H554" s="758"/>
      <c r="I554" s="758"/>
      <c r="J554" s="758"/>
      <c r="K554" s="758"/>
      <c r="L554" s="758"/>
      <c r="M554" s="758"/>
      <c r="N554" s="758"/>
      <c r="O554" s="758"/>
      <c r="P554" s="758"/>
      <c r="Q554" s="758"/>
      <c r="R554" s="623"/>
      <c r="S554" s="623"/>
      <c r="T554" s="623"/>
      <c r="U554" s="626"/>
      <c r="V554" s="627"/>
      <c r="W554" s="623"/>
      <c r="X554" s="623"/>
      <c r="Y554" s="623"/>
      <c r="Z554" s="623"/>
    </row>
    <row r="555">
      <c r="A555" s="623"/>
      <c r="B555" s="625"/>
      <c r="C555" s="756"/>
      <c r="D555" s="757"/>
      <c r="E555" s="642"/>
      <c r="F555" s="758"/>
      <c r="G555" s="758"/>
      <c r="H555" s="758"/>
      <c r="I555" s="758"/>
      <c r="J555" s="758"/>
      <c r="K555" s="758"/>
      <c r="L555" s="758"/>
      <c r="M555" s="758"/>
      <c r="N555" s="758"/>
      <c r="O555" s="758"/>
      <c r="P555" s="758"/>
      <c r="Q555" s="758"/>
      <c r="R555" s="623"/>
      <c r="S555" s="623"/>
      <c r="T555" s="623"/>
      <c r="U555" s="626"/>
      <c r="V555" s="627"/>
      <c r="W555" s="623"/>
      <c r="X555" s="623"/>
      <c r="Y555" s="623"/>
      <c r="Z555" s="623"/>
    </row>
    <row r="556">
      <c r="A556" s="623"/>
      <c r="B556" s="625"/>
      <c r="C556" s="756"/>
      <c r="D556" s="757"/>
      <c r="E556" s="642"/>
      <c r="F556" s="758"/>
      <c r="G556" s="758"/>
      <c r="H556" s="758"/>
      <c r="I556" s="758"/>
      <c r="J556" s="758"/>
      <c r="K556" s="758"/>
      <c r="L556" s="758"/>
      <c r="M556" s="758"/>
      <c r="N556" s="758"/>
      <c r="O556" s="758"/>
      <c r="P556" s="758"/>
      <c r="Q556" s="758"/>
      <c r="R556" s="623"/>
      <c r="S556" s="623"/>
      <c r="T556" s="623"/>
      <c r="U556" s="626"/>
      <c r="V556" s="627"/>
      <c r="W556" s="623"/>
      <c r="X556" s="623"/>
      <c r="Y556" s="623"/>
      <c r="Z556" s="623"/>
    </row>
    <row r="557">
      <c r="A557" s="623"/>
      <c r="B557" s="625"/>
      <c r="C557" s="756"/>
      <c r="D557" s="757"/>
      <c r="E557" s="642"/>
      <c r="F557" s="758"/>
      <c r="G557" s="758"/>
      <c r="H557" s="758"/>
      <c r="I557" s="758"/>
      <c r="J557" s="758"/>
      <c r="K557" s="758"/>
      <c r="L557" s="758"/>
      <c r="M557" s="758"/>
      <c r="N557" s="758"/>
      <c r="O557" s="758"/>
      <c r="P557" s="758"/>
      <c r="Q557" s="758"/>
      <c r="R557" s="623"/>
      <c r="S557" s="623"/>
      <c r="T557" s="623"/>
      <c r="U557" s="626"/>
      <c r="V557" s="627"/>
      <c r="W557" s="623"/>
      <c r="X557" s="623"/>
      <c r="Y557" s="623"/>
      <c r="Z557" s="623"/>
    </row>
    <row r="558">
      <c r="A558" s="623"/>
      <c r="B558" s="625"/>
      <c r="C558" s="756"/>
      <c r="D558" s="757"/>
      <c r="E558" s="642"/>
      <c r="F558" s="758"/>
      <c r="G558" s="758"/>
      <c r="H558" s="758"/>
      <c r="I558" s="758"/>
      <c r="J558" s="758"/>
      <c r="K558" s="758"/>
      <c r="L558" s="758"/>
      <c r="M558" s="758"/>
      <c r="N558" s="758"/>
      <c r="O558" s="758"/>
      <c r="P558" s="758"/>
      <c r="Q558" s="758"/>
      <c r="R558" s="623"/>
      <c r="S558" s="623"/>
      <c r="T558" s="623"/>
      <c r="U558" s="626"/>
      <c r="V558" s="627"/>
      <c r="W558" s="623"/>
      <c r="X558" s="623"/>
      <c r="Y558" s="623"/>
      <c r="Z558" s="623"/>
    </row>
    <row r="559">
      <c r="A559" s="623"/>
      <c r="B559" s="625"/>
      <c r="C559" s="756"/>
      <c r="D559" s="757"/>
      <c r="E559" s="642"/>
      <c r="F559" s="758"/>
      <c r="G559" s="758"/>
      <c r="H559" s="758"/>
      <c r="I559" s="758"/>
      <c r="J559" s="758"/>
      <c r="K559" s="758"/>
      <c r="L559" s="758"/>
      <c r="M559" s="758"/>
      <c r="N559" s="758"/>
      <c r="O559" s="758"/>
      <c r="P559" s="758"/>
      <c r="Q559" s="758"/>
      <c r="R559" s="623"/>
      <c r="S559" s="623"/>
      <c r="T559" s="623"/>
      <c r="U559" s="626"/>
      <c r="V559" s="627"/>
      <c r="W559" s="623"/>
      <c r="X559" s="623"/>
      <c r="Y559" s="623"/>
      <c r="Z559" s="623"/>
    </row>
    <row r="560">
      <c r="A560" s="623"/>
      <c r="B560" s="625"/>
      <c r="C560" s="756"/>
      <c r="D560" s="757"/>
      <c r="E560" s="642"/>
      <c r="F560" s="758"/>
      <c r="G560" s="758"/>
      <c r="H560" s="758"/>
      <c r="I560" s="758"/>
      <c r="J560" s="758"/>
      <c r="K560" s="758"/>
      <c r="L560" s="758"/>
      <c r="M560" s="758"/>
      <c r="N560" s="758"/>
      <c r="O560" s="758"/>
      <c r="P560" s="758"/>
      <c r="Q560" s="758"/>
      <c r="R560" s="623"/>
      <c r="S560" s="623"/>
      <c r="T560" s="623"/>
      <c r="U560" s="626"/>
      <c r="V560" s="627"/>
      <c r="W560" s="623"/>
      <c r="X560" s="623"/>
      <c r="Y560" s="623"/>
      <c r="Z560" s="623"/>
    </row>
    <row r="561">
      <c r="A561" s="623"/>
      <c r="B561" s="625"/>
      <c r="C561" s="756"/>
      <c r="D561" s="757"/>
      <c r="E561" s="642"/>
      <c r="F561" s="758"/>
      <c r="G561" s="758"/>
      <c r="H561" s="758"/>
      <c r="I561" s="758"/>
      <c r="J561" s="758"/>
      <c r="K561" s="758"/>
      <c r="L561" s="758"/>
      <c r="M561" s="758"/>
      <c r="N561" s="758"/>
      <c r="O561" s="758"/>
      <c r="P561" s="758"/>
      <c r="Q561" s="758"/>
      <c r="R561" s="623"/>
      <c r="S561" s="623"/>
      <c r="T561" s="623"/>
      <c r="U561" s="626"/>
      <c r="V561" s="627"/>
      <c r="W561" s="623"/>
      <c r="X561" s="623"/>
      <c r="Y561" s="623"/>
      <c r="Z561" s="623"/>
    </row>
    <row r="562">
      <c r="A562" s="623"/>
      <c r="B562" s="625"/>
      <c r="C562" s="756"/>
      <c r="D562" s="757"/>
      <c r="E562" s="642"/>
      <c r="F562" s="758"/>
      <c r="G562" s="758"/>
      <c r="H562" s="758"/>
      <c r="I562" s="758"/>
      <c r="J562" s="758"/>
      <c r="K562" s="758"/>
      <c r="L562" s="758"/>
      <c r="M562" s="758"/>
      <c r="N562" s="758"/>
      <c r="O562" s="758"/>
      <c r="P562" s="758"/>
      <c r="Q562" s="758"/>
      <c r="R562" s="623"/>
      <c r="S562" s="623"/>
      <c r="T562" s="623"/>
      <c r="U562" s="626"/>
      <c r="V562" s="627"/>
      <c r="W562" s="623"/>
      <c r="X562" s="623"/>
      <c r="Y562" s="623"/>
      <c r="Z562" s="623"/>
    </row>
    <row r="563">
      <c r="A563" s="623"/>
      <c r="B563" s="625"/>
      <c r="C563" s="756"/>
      <c r="D563" s="757"/>
      <c r="E563" s="642"/>
      <c r="F563" s="758"/>
      <c r="G563" s="758"/>
      <c r="H563" s="758"/>
      <c r="I563" s="758"/>
      <c r="J563" s="758"/>
      <c r="K563" s="758"/>
      <c r="L563" s="758"/>
      <c r="M563" s="758"/>
      <c r="N563" s="758"/>
      <c r="O563" s="758"/>
      <c r="P563" s="758"/>
      <c r="Q563" s="758"/>
      <c r="R563" s="623"/>
      <c r="S563" s="623"/>
      <c r="T563" s="623"/>
      <c r="U563" s="626"/>
      <c r="V563" s="627"/>
      <c r="W563" s="623"/>
      <c r="X563" s="623"/>
      <c r="Y563" s="623"/>
      <c r="Z563" s="623"/>
    </row>
    <row r="564">
      <c r="A564" s="623"/>
      <c r="B564" s="625"/>
      <c r="C564" s="756"/>
      <c r="D564" s="757"/>
      <c r="E564" s="642"/>
      <c r="F564" s="758"/>
      <c r="G564" s="758"/>
      <c r="H564" s="758"/>
      <c r="I564" s="758"/>
      <c r="J564" s="758"/>
      <c r="K564" s="758"/>
      <c r="L564" s="758"/>
      <c r="M564" s="758"/>
      <c r="N564" s="758"/>
      <c r="O564" s="758"/>
      <c r="P564" s="758"/>
      <c r="Q564" s="758"/>
      <c r="R564" s="623"/>
      <c r="S564" s="623"/>
      <c r="T564" s="623"/>
      <c r="U564" s="626"/>
      <c r="V564" s="627"/>
      <c r="W564" s="623"/>
      <c r="X564" s="623"/>
      <c r="Y564" s="623"/>
      <c r="Z564" s="623"/>
    </row>
    <row r="565">
      <c r="A565" s="623"/>
      <c r="B565" s="625"/>
      <c r="C565" s="756"/>
      <c r="D565" s="757"/>
      <c r="E565" s="642"/>
      <c r="F565" s="758"/>
      <c r="G565" s="758"/>
      <c r="H565" s="758"/>
      <c r="I565" s="758"/>
      <c r="J565" s="758"/>
      <c r="K565" s="758"/>
      <c r="L565" s="758"/>
      <c r="M565" s="758"/>
      <c r="N565" s="758"/>
      <c r="O565" s="758"/>
      <c r="P565" s="758"/>
      <c r="Q565" s="758"/>
      <c r="R565" s="623"/>
      <c r="S565" s="623"/>
      <c r="T565" s="623"/>
      <c r="U565" s="626"/>
      <c r="V565" s="627"/>
      <c r="W565" s="623"/>
      <c r="X565" s="623"/>
      <c r="Y565" s="623"/>
      <c r="Z565" s="623"/>
    </row>
    <row r="566">
      <c r="A566" s="623"/>
      <c r="B566" s="625"/>
      <c r="C566" s="756"/>
      <c r="D566" s="757"/>
      <c r="E566" s="642"/>
      <c r="F566" s="758"/>
      <c r="G566" s="758"/>
      <c r="H566" s="758"/>
      <c r="I566" s="758"/>
      <c r="J566" s="758"/>
      <c r="K566" s="758"/>
      <c r="L566" s="758"/>
      <c r="M566" s="758"/>
      <c r="N566" s="758"/>
      <c r="O566" s="758"/>
      <c r="P566" s="758"/>
      <c r="Q566" s="758"/>
      <c r="R566" s="623"/>
      <c r="S566" s="623"/>
      <c r="T566" s="623"/>
      <c r="U566" s="626"/>
      <c r="V566" s="627"/>
      <c r="W566" s="623"/>
      <c r="X566" s="623"/>
      <c r="Y566" s="623"/>
      <c r="Z566" s="623"/>
    </row>
    <row r="567">
      <c r="A567" s="623"/>
      <c r="B567" s="625"/>
      <c r="C567" s="756"/>
      <c r="D567" s="757"/>
      <c r="E567" s="642"/>
      <c r="F567" s="758"/>
      <c r="G567" s="758"/>
      <c r="H567" s="758"/>
      <c r="I567" s="758"/>
      <c r="J567" s="758"/>
      <c r="K567" s="758"/>
      <c r="L567" s="758"/>
      <c r="M567" s="758"/>
      <c r="N567" s="758"/>
      <c r="O567" s="758"/>
      <c r="P567" s="758"/>
      <c r="Q567" s="758"/>
      <c r="R567" s="623"/>
      <c r="S567" s="623"/>
      <c r="T567" s="623"/>
      <c r="U567" s="626"/>
      <c r="V567" s="627"/>
      <c r="W567" s="623"/>
      <c r="X567" s="623"/>
      <c r="Y567" s="623"/>
      <c r="Z567" s="623"/>
    </row>
    <row r="568">
      <c r="A568" s="623"/>
      <c r="B568" s="625"/>
      <c r="C568" s="756"/>
      <c r="D568" s="757"/>
      <c r="E568" s="642"/>
      <c r="F568" s="758"/>
      <c r="G568" s="758"/>
      <c r="H568" s="758"/>
      <c r="I568" s="758"/>
      <c r="J568" s="758"/>
      <c r="K568" s="758"/>
      <c r="L568" s="758"/>
      <c r="M568" s="758"/>
      <c r="N568" s="758"/>
      <c r="O568" s="758"/>
      <c r="P568" s="758"/>
      <c r="Q568" s="758"/>
      <c r="R568" s="623"/>
      <c r="S568" s="623"/>
      <c r="T568" s="623"/>
      <c r="U568" s="626"/>
      <c r="V568" s="627"/>
      <c r="W568" s="623"/>
      <c r="X568" s="623"/>
      <c r="Y568" s="623"/>
      <c r="Z568" s="623"/>
    </row>
    <row r="569">
      <c r="A569" s="623"/>
      <c r="B569" s="625"/>
      <c r="C569" s="756"/>
      <c r="D569" s="757"/>
      <c r="E569" s="642"/>
      <c r="F569" s="758"/>
      <c r="G569" s="758"/>
      <c r="H569" s="758"/>
      <c r="I569" s="758"/>
      <c r="J569" s="758"/>
      <c r="K569" s="758"/>
      <c r="L569" s="758"/>
      <c r="M569" s="758"/>
      <c r="N569" s="758"/>
      <c r="O569" s="758"/>
      <c r="P569" s="758"/>
      <c r="Q569" s="758"/>
      <c r="R569" s="623"/>
      <c r="S569" s="623"/>
      <c r="T569" s="623"/>
      <c r="U569" s="626"/>
      <c r="V569" s="627"/>
      <c r="W569" s="623"/>
      <c r="X569" s="623"/>
      <c r="Y569" s="623"/>
      <c r="Z569" s="623"/>
    </row>
    <row r="570">
      <c r="A570" s="623"/>
      <c r="B570" s="625"/>
      <c r="C570" s="756"/>
      <c r="D570" s="757"/>
      <c r="E570" s="642"/>
      <c r="F570" s="758"/>
      <c r="G570" s="758"/>
      <c r="H570" s="758"/>
      <c r="I570" s="758"/>
      <c r="J570" s="758"/>
      <c r="K570" s="758"/>
      <c r="L570" s="758"/>
      <c r="M570" s="758"/>
      <c r="N570" s="758"/>
      <c r="O570" s="758"/>
      <c r="P570" s="758"/>
      <c r="Q570" s="758"/>
      <c r="R570" s="623"/>
      <c r="S570" s="623"/>
      <c r="T570" s="623"/>
      <c r="U570" s="626"/>
      <c r="V570" s="627"/>
      <c r="W570" s="623"/>
      <c r="X570" s="623"/>
      <c r="Y570" s="623"/>
      <c r="Z570" s="623"/>
    </row>
    <row r="571">
      <c r="A571" s="623"/>
      <c r="B571" s="625"/>
      <c r="C571" s="756"/>
      <c r="D571" s="757"/>
      <c r="E571" s="642"/>
      <c r="F571" s="758"/>
      <c r="G571" s="758"/>
      <c r="H571" s="758"/>
      <c r="I571" s="758"/>
      <c r="J571" s="758"/>
      <c r="K571" s="758"/>
      <c r="L571" s="758"/>
      <c r="M571" s="758"/>
      <c r="N571" s="758"/>
      <c r="O571" s="758"/>
      <c r="P571" s="758"/>
      <c r="Q571" s="758"/>
      <c r="R571" s="623"/>
      <c r="S571" s="623"/>
      <c r="T571" s="623"/>
      <c r="U571" s="626"/>
      <c r="V571" s="627"/>
      <c r="W571" s="623"/>
      <c r="X571" s="623"/>
      <c r="Y571" s="623"/>
      <c r="Z571" s="623"/>
    </row>
    <row r="572">
      <c r="A572" s="623"/>
      <c r="B572" s="625"/>
      <c r="C572" s="756"/>
      <c r="D572" s="757"/>
      <c r="E572" s="642"/>
      <c r="F572" s="758"/>
      <c r="G572" s="758"/>
      <c r="H572" s="758"/>
      <c r="I572" s="758"/>
      <c r="J572" s="758"/>
      <c r="K572" s="758"/>
      <c r="L572" s="758"/>
      <c r="M572" s="758"/>
      <c r="N572" s="758"/>
      <c r="O572" s="758"/>
      <c r="P572" s="758"/>
      <c r="Q572" s="758"/>
      <c r="R572" s="623"/>
      <c r="S572" s="623"/>
      <c r="T572" s="623"/>
      <c r="U572" s="626"/>
      <c r="V572" s="627"/>
      <c r="W572" s="623"/>
      <c r="X572" s="623"/>
      <c r="Y572" s="623"/>
      <c r="Z572" s="623"/>
    </row>
    <row r="573">
      <c r="A573" s="623"/>
      <c r="B573" s="625"/>
      <c r="C573" s="756"/>
      <c r="D573" s="757"/>
      <c r="E573" s="642"/>
      <c r="F573" s="758"/>
      <c r="G573" s="758"/>
      <c r="H573" s="758"/>
      <c r="I573" s="758"/>
      <c r="J573" s="758"/>
      <c r="K573" s="758"/>
      <c r="L573" s="758"/>
      <c r="M573" s="758"/>
      <c r="N573" s="758"/>
      <c r="O573" s="758"/>
      <c r="P573" s="758"/>
      <c r="Q573" s="758"/>
      <c r="R573" s="623"/>
      <c r="S573" s="623"/>
      <c r="T573" s="623"/>
      <c r="U573" s="626"/>
      <c r="V573" s="627"/>
      <c r="W573" s="623"/>
      <c r="X573" s="623"/>
      <c r="Y573" s="623"/>
      <c r="Z573" s="623"/>
    </row>
    <row r="574">
      <c r="A574" s="623"/>
      <c r="B574" s="625"/>
      <c r="C574" s="756"/>
      <c r="D574" s="757"/>
      <c r="E574" s="642"/>
      <c r="F574" s="758"/>
      <c r="G574" s="758"/>
      <c r="H574" s="758"/>
      <c r="I574" s="758"/>
      <c r="J574" s="758"/>
      <c r="K574" s="758"/>
      <c r="L574" s="758"/>
      <c r="M574" s="758"/>
      <c r="N574" s="758"/>
      <c r="O574" s="758"/>
      <c r="P574" s="758"/>
      <c r="Q574" s="758"/>
      <c r="R574" s="623"/>
      <c r="S574" s="623"/>
      <c r="T574" s="623"/>
      <c r="U574" s="626"/>
      <c r="V574" s="627"/>
      <c r="W574" s="623"/>
      <c r="X574" s="623"/>
      <c r="Y574" s="623"/>
      <c r="Z574" s="623"/>
    </row>
    <row r="575">
      <c r="A575" s="623"/>
      <c r="B575" s="625"/>
      <c r="C575" s="756"/>
      <c r="D575" s="757"/>
      <c r="E575" s="642"/>
      <c r="F575" s="758"/>
      <c r="G575" s="758"/>
      <c r="H575" s="758"/>
      <c r="I575" s="758"/>
      <c r="J575" s="758"/>
      <c r="K575" s="758"/>
      <c r="L575" s="758"/>
      <c r="M575" s="758"/>
      <c r="N575" s="758"/>
      <c r="O575" s="758"/>
      <c r="P575" s="758"/>
      <c r="Q575" s="758"/>
      <c r="R575" s="623"/>
      <c r="S575" s="623"/>
      <c r="T575" s="623"/>
      <c r="U575" s="626"/>
      <c r="V575" s="627"/>
      <c r="W575" s="623"/>
      <c r="X575" s="623"/>
      <c r="Y575" s="623"/>
      <c r="Z575" s="623"/>
    </row>
    <row r="576">
      <c r="A576" s="623"/>
      <c r="B576" s="625"/>
      <c r="C576" s="756"/>
      <c r="D576" s="757"/>
      <c r="E576" s="642"/>
      <c r="F576" s="758"/>
      <c r="G576" s="758"/>
      <c r="H576" s="758"/>
      <c r="I576" s="758"/>
      <c r="J576" s="758"/>
      <c r="K576" s="758"/>
      <c r="L576" s="758"/>
      <c r="M576" s="758"/>
      <c r="N576" s="758"/>
      <c r="O576" s="758"/>
      <c r="P576" s="758"/>
      <c r="Q576" s="758"/>
      <c r="R576" s="623"/>
      <c r="S576" s="623"/>
      <c r="T576" s="623"/>
      <c r="U576" s="626"/>
      <c r="V576" s="627"/>
      <c r="W576" s="623"/>
      <c r="X576" s="623"/>
      <c r="Y576" s="623"/>
      <c r="Z576" s="623"/>
    </row>
    <row r="577">
      <c r="A577" s="623"/>
      <c r="B577" s="625"/>
      <c r="C577" s="756"/>
      <c r="D577" s="757"/>
      <c r="E577" s="642"/>
      <c r="F577" s="758"/>
      <c r="G577" s="758"/>
      <c r="H577" s="758"/>
      <c r="I577" s="758"/>
      <c r="J577" s="758"/>
      <c r="K577" s="758"/>
      <c r="L577" s="758"/>
      <c r="M577" s="758"/>
      <c r="N577" s="758"/>
      <c r="O577" s="758"/>
      <c r="P577" s="758"/>
      <c r="Q577" s="758"/>
      <c r="R577" s="623"/>
      <c r="S577" s="623"/>
      <c r="T577" s="623"/>
      <c r="U577" s="626"/>
      <c r="V577" s="627"/>
      <c r="W577" s="623"/>
      <c r="X577" s="623"/>
      <c r="Y577" s="623"/>
      <c r="Z577" s="623"/>
    </row>
    <row r="578">
      <c r="A578" s="623"/>
      <c r="B578" s="625"/>
      <c r="C578" s="756"/>
      <c r="D578" s="757"/>
      <c r="E578" s="642"/>
      <c r="F578" s="758"/>
      <c r="G578" s="758"/>
      <c r="H578" s="758"/>
      <c r="I578" s="758"/>
      <c r="J578" s="758"/>
      <c r="K578" s="758"/>
      <c r="L578" s="758"/>
      <c r="M578" s="758"/>
      <c r="N578" s="758"/>
      <c r="O578" s="758"/>
      <c r="P578" s="758"/>
      <c r="Q578" s="758"/>
      <c r="R578" s="623"/>
      <c r="S578" s="623"/>
      <c r="T578" s="623"/>
      <c r="U578" s="626"/>
      <c r="V578" s="627"/>
      <c r="W578" s="623"/>
      <c r="X578" s="623"/>
      <c r="Y578" s="623"/>
      <c r="Z578" s="623"/>
    </row>
    <row r="579">
      <c r="A579" s="623"/>
      <c r="B579" s="625"/>
      <c r="C579" s="756"/>
      <c r="D579" s="757"/>
      <c r="E579" s="642"/>
      <c r="F579" s="758"/>
      <c r="G579" s="758"/>
      <c r="H579" s="758"/>
      <c r="I579" s="758"/>
      <c r="J579" s="758"/>
      <c r="K579" s="758"/>
      <c r="L579" s="758"/>
      <c r="M579" s="758"/>
      <c r="N579" s="758"/>
      <c r="O579" s="758"/>
      <c r="P579" s="758"/>
      <c r="Q579" s="758"/>
      <c r="R579" s="623"/>
      <c r="S579" s="623"/>
      <c r="T579" s="623"/>
      <c r="U579" s="626"/>
      <c r="V579" s="627"/>
      <c r="W579" s="623"/>
      <c r="X579" s="623"/>
      <c r="Y579" s="623"/>
      <c r="Z579" s="623"/>
    </row>
    <row r="580">
      <c r="A580" s="623"/>
      <c r="B580" s="625"/>
      <c r="C580" s="756"/>
      <c r="D580" s="757"/>
      <c r="E580" s="642"/>
      <c r="F580" s="758"/>
      <c r="G580" s="758"/>
      <c r="H580" s="758"/>
      <c r="I580" s="758"/>
      <c r="J580" s="758"/>
      <c r="K580" s="758"/>
      <c r="L580" s="758"/>
      <c r="M580" s="758"/>
      <c r="N580" s="758"/>
      <c r="O580" s="758"/>
      <c r="P580" s="758"/>
      <c r="Q580" s="758"/>
      <c r="R580" s="623"/>
      <c r="S580" s="623"/>
      <c r="T580" s="623"/>
      <c r="U580" s="626"/>
      <c r="V580" s="627"/>
      <c r="W580" s="623"/>
      <c r="X580" s="623"/>
      <c r="Y580" s="623"/>
      <c r="Z580" s="623"/>
    </row>
    <row r="581">
      <c r="A581" s="623"/>
      <c r="B581" s="625"/>
      <c r="C581" s="756"/>
      <c r="D581" s="757"/>
      <c r="E581" s="642"/>
      <c r="F581" s="758"/>
      <c r="G581" s="758"/>
      <c r="H581" s="758"/>
      <c r="I581" s="758"/>
      <c r="J581" s="758"/>
      <c r="K581" s="758"/>
      <c r="L581" s="758"/>
      <c r="M581" s="758"/>
      <c r="N581" s="758"/>
      <c r="O581" s="758"/>
      <c r="P581" s="758"/>
      <c r="Q581" s="758"/>
      <c r="R581" s="623"/>
      <c r="S581" s="623"/>
      <c r="T581" s="623"/>
      <c r="U581" s="626"/>
      <c r="V581" s="627"/>
      <c r="W581" s="623"/>
      <c r="X581" s="623"/>
      <c r="Y581" s="623"/>
      <c r="Z581" s="623"/>
    </row>
    <row r="582">
      <c r="A582" s="623"/>
      <c r="B582" s="625"/>
      <c r="C582" s="756"/>
      <c r="D582" s="757"/>
      <c r="E582" s="642"/>
      <c r="F582" s="758"/>
      <c r="G582" s="758"/>
      <c r="H582" s="758"/>
      <c r="I582" s="758"/>
      <c r="J582" s="758"/>
      <c r="K582" s="758"/>
      <c r="L582" s="758"/>
      <c r="M582" s="758"/>
      <c r="N582" s="758"/>
      <c r="O582" s="758"/>
      <c r="P582" s="758"/>
      <c r="Q582" s="758"/>
      <c r="R582" s="623"/>
      <c r="S582" s="623"/>
      <c r="T582" s="623"/>
      <c r="U582" s="626"/>
      <c r="V582" s="627"/>
      <c r="W582" s="623"/>
      <c r="X582" s="623"/>
      <c r="Y582" s="623"/>
      <c r="Z582" s="623"/>
    </row>
    <row r="583">
      <c r="A583" s="623"/>
      <c r="B583" s="625"/>
      <c r="C583" s="756"/>
      <c r="D583" s="757"/>
      <c r="E583" s="642"/>
      <c r="F583" s="758"/>
      <c r="G583" s="758"/>
      <c r="H583" s="758"/>
      <c r="I583" s="758"/>
      <c r="J583" s="758"/>
      <c r="K583" s="758"/>
      <c r="L583" s="758"/>
      <c r="M583" s="758"/>
      <c r="N583" s="758"/>
      <c r="O583" s="758"/>
      <c r="P583" s="758"/>
      <c r="Q583" s="758"/>
      <c r="R583" s="623"/>
      <c r="S583" s="623"/>
      <c r="T583" s="623"/>
      <c r="U583" s="626"/>
      <c r="V583" s="627"/>
      <c r="W583" s="623"/>
      <c r="X583" s="623"/>
      <c r="Y583" s="623"/>
      <c r="Z583" s="623"/>
    </row>
    <row r="584">
      <c r="A584" s="623"/>
      <c r="B584" s="625"/>
      <c r="C584" s="756"/>
      <c r="D584" s="757"/>
      <c r="E584" s="642"/>
      <c r="F584" s="758"/>
      <c r="G584" s="758"/>
      <c r="H584" s="758"/>
      <c r="I584" s="758"/>
      <c r="J584" s="758"/>
      <c r="K584" s="758"/>
      <c r="L584" s="758"/>
      <c r="M584" s="758"/>
      <c r="N584" s="758"/>
      <c r="O584" s="758"/>
      <c r="P584" s="758"/>
      <c r="Q584" s="758"/>
      <c r="R584" s="623"/>
      <c r="S584" s="623"/>
      <c r="T584" s="623"/>
      <c r="U584" s="626"/>
      <c r="V584" s="627"/>
      <c r="W584" s="623"/>
      <c r="X584" s="623"/>
      <c r="Y584" s="623"/>
      <c r="Z584" s="623"/>
    </row>
    <row r="585">
      <c r="A585" s="623"/>
      <c r="B585" s="625"/>
      <c r="C585" s="756"/>
      <c r="D585" s="757"/>
      <c r="E585" s="642"/>
      <c r="F585" s="758"/>
      <c r="G585" s="758"/>
      <c r="H585" s="758"/>
      <c r="I585" s="758"/>
      <c r="J585" s="758"/>
      <c r="K585" s="758"/>
      <c r="L585" s="758"/>
      <c r="M585" s="758"/>
      <c r="N585" s="758"/>
      <c r="O585" s="758"/>
      <c r="P585" s="758"/>
      <c r="Q585" s="758"/>
      <c r="R585" s="623"/>
      <c r="S585" s="623"/>
      <c r="T585" s="623"/>
      <c r="U585" s="626"/>
      <c r="V585" s="627"/>
      <c r="W585" s="623"/>
      <c r="X585" s="623"/>
      <c r="Y585" s="623"/>
      <c r="Z585" s="623"/>
    </row>
    <row r="586">
      <c r="A586" s="623"/>
      <c r="B586" s="625"/>
      <c r="C586" s="756"/>
      <c r="D586" s="757"/>
      <c r="E586" s="642"/>
      <c r="F586" s="758"/>
      <c r="G586" s="758"/>
      <c r="H586" s="758"/>
      <c r="I586" s="758"/>
      <c r="J586" s="758"/>
      <c r="K586" s="758"/>
      <c r="L586" s="758"/>
      <c r="M586" s="758"/>
      <c r="N586" s="758"/>
      <c r="O586" s="758"/>
      <c r="P586" s="758"/>
      <c r="Q586" s="758"/>
      <c r="R586" s="623"/>
      <c r="S586" s="623"/>
      <c r="T586" s="623"/>
      <c r="U586" s="626"/>
      <c r="V586" s="627"/>
      <c r="W586" s="623"/>
      <c r="X586" s="623"/>
      <c r="Y586" s="623"/>
      <c r="Z586" s="623"/>
    </row>
    <row r="587">
      <c r="A587" s="623"/>
      <c r="B587" s="625"/>
      <c r="C587" s="756"/>
      <c r="D587" s="757"/>
      <c r="E587" s="642"/>
      <c r="F587" s="758"/>
      <c r="G587" s="758"/>
      <c r="H587" s="758"/>
      <c r="I587" s="758"/>
      <c r="J587" s="758"/>
      <c r="K587" s="758"/>
      <c r="L587" s="758"/>
      <c r="M587" s="758"/>
      <c r="N587" s="758"/>
      <c r="O587" s="758"/>
      <c r="P587" s="758"/>
      <c r="Q587" s="758"/>
      <c r="R587" s="623"/>
      <c r="S587" s="623"/>
      <c r="T587" s="623"/>
      <c r="U587" s="626"/>
      <c r="V587" s="627"/>
      <c r="W587" s="623"/>
      <c r="X587" s="623"/>
      <c r="Y587" s="623"/>
      <c r="Z587" s="623"/>
    </row>
    <row r="588">
      <c r="A588" s="623"/>
      <c r="B588" s="625"/>
      <c r="C588" s="756"/>
      <c r="D588" s="757"/>
      <c r="E588" s="642"/>
      <c r="F588" s="758"/>
      <c r="G588" s="758"/>
      <c r="H588" s="758"/>
      <c r="I588" s="758"/>
      <c r="J588" s="758"/>
      <c r="K588" s="758"/>
      <c r="L588" s="758"/>
      <c r="M588" s="758"/>
      <c r="N588" s="758"/>
      <c r="O588" s="758"/>
      <c r="P588" s="758"/>
      <c r="Q588" s="758"/>
      <c r="R588" s="623"/>
      <c r="S588" s="623"/>
      <c r="T588" s="623"/>
      <c r="U588" s="626"/>
      <c r="V588" s="627"/>
      <c r="W588" s="623"/>
      <c r="X588" s="623"/>
      <c r="Y588" s="623"/>
      <c r="Z588" s="623"/>
    </row>
    <row r="589">
      <c r="A589" s="623"/>
      <c r="B589" s="625"/>
      <c r="C589" s="756"/>
      <c r="D589" s="757"/>
      <c r="E589" s="642"/>
      <c r="F589" s="758"/>
      <c r="G589" s="758"/>
      <c r="H589" s="758"/>
      <c r="I589" s="758"/>
      <c r="J589" s="758"/>
      <c r="K589" s="758"/>
      <c r="L589" s="758"/>
      <c r="M589" s="758"/>
      <c r="N589" s="758"/>
      <c r="O589" s="758"/>
      <c r="P589" s="758"/>
      <c r="Q589" s="758"/>
      <c r="R589" s="623"/>
      <c r="S589" s="623"/>
      <c r="T589" s="623"/>
      <c r="U589" s="626"/>
      <c r="V589" s="627"/>
      <c r="W589" s="623"/>
      <c r="X589" s="623"/>
      <c r="Y589" s="623"/>
      <c r="Z589" s="623"/>
    </row>
    <row r="590">
      <c r="A590" s="623"/>
      <c r="B590" s="625"/>
      <c r="C590" s="756"/>
      <c r="D590" s="757"/>
      <c r="E590" s="642"/>
      <c r="F590" s="758"/>
      <c r="G590" s="758"/>
      <c r="H590" s="758"/>
      <c r="I590" s="758"/>
      <c r="J590" s="758"/>
      <c r="K590" s="758"/>
      <c r="L590" s="758"/>
      <c r="M590" s="758"/>
      <c r="N590" s="758"/>
      <c r="O590" s="758"/>
      <c r="P590" s="758"/>
      <c r="Q590" s="758"/>
      <c r="R590" s="623"/>
      <c r="S590" s="623"/>
      <c r="T590" s="623"/>
      <c r="U590" s="626"/>
      <c r="V590" s="627"/>
      <c r="W590" s="623"/>
      <c r="X590" s="623"/>
      <c r="Y590" s="623"/>
      <c r="Z590" s="623"/>
    </row>
    <row r="591">
      <c r="A591" s="623"/>
      <c r="B591" s="625"/>
      <c r="C591" s="756"/>
      <c r="D591" s="757"/>
      <c r="E591" s="642"/>
      <c r="F591" s="758"/>
      <c r="G591" s="758"/>
      <c r="H591" s="758"/>
      <c r="I591" s="758"/>
      <c r="J591" s="758"/>
      <c r="K591" s="758"/>
      <c r="L591" s="758"/>
      <c r="M591" s="758"/>
      <c r="N591" s="758"/>
      <c r="O591" s="758"/>
      <c r="P591" s="758"/>
      <c r="Q591" s="758"/>
      <c r="R591" s="623"/>
      <c r="S591" s="623"/>
      <c r="T591" s="623"/>
      <c r="U591" s="626"/>
      <c r="V591" s="627"/>
      <c r="W591" s="623"/>
      <c r="X591" s="623"/>
      <c r="Y591" s="623"/>
      <c r="Z591" s="623"/>
    </row>
    <row r="592">
      <c r="A592" s="623"/>
      <c r="B592" s="625"/>
      <c r="C592" s="756"/>
      <c r="D592" s="757"/>
      <c r="E592" s="642"/>
      <c r="F592" s="758"/>
      <c r="G592" s="758"/>
      <c r="H592" s="758"/>
      <c r="I592" s="758"/>
      <c r="J592" s="758"/>
      <c r="K592" s="758"/>
      <c r="L592" s="758"/>
      <c r="M592" s="758"/>
      <c r="N592" s="758"/>
      <c r="O592" s="758"/>
      <c r="P592" s="758"/>
      <c r="Q592" s="758"/>
      <c r="R592" s="623"/>
      <c r="S592" s="623"/>
      <c r="T592" s="623"/>
      <c r="U592" s="626"/>
      <c r="V592" s="627"/>
      <c r="W592" s="623"/>
      <c r="X592" s="623"/>
      <c r="Y592" s="623"/>
      <c r="Z592" s="623"/>
    </row>
    <row r="593">
      <c r="A593" s="623"/>
      <c r="B593" s="625"/>
      <c r="C593" s="756"/>
      <c r="D593" s="757"/>
      <c r="E593" s="642"/>
      <c r="F593" s="758"/>
      <c r="G593" s="758"/>
      <c r="H593" s="758"/>
      <c r="I593" s="758"/>
      <c r="J593" s="758"/>
      <c r="K593" s="758"/>
      <c r="L593" s="758"/>
      <c r="M593" s="758"/>
      <c r="N593" s="758"/>
      <c r="O593" s="758"/>
      <c r="P593" s="758"/>
      <c r="Q593" s="758"/>
      <c r="R593" s="623"/>
      <c r="S593" s="623"/>
      <c r="T593" s="623"/>
      <c r="U593" s="626"/>
      <c r="V593" s="627"/>
      <c r="W593" s="623"/>
      <c r="X593" s="623"/>
      <c r="Y593" s="623"/>
      <c r="Z593" s="623"/>
    </row>
    <row r="594">
      <c r="A594" s="623"/>
      <c r="B594" s="625"/>
      <c r="C594" s="756"/>
      <c r="D594" s="757"/>
      <c r="E594" s="642"/>
      <c r="F594" s="758"/>
      <c r="G594" s="758"/>
      <c r="H594" s="758"/>
      <c r="I594" s="758"/>
      <c r="J594" s="758"/>
      <c r="K594" s="758"/>
      <c r="L594" s="758"/>
      <c r="M594" s="758"/>
      <c r="N594" s="758"/>
      <c r="O594" s="758"/>
      <c r="P594" s="758"/>
      <c r="Q594" s="758"/>
      <c r="R594" s="623"/>
      <c r="S594" s="623"/>
      <c r="T594" s="623"/>
      <c r="U594" s="626"/>
      <c r="V594" s="627"/>
      <c r="W594" s="623"/>
      <c r="X594" s="623"/>
      <c r="Y594" s="623"/>
      <c r="Z594" s="623"/>
    </row>
    <row r="595">
      <c r="A595" s="623"/>
      <c r="B595" s="625"/>
      <c r="C595" s="756"/>
      <c r="D595" s="757"/>
      <c r="E595" s="642"/>
      <c r="F595" s="758"/>
      <c r="G595" s="758"/>
      <c r="H595" s="758"/>
      <c r="I595" s="758"/>
      <c r="J595" s="758"/>
      <c r="K595" s="758"/>
      <c r="L595" s="758"/>
      <c r="M595" s="758"/>
      <c r="N595" s="758"/>
      <c r="O595" s="758"/>
      <c r="P595" s="758"/>
      <c r="Q595" s="758"/>
      <c r="R595" s="623"/>
      <c r="S595" s="623"/>
      <c r="T595" s="623"/>
      <c r="U595" s="626"/>
      <c r="V595" s="627"/>
      <c r="W595" s="623"/>
      <c r="X595" s="623"/>
      <c r="Y595" s="623"/>
      <c r="Z595" s="623"/>
    </row>
    <row r="596">
      <c r="A596" s="623"/>
      <c r="B596" s="625"/>
      <c r="C596" s="756"/>
      <c r="D596" s="757"/>
      <c r="E596" s="642"/>
      <c r="F596" s="758"/>
      <c r="G596" s="758"/>
      <c r="H596" s="758"/>
      <c r="I596" s="758"/>
      <c r="J596" s="758"/>
      <c r="K596" s="758"/>
      <c r="L596" s="758"/>
      <c r="M596" s="758"/>
      <c r="N596" s="758"/>
      <c r="O596" s="758"/>
      <c r="P596" s="758"/>
      <c r="Q596" s="758"/>
      <c r="R596" s="623"/>
      <c r="S596" s="623"/>
      <c r="T596" s="623"/>
      <c r="U596" s="626"/>
      <c r="V596" s="627"/>
      <c r="W596" s="623"/>
      <c r="X596" s="623"/>
      <c r="Y596" s="623"/>
      <c r="Z596" s="623"/>
    </row>
    <row r="597">
      <c r="A597" s="623"/>
      <c r="B597" s="625"/>
      <c r="C597" s="756"/>
      <c r="D597" s="757"/>
      <c r="E597" s="642"/>
      <c r="F597" s="758"/>
      <c r="G597" s="758"/>
      <c r="H597" s="758"/>
      <c r="I597" s="758"/>
      <c r="J597" s="758"/>
      <c r="K597" s="758"/>
      <c r="L597" s="758"/>
      <c r="M597" s="758"/>
      <c r="N597" s="758"/>
      <c r="O597" s="758"/>
      <c r="P597" s="758"/>
      <c r="Q597" s="758"/>
      <c r="R597" s="623"/>
      <c r="S597" s="623"/>
      <c r="T597" s="623"/>
      <c r="U597" s="626"/>
      <c r="V597" s="627"/>
      <c r="W597" s="623"/>
      <c r="X597" s="623"/>
      <c r="Y597" s="623"/>
      <c r="Z597" s="623"/>
    </row>
    <row r="598">
      <c r="A598" s="623"/>
      <c r="B598" s="625"/>
      <c r="C598" s="756"/>
      <c r="D598" s="757"/>
      <c r="E598" s="642"/>
      <c r="F598" s="758"/>
      <c r="G598" s="758"/>
      <c r="H598" s="758"/>
      <c r="I598" s="758"/>
      <c r="J598" s="758"/>
      <c r="K598" s="758"/>
      <c r="L598" s="758"/>
      <c r="M598" s="758"/>
      <c r="N598" s="758"/>
      <c r="O598" s="758"/>
      <c r="P598" s="758"/>
      <c r="Q598" s="758"/>
      <c r="R598" s="623"/>
      <c r="S598" s="623"/>
      <c r="T598" s="623"/>
      <c r="U598" s="626"/>
      <c r="V598" s="627"/>
      <c r="W598" s="623"/>
      <c r="X598" s="623"/>
      <c r="Y598" s="623"/>
      <c r="Z598" s="623"/>
    </row>
    <row r="599">
      <c r="A599" s="623"/>
      <c r="B599" s="625"/>
      <c r="C599" s="756"/>
      <c r="D599" s="757"/>
      <c r="E599" s="642"/>
      <c r="F599" s="758"/>
      <c r="G599" s="758"/>
      <c r="H599" s="758"/>
      <c r="I599" s="758"/>
      <c r="J599" s="758"/>
      <c r="K599" s="758"/>
      <c r="L599" s="758"/>
      <c r="M599" s="758"/>
      <c r="N599" s="758"/>
      <c r="O599" s="758"/>
      <c r="P599" s="758"/>
      <c r="Q599" s="758"/>
      <c r="R599" s="623"/>
      <c r="S599" s="623"/>
      <c r="T599" s="623"/>
      <c r="U599" s="626"/>
      <c r="V599" s="627"/>
      <c r="W599" s="623"/>
      <c r="X599" s="623"/>
      <c r="Y599" s="623"/>
      <c r="Z599" s="623"/>
    </row>
    <row r="600">
      <c r="A600" s="623"/>
      <c r="B600" s="625"/>
      <c r="C600" s="756"/>
      <c r="D600" s="757"/>
      <c r="E600" s="642"/>
      <c r="F600" s="758"/>
      <c r="G600" s="758"/>
      <c r="H600" s="758"/>
      <c r="I600" s="758"/>
      <c r="J600" s="758"/>
      <c r="K600" s="758"/>
      <c r="L600" s="758"/>
      <c r="M600" s="758"/>
      <c r="N600" s="758"/>
      <c r="O600" s="758"/>
      <c r="P600" s="758"/>
      <c r="Q600" s="758"/>
      <c r="R600" s="623"/>
      <c r="S600" s="623"/>
      <c r="T600" s="623"/>
      <c r="U600" s="626"/>
      <c r="V600" s="627"/>
      <c r="W600" s="623"/>
      <c r="X600" s="623"/>
      <c r="Y600" s="623"/>
      <c r="Z600" s="623"/>
    </row>
    <row r="601">
      <c r="A601" s="623"/>
      <c r="B601" s="625"/>
      <c r="C601" s="756"/>
      <c r="D601" s="757"/>
      <c r="E601" s="642"/>
      <c r="F601" s="758"/>
      <c r="G601" s="758"/>
      <c r="H601" s="758"/>
      <c r="I601" s="758"/>
      <c r="J601" s="758"/>
      <c r="K601" s="758"/>
      <c r="L601" s="758"/>
      <c r="M601" s="758"/>
      <c r="N601" s="758"/>
      <c r="O601" s="758"/>
      <c r="P601" s="758"/>
      <c r="Q601" s="758"/>
      <c r="R601" s="623"/>
      <c r="S601" s="623"/>
      <c r="T601" s="623"/>
      <c r="U601" s="626"/>
      <c r="V601" s="627"/>
      <c r="W601" s="623"/>
      <c r="X601" s="623"/>
      <c r="Y601" s="623"/>
      <c r="Z601" s="623"/>
    </row>
    <row r="602">
      <c r="A602" s="623"/>
      <c r="B602" s="625"/>
      <c r="C602" s="756"/>
      <c r="D602" s="757"/>
      <c r="E602" s="642"/>
      <c r="F602" s="758"/>
      <c r="G602" s="758"/>
      <c r="H602" s="758"/>
      <c r="I602" s="758"/>
      <c r="J602" s="758"/>
      <c r="K602" s="758"/>
      <c r="L602" s="758"/>
      <c r="M602" s="758"/>
      <c r="N602" s="758"/>
      <c r="O602" s="758"/>
      <c r="P602" s="758"/>
      <c r="Q602" s="758"/>
      <c r="R602" s="623"/>
      <c r="S602" s="623"/>
      <c r="T602" s="623"/>
      <c r="U602" s="626"/>
      <c r="V602" s="627"/>
      <c r="W602" s="623"/>
      <c r="X602" s="623"/>
      <c r="Y602" s="623"/>
      <c r="Z602" s="623"/>
    </row>
    <row r="603">
      <c r="A603" s="623"/>
      <c r="B603" s="625"/>
      <c r="C603" s="756"/>
      <c r="D603" s="757"/>
      <c r="E603" s="642"/>
      <c r="F603" s="758"/>
      <c r="G603" s="758"/>
      <c r="H603" s="758"/>
      <c r="I603" s="758"/>
      <c r="J603" s="758"/>
      <c r="K603" s="758"/>
      <c r="L603" s="758"/>
      <c r="M603" s="758"/>
      <c r="N603" s="758"/>
      <c r="O603" s="758"/>
      <c r="P603" s="758"/>
      <c r="Q603" s="758"/>
      <c r="R603" s="623"/>
      <c r="S603" s="623"/>
      <c r="T603" s="623"/>
      <c r="U603" s="626"/>
      <c r="V603" s="627"/>
      <c r="W603" s="623"/>
      <c r="X603" s="623"/>
      <c r="Y603" s="623"/>
      <c r="Z603" s="623"/>
    </row>
    <row r="604">
      <c r="A604" s="623"/>
      <c r="B604" s="625"/>
      <c r="C604" s="756"/>
      <c r="D604" s="757"/>
      <c r="E604" s="642"/>
      <c r="F604" s="758"/>
      <c r="G604" s="758"/>
      <c r="H604" s="758"/>
      <c r="I604" s="758"/>
      <c r="J604" s="758"/>
      <c r="K604" s="758"/>
      <c r="L604" s="758"/>
      <c r="M604" s="758"/>
      <c r="N604" s="758"/>
      <c r="O604" s="758"/>
      <c r="P604" s="758"/>
      <c r="Q604" s="758"/>
      <c r="R604" s="623"/>
      <c r="S604" s="623"/>
      <c r="T604" s="623"/>
      <c r="U604" s="626"/>
      <c r="V604" s="627"/>
      <c r="W604" s="623"/>
      <c r="X604" s="623"/>
      <c r="Y604" s="623"/>
      <c r="Z604" s="623"/>
    </row>
    <row r="605">
      <c r="A605" s="623"/>
      <c r="B605" s="625"/>
      <c r="C605" s="756"/>
      <c r="D605" s="757"/>
      <c r="E605" s="642"/>
      <c r="F605" s="758"/>
      <c r="G605" s="758"/>
      <c r="H605" s="758"/>
      <c r="I605" s="758"/>
      <c r="J605" s="758"/>
      <c r="K605" s="758"/>
      <c r="L605" s="758"/>
      <c r="M605" s="758"/>
      <c r="N605" s="758"/>
      <c r="O605" s="758"/>
      <c r="P605" s="758"/>
      <c r="Q605" s="758"/>
      <c r="R605" s="623"/>
      <c r="S605" s="623"/>
      <c r="T605" s="623"/>
      <c r="U605" s="626"/>
      <c r="V605" s="627"/>
      <c r="W605" s="623"/>
      <c r="X605" s="623"/>
      <c r="Y605" s="623"/>
      <c r="Z605" s="623"/>
    </row>
    <row r="606">
      <c r="A606" s="623"/>
      <c r="B606" s="625"/>
      <c r="C606" s="756"/>
      <c r="D606" s="757"/>
      <c r="E606" s="642"/>
      <c r="F606" s="758"/>
      <c r="G606" s="758"/>
      <c r="H606" s="758"/>
      <c r="I606" s="758"/>
      <c r="J606" s="758"/>
      <c r="K606" s="758"/>
      <c r="L606" s="758"/>
      <c r="M606" s="758"/>
      <c r="N606" s="758"/>
      <c r="O606" s="758"/>
      <c r="P606" s="758"/>
      <c r="Q606" s="758"/>
      <c r="R606" s="623"/>
      <c r="S606" s="623"/>
      <c r="T606" s="623"/>
      <c r="U606" s="626"/>
      <c r="V606" s="627"/>
      <c r="W606" s="623"/>
      <c r="X606" s="623"/>
      <c r="Y606" s="623"/>
      <c r="Z606" s="623"/>
    </row>
    <row r="607">
      <c r="A607" s="623"/>
      <c r="B607" s="625"/>
      <c r="C607" s="756"/>
      <c r="D607" s="757"/>
      <c r="E607" s="642"/>
      <c r="F607" s="758"/>
      <c r="G607" s="758"/>
      <c r="H607" s="758"/>
      <c r="I607" s="758"/>
      <c r="J607" s="758"/>
      <c r="K607" s="758"/>
      <c r="L607" s="758"/>
      <c r="M607" s="758"/>
      <c r="N607" s="758"/>
      <c r="O607" s="758"/>
      <c r="P607" s="758"/>
      <c r="Q607" s="758"/>
      <c r="R607" s="623"/>
      <c r="S607" s="623"/>
      <c r="T607" s="623"/>
      <c r="U607" s="626"/>
      <c r="V607" s="627"/>
      <c r="W607" s="623"/>
      <c r="X607" s="623"/>
      <c r="Y607" s="623"/>
      <c r="Z607" s="623"/>
    </row>
    <row r="608">
      <c r="A608" s="623"/>
      <c r="B608" s="625"/>
      <c r="C608" s="756"/>
      <c r="D608" s="757"/>
      <c r="E608" s="642"/>
      <c r="F608" s="758"/>
      <c r="G608" s="758"/>
      <c r="H608" s="758"/>
      <c r="I608" s="758"/>
      <c r="J608" s="758"/>
      <c r="K608" s="758"/>
      <c r="L608" s="758"/>
      <c r="M608" s="758"/>
      <c r="N608" s="758"/>
      <c r="O608" s="758"/>
      <c r="P608" s="758"/>
      <c r="Q608" s="758"/>
      <c r="R608" s="623"/>
      <c r="S608" s="623"/>
      <c r="T608" s="623"/>
      <c r="U608" s="626"/>
      <c r="V608" s="627"/>
      <c r="W608" s="623"/>
      <c r="X608" s="623"/>
      <c r="Y608" s="623"/>
      <c r="Z608" s="623"/>
    </row>
    <row r="609">
      <c r="A609" s="623"/>
      <c r="B609" s="625"/>
      <c r="C609" s="756"/>
      <c r="D609" s="757"/>
      <c r="E609" s="642"/>
      <c r="F609" s="758"/>
      <c r="G609" s="758"/>
      <c r="H609" s="758"/>
      <c r="I609" s="758"/>
      <c r="J609" s="758"/>
      <c r="K609" s="758"/>
      <c r="L609" s="758"/>
      <c r="M609" s="758"/>
      <c r="N609" s="758"/>
      <c r="O609" s="758"/>
      <c r="P609" s="758"/>
      <c r="Q609" s="758"/>
      <c r="R609" s="623"/>
      <c r="S609" s="623"/>
      <c r="T609" s="623"/>
      <c r="U609" s="626"/>
      <c r="V609" s="627"/>
      <c r="W609" s="623"/>
      <c r="X609" s="623"/>
      <c r="Y609" s="623"/>
      <c r="Z609" s="623"/>
    </row>
    <row r="610">
      <c r="A610" s="623"/>
      <c r="B610" s="625"/>
      <c r="C610" s="756"/>
      <c r="D610" s="757"/>
      <c r="E610" s="642"/>
      <c r="F610" s="758"/>
      <c r="G610" s="758"/>
      <c r="H610" s="758"/>
      <c r="I610" s="758"/>
      <c r="J610" s="758"/>
      <c r="K610" s="758"/>
      <c r="L610" s="758"/>
      <c r="M610" s="758"/>
      <c r="N610" s="758"/>
      <c r="O610" s="758"/>
      <c r="P610" s="758"/>
      <c r="Q610" s="758"/>
      <c r="R610" s="623"/>
      <c r="S610" s="623"/>
      <c r="T610" s="623"/>
      <c r="U610" s="626"/>
      <c r="V610" s="627"/>
      <c r="W610" s="623"/>
      <c r="X610" s="623"/>
      <c r="Y610" s="623"/>
      <c r="Z610" s="623"/>
    </row>
    <row r="611">
      <c r="A611" s="623"/>
      <c r="B611" s="625"/>
      <c r="C611" s="756"/>
      <c r="D611" s="757"/>
      <c r="E611" s="642"/>
      <c r="F611" s="758"/>
      <c r="G611" s="758"/>
      <c r="H611" s="758"/>
      <c r="I611" s="758"/>
      <c r="J611" s="758"/>
      <c r="K611" s="758"/>
      <c r="L611" s="758"/>
      <c r="M611" s="758"/>
      <c r="N611" s="758"/>
      <c r="O611" s="758"/>
      <c r="P611" s="758"/>
      <c r="Q611" s="758"/>
      <c r="R611" s="623"/>
      <c r="S611" s="623"/>
      <c r="T611" s="623"/>
      <c r="U611" s="626"/>
      <c r="V611" s="627"/>
      <c r="W611" s="623"/>
      <c r="X611" s="623"/>
      <c r="Y611" s="623"/>
      <c r="Z611" s="623"/>
    </row>
    <row r="612">
      <c r="A612" s="623"/>
      <c r="B612" s="625"/>
      <c r="C612" s="756"/>
      <c r="D612" s="757"/>
      <c r="E612" s="642"/>
      <c r="F612" s="758"/>
      <c r="G612" s="758"/>
      <c r="H612" s="758"/>
      <c r="I612" s="758"/>
      <c r="J612" s="758"/>
      <c r="K612" s="758"/>
      <c r="L612" s="758"/>
      <c r="M612" s="758"/>
      <c r="N612" s="758"/>
      <c r="O612" s="758"/>
      <c r="P612" s="758"/>
      <c r="Q612" s="758"/>
      <c r="R612" s="623"/>
      <c r="S612" s="623"/>
      <c r="T612" s="623"/>
      <c r="U612" s="626"/>
      <c r="V612" s="627"/>
      <c r="W612" s="623"/>
      <c r="X612" s="623"/>
      <c r="Y612" s="623"/>
      <c r="Z612" s="623"/>
    </row>
    <row r="613">
      <c r="A613" s="623"/>
      <c r="B613" s="625"/>
      <c r="C613" s="756"/>
      <c r="D613" s="757"/>
      <c r="E613" s="642"/>
      <c r="F613" s="758"/>
      <c r="G613" s="758"/>
      <c r="H613" s="758"/>
      <c r="I613" s="758"/>
      <c r="J613" s="758"/>
      <c r="K613" s="758"/>
      <c r="L613" s="758"/>
      <c r="M613" s="758"/>
      <c r="N613" s="758"/>
      <c r="O613" s="758"/>
      <c r="P613" s="758"/>
      <c r="Q613" s="758"/>
      <c r="R613" s="623"/>
      <c r="S613" s="623"/>
      <c r="T613" s="623"/>
      <c r="U613" s="626"/>
      <c r="V613" s="627"/>
      <c r="W613" s="623"/>
      <c r="X613" s="623"/>
      <c r="Y613" s="623"/>
      <c r="Z613" s="623"/>
    </row>
    <row r="614">
      <c r="A614" s="623"/>
      <c r="B614" s="625"/>
      <c r="C614" s="756"/>
      <c r="D614" s="757"/>
      <c r="E614" s="642"/>
      <c r="F614" s="758"/>
      <c r="G614" s="758"/>
      <c r="H614" s="758"/>
      <c r="I614" s="758"/>
      <c r="J614" s="758"/>
      <c r="K614" s="758"/>
      <c r="L614" s="758"/>
      <c r="M614" s="758"/>
      <c r="N614" s="758"/>
      <c r="O614" s="758"/>
      <c r="P614" s="758"/>
      <c r="Q614" s="758"/>
      <c r="R614" s="623"/>
      <c r="S614" s="623"/>
      <c r="T614" s="623"/>
      <c r="U614" s="626"/>
      <c r="V614" s="627"/>
      <c r="W614" s="623"/>
      <c r="X614" s="623"/>
      <c r="Y614" s="623"/>
      <c r="Z614" s="623"/>
    </row>
    <row r="615">
      <c r="A615" s="623"/>
      <c r="B615" s="625"/>
      <c r="C615" s="756"/>
      <c r="D615" s="757"/>
      <c r="E615" s="642"/>
      <c r="F615" s="758"/>
      <c r="G615" s="758"/>
      <c r="H615" s="758"/>
      <c r="I615" s="758"/>
      <c r="J615" s="758"/>
      <c r="K615" s="758"/>
      <c r="L615" s="758"/>
      <c r="M615" s="758"/>
      <c r="N615" s="758"/>
      <c r="O615" s="758"/>
      <c r="P615" s="758"/>
      <c r="Q615" s="758"/>
      <c r="R615" s="623"/>
      <c r="S615" s="623"/>
      <c r="T615" s="623"/>
      <c r="U615" s="626"/>
      <c r="V615" s="627"/>
      <c r="W615" s="623"/>
      <c r="X615" s="623"/>
      <c r="Y615" s="623"/>
      <c r="Z615" s="623"/>
    </row>
    <row r="616">
      <c r="A616" s="623"/>
      <c r="B616" s="625"/>
      <c r="C616" s="756"/>
      <c r="D616" s="757"/>
      <c r="E616" s="642"/>
      <c r="F616" s="758"/>
      <c r="G616" s="758"/>
      <c r="H616" s="758"/>
      <c r="I616" s="758"/>
      <c r="J616" s="758"/>
      <c r="K616" s="758"/>
      <c r="L616" s="758"/>
      <c r="M616" s="758"/>
      <c r="N616" s="758"/>
      <c r="O616" s="758"/>
      <c r="P616" s="758"/>
      <c r="Q616" s="758"/>
      <c r="R616" s="623"/>
      <c r="S616" s="623"/>
      <c r="T616" s="623"/>
      <c r="U616" s="626"/>
      <c r="V616" s="627"/>
      <c r="W616" s="623"/>
      <c r="X616" s="623"/>
      <c r="Y616" s="623"/>
      <c r="Z616" s="623"/>
    </row>
    <row r="617">
      <c r="A617" s="623"/>
      <c r="B617" s="625"/>
      <c r="C617" s="756"/>
      <c r="D617" s="757"/>
      <c r="E617" s="642"/>
      <c r="F617" s="758"/>
      <c r="G617" s="758"/>
      <c r="H617" s="758"/>
      <c r="I617" s="758"/>
      <c r="J617" s="758"/>
      <c r="K617" s="758"/>
      <c r="L617" s="758"/>
      <c r="M617" s="758"/>
      <c r="N617" s="758"/>
      <c r="O617" s="758"/>
      <c r="P617" s="758"/>
      <c r="Q617" s="758"/>
      <c r="R617" s="623"/>
      <c r="S617" s="623"/>
      <c r="T617" s="623"/>
      <c r="U617" s="626"/>
      <c r="V617" s="627"/>
      <c r="W617" s="623"/>
      <c r="X617" s="623"/>
      <c r="Y617" s="623"/>
      <c r="Z617" s="623"/>
    </row>
    <row r="618">
      <c r="A618" s="623"/>
      <c r="B618" s="625"/>
      <c r="C618" s="756"/>
      <c r="D618" s="757"/>
      <c r="E618" s="642"/>
      <c r="F618" s="758"/>
      <c r="G618" s="758"/>
      <c r="H618" s="758"/>
      <c r="I618" s="758"/>
      <c r="J618" s="758"/>
      <c r="K618" s="758"/>
      <c r="L618" s="758"/>
      <c r="M618" s="758"/>
      <c r="N618" s="758"/>
      <c r="O618" s="758"/>
      <c r="P618" s="758"/>
      <c r="Q618" s="758"/>
      <c r="R618" s="623"/>
      <c r="S618" s="623"/>
      <c r="T618" s="623"/>
      <c r="U618" s="626"/>
      <c r="V618" s="627"/>
      <c r="W618" s="623"/>
      <c r="X618" s="623"/>
      <c r="Y618" s="623"/>
      <c r="Z618" s="623"/>
    </row>
    <row r="619">
      <c r="A619" s="623"/>
      <c r="B619" s="625"/>
      <c r="C619" s="756"/>
      <c r="D619" s="757"/>
      <c r="E619" s="642"/>
      <c r="F619" s="758"/>
      <c r="G619" s="758"/>
      <c r="H619" s="758"/>
      <c r="I619" s="758"/>
      <c r="J619" s="758"/>
      <c r="K619" s="758"/>
      <c r="L619" s="758"/>
      <c r="M619" s="758"/>
      <c r="N619" s="758"/>
      <c r="O619" s="758"/>
      <c r="P619" s="758"/>
      <c r="Q619" s="758"/>
      <c r="R619" s="623"/>
      <c r="S619" s="623"/>
      <c r="T619" s="623"/>
      <c r="U619" s="626"/>
      <c r="V619" s="627"/>
      <c r="W619" s="623"/>
      <c r="X619" s="623"/>
      <c r="Y619" s="623"/>
      <c r="Z619" s="623"/>
    </row>
    <row r="620">
      <c r="A620" s="623"/>
      <c r="B620" s="625"/>
      <c r="C620" s="756"/>
      <c r="D620" s="757"/>
      <c r="E620" s="642"/>
      <c r="F620" s="758"/>
      <c r="G620" s="758"/>
      <c r="H620" s="758"/>
      <c r="I620" s="758"/>
      <c r="J620" s="758"/>
      <c r="K620" s="758"/>
      <c r="L620" s="758"/>
      <c r="M620" s="758"/>
      <c r="N620" s="758"/>
      <c r="O620" s="758"/>
      <c r="P620" s="758"/>
      <c r="Q620" s="758"/>
      <c r="R620" s="623"/>
      <c r="S620" s="623"/>
      <c r="T620" s="623"/>
      <c r="U620" s="626"/>
      <c r="V620" s="627"/>
      <c r="W620" s="623"/>
      <c r="X620" s="623"/>
      <c r="Y620" s="623"/>
      <c r="Z620" s="623"/>
    </row>
    <row r="621">
      <c r="A621" s="623"/>
      <c r="B621" s="625"/>
      <c r="C621" s="756"/>
      <c r="D621" s="757"/>
      <c r="E621" s="642"/>
      <c r="F621" s="758"/>
      <c r="G621" s="758"/>
      <c r="H621" s="758"/>
      <c r="I621" s="758"/>
      <c r="J621" s="758"/>
      <c r="K621" s="758"/>
      <c r="L621" s="758"/>
      <c r="M621" s="758"/>
      <c r="N621" s="758"/>
      <c r="O621" s="758"/>
      <c r="P621" s="758"/>
      <c r="Q621" s="758"/>
      <c r="R621" s="623"/>
      <c r="S621" s="623"/>
      <c r="T621" s="623"/>
      <c r="U621" s="626"/>
      <c r="V621" s="627"/>
      <c r="W621" s="623"/>
      <c r="X621" s="623"/>
      <c r="Y621" s="623"/>
      <c r="Z621" s="623"/>
    </row>
    <row r="622">
      <c r="A622" s="623"/>
      <c r="B622" s="625"/>
      <c r="C622" s="756"/>
      <c r="D622" s="757"/>
      <c r="E622" s="642"/>
      <c r="F622" s="758"/>
      <c r="G622" s="758"/>
      <c r="H622" s="758"/>
      <c r="I622" s="758"/>
      <c r="J622" s="758"/>
      <c r="K622" s="758"/>
      <c r="L622" s="758"/>
      <c r="M622" s="758"/>
      <c r="N622" s="758"/>
      <c r="O622" s="758"/>
      <c r="P622" s="758"/>
      <c r="Q622" s="758"/>
      <c r="R622" s="623"/>
      <c r="S622" s="623"/>
      <c r="T622" s="623"/>
      <c r="U622" s="626"/>
      <c r="V622" s="627"/>
      <c r="W622" s="623"/>
      <c r="X622" s="623"/>
      <c r="Y622" s="623"/>
      <c r="Z622" s="623"/>
    </row>
    <row r="623">
      <c r="A623" s="623"/>
      <c r="B623" s="625"/>
      <c r="C623" s="756"/>
      <c r="D623" s="757"/>
      <c r="E623" s="642"/>
      <c r="F623" s="758"/>
      <c r="G623" s="758"/>
      <c r="H623" s="758"/>
      <c r="I623" s="758"/>
      <c r="J623" s="758"/>
      <c r="K623" s="758"/>
      <c r="L623" s="758"/>
      <c r="M623" s="758"/>
      <c r="N623" s="758"/>
      <c r="O623" s="758"/>
      <c r="P623" s="758"/>
      <c r="Q623" s="758"/>
      <c r="R623" s="623"/>
      <c r="S623" s="623"/>
      <c r="T623" s="623"/>
      <c r="U623" s="626"/>
      <c r="V623" s="627"/>
      <c r="W623" s="623"/>
      <c r="X623" s="623"/>
      <c r="Y623" s="623"/>
      <c r="Z623" s="623"/>
    </row>
    <row r="624">
      <c r="A624" s="623"/>
      <c r="B624" s="625"/>
      <c r="C624" s="756"/>
      <c r="D624" s="757"/>
      <c r="E624" s="642"/>
      <c r="F624" s="758"/>
      <c r="G624" s="758"/>
      <c r="H624" s="758"/>
      <c r="I624" s="758"/>
      <c r="J624" s="758"/>
      <c r="K624" s="758"/>
      <c r="L624" s="758"/>
      <c r="M624" s="758"/>
      <c r="N624" s="758"/>
      <c r="O624" s="758"/>
      <c r="P624" s="758"/>
      <c r="Q624" s="758"/>
      <c r="R624" s="623"/>
      <c r="S624" s="623"/>
      <c r="T624" s="623"/>
      <c r="U624" s="626"/>
      <c r="V624" s="627"/>
      <c r="W624" s="623"/>
      <c r="X624" s="623"/>
      <c r="Y624" s="623"/>
      <c r="Z624" s="623"/>
    </row>
    <row r="625">
      <c r="A625" s="623"/>
      <c r="B625" s="625"/>
      <c r="C625" s="756"/>
      <c r="D625" s="757"/>
      <c r="E625" s="642"/>
      <c r="F625" s="758"/>
      <c r="G625" s="758"/>
      <c r="H625" s="758"/>
      <c r="I625" s="758"/>
      <c r="J625" s="758"/>
      <c r="K625" s="758"/>
      <c r="L625" s="758"/>
      <c r="M625" s="758"/>
      <c r="N625" s="758"/>
      <c r="O625" s="758"/>
      <c r="P625" s="758"/>
      <c r="Q625" s="758"/>
      <c r="R625" s="623"/>
      <c r="S625" s="623"/>
      <c r="T625" s="623"/>
      <c r="U625" s="626"/>
      <c r="V625" s="627"/>
      <c r="W625" s="623"/>
      <c r="X625" s="623"/>
      <c r="Y625" s="623"/>
      <c r="Z625" s="623"/>
    </row>
    <row r="626">
      <c r="A626" s="623"/>
      <c r="B626" s="625"/>
      <c r="C626" s="756"/>
      <c r="D626" s="757"/>
      <c r="E626" s="642"/>
      <c r="F626" s="758"/>
      <c r="G626" s="758"/>
      <c r="H626" s="758"/>
      <c r="I626" s="758"/>
      <c r="J626" s="758"/>
      <c r="K626" s="758"/>
      <c r="L626" s="758"/>
      <c r="M626" s="758"/>
      <c r="N626" s="758"/>
      <c r="O626" s="758"/>
      <c r="P626" s="758"/>
      <c r="Q626" s="758"/>
      <c r="R626" s="623"/>
      <c r="S626" s="623"/>
      <c r="T626" s="623"/>
      <c r="U626" s="626"/>
      <c r="V626" s="627"/>
      <c r="W626" s="623"/>
      <c r="X626" s="623"/>
      <c r="Y626" s="623"/>
      <c r="Z626" s="623"/>
    </row>
    <row r="627">
      <c r="A627" s="623"/>
      <c r="B627" s="625"/>
      <c r="C627" s="756"/>
      <c r="D627" s="757"/>
      <c r="E627" s="642"/>
      <c r="F627" s="758"/>
      <c r="G627" s="758"/>
      <c r="H627" s="758"/>
      <c r="I627" s="758"/>
      <c r="J627" s="758"/>
      <c r="K627" s="758"/>
      <c r="L627" s="758"/>
      <c r="M627" s="758"/>
      <c r="N627" s="758"/>
      <c r="O627" s="758"/>
      <c r="P627" s="758"/>
      <c r="Q627" s="758"/>
      <c r="R627" s="623"/>
      <c r="S627" s="623"/>
      <c r="T627" s="623"/>
      <c r="U627" s="626"/>
      <c r="V627" s="627"/>
      <c r="W627" s="623"/>
      <c r="X627" s="623"/>
      <c r="Y627" s="623"/>
      <c r="Z627" s="623"/>
    </row>
    <row r="628">
      <c r="A628" s="623"/>
      <c r="B628" s="625"/>
      <c r="C628" s="756"/>
      <c r="D628" s="757"/>
      <c r="E628" s="642"/>
      <c r="F628" s="758"/>
      <c r="G628" s="758"/>
      <c r="H628" s="758"/>
      <c r="I628" s="758"/>
      <c r="J628" s="758"/>
      <c r="K628" s="758"/>
      <c r="L628" s="758"/>
      <c r="M628" s="758"/>
      <c r="N628" s="758"/>
      <c r="O628" s="758"/>
      <c r="P628" s="758"/>
      <c r="Q628" s="758"/>
      <c r="R628" s="623"/>
      <c r="S628" s="623"/>
      <c r="T628" s="623"/>
      <c r="U628" s="626"/>
      <c r="V628" s="627"/>
      <c r="W628" s="623"/>
      <c r="X628" s="623"/>
      <c r="Y628" s="623"/>
      <c r="Z628" s="623"/>
    </row>
    <row r="629">
      <c r="A629" s="623"/>
      <c r="B629" s="625"/>
      <c r="C629" s="756"/>
      <c r="D629" s="757"/>
      <c r="E629" s="642"/>
      <c r="F629" s="758"/>
      <c r="G629" s="758"/>
      <c r="H629" s="758"/>
      <c r="I629" s="758"/>
      <c r="J629" s="758"/>
      <c r="K629" s="758"/>
      <c r="L629" s="758"/>
      <c r="M629" s="758"/>
      <c r="N629" s="758"/>
      <c r="O629" s="758"/>
      <c r="P629" s="758"/>
      <c r="Q629" s="758"/>
      <c r="R629" s="623"/>
      <c r="S629" s="623"/>
      <c r="T629" s="623"/>
      <c r="U629" s="626"/>
      <c r="V629" s="627"/>
      <c r="W629" s="623"/>
      <c r="X629" s="623"/>
      <c r="Y629" s="623"/>
      <c r="Z629" s="623"/>
    </row>
    <row r="630">
      <c r="A630" s="623"/>
      <c r="B630" s="625"/>
      <c r="C630" s="756"/>
      <c r="D630" s="757"/>
      <c r="E630" s="642"/>
      <c r="F630" s="758"/>
      <c r="G630" s="758"/>
      <c r="H630" s="758"/>
      <c r="I630" s="758"/>
      <c r="J630" s="758"/>
      <c r="K630" s="758"/>
      <c r="L630" s="758"/>
      <c r="M630" s="758"/>
      <c r="N630" s="758"/>
      <c r="O630" s="758"/>
      <c r="P630" s="758"/>
      <c r="Q630" s="758"/>
      <c r="R630" s="623"/>
      <c r="S630" s="623"/>
      <c r="T630" s="623"/>
      <c r="U630" s="626"/>
      <c r="V630" s="627"/>
      <c r="W630" s="623"/>
      <c r="X630" s="623"/>
      <c r="Y630" s="623"/>
      <c r="Z630" s="623"/>
    </row>
    <row r="631">
      <c r="A631" s="623"/>
      <c r="B631" s="625"/>
      <c r="C631" s="756"/>
      <c r="D631" s="757"/>
      <c r="E631" s="642"/>
      <c r="F631" s="758"/>
      <c r="G631" s="758"/>
      <c r="H631" s="758"/>
      <c r="I631" s="758"/>
      <c r="J631" s="758"/>
      <c r="K631" s="758"/>
      <c r="L631" s="758"/>
      <c r="M631" s="758"/>
      <c r="N631" s="758"/>
      <c r="O631" s="758"/>
      <c r="P631" s="758"/>
      <c r="Q631" s="758"/>
      <c r="R631" s="623"/>
      <c r="S631" s="623"/>
      <c r="T631" s="623"/>
      <c r="U631" s="626"/>
      <c r="V631" s="627"/>
      <c r="W631" s="623"/>
      <c r="X631" s="623"/>
      <c r="Y631" s="623"/>
      <c r="Z631" s="623"/>
    </row>
    <row r="632">
      <c r="A632" s="623"/>
      <c r="B632" s="625"/>
      <c r="C632" s="756"/>
      <c r="D632" s="757"/>
      <c r="E632" s="642"/>
      <c r="F632" s="758"/>
      <c r="G632" s="758"/>
      <c r="H632" s="758"/>
      <c r="I632" s="758"/>
      <c r="J632" s="758"/>
      <c r="K632" s="758"/>
      <c r="L632" s="758"/>
      <c r="M632" s="758"/>
      <c r="N632" s="758"/>
      <c r="O632" s="758"/>
      <c r="P632" s="758"/>
      <c r="Q632" s="758"/>
      <c r="R632" s="623"/>
      <c r="S632" s="623"/>
      <c r="T632" s="623"/>
      <c r="U632" s="626"/>
      <c r="V632" s="627"/>
      <c r="W632" s="623"/>
      <c r="X632" s="623"/>
      <c r="Y632" s="623"/>
      <c r="Z632" s="623"/>
    </row>
    <row r="633">
      <c r="A633" s="623"/>
      <c r="B633" s="625"/>
      <c r="C633" s="756"/>
      <c r="D633" s="757"/>
      <c r="E633" s="642"/>
      <c r="F633" s="758"/>
      <c r="G633" s="758"/>
      <c r="H633" s="758"/>
      <c r="I633" s="758"/>
      <c r="J633" s="758"/>
      <c r="K633" s="758"/>
      <c r="L633" s="758"/>
      <c r="M633" s="758"/>
      <c r="N633" s="758"/>
      <c r="O633" s="758"/>
      <c r="P633" s="758"/>
      <c r="Q633" s="758"/>
      <c r="R633" s="623"/>
      <c r="S633" s="623"/>
      <c r="T633" s="623"/>
      <c r="U633" s="626"/>
      <c r="V633" s="627"/>
      <c r="W633" s="623"/>
      <c r="X633" s="623"/>
      <c r="Y633" s="623"/>
      <c r="Z633" s="623"/>
    </row>
    <row r="634">
      <c r="A634" s="623"/>
      <c r="B634" s="625"/>
      <c r="C634" s="756"/>
      <c r="D634" s="757"/>
      <c r="E634" s="642"/>
      <c r="F634" s="758"/>
      <c r="G634" s="758"/>
      <c r="H634" s="758"/>
      <c r="I634" s="758"/>
      <c r="J634" s="758"/>
      <c r="K634" s="758"/>
      <c r="L634" s="758"/>
      <c r="M634" s="758"/>
      <c r="N634" s="758"/>
      <c r="O634" s="758"/>
      <c r="P634" s="758"/>
      <c r="Q634" s="758"/>
      <c r="R634" s="623"/>
      <c r="S634" s="623"/>
      <c r="T634" s="623"/>
      <c r="U634" s="626"/>
      <c r="V634" s="627"/>
      <c r="W634" s="623"/>
      <c r="X634" s="623"/>
      <c r="Y634" s="623"/>
      <c r="Z634" s="623"/>
    </row>
    <row r="635">
      <c r="A635" s="623"/>
      <c r="B635" s="625"/>
      <c r="C635" s="756"/>
      <c r="D635" s="757"/>
      <c r="E635" s="642"/>
      <c r="F635" s="758"/>
      <c r="G635" s="758"/>
      <c r="H635" s="758"/>
      <c r="I635" s="758"/>
      <c r="J635" s="758"/>
      <c r="K635" s="758"/>
      <c r="L635" s="758"/>
      <c r="M635" s="758"/>
      <c r="N635" s="758"/>
      <c r="O635" s="758"/>
      <c r="P635" s="758"/>
      <c r="Q635" s="758"/>
      <c r="R635" s="623"/>
      <c r="S635" s="623"/>
      <c r="T635" s="623"/>
      <c r="U635" s="626"/>
      <c r="V635" s="627"/>
      <c r="W635" s="623"/>
      <c r="X635" s="623"/>
      <c r="Y635" s="623"/>
      <c r="Z635" s="623"/>
    </row>
    <row r="636">
      <c r="A636" s="623"/>
      <c r="B636" s="625"/>
      <c r="C636" s="756"/>
      <c r="D636" s="757"/>
      <c r="E636" s="642"/>
      <c r="F636" s="758"/>
      <c r="G636" s="758"/>
      <c r="H636" s="758"/>
      <c r="I636" s="758"/>
      <c r="J636" s="758"/>
      <c r="K636" s="758"/>
      <c r="L636" s="758"/>
      <c r="M636" s="758"/>
      <c r="N636" s="758"/>
      <c r="O636" s="758"/>
      <c r="P636" s="758"/>
      <c r="Q636" s="758"/>
      <c r="R636" s="623"/>
      <c r="S636" s="623"/>
      <c r="T636" s="623"/>
      <c r="U636" s="626"/>
      <c r="V636" s="627"/>
      <c r="W636" s="623"/>
      <c r="X636" s="623"/>
      <c r="Y636" s="623"/>
      <c r="Z636" s="623"/>
    </row>
    <row r="637">
      <c r="A637" s="623"/>
      <c r="B637" s="625"/>
      <c r="C637" s="756"/>
      <c r="D637" s="757"/>
      <c r="E637" s="642"/>
      <c r="F637" s="758"/>
      <c r="G637" s="758"/>
      <c r="H637" s="758"/>
      <c r="I637" s="758"/>
      <c r="J637" s="758"/>
      <c r="K637" s="758"/>
      <c r="L637" s="758"/>
      <c r="M637" s="758"/>
      <c r="N637" s="758"/>
      <c r="O637" s="758"/>
      <c r="P637" s="758"/>
      <c r="Q637" s="758"/>
      <c r="R637" s="623"/>
      <c r="S637" s="623"/>
      <c r="T637" s="623"/>
      <c r="U637" s="626"/>
      <c r="V637" s="627"/>
      <c r="W637" s="623"/>
      <c r="X637" s="623"/>
      <c r="Y637" s="623"/>
      <c r="Z637" s="623"/>
    </row>
    <row r="638">
      <c r="A638" s="623"/>
      <c r="B638" s="625"/>
      <c r="C638" s="756"/>
      <c r="D638" s="757"/>
      <c r="E638" s="642"/>
      <c r="F638" s="758"/>
      <c r="G638" s="758"/>
      <c r="H638" s="758"/>
      <c r="I638" s="758"/>
      <c r="J638" s="758"/>
      <c r="K638" s="758"/>
      <c r="L638" s="758"/>
      <c r="M638" s="758"/>
      <c r="N638" s="758"/>
      <c r="O638" s="758"/>
      <c r="P638" s="758"/>
      <c r="Q638" s="758"/>
      <c r="R638" s="623"/>
      <c r="S638" s="623"/>
      <c r="T638" s="623"/>
      <c r="U638" s="626"/>
      <c r="V638" s="627"/>
      <c r="W638" s="623"/>
      <c r="X638" s="623"/>
      <c r="Y638" s="623"/>
      <c r="Z638" s="623"/>
    </row>
    <row r="639">
      <c r="A639" s="623"/>
      <c r="B639" s="625"/>
      <c r="C639" s="756"/>
      <c r="D639" s="757"/>
      <c r="E639" s="642"/>
      <c r="F639" s="758"/>
      <c r="G639" s="758"/>
      <c r="H639" s="758"/>
      <c r="I639" s="758"/>
      <c r="J639" s="758"/>
      <c r="K639" s="758"/>
      <c r="L639" s="758"/>
      <c r="M639" s="758"/>
      <c r="N639" s="758"/>
      <c r="O639" s="758"/>
      <c r="P639" s="758"/>
      <c r="Q639" s="758"/>
      <c r="R639" s="623"/>
      <c r="S639" s="623"/>
      <c r="T639" s="623"/>
      <c r="U639" s="626"/>
      <c r="V639" s="627"/>
      <c r="W639" s="623"/>
      <c r="X639" s="623"/>
      <c r="Y639" s="623"/>
      <c r="Z639" s="623"/>
    </row>
    <row r="640">
      <c r="A640" s="623"/>
      <c r="B640" s="625"/>
      <c r="C640" s="756"/>
      <c r="D640" s="757"/>
      <c r="E640" s="642"/>
      <c r="F640" s="758"/>
      <c r="G640" s="758"/>
      <c r="H640" s="758"/>
      <c r="I640" s="758"/>
      <c r="J640" s="758"/>
      <c r="K640" s="758"/>
      <c r="L640" s="758"/>
      <c r="M640" s="758"/>
      <c r="N640" s="758"/>
      <c r="O640" s="758"/>
      <c r="P640" s="758"/>
      <c r="Q640" s="758"/>
      <c r="R640" s="623"/>
      <c r="S640" s="623"/>
      <c r="T640" s="623"/>
      <c r="U640" s="626"/>
      <c r="V640" s="627"/>
      <c r="W640" s="623"/>
      <c r="X640" s="623"/>
      <c r="Y640" s="623"/>
      <c r="Z640" s="623"/>
    </row>
    <row r="641">
      <c r="A641" s="623"/>
      <c r="B641" s="625"/>
      <c r="C641" s="756"/>
      <c r="D641" s="757"/>
      <c r="E641" s="642"/>
      <c r="F641" s="758"/>
      <c r="G641" s="758"/>
      <c r="H641" s="758"/>
      <c r="I641" s="758"/>
      <c r="J641" s="758"/>
      <c r="K641" s="758"/>
      <c r="L641" s="758"/>
      <c r="M641" s="758"/>
      <c r="N641" s="758"/>
      <c r="O641" s="758"/>
      <c r="P641" s="758"/>
      <c r="Q641" s="758"/>
      <c r="R641" s="623"/>
      <c r="S641" s="623"/>
      <c r="T641" s="623"/>
      <c r="U641" s="626"/>
      <c r="V641" s="627"/>
      <c r="W641" s="623"/>
      <c r="X641" s="623"/>
      <c r="Y641" s="623"/>
      <c r="Z641" s="623"/>
    </row>
    <row r="642">
      <c r="A642" s="623"/>
      <c r="B642" s="625"/>
      <c r="C642" s="756"/>
      <c r="D642" s="757"/>
      <c r="E642" s="642"/>
      <c r="F642" s="758"/>
      <c r="G642" s="758"/>
      <c r="H642" s="758"/>
      <c r="I642" s="758"/>
      <c r="J642" s="758"/>
      <c r="K642" s="758"/>
      <c r="L642" s="758"/>
      <c r="M642" s="758"/>
      <c r="N642" s="758"/>
      <c r="O642" s="758"/>
      <c r="P642" s="758"/>
      <c r="Q642" s="758"/>
      <c r="R642" s="623"/>
      <c r="S642" s="623"/>
      <c r="T642" s="623"/>
      <c r="U642" s="626"/>
      <c r="V642" s="627"/>
      <c r="W642" s="623"/>
      <c r="X642" s="623"/>
      <c r="Y642" s="623"/>
      <c r="Z642" s="623"/>
    </row>
    <row r="643">
      <c r="A643" s="623"/>
      <c r="B643" s="625"/>
      <c r="C643" s="756"/>
      <c r="D643" s="757"/>
      <c r="E643" s="642"/>
      <c r="F643" s="758"/>
      <c r="G643" s="758"/>
      <c r="H643" s="758"/>
      <c r="I643" s="758"/>
      <c r="J643" s="758"/>
      <c r="K643" s="758"/>
      <c r="L643" s="758"/>
      <c r="M643" s="758"/>
      <c r="N643" s="758"/>
      <c r="O643" s="758"/>
      <c r="P643" s="758"/>
      <c r="Q643" s="758"/>
      <c r="R643" s="623"/>
      <c r="S643" s="623"/>
      <c r="T643" s="623"/>
      <c r="U643" s="626"/>
      <c r="V643" s="627"/>
      <c r="W643" s="623"/>
      <c r="X643" s="623"/>
      <c r="Y643" s="623"/>
      <c r="Z643" s="623"/>
    </row>
    <row r="644">
      <c r="A644" s="623"/>
      <c r="B644" s="625"/>
      <c r="C644" s="756"/>
      <c r="D644" s="757"/>
      <c r="E644" s="642"/>
      <c r="F644" s="758"/>
      <c r="G644" s="758"/>
      <c r="H644" s="758"/>
      <c r="I644" s="758"/>
      <c r="J644" s="758"/>
      <c r="K644" s="758"/>
      <c r="L644" s="758"/>
      <c r="M644" s="758"/>
      <c r="N644" s="758"/>
      <c r="O644" s="758"/>
      <c r="P644" s="758"/>
      <c r="Q644" s="758"/>
      <c r="R644" s="623"/>
      <c r="S644" s="623"/>
      <c r="T644" s="623"/>
      <c r="U644" s="626"/>
      <c r="V644" s="627"/>
      <c r="W644" s="623"/>
      <c r="X644" s="623"/>
      <c r="Y644" s="623"/>
      <c r="Z644" s="623"/>
    </row>
    <row r="645">
      <c r="A645" s="623"/>
      <c r="B645" s="625"/>
      <c r="C645" s="756"/>
      <c r="D645" s="757"/>
      <c r="E645" s="642"/>
      <c r="F645" s="758"/>
      <c r="G645" s="758"/>
      <c r="H645" s="758"/>
      <c r="I645" s="758"/>
      <c r="J645" s="758"/>
      <c r="K645" s="758"/>
      <c r="L645" s="758"/>
      <c r="M645" s="758"/>
      <c r="N645" s="758"/>
      <c r="O645" s="758"/>
      <c r="P645" s="758"/>
      <c r="Q645" s="758"/>
      <c r="R645" s="623"/>
      <c r="S645" s="623"/>
      <c r="T645" s="623"/>
      <c r="U645" s="626"/>
      <c r="V645" s="627"/>
      <c r="W645" s="623"/>
      <c r="X645" s="623"/>
      <c r="Y645" s="623"/>
      <c r="Z645" s="623"/>
    </row>
    <row r="646">
      <c r="A646" s="623"/>
      <c r="B646" s="625"/>
      <c r="C646" s="756"/>
      <c r="D646" s="757"/>
      <c r="E646" s="642"/>
      <c r="F646" s="758"/>
      <c r="G646" s="758"/>
      <c r="H646" s="758"/>
      <c r="I646" s="758"/>
      <c r="J646" s="758"/>
      <c r="K646" s="758"/>
      <c r="L646" s="758"/>
      <c r="M646" s="758"/>
      <c r="N646" s="758"/>
      <c r="O646" s="758"/>
      <c r="P646" s="758"/>
      <c r="Q646" s="758"/>
      <c r="R646" s="623"/>
      <c r="S646" s="623"/>
      <c r="T646" s="623"/>
      <c r="U646" s="626"/>
      <c r="V646" s="627"/>
      <c r="W646" s="623"/>
      <c r="X646" s="623"/>
      <c r="Y646" s="623"/>
      <c r="Z646" s="623"/>
    </row>
    <row r="647">
      <c r="A647" s="623"/>
      <c r="B647" s="625"/>
      <c r="C647" s="756"/>
      <c r="D647" s="757"/>
      <c r="E647" s="642"/>
      <c r="F647" s="758"/>
      <c r="G647" s="758"/>
      <c r="H647" s="758"/>
      <c r="I647" s="758"/>
      <c r="J647" s="758"/>
      <c r="K647" s="758"/>
      <c r="L647" s="758"/>
      <c r="M647" s="758"/>
      <c r="N647" s="758"/>
      <c r="O647" s="758"/>
      <c r="P647" s="758"/>
      <c r="Q647" s="758"/>
      <c r="R647" s="623"/>
      <c r="S647" s="623"/>
      <c r="T647" s="623"/>
      <c r="U647" s="626"/>
      <c r="V647" s="627"/>
      <c r="W647" s="623"/>
      <c r="X647" s="623"/>
      <c r="Y647" s="623"/>
      <c r="Z647" s="623"/>
    </row>
    <row r="648">
      <c r="A648" s="623"/>
      <c r="B648" s="625"/>
      <c r="C648" s="756"/>
      <c r="D648" s="757"/>
      <c r="E648" s="642"/>
      <c r="F648" s="758"/>
      <c r="G648" s="758"/>
      <c r="H648" s="758"/>
      <c r="I648" s="758"/>
      <c r="J648" s="758"/>
      <c r="K648" s="758"/>
      <c r="L648" s="758"/>
      <c r="M648" s="758"/>
      <c r="N648" s="758"/>
      <c r="O648" s="758"/>
      <c r="P648" s="758"/>
      <c r="Q648" s="758"/>
      <c r="R648" s="623"/>
      <c r="S648" s="623"/>
      <c r="T648" s="623"/>
      <c r="U648" s="626"/>
      <c r="V648" s="627"/>
      <c r="W648" s="623"/>
      <c r="X648" s="623"/>
      <c r="Y648" s="623"/>
      <c r="Z648" s="623"/>
    </row>
    <row r="649">
      <c r="A649" s="623"/>
      <c r="B649" s="625"/>
      <c r="C649" s="756"/>
      <c r="D649" s="757"/>
      <c r="E649" s="642"/>
      <c r="F649" s="758"/>
      <c r="G649" s="758"/>
      <c r="H649" s="758"/>
      <c r="I649" s="758"/>
      <c r="J649" s="758"/>
      <c r="K649" s="758"/>
      <c r="L649" s="758"/>
      <c r="M649" s="758"/>
      <c r="N649" s="758"/>
      <c r="O649" s="758"/>
      <c r="P649" s="758"/>
      <c r="Q649" s="758"/>
      <c r="R649" s="623"/>
      <c r="S649" s="623"/>
      <c r="T649" s="623"/>
      <c r="U649" s="626"/>
      <c r="V649" s="627"/>
      <c r="W649" s="623"/>
      <c r="X649" s="623"/>
      <c r="Y649" s="623"/>
      <c r="Z649" s="623"/>
    </row>
    <row r="650">
      <c r="A650" s="623"/>
      <c r="B650" s="625"/>
      <c r="C650" s="756"/>
      <c r="D650" s="757"/>
      <c r="E650" s="642"/>
      <c r="F650" s="758"/>
      <c r="G650" s="758"/>
      <c r="H650" s="758"/>
      <c r="I650" s="758"/>
      <c r="J650" s="758"/>
      <c r="K650" s="758"/>
      <c r="L650" s="758"/>
      <c r="M650" s="758"/>
      <c r="N650" s="758"/>
      <c r="O650" s="758"/>
      <c r="P650" s="758"/>
      <c r="Q650" s="758"/>
      <c r="R650" s="623"/>
      <c r="S650" s="623"/>
      <c r="T650" s="623"/>
      <c r="U650" s="626"/>
      <c r="V650" s="627"/>
      <c r="W650" s="623"/>
      <c r="X650" s="623"/>
      <c r="Y650" s="623"/>
      <c r="Z650" s="623"/>
    </row>
    <row r="651">
      <c r="A651" s="623"/>
      <c r="B651" s="625"/>
      <c r="C651" s="756"/>
      <c r="D651" s="757"/>
      <c r="E651" s="642"/>
      <c r="F651" s="758"/>
      <c r="G651" s="758"/>
      <c r="H651" s="758"/>
      <c r="I651" s="758"/>
      <c r="J651" s="758"/>
      <c r="K651" s="758"/>
      <c r="L651" s="758"/>
      <c r="M651" s="758"/>
      <c r="N651" s="758"/>
      <c r="O651" s="758"/>
      <c r="P651" s="758"/>
      <c r="Q651" s="758"/>
      <c r="R651" s="623"/>
      <c r="S651" s="623"/>
      <c r="T651" s="623"/>
      <c r="U651" s="626"/>
      <c r="V651" s="627"/>
      <c r="W651" s="623"/>
      <c r="X651" s="623"/>
      <c r="Y651" s="623"/>
      <c r="Z651" s="623"/>
    </row>
    <row r="652">
      <c r="A652" s="623"/>
      <c r="B652" s="625"/>
      <c r="C652" s="756"/>
      <c r="D652" s="757"/>
      <c r="E652" s="642"/>
      <c r="F652" s="758"/>
      <c r="G652" s="758"/>
      <c r="H652" s="758"/>
      <c r="I652" s="758"/>
      <c r="J652" s="758"/>
      <c r="K652" s="758"/>
      <c r="L652" s="758"/>
      <c r="M652" s="758"/>
      <c r="N652" s="758"/>
      <c r="O652" s="758"/>
      <c r="P652" s="758"/>
      <c r="Q652" s="758"/>
      <c r="R652" s="623"/>
      <c r="S652" s="623"/>
      <c r="T652" s="623"/>
      <c r="U652" s="626"/>
      <c r="V652" s="627"/>
      <c r="W652" s="623"/>
      <c r="X652" s="623"/>
      <c r="Y652" s="623"/>
      <c r="Z652" s="623"/>
    </row>
    <row r="653">
      <c r="A653" s="623"/>
      <c r="B653" s="625"/>
      <c r="C653" s="756"/>
      <c r="D653" s="757"/>
      <c r="E653" s="642"/>
      <c r="F653" s="758"/>
      <c r="G653" s="758"/>
      <c r="H653" s="758"/>
      <c r="I653" s="758"/>
      <c r="J653" s="758"/>
      <c r="K653" s="758"/>
      <c r="L653" s="758"/>
      <c r="M653" s="758"/>
      <c r="N653" s="758"/>
      <c r="O653" s="758"/>
      <c r="P653" s="758"/>
      <c r="Q653" s="758"/>
      <c r="R653" s="623"/>
      <c r="S653" s="623"/>
      <c r="T653" s="623"/>
      <c r="U653" s="626"/>
      <c r="V653" s="627"/>
      <c r="W653" s="623"/>
      <c r="X653" s="623"/>
      <c r="Y653" s="623"/>
      <c r="Z653" s="623"/>
    </row>
    <row r="654">
      <c r="A654" s="623"/>
      <c r="B654" s="625"/>
      <c r="C654" s="756"/>
      <c r="D654" s="757"/>
      <c r="E654" s="642"/>
      <c r="F654" s="758"/>
      <c r="G654" s="758"/>
      <c r="H654" s="758"/>
      <c r="I654" s="758"/>
      <c r="J654" s="758"/>
      <c r="K654" s="758"/>
      <c r="L654" s="758"/>
      <c r="M654" s="758"/>
      <c r="N654" s="758"/>
      <c r="O654" s="758"/>
      <c r="P654" s="758"/>
      <c r="Q654" s="758"/>
      <c r="R654" s="623"/>
      <c r="S654" s="623"/>
      <c r="T654" s="623"/>
      <c r="U654" s="626"/>
      <c r="V654" s="627"/>
      <c r="W654" s="623"/>
      <c r="X654" s="623"/>
      <c r="Y654" s="623"/>
      <c r="Z654" s="623"/>
    </row>
    <row r="655">
      <c r="A655" s="623"/>
      <c r="B655" s="625"/>
      <c r="C655" s="756"/>
      <c r="D655" s="757"/>
      <c r="E655" s="642"/>
      <c r="F655" s="758"/>
      <c r="G655" s="758"/>
      <c r="H655" s="758"/>
      <c r="I655" s="758"/>
      <c r="J655" s="758"/>
      <c r="K655" s="758"/>
      <c r="L655" s="758"/>
      <c r="M655" s="758"/>
      <c r="N655" s="758"/>
      <c r="O655" s="758"/>
      <c r="P655" s="758"/>
      <c r="Q655" s="758"/>
      <c r="R655" s="623"/>
      <c r="S655" s="623"/>
      <c r="T655" s="623"/>
      <c r="U655" s="626"/>
      <c r="V655" s="627"/>
      <c r="W655" s="623"/>
      <c r="X655" s="623"/>
      <c r="Y655" s="623"/>
      <c r="Z655" s="623"/>
    </row>
    <row r="656">
      <c r="A656" s="623"/>
      <c r="B656" s="625"/>
      <c r="C656" s="756"/>
      <c r="D656" s="757"/>
      <c r="E656" s="642"/>
      <c r="F656" s="758"/>
      <c r="G656" s="758"/>
      <c r="H656" s="758"/>
      <c r="I656" s="758"/>
      <c r="J656" s="758"/>
      <c r="K656" s="758"/>
      <c r="L656" s="758"/>
      <c r="M656" s="758"/>
      <c r="N656" s="758"/>
      <c r="O656" s="758"/>
      <c r="P656" s="758"/>
      <c r="Q656" s="758"/>
      <c r="R656" s="623"/>
      <c r="S656" s="623"/>
      <c r="T656" s="623"/>
      <c r="U656" s="626"/>
      <c r="V656" s="627"/>
      <c r="W656" s="623"/>
      <c r="X656" s="623"/>
      <c r="Y656" s="623"/>
      <c r="Z656" s="623"/>
    </row>
    <row r="657">
      <c r="A657" s="623"/>
      <c r="B657" s="625"/>
      <c r="C657" s="756"/>
      <c r="D657" s="757"/>
      <c r="E657" s="642"/>
      <c r="F657" s="758"/>
      <c r="G657" s="758"/>
      <c r="H657" s="758"/>
      <c r="I657" s="758"/>
      <c r="J657" s="758"/>
      <c r="K657" s="758"/>
      <c r="L657" s="758"/>
      <c r="M657" s="758"/>
      <c r="N657" s="758"/>
      <c r="O657" s="758"/>
      <c r="P657" s="758"/>
      <c r="Q657" s="758"/>
      <c r="R657" s="623"/>
      <c r="S657" s="623"/>
      <c r="T657" s="623"/>
      <c r="U657" s="626"/>
      <c r="V657" s="627"/>
      <c r="W657" s="623"/>
      <c r="X657" s="623"/>
      <c r="Y657" s="623"/>
      <c r="Z657" s="623"/>
    </row>
    <row r="658">
      <c r="A658" s="623"/>
      <c r="B658" s="625"/>
      <c r="C658" s="756"/>
      <c r="D658" s="757"/>
      <c r="E658" s="642"/>
      <c r="F658" s="758"/>
      <c r="G658" s="758"/>
      <c r="H658" s="758"/>
      <c r="I658" s="758"/>
      <c r="J658" s="758"/>
      <c r="K658" s="758"/>
      <c r="L658" s="758"/>
      <c r="M658" s="758"/>
      <c r="N658" s="758"/>
      <c r="O658" s="758"/>
      <c r="P658" s="758"/>
      <c r="Q658" s="758"/>
      <c r="R658" s="623"/>
      <c r="S658" s="623"/>
      <c r="T658" s="623"/>
      <c r="U658" s="626"/>
      <c r="V658" s="627"/>
      <c r="W658" s="623"/>
      <c r="X658" s="623"/>
      <c r="Y658" s="623"/>
      <c r="Z658" s="623"/>
    </row>
    <row r="659">
      <c r="A659" s="623"/>
      <c r="B659" s="625"/>
      <c r="C659" s="756"/>
      <c r="D659" s="757"/>
      <c r="E659" s="642"/>
      <c r="F659" s="758"/>
      <c r="G659" s="758"/>
      <c r="H659" s="758"/>
      <c r="I659" s="758"/>
      <c r="J659" s="758"/>
      <c r="K659" s="758"/>
      <c r="L659" s="758"/>
      <c r="M659" s="758"/>
      <c r="N659" s="758"/>
      <c r="O659" s="758"/>
      <c r="P659" s="758"/>
      <c r="Q659" s="758"/>
      <c r="R659" s="623"/>
      <c r="S659" s="623"/>
      <c r="T659" s="623"/>
      <c r="U659" s="626"/>
      <c r="V659" s="627"/>
      <c r="W659" s="623"/>
      <c r="X659" s="623"/>
      <c r="Y659" s="623"/>
      <c r="Z659" s="623"/>
    </row>
    <row r="660">
      <c r="A660" s="623"/>
      <c r="B660" s="625"/>
      <c r="C660" s="756"/>
      <c r="D660" s="757"/>
      <c r="E660" s="642"/>
      <c r="F660" s="758"/>
      <c r="G660" s="758"/>
      <c r="H660" s="758"/>
      <c r="I660" s="758"/>
      <c r="J660" s="758"/>
      <c r="K660" s="758"/>
      <c r="L660" s="758"/>
      <c r="M660" s="758"/>
      <c r="N660" s="758"/>
      <c r="O660" s="758"/>
      <c r="P660" s="758"/>
      <c r="Q660" s="758"/>
      <c r="R660" s="623"/>
      <c r="S660" s="623"/>
      <c r="T660" s="623"/>
      <c r="U660" s="626"/>
      <c r="V660" s="627"/>
      <c r="W660" s="623"/>
      <c r="X660" s="623"/>
      <c r="Y660" s="623"/>
      <c r="Z660" s="623"/>
    </row>
    <row r="661">
      <c r="A661" s="623"/>
      <c r="B661" s="625"/>
      <c r="C661" s="756"/>
      <c r="D661" s="757"/>
      <c r="E661" s="642"/>
      <c r="F661" s="758"/>
      <c r="G661" s="758"/>
      <c r="H661" s="758"/>
      <c r="I661" s="758"/>
      <c r="J661" s="758"/>
      <c r="K661" s="758"/>
      <c r="L661" s="758"/>
      <c r="M661" s="758"/>
      <c r="N661" s="758"/>
      <c r="O661" s="758"/>
      <c r="P661" s="758"/>
      <c r="Q661" s="758"/>
      <c r="R661" s="623"/>
      <c r="S661" s="623"/>
      <c r="T661" s="623"/>
      <c r="U661" s="626"/>
      <c r="V661" s="627"/>
      <c r="W661" s="623"/>
      <c r="X661" s="623"/>
      <c r="Y661" s="623"/>
      <c r="Z661" s="623"/>
    </row>
    <row r="662">
      <c r="A662" s="623"/>
      <c r="B662" s="625"/>
      <c r="C662" s="756"/>
      <c r="D662" s="757"/>
      <c r="E662" s="642"/>
      <c r="F662" s="758"/>
      <c r="G662" s="758"/>
      <c r="H662" s="758"/>
      <c r="I662" s="758"/>
      <c r="J662" s="758"/>
      <c r="K662" s="758"/>
      <c r="L662" s="758"/>
      <c r="M662" s="758"/>
      <c r="N662" s="758"/>
      <c r="O662" s="758"/>
      <c r="P662" s="758"/>
      <c r="Q662" s="758"/>
      <c r="R662" s="623"/>
      <c r="S662" s="623"/>
      <c r="T662" s="623"/>
      <c r="U662" s="626"/>
      <c r="V662" s="627"/>
      <c r="W662" s="623"/>
      <c r="X662" s="623"/>
      <c r="Y662" s="623"/>
      <c r="Z662" s="623"/>
    </row>
    <row r="663">
      <c r="A663" s="623"/>
      <c r="B663" s="625"/>
      <c r="C663" s="756"/>
      <c r="D663" s="757"/>
      <c r="E663" s="642"/>
      <c r="F663" s="758"/>
      <c r="G663" s="758"/>
      <c r="H663" s="758"/>
      <c r="I663" s="758"/>
      <c r="J663" s="758"/>
      <c r="K663" s="758"/>
      <c r="L663" s="758"/>
      <c r="M663" s="758"/>
      <c r="N663" s="758"/>
      <c r="O663" s="758"/>
      <c r="P663" s="758"/>
      <c r="Q663" s="758"/>
      <c r="R663" s="623"/>
      <c r="S663" s="623"/>
      <c r="T663" s="623"/>
      <c r="U663" s="626"/>
      <c r="V663" s="627"/>
      <c r="W663" s="623"/>
      <c r="X663" s="623"/>
      <c r="Y663" s="623"/>
      <c r="Z663" s="623"/>
    </row>
    <row r="664">
      <c r="A664" s="623"/>
      <c r="B664" s="625"/>
      <c r="C664" s="756"/>
      <c r="D664" s="757"/>
      <c r="E664" s="642"/>
      <c r="F664" s="758"/>
      <c r="G664" s="758"/>
      <c r="H664" s="758"/>
      <c r="I664" s="758"/>
      <c r="J664" s="758"/>
      <c r="K664" s="758"/>
      <c r="L664" s="758"/>
      <c r="M664" s="758"/>
      <c r="N664" s="758"/>
      <c r="O664" s="758"/>
      <c r="P664" s="758"/>
      <c r="Q664" s="758"/>
      <c r="R664" s="623"/>
      <c r="S664" s="623"/>
      <c r="T664" s="623"/>
      <c r="U664" s="626"/>
      <c r="V664" s="627"/>
      <c r="W664" s="623"/>
      <c r="X664" s="623"/>
      <c r="Y664" s="623"/>
      <c r="Z664" s="623"/>
    </row>
    <row r="665">
      <c r="A665" s="623"/>
      <c r="B665" s="625"/>
      <c r="C665" s="756"/>
      <c r="D665" s="757"/>
      <c r="E665" s="642"/>
      <c r="F665" s="758"/>
      <c r="G665" s="758"/>
      <c r="H665" s="758"/>
      <c r="I665" s="758"/>
      <c r="J665" s="758"/>
      <c r="K665" s="758"/>
      <c r="L665" s="758"/>
      <c r="M665" s="758"/>
      <c r="N665" s="758"/>
      <c r="O665" s="758"/>
      <c r="P665" s="758"/>
      <c r="Q665" s="758"/>
      <c r="R665" s="623"/>
      <c r="S665" s="623"/>
      <c r="T665" s="623"/>
      <c r="U665" s="626"/>
      <c r="V665" s="627"/>
      <c r="W665" s="623"/>
      <c r="X665" s="623"/>
      <c r="Y665" s="623"/>
      <c r="Z665" s="623"/>
    </row>
    <row r="666">
      <c r="A666" s="623"/>
      <c r="B666" s="625"/>
      <c r="C666" s="756"/>
      <c r="D666" s="757"/>
      <c r="E666" s="642"/>
      <c r="F666" s="758"/>
      <c r="G666" s="758"/>
      <c r="H666" s="758"/>
      <c r="I666" s="758"/>
      <c r="J666" s="758"/>
      <c r="K666" s="758"/>
      <c r="L666" s="758"/>
      <c r="M666" s="758"/>
      <c r="N666" s="758"/>
      <c r="O666" s="758"/>
      <c r="P666" s="758"/>
      <c r="Q666" s="758"/>
      <c r="R666" s="623"/>
      <c r="S666" s="623"/>
      <c r="T666" s="623"/>
      <c r="U666" s="626"/>
      <c r="V666" s="627"/>
      <c r="W666" s="623"/>
      <c r="X666" s="623"/>
      <c r="Y666" s="623"/>
      <c r="Z666" s="623"/>
    </row>
    <row r="667">
      <c r="A667" s="623"/>
      <c r="B667" s="625"/>
      <c r="C667" s="756"/>
      <c r="D667" s="757"/>
      <c r="E667" s="642"/>
      <c r="F667" s="758"/>
      <c r="G667" s="758"/>
      <c r="H667" s="758"/>
      <c r="I667" s="758"/>
      <c r="J667" s="758"/>
      <c r="K667" s="758"/>
      <c r="L667" s="758"/>
      <c r="M667" s="758"/>
      <c r="N667" s="758"/>
      <c r="O667" s="758"/>
      <c r="P667" s="758"/>
      <c r="Q667" s="758"/>
      <c r="R667" s="623"/>
      <c r="S667" s="623"/>
      <c r="T667" s="623"/>
      <c r="U667" s="626"/>
      <c r="V667" s="627"/>
      <c r="W667" s="623"/>
      <c r="X667" s="623"/>
      <c r="Y667" s="623"/>
      <c r="Z667" s="623"/>
    </row>
    <row r="668">
      <c r="A668" s="623"/>
      <c r="B668" s="625"/>
      <c r="C668" s="756"/>
      <c r="D668" s="757"/>
      <c r="E668" s="642"/>
      <c r="F668" s="758"/>
      <c r="G668" s="758"/>
      <c r="H668" s="758"/>
      <c r="I668" s="758"/>
      <c r="J668" s="758"/>
      <c r="K668" s="758"/>
      <c r="L668" s="758"/>
      <c r="M668" s="758"/>
      <c r="N668" s="758"/>
      <c r="O668" s="758"/>
      <c r="P668" s="758"/>
      <c r="Q668" s="758"/>
      <c r="R668" s="623"/>
      <c r="S668" s="623"/>
      <c r="T668" s="623"/>
      <c r="U668" s="626"/>
      <c r="V668" s="627"/>
      <c r="W668" s="623"/>
      <c r="X668" s="623"/>
      <c r="Y668" s="623"/>
      <c r="Z668" s="623"/>
    </row>
    <row r="669">
      <c r="A669" s="623"/>
      <c r="B669" s="625"/>
      <c r="C669" s="756"/>
      <c r="D669" s="757"/>
      <c r="E669" s="642"/>
      <c r="F669" s="758"/>
      <c r="G669" s="758"/>
      <c r="H669" s="758"/>
      <c r="I669" s="758"/>
      <c r="J669" s="758"/>
      <c r="K669" s="758"/>
      <c r="L669" s="758"/>
      <c r="M669" s="758"/>
      <c r="N669" s="758"/>
      <c r="O669" s="758"/>
      <c r="P669" s="758"/>
      <c r="Q669" s="758"/>
      <c r="R669" s="623"/>
      <c r="S669" s="623"/>
      <c r="T669" s="623"/>
      <c r="U669" s="626"/>
      <c r="V669" s="627"/>
      <c r="W669" s="623"/>
      <c r="X669" s="623"/>
      <c r="Y669" s="623"/>
      <c r="Z669" s="623"/>
    </row>
    <row r="670">
      <c r="A670" s="623"/>
      <c r="B670" s="625"/>
      <c r="C670" s="756"/>
      <c r="D670" s="757"/>
      <c r="E670" s="642"/>
      <c r="F670" s="758"/>
      <c r="G670" s="758"/>
      <c r="H670" s="758"/>
      <c r="I670" s="758"/>
      <c r="J670" s="758"/>
      <c r="K670" s="758"/>
      <c r="L670" s="758"/>
      <c r="M670" s="758"/>
      <c r="N670" s="758"/>
      <c r="O670" s="758"/>
      <c r="P670" s="758"/>
      <c r="Q670" s="758"/>
      <c r="R670" s="623"/>
      <c r="S670" s="623"/>
      <c r="T670" s="623"/>
      <c r="U670" s="626"/>
      <c r="V670" s="627"/>
      <c r="W670" s="623"/>
      <c r="X670" s="623"/>
      <c r="Y670" s="623"/>
      <c r="Z670" s="623"/>
    </row>
    <row r="671">
      <c r="A671" s="623"/>
      <c r="B671" s="625"/>
      <c r="C671" s="756"/>
      <c r="D671" s="757"/>
      <c r="E671" s="642"/>
      <c r="F671" s="758"/>
      <c r="G671" s="758"/>
      <c r="H671" s="758"/>
      <c r="I671" s="758"/>
      <c r="J671" s="758"/>
      <c r="K671" s="758"/>
      <c r="L671" s="758"/>
      <c r="M671" s="758"/>
      <c r="N671" s="758"/>
      <c r="O671" s="758"/>
      <c r="P671" s="758"/>
      <c r="Q671" s="758"/>
      <c r="R671" s="623"/>
      <c r="S671" s="623"/>
      <c r="T671" s="623"/>
      <c r="U671" s="626"/>
      <c r="V671" s="627"/>
      <c r="W671" s="623"/>
      <c r="X671" s="623"/>
      <c r="Y671" s="623"/>
      <c r="Z671" s="623"/>
    </row>
    <row r="672">
      <c r="A672" s="623"/>
      <c r="B672" s="625"/>
      <c r="C672" s="756"/>
      <c r="D672" s="757"/>
      <c r="E672" s="642"/>
      <c r="F672" s="758"/>
      <c r="G672" s="758"/>
      <c r="H672" s="758"/>
      <c r="I672" s="758"/>
      <c r="J672" s="758"/>
      <c r="K672" s="758"/>
      <c r="L672" s="758"/>
      <c r="M672" s="758"/>
      <c r="N672" s="758"/>
      <c r="O672" s="758"/>
      <c r="P672" s="758"/>
      <c r="Q672" s="758"/>
      <c r="R672" s="623"/>
      <c r="S672" s="623"/>
      <c r="T672" s="623"/>
      <c r="U672" s="626"/>
      <c r="V672" s="627"/>
      <c r="W672" s="623"/>
      <c r="X672" s="623"/>
      <c r="Y672" s="623"/>
      <c r="Z672" s="623"/>
    </row>
    <row r="673">
      <c r="A673" s="623"/>
      <c r="B673" s="625"/>
      <c r="C673" s="756"/>
      <c r="D673" s="757"/>
      <c r="E673" s="642"/>
      <c r="F673" s="758"/>
      <c r="G673" s="758"/>
      <c r="H673" s="758"/>
      <c r="I673" s="758"/>
      <c r="J673" s="758"/>
      <c r="K673" s="758"/>
      <c r="L673" s="758"/>
      <c r="M673" s="758"/>
      <c r="N673" s="758"/>
      <c r="O673" s="758"/>
      <c r="P673" s="758"/>
      <c r="Q673" s="758"/>
      <c r="R673" s="623"/>
      <c r="S673" s="623"/>
      <c r="T673" s="623"/>
      <c r="U673" s="626"/>
      <c r="V673" s="627"/>
      <c r="W673" s="623"/>
      <c r="X673" s="623"/>
      <c r="Y673" s="623"/>
      <c r="Z673" s="623"/>
    </row>
    <row r="674">
      <c r="A674" s="623"/>
      <c r="B674" s="625"/>
      <c r="C674" s="756"/>
      <c r="D674" s="757"/>
      <c r="E674" s="642"/>
      <c r="F674" s="758"/>
      <c r="G674" s="758"/>
      <c r="H674" s="758"/>
      <c r="I674" s="758"/>
      <c r="J674" s="758"/>
      <c r="K674" s="758"/>
      <c r="L674" s="758"/>
      <c r="M674" s="758"/>
      <c r="N674" s="758"/>
      <c r="O674" s="758"/>
      <c r="P674" s="758"/>
      <c r="Q674" s="758"/>
      <c r="R674" s="623"/>
      <c r="S674" s="623"/>
      <c r="T674" s="623"/>
      <c r="U674" s="626"/>
      <c r="V674" s="627"/>
      <c r="W674" s="623"/>
      <c r="X674" s="623"/>
      <c r="Y674" s="623"/>
      <c r="Z674" s="623"/>
    </row>
    <row r="675">
      <c r="A675" s="623"/>
      <c r="B675" s="625"/>
      <c r="C675" s="756"/>
      <c r="D675" s="757"/>
      <c r="E675" s="642"/>
      <c r="F675" s="758"/>
      <c r="G675" s="758"/>
      <c r="H675" s="758"/>
      <c r="I675" s="758"/>
      <c r="J675" s="758"/>
      <c r="K675" s="758"/>
      <c r="L675" s="758"/>
      <c r="M675" s="758"/>
      <c r="N675" s="758"/>
      <c r="O675" s="758"/>
      <c r="P675" s="758"/>
      <c r="Q675" s="758"/>
      <c r="R675" s="623"/>
      <c r="S675" s="623"/>
      <c r="T675" s="623"/>
      <c r="U675" s="626"/>
      <c r="V675" s="627"/>
      <c r="W675" s="623"/>
      <c r="X675" s="623"/>
      <c r="Y675" s="623"/>
      <c r="Z675" s="623"/>
    </row>
    <row r="676">
      <c r="A676" s="623"/>
      <c r="B676" s="625"/>
      <c r="C676" s="756"/>
      <c r="D676" s="757"/>
      <c r="E676" s="642"/>
      <c r="F676" s="758"/>
      <c r="G676" s="758"/>
      <c r="H676" s="758"/>
      <c r="I676" s="758"/>
      <c r="J676" s="758"/>
      <c r="K676" s="758"/>
      <c r="L676" s="758"/>
      <c r="M676" s="758"/>
      <c r="N676" s="758"/>
      <c r="O676" s="758"/>
      <c r="P676" s="758"/>
      <c r="Q676" s="758"/>
      <c r="R676" s="623"/>
      <c r="S676" s="623"/>
      <c r="T676" s="623"/>
      <c r="U676" s="626"/>
      <c r="V676" s="627"/>
      <c r="W676" s="623"/>
      <c r="X676" s="623"/>
      <c r="Y676" s="623"/>
      <c r="Z676" s="623"/>
    </row>
    <row r="677">
      <c r="A677" s="623"/>
      <c r="B677" s="625"/>
      <c r="C677" s="756"/>
      <c r="D677" s="757"/>
      <c r="E677" s="642"/>
      <c r="F677" s="758"/>
      <c r="G677" s="758"/>
      <c r="H677" s="758"/>
      <c r="I677" s="758"/>
      <c r="J677" s="758"/>
      <c r="K677" s="758"/>
      <c r="L677" s="758"/>
      <c r="M677" s="758"/>
      <c r="N677" s="758"/>
      <c r="O677" s="758"/>
      <c r="P677" s="758"/>
      <c r="Q677" s="758"/>
      <c r="R677" s="623"/>
      <c r="S677" s="623"/>
      <c r="T677" s="623"/>
      <c r="U677" s="626"/>
      <c r="V677" s="627"/>
      <c r="W677" s="623"/>
      <c r="X677" s="623"/>
      <c r="Y677" s="623"/>
      <c r="Z677" s="623"/>
    </row>
    <row r="678">
      <c r="A678" s="623"/>
      <c r="B678" s="625"/>
      <c r="C678" s="756"/>
      <c r="D678" s="757"/>
      <c r="E678" s="642"/>
      <c r="F678" s="758"/>
      <c r="G678" s="758"/>
      <c r="H678" s="758"/>
      <c r="I678" s="758"/>
      <c r="J678" s="758"/>
      <c r="K678" s="758"/>
      <c r="L678" s="758"/>
      <c r="M678" s="758"/>
      <c r="N678" s="758"/>
      <c r="O678" s="758"/>
      <c r="P678" s="758"/>
      <c r="Q678" s="758"/>
      <c r="R678" s="623"/>
      <c r="S678" s="623"/>
      <c r="T678" s="623"/>
      <c r="U678" s="626"/>
      <c r="V678" s="627"/>
      <c r="W678" s="623"/>
      <c r="X678" s="623"/>
      <c r="Y678" s="623"/>
      <c r="Z678" s="623"/>
    </row>
    <row r="679">
      <c r="A679" s="623"/>
      <c r="B679" s="625"/>
      <c r="C679" s="756"/>
      <c r="D679" s="757"/>
      <c r="E679" s="642"/>
      <c r="F679" s="758"/>
      <c r="G679" s="758"/>
      <c r="H679" s="758"/>
      <c r="I679" s="758"/>
      <c r="J679" s="758"/>
      <c r="K679" s="758"/>
      <c r="L679" s="758"/>
      <c r="M679" s="758"/>
      <c r="N679" s="758"/>
      <c r="O679" s="758"/>
      <c r="P679" s="758"/>
      <c r="Q679" s="758"/>
      <c r="R679" s="623"/>
      <c r="S679" s="623"/>
      <c r="T679" s="623"/>
      <c r="U679" s="626"/>
      <c r="V679" s="627"/>
      <c r="W679" s="623"/>
      <c r="X679" s="623"/>
      <c r="Y679" s="623"/>
      <c r="Z679" s="623"/>
    </row>
    <row r="680">
      <c r="A680" s="623"/>
      <c r="B680" s="625"/>
      <c r="C680" s="756"/>
      <c r="D680" s="757"/>
      <c r="E680" s="642"/>
      <c r="F680" s="758"/>
      <c r="G680" s="758"/>
      <c r="H680" s="758"/>
      <c r="I680" s="758"/>
      <c r="J680" s="758"/>
      <c r="K680" s="758"/>
      <c r="L680" s="758"/>
      <c r="M680" s="758"/>
      <c r="N680" s="758"/>
      <c r="O680" s="758"/>
      <c r="P680" s="758"/>
      <c r="Q680" s="758"/>
      <c r="R680" s="623"/>
      <c r="S680" s="623"/>
      <c r="T680" s="623"/>
      <c r="U680" s="626"/>
      <c r="V680" s="627"/>
      <c r="W680" s="623"/>
      <c r="X680" s="623"/>
      <c r="Y680" s="623"/>
      <c r="Z680" s="623"/>
    </row>
    <row r="681">
      <c r="A681" s="623"/>
      <c r="B681" s="625"/>
      <c r="C681" s="756"/>
      <c r="D681" s="757"/>
      <c r="E681" s="642"/>
      <c r="F681" s="758"/>
      <c r="G681" s="758"/>
      <c r="H681" s="758"/>
      <c r="I681" s="758"/>
      <c r="J681" s="758"/>
      <c r="K681" s="758"/>
      <c r="L681" s="758"/>
      <c r="M681" s="758"/>
      <c r="N681" s="758"/>
      <c r="O681" s="758"/>
      <c r="P681" s="758"/>
      <c r="Q681" s="758"/>
      <c r="R681" s="623"/>
      <c r="S681" s="623"/>
      <c r="T681" s="623"/>
      <c r="U681" s="626"/>
      <c r="V681" s="627"/>
      <c r="W681" s="623"/>
      <c r="X681" s="623"/>
      <c r="Y681" s="623"/>
      <c r="Z681" s="623"/>
    </row>
    <row r="682">
      <c r="A682" s="623"/>
      <c r="B682" s="625"/>
      <c r="C682" s="756"/>
      <c r="D682" s="757"/>
      <c r="E682" s="642"/>
      <c r="F682" s="758"/>
      <c r="G682" s="758"/>
      <c r="H682" s="758"/>
      <c r="I682" s="758"/>
      <c r="J682" s="758"/>
      <c r="K682" s="758"/>
      <c r="L682" s="758"/>
      <c r="M682" s="758"/>
      <c r="N682" s="758"/>
      <c r="O682" s="758"/>
      <c r="P682" s="758"/>
      <c r="Q682" s="758"/>
      <c r="R682" s="623"/>
      <c r="S682" s="623"/>
      <c r="T682" s="623"/>
      <c r="U682" s="626"/>
      <c r="V682" s="627"/>
      <c r="W682" s="623"/>
      <c r="X682" s="623"/>
      <c r="Y682" s="623"/>
      <c r="Z682" s="623"/>
    </row>
    <row r="683">
      <c r="A683" s="623"/>
      <c r="B683" s="625"/>
      <c r="C683" s="756"/>
      <c r="D683" s="757"/>
      <c r="E683" s="642"/>
      <c r="F683" s="758"/>
      <c r="G683" s="758"/>
      <c r="H683" s="758"/>
      <c r="I683" s="758"/>
      <c r="J683" s="758"/>
      <c r="K683" s="758"/>
      <c r="L683" s="758"/>
      <c r="M683" s="758"/>
      <c r="N683" s="758"/>
      <c r="O683" s="758"/>
      <c r="P683" s="758"/>
      <c r="Q683" s="758"/>
      <c r="R683" s="623"/>
      <c r="S683" s="623"/>
      <c r="T683" s="623"/>
      <c r="U683" s="626"/>
      <c r="V683" s="627"/>
      <c r="W683" s="623"/>
      <c r="X683" s="623"/>
      <c r="Y683" s="623"/>
      <c r="Z683" s="623"/>
    </row>
    <row r="684">
      <c r="A684" s="623"/>
      <c r="B684" s="625"/>
      <c r="C684" s="756"/>
      <c r="D684" s="757"/>
      <c r="E684" s="642"/>
      <c r="F684" s="758"/>
      <c r="G684" s="758"/>
      <c r="H684" s="758"/>
      <c r="I684" s="758"/>
      <c r="J684" s="758"/>
      <c r="K684" s="758"/>
      <c r="L684" s="758"/>
      <c r="M684" s="758"/>
      <c r="N684" s="758"/>
      <c r="O684" s="758"/>
      <c r="P684" s="758"/>
      <c r="Q684" s="758"/>
      <c r="R684" s="623"/>
      <c r="S684" s="623"/>
      <c r="T684" s="623"/>
      <c r="U684" s="626"/>
      <c r="V684" s="627"/>
      <c r="W684" s="623"/>
      <c r="X684" s="623"/>
      <c r="Y684" s="623"/>
      <c r="Z684" s="623"/>
    </row>
    <row r="685">
      <c r="A685" s="623"/>
      <c r="B685" s="625"/>
      <c r="C685" s="756"/>
      <c r="D685" s="757"/>
      <c r="E685" s="642"/>
      <c r="F685" s="758"/>
      <c r="G685" s="758"/>
      <c r="H685" s="758"/>
      <c r="I685" s="758"/>
      <c r="J685" s="758"/>
      <c r="K685" s="758"/>
      <c r="L685" s="758"/>
      <c r="M685" s="758"/>
      <c r="N685" s="758"/>
      <c r="O685" s="758"/>
      <c r="P685" s="758"/>
      <c r="Q685" s="758"/>
      <c r="R685" s="623"/>
      <c r="S685" s="623"/>
      <c r="T685" s="623"/>
      <c r="U685" s="626"/>
      <c r="V685" s="627"/>
      <c r="W685" s="623"/>
      <c r="X685" s="623"/>
      <c r="Y685" s="623"/>
      <c r="Z685" s="623"/>
    </row>
    <row r="686">
      <c r="A686" s="623"/>
      <c r="B686" s="625"/>
      <c r="C686" s="756"/>
      <c r="D686" s="757"/>
      <c r="E686" s="642"/>
      <c r="F686" s="758"/>
      <c r="G686" s="758"/>
      <c r="H686" s="758"/>
      <c r="I686" s="758"/>
      <c r="J686" s="758"/>
      <c r="K686" s="758"/>
      <c r="L686" s="758"/>
      <c r="M686" s="758"/>
      <c r="N686" s="758"/>
      <c r="O686" s="758"/>
      <c r="P686" s="758"/>
      <c r="Q686" s="758"/>
      <c r="R686" s="623"/>
      <c r="S686" s="623"/>
      <c r="T686" s="623"/>
      <c r="U686" s="626"/>
      <c r="V686" s="627"/>
      <c r="W686" s="623"/>
      <c r="X686" s="623"/>
      <c r="Y686" s="623"/>
      <c r="Z686" s="623"/>
    </row>
    <row r="687">
      <c r="A687" s="623"/>
      <c r="B687" s="625"/>
      <c r="C687" s="756"/>
      <c r="D687" s="757"/>
      <c r="E687" s="642"/>
      <c r="F687" s="758"/>
      <c r="G687" s="758"/>
      <c r="H687" s="758"/>
      <c r="I687" s="758"/>
      <c r="J687" s="758"/>
      <c r="K687" s="758"/>
      <c r="L687" s="758"/>
      <c r="M687" s="758"/>
      <c r="N687" s="758"/>
      <c r="O687" s="758"/>
      <c r="P687" s="758"/>
      <c r="Q687" s="758"/>
      <c r="R687" s="623"/>
      <c r="S687" s="623"/>
      <c r="T687" s="623"/>
      <c r="U687" s="626"/>
      <c r="V687" s="627"/>
      <c r="W687" s="623"/>
      <c r="X687" s="623"/>
      <c r="Y687" s="623"/>
      <c r="Z687" s="623"/>
    </row>
    <row r="688">
      <c r="A688" s="623"/>
      <c r="B688" s="625"/>
      <c r="C688" s="756"/>
      <c r="D688" s="757"/>
      <c r="E688" s="642"/>
      <c r="F688" s="758"/>
      <c r="G688" s="758"/>
      <c r="H688" s="758"/>
      <c r="I688" s="758"/>
      <c r="J688" s="758"/>
      <c r="K688" s="758"/>
      <c r="L688" s="758"/>
      <c r="M688" s="758"/>
      <c r="N688" s="758"/>
      <c r="O688" s="758"/>
      <c r="P688" s="758"/>
      <c r="Q688" s="758"/>
      <c r="R688" s="623"/>
      <c r="S688" s="623"/>
      <c r="T688" s="623"/>
      <c r="U688" s="626"/>
      <c r="V688" s="627"/>
      <c r="W688" s="623"/>
      <c r="X688" s="623"/>
      <c r="Y688" s="623"/>
      <c r="Z688" s="623"/>
    </row>
    <row r="689">
      <c r="A689" s="623"/>
      <c r="B689" s="625"/>
      <c r="C689" s="756"/>
      <c r="D689" s="757"/>
      <c r="E689" s="642"/>
      <c r="F689" s="758"/>
      <c r="G689" s="758"/>
      <c r="H689" s="758"/>
      <c r="I689" s="758"/>
      <c r="J689" s="758"/>
      <c r="K689" s="758"/>
      <c r="L689" s="758"/>
      <c r="M689" s="758"/>
      <c r="N689" s="758"/>
      <c r="O689" s="758"/>
      <c r="P689" s="758"/>
      <c r="Q689" s="758"/>
      <c r="R689" s="623"/>
      <c r="S689" s="623"/>
      <c r="T689" s="623"/>
      <c r="U689" s="626"/>
      <c r="V689" s="627"/>
      <c r="W689" s="623"/>
      <c r="X689" s="623"/>
      <c r="Y689" s="623"/>
      <c r="Z689" s="623"/>
    </row>
    <row r="690">
      <c r="A690" s="623"/>
      <c r="B690" s="625"/>
      <c r="C690" s="756"/>
      <c r="D690" s="757"/>
      <c r="E690" s="642"/>
      <c r="F690" s="758"/>
      <c r="G690" s="758"/>
      <c r="H690" s="758"/>
      <c r="I690" s="758"/>
      <c r="J690" s="758"/>
      <c r="K690" s="758"/>
      <c r="L690" s="758"/>
      <c r="M690" s="758"/>
      <c r="N690" s="758"/>
      <c r="O690" s="758"/>
      <c r="P690" s="758"/>
      <c r="Q690" s="758"/>
      <c r="R690" s="623"/>
      <c r="S690" s="623"/>
      <c r="T690" s="623"/>
      <c r="U690" s="626"/>
      <c r="V690" s="627"/>
      <c r="W690" s="623"/>
      <c r="X690" s="623"/>
      <c r="Y690" s="623"/>
      <c r="Z690" s="623"/>
    </row>
    <row r="691">
      <c r="A691" s="623"/>
      <c r="B691" s="625"/>
      <c r="C691" s="756"/>
      <c r="D691" s="757"/>
      <c r="E691" s="642"/>
      <c r="F691" s="758"/>
      <c r="G691" s="758"/>
      <c r="H691" s="758"/>
      <c r="I691" s="758"/>
      <c r="J691" s="758"/>
      <c r="K691" s="758"/>
      <c r="L691" s="758"/>
      <c r="M691" s="758"/>
      <c r="N691" s="758"/>
      <c r="O691" s="758"/>
      <c r="P691" s="758"/>
      <c r="Q691" s="758"/>
      <c r="R691" s="623"/>
      <c r="S691" s="623"/>
      <c r="T691" s="623"/>
      <c r="U691" s="626"/>
      <c r="V691" s="627"/>
      <c r="W691" s="623"/>
      <c r="X691" s="623"/>
      <c r="Y691" s="623"/>
      <c r="Z691" s="623"/>
    </row>
    <row r="692">
      <c r="A692" s="623"/>
      <c r="B692" s="625"/>
      <c r="C692" s="756"/>
      <c r="D692" s="757"/>
      <c r="E692" s="642"/>
      <c r="F692" s="758"/>
      <c r="G692" s="758"/>
      <c r="H692" s="758"/>
      <c r="I692" s="758"/>
      <c r="J692" s="758"/>
      <c r="K692" s="758"/>
      <c r="L692" s="758"/>
      <c r="M692" s="758"/>
      <c r="N692" s="758"/>
      <c r="O692" s="758"/>
      <c r="P692" s="758"/>
      <c r="Q692" s="758"/>
      <c r="R692" s="623"/>
      <c r="S692" s="623"/>
      <c r="T692" s="623"/>
      <c r="U692" s="626"/>
      <c r="V692" s="627"/>
      <c r="W692" s="623"/>
      <c r="X692" s="623"/>
      <c r="Y692" s="623"/>
      <c r="Z692" s="623"/>
    </row>
    <row r="693">
      <c r="A693" s="623"/>
      <c r="B693" s="625"/>
      <c r="C693" s="756"/>
      <c r="D693" s="757"/>
      <c r="E693" s="642"/>
      <c r="F693" s="758"/>
      <c r="G693" s="758"/>
      <c r="H693" s="758"/>
      <c r="I693" s="758"/>
      <c r="J693" s="758"/>
      <c r="K693" s="758"/>
      <c r="L693" s="758"/>
      <c r="M693" s="758"/>
      <c r="N693" s="758"/>
      <c r="O693" s="758"/>
      <c r="P693" s="758"/>
      <c r="Q693" s="758"/>
      <c r="R693" s="623"/>
      <c r="S693" s="623"/>
      <c r="T693" s="623"/>
      <c r="U693" s="626"/>
      <c r="V693" s="627"/>
      <c r="W693" s="623"/>
      <c r="X693" s="623"/>
      <c r="Y693" s="623"/>
      <c r="Z693" s="623"/>
    </row>
    <row r="694">
      <c r="A694" s="623"/>
      <c r="B694" s="625"/>
      <c r="C694" s="756"/>
      <c r="D694" s="757"/>
      <c r="E694" s="642"/>
      <c r="F694" s="758"/>
      <c r="G694" s="758"/>
      <c r="H694" s="758"/>
      <c r="I694" s="758"/>
      <c r="J694" s="758"/>
      <c r="K694" s="758"/>
      <c r="L694" s="758"/>
      <c r="M694" s="758"/>
      <c r="N694" s="758"/>
      <c r="O694" s="758"/>
      <c r="P694" s="758"/>
      <c r="Q694" s="758"/>
      <c r="R694" s="623"/>
      <c r="S694" s="623"/>
      <c r="T694" s="623"/>
      <c r="U694" s="626"/>
      <c r="V694" s="627"/>
      <c r="W694" s="623"/>
      <c r="X694" s="623"/>
      <c r="Y694" s="623"/>
      <c r="Z694" s="623"/>
    </row>
    <row r="695">
      <c r="A695" s="623"/>
      <c r="B695" s="625"/>
      <c r="C695" s="756"/>
      <c r="D695" s="757"/>
      <c r="E695" s="642"/>
      <c r="F695" s="758"/>
      <c r="G695" s="758"/>
      <c r="H695" s="758"/>
      <c r="I695" s="758"/>
      <c r="J695" s="758"/>
      <c r="K695" s="758"/>
      <c r="L695" s="758"/>
      <c r="M695" s="758"/>
      <c r="N695" s="758"/>
      <c r="O695" s="758"/>
      <c r="P695" s="758"/>
      <c r="Q695" s="758"/>
      <c r="R695" s="623"/>
      <c r="S695" s="623"/>
      <c r="T695" s="623"/>
      <c r="U695" s="626"/>
      <c r="V695" s="627"/>
      <c r="W695" s="623"/>
      <c r="X695" s="623"/>
      <c r="Y695" s="623"/>
      <c r="Z695" s="623"/>
    </row>
    <row r="696">
      <c r="A696" s="623"/>
      <c r="B696" s="625"/>
      <c r="C696" s="756"/>
      <c r="D696" s="757"/>
      <c r="E696" s="642"/>
      <c r="F696" s="758"/>
      <c r="G696" s="758"/>
      <c r="H696" s="758"/>
      <c r="I696" s="758"/>
      <c r="J696" s="758"/>
      <c r="K696" s="758"/>
      <c r="L696" s="758"/>
      <c r="M696" s="758"/>
      <c r="N696" s="758"/>
      <c r="O696" s="758"/>
      <c r="P696" s="758"/>
      <c r="Q696" s="758"/>
      <c r="R696" s="623"/>
      <c r="S696" s="623"/>
      <c r="T696" s="623"/>
      <c r="U696" s="626"/>
      <c r="V696" s="627"/>
      <c r="W696" s="623"/>
      <c r="X696" s="623"/>
      <c r="Y696" s="623"/>
      <c r="Z696" s="623"/>
    </row>
    <row r="697">
      <c r="A697" s="623"/>
      <c r="B697" s="625"/>
      <c r="C697" s="756"/>
      <c r="D697" s="757"/>
      <c r="E697" s="642"/>
      <c r="F697" s="758"/>
      <c r="G697" s="758"/>
      <c r="H697" s="758"/>
      <c r="I697" s="758"/>
      <c r="J697" s="758"/>
      <c r="K697" s="758"/>
      <c r="L697" s="758"/>
      <c r="M697" s="758"/>
      <c r="N697" s="758"/>
      <c r="O697" s="758"/>
      <c r="P697" s="758"/>
      <c r="Q697" s="758"/>
      <c r="R697" s="623"/>
      <c r="S697" s="623"/>
      <c r="T697" s="623"/>
      <c r="U697" s="626"/>
      <c r="V697" s="627"/>
      <c r="W697" s="623"/>
      <c r="X697" s="623"/>
      <c r="Y697" s="623"/>
      <c r="Z697" s="623"/>
    </row>
    <row r="698">
      <c r="A698" s="623"/>
      <c r="B698" s="625"/>
      <c r="C698" s="756"/>
      <c r="D698" s="757"/>
      <c r="E698" s="642"/>
      <c r="F698" s="758"/>
      <c r="G698" s="758"/>
      <c r="H698" s="758"/>
      <c r="I698" s="758"/>
      <c r="J698" s="758"/>
      <c r="K698" s="758"/>
      <c r="L698" s="758"/>
      <c r="M698" s="758"/>
      <c r="N698" s="758"/>
      <c r="O698" s="758"/>
      <c r="P698" s="758"/>
      <c r="Q698" s="758"/>
      <c r="R698" s="623"/>
      <c r="S698" s="623"/>
      <c r="T698" s="623"/>
      <c r="U698" s="626"/>
      <c r="V698" s="627"/>
      <c r="W698" s="623"/>
      <c r="X698" s="623"/>
      <c r="Y698" s="623"/>
      <c r="Z698" s="623"/>
    </row>
    <row r="699">
      <c r="A699" s="623"/>
      <c r="B699" s="625"/>
      <c r="C699" s="756"/>
      <c r="D699" s="757"/>
      <c r="E699" s="642"/>
      <c r="F699" s="758"/>
      <c r="G699" s="758"/>
      <c r="H699" s="758"/>
      <c r="I699" s="758"/>
      <c r="J699" s="758"/>
      <c r="K699" s="758"/>
      <c r="L699" s="758"/>
      <c r="M699" s="758"/>
      <c r="N699" s="758"/>
      <c r="O699" s="758"/>
      <c r="P699" s="758"/>
      <c r="Q699" s="758"/>
      <c r="R699" s="623"/>
      <c r="S699" s="623"/>
      <c r="T699" s="623"/>
      <c r="U699" s="626"/>
      <c r="V699" s="627"/>
      <c r="W699" s="623"/>
      <c r="X699" s="623"/>
      <c r="Y699" s="623"/>
      <c r="Z699" s="623"/>
    </row>
    <row r="700">
      <c r="A700" s="623"/>
      <c r="B700" s="625"/>
      <c r="C700" s="756"/>
      <c r="D700" s="757"/>
      <c r="E700" s="642"/>
      <c r="F700" s="758"/>
      <c r="G700" s="758"/>
      <c r="H700" s="758"/>
      <c r="I700" s="758"/>
      <c r="J700" s="758"/>
      <c r="K700" s="758"/>
      <c r="L700" s="758"/>
      <c r="M700" s="758"/>
      <c r="N700" s="758"/>
      <c r="O700" s="758"/>
      <c r="P700" s="758"/>
      <c r="Q700" s="758"/>
      <c r="R700" s="623"/>
      <c r="S700" s="623"/>
      <c r="T700" s="623"/>
      <c r="U700" s="626"/>
      <c r="V700" s="627"/>
      <c r="W700" s="623"/>
      <c r="X700" s="623"/>
      <c r="Y700" s="623"/>
      <c r="Z700" s="623"/>
    </row>
    <row r="701">
      <c r="A701" s="623"/>
      <c r="B701" s="625"/>
      <c r="C701" s="756"/>
      <c r="D701" s="757"/>
      <c r="E701" s="642"/>
      <c r="F701" s="758"/>
      <c r="G701" s="758"/>
      <c r="H701" s="758"/>
      <c r="I701" s="758"/>
      <c r="J701" s="758"/>
      <c r="K701" s="758"/>
      <c r="L701" s="758"/>
      <c r="M701" s="758"/>
      <c r="N701" s="758"/>
      <c r="O701" s="758"/>
      <c r="P701" s="758"/>
      <c r="Q701" s="758"/>
      <c r="R701" s="623"/>
      <c r="S701" s="623"/>
      <c r="T701" s="623"/>
      <c r="U701" s="626"/>
      <c r="V701" s="627"/>
      <c r="W701" s="623"/>
      <c r="X701" s="623"/>
      <c r="Y701" s="623"/>
      <c r="Z701" s="623"/>
    </row>
    <row r="702">
      <c r="A702" s="623"/>
      <c r="B702" s="625"/>
      <c r="C702" s="756"/>
      <c r="D702" s="757"/>
      <c r="E702" s="642"/>
      <c r="F702" s="758"/>
      <c r="G702" s="758"/>
      <c r="H702" s="758"/>
      <c r="I702" s="758"/>
      <c r="J702" s="758"/>
      <c r="K702" s="758"/>
      <c r="L702" s="758"/>
      <c r="M702" s="758"/>
      <c r="N702" s="758"/>
      <c r="O702" s="758"/>
      <c r="P702" s="758"/>
      <c r="Q702" s="758"/>
      <c r="R702" s="623"/>
      <c r="S702" s="623"/>
      <c r="T702" s="623"/>
      <c r="U702" s="626"/>
      <c r="V702" s="627"/>
      <c r="W702" s="623"/>
      <c r="X702" s="623"/>
      <c r="Y702" s="623"/>
      <c r="Z702" s="623"/>
    </row>
    <row r="703">
      <c r="A703" s="623"/>
      <c r="B703" s="625"/>
      <c r="C703" s="756"/>
      <c r="D703" s="757"/>
      <c r="E703" s="642"/>
      <c r="F703" s="758"/>
      <c r="G703" s="758"/>
      <c r="H703" s="758"/>
      <c r="I703" s="758"/>
      <c r="J703" s="758"/>
      <c r="K703" s="758"/>
      <c r="L703" s="758"/>
      <c r="M703" s="758"/>
      <c r="N703" s="758"/>
      <c r="O703" s="758"/>
      <c r="P703" s="758"/>
      <c r="Q703" s="758"/>
      <c r="R703" s="623"/>
      <c r="S703" s="623"/>
      <c r="T703" s="623"/>
      <c r="U703" s="626"/>
      <c r="V703" s="627"/>
      <c r="W703" s="623"/>
      <c r="X703" s="623"/>
      <c r="Y703" s="623"/>
      <c r="Z703" s="623"/>
    </row>
    <row r="704">
      <c r="A704" s="623"/>
      <c r="B704" s="625"/>
      <c r="C704" s="756"/>
      <c r="D704" s="757"/>
      <c r="E704" s="642"/>
      <c r="F704" s="758"/>
      <c r="G704" s="758"/>
      <c r="H704" s="758"/>
      <c r="I704" s="758"/>
      <c r="J704" s="758"/>
      <c r="K704" s="758"/>
      <c r="L704" s="758"/>
      <c r="M704" s="758"/>
      <c r="N704" s="758"/>
      <c r="O704" s="758"/>
      <c r="P704" s="758"/>
      <c r="Q704" s="758"/>
      <c r="R704" s="623"/>
      <c r="S704" s="623"/>
      <c r="T704" s="623"/>
      <c r="U704" s="626"/>
      <c r="V704" s="627"/>
      <c r="W704" s="623"/>
      <c r="X704" s="623"/>
      <c r="Y704" s="623"/>
      <c r="Z704" s="623"/>
    </row>
    <row r="705">
      <c r="A705" s="623"/>
      <c r="B705" s="625"/>
      <c r="C705" s="756"/>
      <c r="D705" s="757"/>
      <c r="E705" s="642"/>
      <c r="F705" s="758"/>
      <c r="G705" s="758"/>
      <c r="H705" s="758"/>
      <c r="I705" s="758"/>
      <c r="J705" s="758"/>
      <c r="K705" s="758"/>
      <c r="L705" s="758"/>
      <c r="M705" s="758"/>
      <c r="N705" s="758"/>
      <c r="O705" s="758"/>
      <c r="P705" s="758"/>
      <c r="Q705" s="758"/>
      <c r="R705" s="623"/>
      <c r="S705" s="623"/>
      <c r="T705" s="623"/>
      <c r="U705" s="626"/>
      <c r="V705" s="627"/>
      <c r="W705" s="623"/>
      <c r="X705" s="623"/>
      <c r="Y705" s="623"/>
      <c r="Z705" s="623"/>
    </row>
    <row r="706">
      <c r="A706" s="623"/>
      <c r="B706" s="625"/>
      <c r="C706" s="756"/>
      <c r="D706" s="757"/>
      <c r="E706" s="642"/>
      <c r="F706" s="758"/>
      <c r="G706" s="758"/>
      <c r="H706" s="758"/>
      <c r="I706" s="758"/>
      <c r="J706" s="758"/>
      <c r="K706" s="758"/>
      <c r="L706" s="758"/>
      <c r="M706" s="758"/>
      <c r="N706" s="758"/>
      <c r="O706" s="758"/>
      <c r="P706" s="758"/>
      <c r="Q706" s="758"/>
      <c r="R706" s="623"/>
      <c r="S706" s="623"/>
      <c r="T706" s="623"/>
      <c r="U706" s="626"/>
      <c r="V706" s="627"/>
      <c r="W706" s="623"/>
      <c r="X706" s="623"/>
      <c r="Y706" s="623"/>
      <c r="Z706" s="623"/>
    </row>
    <row r="707">
      <c r="A707" s="623"/>
      <c r="B707" s="625"/>
      <c r="C707" s="756"/>
      <c r="D707" s="757"/>
      <c r="E707" s="642"/>
      <c r="F707" s="758"/>
      <c r="G707" s="758"/>
      <c r="H707" s="758"/>
      <c r="I707" s="758"/>
      <c r="J707" s="758"/>
      <c r="K707" s="758"/>
      <c r="L707" s="758"/>
      <c r="M707" s="758"/>
      <c r="N707" s="758"/>
      <c r="O707" s="758"/>
      <c r="P707" s="758"/>
      <c r="Q707" s="758"/>
      <c r="R707" s="623"/>
      <c r="S707" s="623"/>
      <c r="T707" s="623"/>
      <c r="U707" s="626"/>
      <c r="V707" s="627"/>
      <c r="W707" s="623"/>
      <c r="X707" s="623"/>
      <c r="Y707" s="623"/>
      <c r="Z707" s="623"/>
    </row>
    <row r="708">
      <c r="A708" s="623"/>
      <c r="B708" s="625"/>
      <c r="C708" s="756"/>
      <c r="D708" s="757"/>
      <c r="E708" s="642"/>
      <c r="F708" s="758"/>
      <c r="G708" s="758"/>
      <c r="H708" s="758"/>
      <c r="I708" s="758"/>
      <c r="J708" s="758"/>
      <c r="K708" s="758"/>
      <c r="L708" s="758"/>
      <c r="M708" s="758"/>
      <c r="N708" s="758"/>
      <c r="O708" s="758"/>
      <c r="P708" s="758"/>
      <c r="Q708" s="758"/>
      <c r="R708" s="623"/>
      <c r="S708" s="623"/>
      <c r="T708" s="623"/>
      <c r="U708" s="626"/>
      <c r="V708" s="627"/>
      <c r="W708" s="623"/>
      <c r="X708" s="623"/>
      <c r="Y708" s="623"/>
      <c r="Z708" s="623"/>
    </row>
    <row r="709">
      <c r="A709" s="623"/>
      <c r="B709" s="625"/>
      <c r="C709" s="756"/>
      <c r="D709" s="757"/>
      <c r="E709" s="642"/>
      <c r="F709" s="758"/>
      <c r="G709" s="758"/>
      <c r="H709" s="758"/>
      <c r="I709" s="758"/>
      <c r="J709" s="758"/>
      <c r="K709" s="758"/>
      <c r="L709" s="758"/>
      <c r="M709" s="758"/>
      <c r="N709" s="758"/>
      <c r="O709" s="758"/>
      <c r="P709" s="758"/>
      <c r="Q709" s="758"/>
      <c r="R709" s="623"/>
      <c r="S709" s="623"/>
      <c r="T709" s="623"/>
      <c r="U709" s="626"/>
      <c r="V709" s="627"/>
      <c r="W709" s="623"/>
      <c r="X709" s="623"/>
      <c r="Y709" s="623"/>
      <c r="Z709" s="623"/>
    </row>
    <row r="710">
      <c r="A710" s="623"/>
      <c r="B710" s="625"/>
      <c r="C710" s="756"/>
      <c r="D710" s="757"/>
      <c r="E710" s="642"/>
      <c r="F710" s="758"/>
      <c r="G710" s="758"/>
      <c r="H710" s="758"/>
      <c r="I710" s="758"/>
      <c r="J710" s="758"/>
      <c r="K710" s="758"/>
      <c r="L710" s="758"/>
      <c r="M710" s="758"/>
      <c r="N710" s="758"/>
      <c r="O710" s="758"/>
      <c r="P710" s="758"/>
      <c r="Q710" s="758"/>
      <c r="R710" s="623"/>
      <c r="S710" s="623"/>
      <c r="T710" s="623"/>
      <c r="U710" s="626"/>
      <c r="V710" s="627"/>
      <c r="W710" s="623"/>
      <c r="X710" s="623"/>
      <c r="Y710" s="623"/>
      <c r="Z710" s="623"/>
    </row>
    <row r="711">
      <c r="A711" s="623"/>
      <c r="B711" s="625"/>
      <c r="C711" s="756"/>
      <c r="D711" s="757"/>
      <c r="E711" s="642"/>
      <c r="F711" s="758"/>
      <c r="G711" s="758"/>
      <c r="H711" s="758"/>
      <c r="I711" s="758"/>
      <c r="J711" s="758"/>
      <c r="K711" s="758"/>
      <c r="L711" s="758"/>
      <c r="M711" s="758"/>
      <c r="N711" s="758"/>
      <c r="O711" s="758"/>
      <c r="P711" s="758"/>
      <c r="Q711" s="758"/>
      <c r="R711" s="623"/>
      <c r="S711" s="623"/>
      <c r="T711" s="623"/>
      <c r="U711" s="626"/>
      <c r="V711" s="627"/>
      <c r="W711" s="623"/>
      <c r="X711" s="623"/>
      <c r="Y711" s="623"/>
      <c r="Z711" s="623"/>
    </row>
    <row r="712">
      <c r="A712" s="623"/>
      <c r="B712" s="625"/>
      <c r="C712" s="756"/>
      <c r="D712" s="757"/>
      <c r="E712" s="642"/>
      <c r="F712" s="758"/>
      <c r="G712" s="758"/>
      <c r="H712" s="758"/>
      <c r="I712" s="758"/>
      <c r="J712" s="758"/>
      <c r="K712" s="758"/>
      <c r="L712" s="758"/>
      <c r="M712" s="758"/>
      <c r="N712" s="758"/>
      <c r="O712" s="758"/>
      <c r="P712" s="758"/>
      <c r="Q712" s="758"/>
      <c r="R712" s="623"/>
      <c r="S712" s="623"/>
      <c r="T712" s="623"/>
      <c r="U712" s="626"/>
      <c r="V712" s="627"/>
      <c r="W712" s="623"/>
      <c r="X712" s="623"/>
      <c r="Y712" s="623"/>
      <c r="Z712" s="623"/>
    </row>
    <row r="713">
      <c r="A713" s="623"/>
      <c r="B713" s="625"/>
      <c r="C713" s="756"/>
      <c r="D713" s="757"/>
      <c r="E713" s="642"/>
      <c r="F713" s="758"/>
      <c r="G713" s="758"/>
      <c r="H713" s="758"/>
      <c r="I713" s="758"/>
      <c r="J713" s="758"/>
      <c r="K713" s="758"/>
      <c r="L713" s="758"/>
      <c r="M713" s="758"/>
      <c r="N713" s="758"/>
      <c r="O713" s="758"/>
      <c r="P713" s="758"/>
      <c r="Q713" s="758"/>
      <c r="R713" s="623"/>
      <c r="S713" s="623"/>
      <c r="T713" s="623"/>
      <c r="U713" s="626"/>
      <c r="V713" s="627"/>
      <c r="W713" s="623"/>
      <c r="X713" s="623"/>
      <c r="Y713" s="623"/>
      <c r="Z713" s="623"/>
    </row>
    <row r="714">
      <c r="A714" s="623"/>
      <c r="B714" s="625"/>
      <c r="C714" s="756"/>
      <c r="D714" s="757"/>
      <c r="E714" s="642"/>
      <c r="F714" s="758"/>
      <c r="G714" s="758"/>
      <c r="H714" s="758"/>
      <c r="I714" s="758"/>
      <c r="J714" s="758"/>
      <c r="K714" s="758"/>
      <c r="L714" s="758"/>
      <c r="M714" s="758"/>
      <c r="N714" s="758"/>
      <c r="O714" s="758"/>
      <c r="P714" s="758"/>
      <c r="Q714" s="758"/>
      <c r="R714" s="623"/>
      <c r="S714" s="623"/>
      <c r="T714" s="623"/>
      <c r="U714" s="626"/>
      <c r="V714" s="627"/>
      <c r="W714" s="623"/>
      <c r="X714" s="623"/>
      <c r="Y714" s="623"/>
      <c r="Z714" s="623"/>
    </row>
    <row r="715">
      <c r="A715" s="623"/>
      <c r="B715" s="625"/>
      <c r="C715" s="756"/>
      <c r="D715" s="757"/>
      <c r="E715" s="642"/>
      <c r="F715" s="758"/>
      <c r="G715" s="758"/>
      <c r="H715" s="758"/>
      <c r="I715" s="758"/>
      <c r="J715" s="758"/>
      <c r="K715" s="758"/>
      <c r="L715" s="758"/>
      <c r="M715" s="758"/>
      <c r="N715" s="758"/>
      <c r="O715" s="758"/>
      <c r="P715" s="758"/>
      <c r="Q715" s="758"/>
      <c r="R715" s="623"/>
      <c r="S715" s="623"/>
      <c r="T715" s="623"/>
      <c r="U715" s="626"/>
      <c r="V715" s="627"/>
      <c r="W715" s="623"/>
      <c r="X715" s="623"/>
      <c r="Y715" s="623"/>
      <c r="Z715" s="623"/>
    </row>
    <row r="716">
      <c r="A716" s="623"/>
      <c r="B716" s="625"/>
      <c r="C716" s="756"/>
      <c r="D716" s="757"/>
      <c r="E716" s="642"/>
      <c r="F716" s="758"/>
      <c r="G716" s="758"/>
      <c r="H716" s="758"/>
      <c r="I716" s="758"/>
      <c r="J716" s="758"/>
      <c r="K716" s="758"/>
      <c r="L716" s="758"/>
      <c r="M716" s="758"/>
      <c r="N716" s="758"/>
      <c r="O716" s="758"/>
      <c r="P716" s="758"/>
      <c r="Q716" s="758"/>
      <c r="R716" s="623"/>
      <c r="S716" s="623"/>
      <c r="T716" s="623"/>
      <c r="U716" s="626"/>
      <c r="V716" s="627"/>
      <c r="W716" s="623"/>
      <c r="X716" s="623"/>
      <c r="Y716" s="623"/>
      <c r="Z716" s="623"/>
    </row>
    <row r="717">
      <c r="A717" s="623"/>
      <c r="B717" s="625"/>
      <c r="C717" s="756"/>
      <c r="D717" s="757"/>
      <c r="E717" s="642"/>
      <c r="F717" s="758"/>
      <c r="G717" s="758"/>
      <c r="H717" s="758"/>
      <c r="I717" s="758"/>
      <c r="J717" s="758"/>
      <c r="K717" s="758"/>
      <c r="L717" s="758"/>
      <c r="M717" s="758"/>
      <c r="N717" s="758"/>
      <c r="O717" s="758"/>
      <c r="P717" s="758"/>
      <c r="Q717" s="758"/>
      <c r="R717" s="623"/>
      <c r="S717" s="623"/>
      <c r="T717" s="623"/>
      <c r="U717" s="626"/>
      <c r="V717" s="627"/>
      <c r="W717" s="623"/>
      <c r="X717" s="623"/>
      <c r="Y717" s="623"/>
      <c r="Z717" s="623"/>
    </row>
    <row r="718">
      <c r="A718" s="623"/>
      <c r="B718" s="625"/>
      <c r="C718" s="756"/>
      <c r="D718" s="757"/>
      <c r="E718" s="642"/>
      <c r="F718" s="758"/>
      <c r="G718" s="758"/>
      <c r="H718" s="758"/>
      <c r="I718" s="758"/>
      <c r="J718" s="758"/>
      <c r="K718" s="758"/>
      <c r="L718" s="758"/>
      <c r="M718" s="758"/>
      <c r="N718" s="758"/>
      <c r="O718" s="758"/>
      <c r="P718" s="758"/>
      <c r="Q718" s="758"/>
      <c r="R718" s="623"/>
      <c r="S718" s="623"/>
      <c r="T718" s="623"/>
      <c r="U718" s="626"/>
      <c r="V718" s="627"/>
      <c r="W718" s="623"/>
      <c r="X718" s="623"/>
      <c r="Y718" s="623"/>
      <c r="Z718" s="623"/>
    </row>
    <row r="719">
      <c r="A719" s="623"/>
      <c r="B719" s="625"/>
      <c r="C719" s="756"/>
      <c r="D719" s="757"/>
      <c r="E719" s="642"/>
      <c r="F719" s="758"/>
      <c r="G719" s="758"/>
      <c r="H719" s="758"/>
      <c r="I719" s="758"/>
      <c r="J719" s="758"/>
      <c r="K719" s="758"/>
      <c r="L719" s="758"/>
      <c r="M719" s="758"/>
      <c r="N719" s="758"/>
      <c r="O719" s="758"/>
      <c r="P719" s="758"/>
      <c r="Q719" s="758"/>
      <c r="R719" s="623"/>
      <c r="S719" s="623"/>
      <c r="T719" s="623"/>
      <c r="U719" s="626"/>
      <c r="V719" s="627"/>
      <c r="W719" s="623"/>
      <c r="X719" s="623"/>
      <c r="Y719" s="623"/>
      <c r="Z719" s="623"/>
    </row>
    <row r="720">
      <c r="A720" s="623"/>
      <c r="B720" s="625"/>
      <c r="C720" s="756"/>
      <c r="D720" s="757"/>
      <c r="E720" s="642"/>
      <c r="F720" s="758"/>
      <c r="G720" s="758"/>
      <c r="H720" s="758"/>
      <c r="I720" s="758"/>
      <c r="J720" s="758"/>
      <c r="K720" s="758"/>
      <c r="L720" s="758"/>
      <c r="M720" s="758"/>
      <c r="N720" s="758"/>
      <c r="O720" s="758"/>
      <c r="P720" s="758"/>
      <c r="Q720" s="758"/>
      <c r="R720" s="623"/>
      <c r="S720" s="623"/>
      <c r="T720" s="623"/>
      <c r="U720" s="626"/>
      <c r="V720" s="627"/>
      <c r="W720" s="623"/>
      <c r="X720" s="623"/>
      <c r="Y720" s="623"/>
      <c r="Z720" s="623"/>
    </row>
    <row r="721">
      <c r="A721" s="623"/>
      <c r="B721" s="625"/>
      <c r="C721" s="756"/>
      <c r="D721" s="757"/>
      <c r="E721" s="642"/>
      <c r="F721" s="758"/>
      <c r="G721" s="758"/>
      <c r="H721" s="758"/>
      <c r="I721" s="758"/>
      <c r="J721" s="758"/>
      <c r="K721" s="758"/>
      <c r="L721" s="758"/>
      <c r="M721" s="758"/>
      <c r="N721" s="758"/>
      <c r="O721" s="758"/>
      <c r="P721" s="758"/>
      <c r="Q721" s="758"/>
      <c r="R721" s="623"/>
      <c r="S721" s="623"/>
      <c r="T721" s="623"/>
      <c r="U721" s="626"/>
      <c r="V721" s="627"/>
      <c r="W721" s="623"/>
      <c r="X721" s="623"/>
      <c r="Y721" s="623"/>
      <c r="Z721" s="623"/>
    </row>
    <row r="722">
      <c r="A722" s="623"/>
      <c r="B722" s="625"/>
      <c r="C722" s="756"/>
      <c r="D722" s="757"/>
      <c r="E722" s="642"/>
      <c r="F722" s="758"/>
      <c r="G722" s="758"/>
      <c r="H722" s="758"/>
      <c r="I722" s="758"/>
      <c r="J722" s="758"/>
      <c r="K722" s="758"/>
      <c r="L722" s="758"/>
      <c r="M722" s="758"/>
      <c r="N722" s="758"/>
      <c r="O722" s="758"/>
      <c r="P722" s="758"/>
      <c r="Q722" s="758"/>
      <c r="R722" s="623"/>
      <c r="S722" s="623"/>
      <c r="T722" s="623"/>
      <c r="U722" s="626"/>
      <c r="V722" s="627"/>
      <c r="W722" s="623"/>
      <c r="X722" s="623"/>
      <c r="Y722" s="623"/>
      <c r="Z722" s="623"/>
    </row>
    <row r="723">
      <c r="A723" s="623"/>
      <c r="B723" s="625"/>
      <c r="C723" s="756"/>
      <c r="D723" s="757"/>
      <c r="E723" s="642"/>
      <c r="F723" s="758"/>
      <c r="G723" s="758"/>
      <c r="H723" s="758"/>
      <c r="I723" s="758"/>
      <c r="J723" s="758"/>
      <c r="K723" s="758"/>
      <c r="L723" s="758"/>
      <c r="M723" s="758"/>
      <c r="N723" s="758"/>
      <c r="O723" s="758"/>
      <c r="P723" s="758"/>
      <c r="Q723" s="758"/>
      <c r="R723" s="623"/>
      <c r="S723" s="623"/>
      <c r="T723" s="623"/>
      <c r="U723" s="626"/>
      <c r="V723" s="627"/>
      <c r="W723" s="623"/>
      <c r="X723" s="623"/>
      <c r="Y723" s="623"/>
      <c r="Z723" s="623"/>
    </row>
    <row r="724">
      <c r="A724" s="623"/>
      <c r="B724" s="625"/>
      <c r="C724" s="756"/>
      <c r="D724" s="757"/>
      <c r="E724" s="642"/>
      <c r="F724" s="758"/>
      <c r="G724" s="758"/>
      <c r="H724" s="758"/>
      <c r="I724" s="758"/>
      <c r="J724" s="758"/>
      <c r="K724" s="758"/>
      <c r="L724" s="758"/>
      <c r="M724" s="758"/>
      <c r="N724" s="758"/>
      <c r="O724" s="758"/>
      <c r="P724" s="758"/>
      <c r="Q724" s="758"/>
      <c r="R724" s="623"/>
      <c r="S724" s="623"/>
      <c r="T724" s="623"/>
      <c r="U724" s="626"/>
      <c r="V724" s="627"/>
      <c r="W724" s="623"/>
      <c r="X724" s="623"/>
      <c r="Y724" s="623"/>
      <c r="Z724" s="623"/>
    </row>
    <row r="725">
      <c r="A725" s="623"/>
      <c r="B725" s="625"/>
      <c r="C725" s="756"/>
      <c r="D725" s="757"/>
      <c r="E725" s="642"/>
      <c r="F725" s="758"/>
      <c r="G725" s="758"/>
      <c r="H725" s="758"/>
      <c r="I725" s="758"/>
      <c r="J725" s="758"/>
      <c r="K725" s="758"/>
      <c r="L725" s="758"/>
      <c r="M725" s="758"/>
      <c r="N725" s="758"/>
      <c r="O725" s="758"/>
      <c r="P725" s="758"/>
      <c r="Q725" s="758"/>
      <c r="R725" s="623"/>
      <c r="S725" s="623"/>
      <c r="T725" s="623"/>
      <c r="U725" s="626"/>
      <c r="V725" s="627"/>
      <c r="W725" s="623"/>
      <c r="X725" s="623"/>
      <c r="Y725" s="623"/>
      <c r="Z725" s="623"/>
    </row>
    <row r="726">
      <c r="A726" s="623"/>
      <c r="B726" s="625"/>
      <c r="C726" s="756"/>
      <c r="D726" s="757"/>
      <c r="E726" s="642"/>
      <c r="F726" s="758"/>
      <c r="G726" s="758"/>
      <c r="H726" s="758"/>
      <c r="I726" s="758"/>
      <c r="J726" s="758"/>
      <c r="K726" s="758"/>
      <c r="L726" s="758"/>
      <c r="M726" s="758"/>
      <c r="N726" s="758"/>
      <c r="O726" s="758"/>
      <c r="P726" s="758"/>
      <c r="Q726" s="758"/>
      <c r="R726" s="623"/>
      <c r="S726" s="623"/>
      <c r="T726" s="623"/>
      <c r="U726" s="626"/>
      <c r="V726" s="627"/>
      <c r="W726" s="623"/>
      <c r="X726" s="623"/>
      <c r="Y726" s="623"/>
      <c r="Z726" s="623"/>
    </row>
    <row r="727">
      <c r="A727" s="623"/>
      <c r="B727" s="625"/>
      <c r="C727" s="756"/>
      <c r="D727" s="757"/>
      <c r="E727" s="642"/>
      <c r="F727" s="758"/>
      <c r="G727" s="758"/>
      <c r="H727" s="758"/>
      <c r="I727" s="758"/>
      <c r="J727" s="758"/>
      <c r="K727" s="758"/>
      <c r="L727" s="758"/>
      <c r="M727" s="758"/>
      <c r="N727" s="758"/>
      <c r="O727" s="758"/>
      <c r="P727" s="758"/>
      <c r="Q727" s="758"/>
      <c r="R727" s="623"/>
      <c r="S727" s="623"/>
      <c r="T727" s="623"/>
      <c r="U727" s="626"/>
      <c r="V727" s="627"/>
      <c r="W727" s="623"/>
      <c r="X727" s="623"/>
      <c r="Y727" s="623"/>
      <c r="Z727" s="623"/>
    </row>
    <row r="728">
      <c r="A728" s="623"/>
      <c r="B728" s="625"/>
      <c r="C728" s="756"/>
      <c r="D728" s="757"/>
      <c r="E728" s="642"/>
      <c r="F728" s="758"/>
      <c r="G728" s="758"/>
      <c r="H728" s="758"/>
      <c r="I728" s="758"/>
      <c r="J728" s="758"/>
      <c r="K728" s="758"/>
      <c r="L728" s="758"/>
      <c r="M728" s="758"/>
      <c r="N728" s="758"/>
      <c r="O728" s="758"/>
      <c r="P728" s="758"/>
      <c r="Q728" s="758"/>
      <c r="R728" s="623"/>
      <c r="S728" s="623"/>
      <c r="T728" s="623"/>
      <c r="U728" s="626"/>
      <c r="V728" s="627"/>
      <c r="W728" s="623"/>
      <c r="X728" s="623"/>
      <c r="Y728" s="623"/>
      <c r="Z728" s="623"/>
    </row>
    <row r="729">
      <c r="A729" s="623"/>
      <c r="B729" s="625"/>
      <c r="C729" s="756"/>
      <c r="D729" s="757"/>
      <c r="E729" s="642"/>
      <c r="F729" s="758"/>
      <c r="G729" s="758"/>
      <c r="H729" s="758"/>
      <c r="I729" s="758"/>
      <c r="J729" s="758"/>
      <c r="K729" s="758"/>
      <c r="L729" s="758"/>
      <c r="M729" s="758"/>
      <c r="N729" s="758"/>
      <c r="O729" s="758"/>
      <c r="P729" s="758"/>
      <c r="Q729" s="758"/>
      <c r="R729" s="623"/>
      <c r="S729" s="623"/>
      <c r="T729" s="623"/>
      <c r="U729" s="626"/>
      <c r="V729" s="627"/>
      <c r="W729" s="623"/>
      <c r="X729" s="623"/>
      <c r="Y729" s="623"/>
      <c r="Z729" s="623"/>
    </row>
    <row r="730">
      <c r="A730" s="623"/>
      <c r="B730" s="625"/>
      <c r="C730" s="756"/>
      <c r="D730" s="757"/>
      <c r="E730" s="642"/>
      <c r="F730" s="758"/>
      <c r="G730" s="758"/>
      <c r="H730" s="758"/>
      <c r="I730" s="758"/>
      <c r="J730" s="758"/>
      <c r="K730" s="758"/>
      <c r="L730" s="758"/>
      <c r="M730" s="758"/>
      <c r="N730" s="758"/>
      <c r="O730" s="758"/>
      <c r="P730" s="758"/>
      <c r="Q730" s="758"/>
      <c r="R730" s="623"/>
      <c r="S730" s="623"/>
      <c r="T730" s="623"/>
      <c r="U730" s="626"/>
      <c r="V730" s="627"/>
      <c r="W730" s="623"/>
      <c r="X730" s="623"/>
      <c r="Y730" s="623"/>
      <c r="Z730" s="623"/>
    </row>
    <row r="731">
      <c r="A731" s="623"/>
      <c r="B731" s="625"/>
      <c r="C731" s="756"/>
      <c r="D731" s="757"/>
      <c r="E731" s="642"/>
      <c r="F731" s="758"/>
      <c r="G731" s="758"/>
      <c r="H731" s="758"/>
      <c r="I731" s="758"/>
      <c r="J731" s="758"/>
      <c r="K731" s="758"/>
      <c r="L731" s="758"/>
      <c r="M731" s="758"/>
      <c r="N731" s="758"/>
      <c r="O731" s="758"/>
      <c r="P731" s="758"/>
      <c r="Q731" s="758"/>
      <c r="R731" s="623"/>
      <c r="S731" s="623"/>
      <c r="T731" s="623"/>
      <c r="U731" s="626"/>
      <c r="V731" s="627"/>
      <c r="W731" s="623"/>
      <c r="X731" s="623"/>
      <c r="Y731" s="623"/>
      <c r="Z731" s="623"/>
    </row>
    <row r="732">
      <c r="A732" s="623"/>
      <c r="B732" s="625"/>
      <c r="C732" s="756"/>
      <c r="D732" s="757"/>
      <c r="E732" s="642"/>
      <c r="F732" s="758"/>
      <c r="G732" s="758"/>
      <c r="H732" s="758"/>
      <c r="I732" s="758"/>
      <c r="J732" s="758"/>
      <c r="K732" s="758"/>
      <c r="L732" s="758"/>
      <c r="M732" s="758"/>
      <c r="N732" s="758"/>
      <c r="O732" s="758"/>
      <c r="P732" s="758"/>
      <c r="Q732" s="758"/>
      <c r="R732" s="623"/>
      <c r="S732" s="623"/>
      <c r="T732" s="623"/>
      <c r="U732" s="626"/>
      <c r="V732" s="627"/>
      <c r="W732" s="623"/>
      <c r="X732" s="623"/>
      <c r="Y732" s="623"/>
      <c r="Z732" s="623"/>
    </row>
    <row r="733">
      <c r="A733" s="623"/>
      <c r="B733" s="625"/>
      <c r="C733" s="756"/>
      <c r="D733" s="757"/>
      <c r="E733" s="642"/>
      <c r="F733" s="758"/>
      <c r="G733" s="758"/>
      <c r="H733" s="758"/>
      <c r="I733" s="758"/>
      <c r="J733" s="758"/>
      <c r="K733" s="758"/>
      <c r="L733" s="758"/>
      <c r="M733" s="758"/>
      <c r="N733" s="758"/>
      <c r="O733" s="758"/>
      <c r="P733" s="758"/>
      <c r="Q733" s="758"/>
      <c r="R733" s="623"/>
      <c r="S733" s="623"/>
      <c r="T733" s="623"/>
      <c r="U733" s="626"/>
      <c r="V733" s="627"/>
      <c r="W733" s="623"/>
      <c r="X733" s="623"/>
      <c r="Y733" s="623"/>
      <c r="Z733" s="623"/>
    </row>
    <row r="734">
      <c r="A734" s="623"/>
      <c r="B734" s="625"/>
      <c r="C734" s="756"/>
      <c r="D734" s="757"/>
      <c r="E734" s="642"/>
      <c r="F734" s="758"/>
      <c r="G734" s="758"/>
      <c r="H734" s="758"/>
      <c r="I734" s="758"/>
      <c r="J734" s="758"/>
      <c r="K734" s="758"/>
      <c r="L734" s="758"/>
      <c r="M734" s="758"/>
      <c r="N734" s="758"/>
      <c r="O734" s="758"/>
      <c r="P734" s="758"/>
      <c r="Q734" s="758"/>
      <c r="R734" s="623"/>
      <c r="S734" s="623"/>
      <c r="T734" s="623"/>
      <c r="U734" s="626"/>
      <c r="V734" s="627"/>
      <c r="W734" s="623"/>
      <c r="X734" s="623"/>
      <c r="Y734" s="623"/>
      <c r="Z734" s="623"/>
    </row>
    <row r="735">
      <c r="A735" s="623"/>
      <c r="B735" s="625"/>
      <c r="C735" s="756"/>
      <c r="D735" s="757"/>
      <c r="E735" s="642"/>
      <c r="F735" s="758"/>
      <c r="G735" s="758"/>
      <c r="H735" s="758"/>
      <c r="I735" s="758"/>
      <c r="J735" s="758"/>
      <c r="K735" s="758"/>
      <c r="L735" s="758"/>
      <c r="M735" s="758"/>
      <c r="N735" s="758"/>
      <c r="O735" s="758"/>
      <c r="P735" s="758"/>
      <c r="Q735" s="758"/>
      <c r="R735" s="623"/>
      <c r="S735" s="623"/>
      <c r="T735" s="623"/>
      <c r="U735" s="626"/>
      <c r="V735" s="627"/>
      <c r="W735" s="623"/>
      <c r="X735" s="623"/>
      <c r="Y735" s="623"/>
      <c r="Z735" s="623"/>
    </row>
    <row r="736">
      <c r="A736" s="623"/>
      <c r="B736" s="625"/>
      <c r="C736" s="756"/>
      <c r="D736" s="757"/>
      <c r="E736" s="642"/>
      <c r="F736" s="758"/>
      <c r="G736" s="758"/>
      <c r="H736" s="758"/>
      <c r="I736" s="758"/>
      <c r="J736" s="758"/>
      <c r="K736" s="758"/>
      <c r="L736" s="758"/>
      <c r="M736" s="758"/>
      <c r="N736" s="758"/>
      <c r="O736" s="758"/>
      <c r="P736" s="758"/>
      <c r="Q736" s="758"/>
      <c r="R736" s="623"/>
      <c r="S736" s="623"/>
      <c r="T736" s="623"/>
      <c r="U736" s="626"/>
      <c r="V736" s="627"/>
      <c r="W736" s="623"/>
      <c r="X736" s="623"/>
      <c r="Y736" s="623"/>
      <c r="Z736" s="623"/>
    </row>
    <row r="737">
      <c r="A737" s="623"/>
      <c r="B737" s="625"/>
      <c r="C737" s="756"/>
      <c r="D737" s="757"/>
      <c r="E737" s="642"/>
      <c r="F737" s="758"/>
      <c r="G737" s="758"/>
      <c r="H737" s="758"/>
      <c r="I737" s="758"/>
      <c r="J737" s="758"/>
      <c r="K737" s="758"/>
      <c r="L737" s="758"/>
      <c r="M737" s="758"/>
      <c r="N737" s="758"/>
      <c r="O737" s="758"/>
      <c r="P737" s="758"/>
      <c r="Q737" s="758"/>
      <c r="R737" s="623"/>
      <c r="S737" s="623"/>
      <c r="T737" s="623"/>
      <c r="U737" s="626"/>
      <c r="V737" s="627"/>
      <c r="W737" s="623"/>
      <c r="X737" s="623"/>
      <c r="Y737" s="623"/>
      <c r="Z737" s="623"/>
    </row>
    <row r="738">
      <c r="A738" s="623"/>
      <c r="B738" s="625"/>
      <c r="C738" s="756"/>
      <c r="D738" s="757"/>
      <c r="E738" s="642"/>
      <c r="F738" s="758"/>
      <c r="G738" s="758"/>
      <c r="H738" s="758"/>
      <c r="I738" s="758"/>
      <c r="J738" s="758"/>
      <c r="K738" s="758"/>
      <c r="L738" s="758"/>
      <c r="M738" s="758"/>
      <c r="N738" s="758"/>
      <c r="O738" s="758"/>
      <c r="P738" s="758"/>
      <c r="Q738" s="758"/>
      <c r="R738" s="623"/>
      <c r="S738" s="623"/>
      <c r="T738" s="623"/>
      <c r="U738" s="626"/>
      <c r="V738" s="627"/>
      <c r="W738" s="623"/>
      <c r="X738" s="623"/>
      <c r="Y738" s="623"/>
      <c r="Z738" s="623"/>
    </row>
    <row r="739">
      <c r="A739" s="623"/>
      <c r="B739" s="625"/>
      <c r="C739" s="756"/>
      <c r="D739" s="757"/>
      <c r="E739" s="642"/>
      <c r="F739" s="758"/>
      <c r="G739" s="758"/>
      <c r="H739" s="758"/>
      <c r="I739" s="758"/>
      <c r="J739" s="758"/>
      <c r="K739" s="758"/>
      <c r="L739" s="758"/>
      <c r="M739" s="758"/>
      <c r="N739" s="758"/>
      <c r="O739" s="758"/>
      <c r="P739" s="758"/>
      <c r="Q739" s="758"/>
      <c r="R739" s="623"/>
      <c r="S739" s="623"/>
      <c r="T739" s="623"/>
      <c r="U739" s="626"/>
      <c r="V739" s="627"/>
      <c r="W739" s="623"/>
      <c r="X739" s="623"/>
      <c r="Y739" s="623"/>
      <c r="Z739" s="623"/>
    </row>
    <row r="740">
      <c r="A740" s="623"/>
      <c r="B740" s="625"/>
      <c r="C740" s="756"/>
      <c r="D740" s="757"/>
      <c r="E740" s="642"/>
      <c r="F740" s="758"/>
      <c r="G740" s="758"/>
      <c r="H740" s="758"/>
      <c r="I740" s="758"/>
      <c r="J740" s="758"/>
      <c r="K740" s="758"/>
      <c r="L740" s="758"/>
      <c r="M740" s="758"/>
      <c r="N740" s="758"/>
      <c r="O740" s="758"/>
      <c r="P740" s="758"/>
      <c r="Q740" s="758"/>
      <c r="R740" s="623"/>
      <c r="S740" s="623"/>
      <c r="T740" s="623"/>
      <c r="U740" s="626"/>
      <c r="V740" s="627"/>
      <c r="W740" s="623"/>
      <c r="X740" s="623"/>
      <c r="Y740" s="623"/>
      <c r="Z740" s="623"/>
    </row>
    <row r="741">
      <c r="A741" s="623"/>
      <c r="B741" s="625"/>
      <c r="C741" s="756"/>
      <c r="D741" s="757"/>
      <c r="E741" s="642"/>
      <c r="F741" s="758"/>
      <c r="G741" s="758"/>
      <c r="H741" s="758"/>
      <c r="I741" s="758"/>
      <c r="J741" s="758"/>
      <c r="K741" s="758"/>
      <c r="L741" s="758"/>
      <c r="M741" s="758"/>
      <c r="N741" s="758"/>
      <c r="O741" s="758"/>
      <c r="P741" s="758"/>
      <c r="Q741" s="758"/>
      <c r="R741" s="623"/>
      <c r="S741" s="623"/>
      <c r="T741" s="623"/>
      <c r="U741" s="626"/>
      <c r="V741" s="627"/>
      <c r="W741" s="623"/>
      <c r="X741" s="623"/>
      <c r="Y741" s="623"/>
      <c r="Z741" s="623"/>
    </row>
    <row r="742">
      <c r="A742" s="623"/>
      <c r="B742" s="625"/>
      <c r="C742" s="756"/>
      <c r="D742" s="757"/>
      <c r="E742" s="642"/>
      <c r="F742" s="758"/>
      <c r="G742" s="758"/>
      <c r="H742" s="758"/>
      <c r="I742" s="758"/>
      <c r="J742" s="758"/>
      <c r="K742" s="758"/>
      <c r="L742" s="758"/>
      <c r="M742" s="758"/>
      <c r="N742" s="758"/>
      <c r="O742" s="758"/>
      <c r="P742" s="758"/>
      <c r="Q742" s="758"/>
      <c r="R742" s="623"/>
      <c r="S742" s="623"/>
      <c r="T742" s="623"/>
      <c r="U742" s="626"/>
      <c r="V742" s="627"/>
      <c r="W742" s="623"/>
      <c r="X742" s="623"/>
      <c r="Y742" s="623"/>
      <c r="Z742" s="623"/>
    </row>
    <row r="743">
      <c r="A743" s="623"/>
      <c r="B743" s="625"/>
      <c r="C743" s="756"/>
      <c r="D743" s="757"/>
      <c r="E743" s="642"/>
      <c r="F743" s="758"/>
      <c r="G743" s="758"/>
      <c r="H743" s="758"/>
      <c r="I743" s="758"/>
      <c r="J743" s="758"/>
      <c r="K743" s="758"/>
      <c r="L743" s="758"/>
      <c r="M743" s="758"/>
      <c r="N743" s="758"/>
      <c r="O743" s="758"/>
      <c r="P743" s="758"/>
      <c r="Q743" s="758"/>
      <c r="R743" s="623"/>
      <c r="S743" s="623"/>
      <c r="T743" s="623"/>
      <c r="U743" s="626"/>
      <c r="V743" s="627"/>
      <c r="W743" s="623"/>
      <c r="X743" s="623"/>
      <c r="Y743" s="623"/>
      <c r="Z743" s="623"/>
    </row>
    <row r="744">
      <c r="A744" s="623"/>
      <c r="B744" s="625"/>
      <c r="C744" s="756"/>
      <c r="D744" s="757"/>
      <c r="E744" s="642"/>
      <c r="F744" s="758"/>
      <c r="G744" s="758"/>
      <c r="H744" s="758"/>
      <c r="I744" s="758"/>
      <c r="J744" s="758"/>
      <c r="K744" s="758"/>
      <c r="L744" s="758"/>
      <c r="M744" s="758"/>
      <c r="N744" s="758"/>
      <c r="O744" s="758"/>
      <c r="P744" s="758"/>
      <c r="Q744" s="758"/>
      <c r="R744" s="623"/>
      <c r="S744" s="623"/>
      <c r="T744" s="623"/>
      <c r="U744" s="626"/>
      <c r="V744" s="627"/>
      <c r="W744" s="623"/>
      <c r="X744" s="623"/>
      <c r="Y744" s="623"/>
      <c r="Z744" s="623"/>
    </row>
    <row r="745">
      <c r="A745" s="623"/>
      <c r="B745" s="625"/>
      <c r="C745" s="756"/>
      <c r="D745" s="757"/>
      <c r="E745" s="642"/>
      <c r="F745" s="758"/>
      <c r="G745" s="758"/>
      <c r="H745" s="758"/>
      <c r="I745" s="758"/>
      <c r="J745" s="758"/>
      <c r="K745" s="758"/>
      <c r="L745" s="758"/>
      <c r="M745" s="758"/>
      <c r="N745" s="758"/>
      <c r="O745" s="758"/>
      <c r="P745" s="758"/>
      <c r="Q745" s="758"/>
      <c r="R745" s="623"/>
      <c r="S745" s="623"/>
      <c r="T745" s="623"/>
      <c r="U745" s="626"/>
      <c r="V745" s="627"/>
      <c r="W745" s="623"/>
      <c r="X745" s="623"/>
      <c r="Y745" s="623"/>
      <c r="Z745" s="623"/>
    </row>
    <row r="746">
      <c r="A746" s="623"/>
      <c r="B746" s="625"/>
      <c r="C746" s="756"/>
      <c r="D746" s="757"/>
      <c r="E746" s="642"/>
      <c r="F746" s="758"/>
      <c r="G746" s="758"/>
      <c r="H746" s="758"/>
      <c r="I746" s="758"/>
      <c r="J746" s="758"/>
      <c r="K746" s="758"/>
      <c r="L746" s="758"/>
      <c r="M746" s="758"/>
      <c r="N746" s="758"/>
      <c r="O746" s="758"/>
      <c r="P746" s="758"/>
      <c r="Q746" s="758"/>
      <c r="R746" s="623"/>
      <c r="S746" s="623"/>
      <c r="T746" s="623"/>
      <c r="U746" s="626"/>
      <c r="V746" s="627"/>
      <c r="W746" s="623"/>
      <c r="X746" s="623"/>
      <c r="Y746" s="623"/>
      <c r="Z746" s="623"/>
    </row>
    <row r="747">
      <c r="A747" s="623"/>
      <c r="B747" s="625"/>
      <c r="C747" s="756"/>
      <c r="D747" s="757"/>
      <c r="E747" s="642"/>
      <c r="F747" s="758"/>
      <c r="G747" s="758"/>
      <c r="H747" s="758"/>
      <c r="I747" s="758"/>
      <c r="J747" s="758"/>
      <c r="K747" s="758"/>
      <c r="L747" s="758"/>
      <c r="M747" s="758"/>
      <c r="N747" s="758"/>
      <c r="O747" s="758"/>
      <c r="P747" s="758"/>
      <c r="Q747" s="758"/>
      <c r="R747" s="623"/>
      <c r="S747" s="623"/>
      <c r="T747" s="623"/>
      <c r="U747" s="626"/>
      <c r="V747" s="627"/>
      <c r="W747" s="623"/>
      <c r="X747" s="623"/>
      <c r="Y747" s="623"/>
      <c r="Z747" s="623"/>
    </row>
    <row r="748">
      <c r="A748" s="623"/>
      <c r="B748" s="625"/>
      <c r="C748" s="756"/>
      <c r="D748" s="757"/>
      <c r="E748" s="642"/>
      <c r="F748" s="758"/>
      <c r="G748" s="758"/>
      <c r="H748" s="758"/>
      <c r="I748" s="758"/>
      <c r="J748" s="758"/>
      <c r="K748" s="758"/>
      <c r="L748" s="758"/>
      <c r="M748" s="758"/>
      <c r="N748" s="758"/>
      <c r="O748" s="758"/>
      <c r="P748" s="758"/>
      <c r="Q748" s="758"/>
      <c r="R748" s="623"/>
      <c r="S748" s="623"/>
      <c r="T748" s="623"/>
      <c r="U748" s="626"/>
      <c r="V748" s="627"/>
      <c r="W748" s="623"/>
      <c r="X748" s="623"/>
      <c r="Y748" s="623"/>
      <c r="Z748" s="623"/>
    </row>
    <row r="749">
      <c r="A749" s="623"/>
      <c r="B749" s="625"/>
      <c r="C749" s="756"/>
      <c r="D749" s="757"/>
      <c r="E749" s="642"/>
      <c r="F749" s="758"/>
      <c r="G749" s="758"/>
      <c r="H749" s="758"/>
      <c r="I749" s="758"/>
      <c r="J749" s="758"/>
      <c r="K749" s="758"/>
      <c r="L749" s="758"/>
      <c r="M749" s="758"/>
      <c r="N749" s="758"/>
      <c r="O749" s="758"/>
      <c r="P749" s="758"/>
      <c r="Q749" s="758"/>
      <c r="R749" s="623"/>
      <c r="S749" s="623"/>
      <c r="T749" s="623"/>
      <c r="U749" s="626"/>
      <c r="V749" s="627"/>
      <c r="W749" s="623"/>
      <c r="X749" s="623"/>
      <c r="Y749" s="623"/>
      <c r="Z749" s="623"/>
    </row>
    <row r="750">
      <c r="A750" s="623"/>
      <c r="B750" s="625"/>
      <c r="C750" s="756"/>
      <c r="D750" s="757"/>
      <c r="E750" s="642"/>
      <c r="F750" s="758"/>
      <c r="G750" s="758"/>
      <c r="H750" s="758"/>
      <c r="I750" s="758"/>
      <c r="J750" s="758"/>
      <c r="K750" s="758"/>
      <c r="L750" s="758"/>
      <c r="M750" s="758"/>
      <c r="N750" s="758"/>
      <c r="O750" s="758"/>
      <c r="P750" s="758"/>
      <c r="Q750" s="758"/>
      <c r="R750" s="623"/>
      <c r="S750" s="623"/>
      <c r="T750" s="623"/>
      <c r="U750" s="626"/>
      <c r="V750" s="627"/>
      <c r="W750" s="623"/>
      <c r="X750" s="623"/>
      <c r="Y750" s="623"/>
      <c r="Z750" s="623"/>
    </row>
    <row r="751">
      <c r="A751" s="623"/>
      <c r="B751" s="625"/>
      <c r="C751" s="756"/>
      <c r="D751" s="757"/>
      <c r="E751" s="642"/>
      <c r="F751" s="758"/>
      <c r="G751" s="758"/>
      <c r="H751" s="758"/>
      <c r="I751" s="758"/>
      <c r="J751" s="758"/>
      <c r="K751" s="758"/>
      <c r="L751" s="758"/>
      <c r="M751" s="758"/>
      <c r="N751" s="758"/>
      <c r="O751" s="758"/>
      <c r="P751" s="758"/>
      <c r="Q751" s="758"/>
      <c r="R751" s="623"/>
      <c r="S751" s="623"/>
      <c r="T751" s="623"/>
      <c r="U751" s="626"/>
      <c r="V751" s="627"/>
      <c r="W751" s="623"/>
      <c r="X751" s="623"/>
      <c r="Y751" s="623"/>
      <c r="Z751" s="623"/>
    </row>
    <row r="752">
      <c r="A752" s="623"/>
      <c r="B752" s="625"/>
      <c r="C752" s="756"/>
      <c r="D752" s="757"/>
      <c r="E752" s="642"/>
      <c r="F752" s="758"/>
      <c r="G752" s="758"/>
      <c r="H752" s="758"/>
      <c r="I752" s="758"/>
      <c r="J752" s="758"/>
      <c r="K752" s="758"/>
      <c r="L752" s="758"/>
      <c r="M752" s="758"/>
      <c r="N752" s="758"/>
      <c r="O752" s="758"/>
      <c r="P752" s="758"/>
      <c r="Q752" s="758"/>
      <c r="R752" s="623"/>
      <c r="S752" s="623"/>
      <c r="T752" s="623"/>
      <c r="U752" s="626"/>
      <c r="V752" s="627"/>
      <c r="W752" s="623"/>
      <c r="X752" s="623"/>
      <c r="Y752" s="623"/>
      <c r="Z752" s="623"/>
    </row>
    <row r="753">
      <c r="A753" s="623"/>
      <c r="B753" s="625"/>
      <c r="C753" s="756"/>
      <c r="D753" s="757"/>
      <c r="E753" s="642"/>
      <c r="F753" s="758"/>
      <c r="G753" s="758"/>
      <c r="H753" s="758"/>
      <c r="I753" s="758"/>
      <c r="J753" s="758"/>
      <c r="K753" s="758"/>
      <c r="L753" s="758"/>
      <c r="M753" s="758"/>
      <c r="N753" s="758"/>
      <c r="O753" s="758"/>
      <c r="P753" s="758"/>
      <c r="Q753" s="758"/>
      <c r="R753" s="623"/>
      <c r="S753" s="623"/>
      <c r="T753" s="623"/>
      <c r="U753" s="626"/>
      <c r="V753" s="627"/>
      <c r="W753" s="623"/>
      <c r="X753" s="623"/>
      <c r="Y753" s="623"/>
      <c r="Z753" s="623"/>
    </row>
    <row r="754">
      <c r="A754" s="623"/>
      <c r="B754" s="625"/>
      <c r="C754" s="756"/>
      <c r="D754" s="757"/>
      <c r="E754" s="642"/>
      <c r="F754" s="758"/>
      <c r="G754" s="758"/>
      <c r="H754" s="758"/>
      <c r="I754" s="758"/>
      <c r="J754" s="758"/>
      <c r="K754" s="758"/>
      <c r="L754" s="758"/>
      <c r="M754" s="758"/>
      <c r="N754" s="758"/>
      <c r="O754" s="758"/>
      <c r="P754" s="758"/>
      <c r="Q754" s="758"/>
      <c r="R754" s="623"/>
      <c r="S754" s="623"/>
      <c r="T754" s="623"/>
      <c r="U754" s="626"/>
      <c r="V754" s="627"/>
      <c r="W754" s="623"/>
      <c r="X754" s="623"/>
      <c r="Y754" s="623"/>
      <c r="Z754" s="623"/>
    </row>
    <row r="755">
      <c r="A755" s="623"/>
      <c r="B755" s="625"/>
      <c r="C755" s="756"/>
      <c r="D755" s="757"/>
      <c r="E755" s="642"/>
      <c r="F755" s="758"/>
      <c r="G755" s="758"/>
      <c r="H755" s="758"/>
      <c r="I755" s="758"/>
      <c r="J755" s="758"/>
      <c r="K755" s="758"/>
      <c r="L755" s="758"/>
      <c r="M755" s="758"/>
      <c r="N755" s="758"/>
      <c r="O755" s="758"/>
      <c r="P755" s="758"/>
      <c r="Q755" s="758"/>
      <c r="R755" s="623"/>
      <c r="S755" s="623"/>
      <c r="T755" s="623"/>
      <c r="U755" s="626"/>
      <c r="V755" s="627"/>
      <c r="W755" s="623"/>
      <c r="X755" s="623"/>
      <c r="Y755" s="623"/>
      <c r="Z755" s="623"/>
    </row>
    <row r="756">
      <c r="A756" s="623"/>
      <c r="B756" s="625"/>
      <c r="C756" s="756"/>
      <c r="D756" s="757"/>
      <c r="E756" s="642"/>
      <c r="F756" s="758"/>
      <c r="G756" s="758"/>
      <c r="H756" s="758"/>
      <c r="I756" s="758"/>
      <c r="J756" s="758"/>
      <c r="K756" s="758"/>
      <c r="L756" s="758"/>
      <c r="M756" s="758"/>
      <c r="N756" s="758"/>
      <c r="O756" s="758"/>
      <c r="P756" s="758"/>
      <c r="Q756" s="758"/>
      <c r="R756" s="623"/>
      <c r="S756" s="623"/>
      <c r="T756" s="623"/>
      <c r="U756" s="626"/>
      <c r="V756" s="627"/>
      <c r="W756" s="623"/>
      <c r="X756" s="623"/>
      <c r="Y756" s="623"/>
      <c r="Z756" s="623"/>
    </row>
    <row r="757">
      <c r="A757" s="623"/>
      <c r="B757" s="625"/>
      <c r="C757" s="756"/>
      <c r="D757" s="757"/>
      <c r="E757" s="642"/>
      <c r="F757" s="758"/>
      <c r="G757" s="758"/>
      <c r="H757" s="758"/>
      <c r="I757" s="758"/>
      <c r="J757" s="758"/>
      <c r="K757" s="758"/>
      <c r="L757" s="758"/>
      <c r="M757" s="758"/>
      <c r="N757" s="758"/>
      <c r="O757" s="758"/>
      <c r="P757" s="758"/>
      <c r="Q757" s="758"/>
      <c r="R757" s="623"/>
      <c r="S757" s="623"/>
      <c r="T757" s="623"/>
      <c r="U757" s="626"/>
      <c r="V757" s="627"/>
      <c r="W757" s="623"/>
      <c r="X757" s="623"/>
      <c r="Y757" s="623"/>
      <c r="Z757" s="623"/>
    </row>
    <row r="758">
      <c r="A758" s="623"/>
      <c r="B758" s="625"/>
      <c r="C758" s="756"/>
      <c r="D758" s="757"/>
      <c r="E758" s="642"/>
      <c r="F758" s="758"/>
      <c r="G758" s="758"/>
      <c r="H758" s="758"/>
      <c r="I758" s="758"/>
      <c r="J758" s="758"/>
      <c r="K758" s="758"/>
      <c r="L758" s="758"/>
      <c r="M758" s="758"/>
      <c r="N758" s="758"/>
      <c r="O758" s="758"/>
      <c r="P758" s="758"/>
      <c r="Q758" s="758"/>
      <c r="R758" s="623"/>
      <c r="S758" s="623"/>
      <c r="T758" s="623"/>
      <c r="U758" s="626"/>
      <c r="V758" s="627"/>
      <c r="W758" s="623"/>
      <c r="X758" s="623"/>
      <c r="Y758" s="623"/>
      <c r="Z758" s="623"/>
    </row>
    <row r="759">
      <c r="A759" s="623"/>
      <c r="B759" s="625"/>
      <c r="C759" s="756"/>
      <c r="D759" s="757"/>
      <c r="E759" s="642"/>
      <c r="F759" s="758"/>
      <c r="G759" s="758"/>
      <c r="H759" s="758"/>
      <c r="I759" s="758"/>
      <c r="J759" s="758"/>
      <c r="K759" s="758"/>
      <c r="L759" s="758"/>
      <c r="M759" s="758"/>
      <c r="N759" s="758"/>
      <c r="O759" s="758"/>
      <c r="P759" s="758"/>
      <c r="Q759" s="758"/>
      <c r="R759" s="623"/>
      <c r="S759" s="623"/>
      <c r="T759" s="623"/>
      <c r="U759" s="626"/>
      <c r="V759" s="627"/>
      <c r="W759" s="623"/>
      <c r="X759" s="623"/>
      <c r="Y759" s="623"/>
      <c r="Z759" s="623"/>
    </row>
    <row r="760">
      <c r="A760" s="623"/>
      <c r="B760" s="625"/>
      <c r="C760" s="756"/>
      <c r="D760" s="757"/>
      <c r="E760" s="642"/>
      <c r="F760" s="758"/>
      <c r="G760" s="758"/>
      <c r="H760" s="758"/>
      <c r="I760" s="758"/>
      <c r="J760" s="758"/>
      <c r="K760" s="758"/>
      <c r="L760" s="758"/>
      <c r="M760" s="758"/>
      <c r="N760" s="758"/>
      <c r="O760" s="758"/>
      <c r="P760" s="758"/>
      <c r="Q760" s="758"/>
      <c r="R760" s="623"/>
      <c r="S760" s="623"/>
      <c r="T760" s="623"/>
      <c r="U760" s="626"/>
      <c r="V760" s="627"/>
      <c r="W760" s="623"/>
      <c r="X760" s="623"/>
      <c r="Y760" s="623"/>
      <c r="Z760" s="623"/>
    </row>
    <row r="761">
      <c r="A761" s="623"/>
      <c r="B761" s="625"/>
      <c r="C761" s="756"/>
      <c r="D761" s="757"/>
      <c r="E761" s="642"/>
      <c r="F761" s="758"/>
      <c r="G761" s="758"/>
      <c r="H761" s="758"/>
      <c r="I761" s="758"/>
      <c r="J761" s="758"/>
      <c r="K761" s="758"/>
      <c r="L761" s="758"/>
      <c r="M761" s="758"/>
      <c r="N761" s="758"/>
      <c r="O761" s="758"/>
      <c r="P761" s="758"/>
      <c r="Q761" s="758"/>
      <c r="R761" s="623"/>
      <c r="S761" s="623"/>
      <c r="T761" s="623"/>
      <c r="U761" s="626"/>
      <c r="V761" s="627"/>
      <c r="W761" s="623"/>
      <c r="X761" s="623"/>
      <c r="Y761" s="623"/>
      <c r="Z761" s="623"/>
    </row>
    <row r="762">
      <c r="A762" s="623"/>
      <c r="B762" s="625"/>
      <c r="C762" s="756"/>
      <c r="D762" s="757"/>
      <c r="E762" s="642"/>
      <c r="F762" s="758"/>
      <c r="G762" s="758"/>
      <c r="H762" s="758"/>
      <c r="I762" s="758"/>
      <c r="J762" s="758"/>
      <c r="K762" s="758"/>
      <c r="L762" s="758"/>
      <c r="M762" s="758"/>
      <c r="N762" s="758"/>
      <c r="O762" s="758"/>
      <c r="P762" s="758"/>
      <c r="Q762" s="758"/>
      <c r="R762" s="623"/>
      <c r="S762" s="623"/>
      <c r="T762" s="623"/>
      <c r="U762" s="626"/>
      <c r="V762" s="627"/>
      <c r="W762" s="623"/>
      <c r="X762" s="623"/>
      <c r="Y762" s="623"/>
      <c r="Z762" s="623"/>
    </row>
    <row r="763">
      <c r="A763" s="623"/>
      <c r="B763" s="625"/>
      <c r="C763" s="756"/>
      <c r="D763" s="757"/>
      <c r="E763" s="642"/>
      <c r="F763" s="758"/>
      <c r="G763" s="758"/>
      <c r="H763" s="758"/>
      <c r="I763" s="758"/>
      <c r="J763" s="758"/>
      <c r="K763" s="758"/>
      <c r="L763" s="758"/>
      <c r="M763" s="758"/>
      <c r="N763" s="758"/>
      <c r="O763" s="758"/>
      <c r="P763" s="758"/>
      <c r="Q763" s="758"/>
      <c r="R763" s="623"/>
      <c r="S763" s="623"/>
      <c r="T763" s="623"/>
      <c r="U763" s="626"/>
      <c r="V763" s="627"/>
      <c r="W763" s="623"/>
      <c r="X763" s="623"/>
      <c r="Y763" s="623"/>
      <c r="Z763" s="623"/>
    </row>
    <row r="764">
      <c r="A764" s="623"/>
      <c r="B764" s="625"/>
      <c r="C764" s="756"/>
      <c r="D764" s="757"/>
      <c r="E764" s="642"/>
      <c r="F764" s="758"/>
      <c r="G764" s="758"/>
      <c r="H764" s="758"/>
      <c r="I764" s="758"/>
      <c r="J764" s="758"/>
      <c r="K764" s="758"/>
      <c r="L764" s="758"/>
      <c r="M764" s="758"/>
      <c r="N764" s="758"/>
      <c r="O764" s="758"/>
      <c r="P764" s="758"/>
      <c r="Q764" s="758"/>
      <c r="R764" s="623"/>
      <c r="S764" s="623"/>
      <c r="T764" s="623"/>
      <c r="U764" s="626"/>
      <c r="V764" s="627"/>
      <c r="W764" s="623"/>
      <c r="X764" s="623"/>
      <c r="Y764" s="623"/>
      <c r="Z764" s="623"/>
    </row>
    <row r="765">
      <c r="A765" s="623"/>
      <c r="B765" s="625"/>
      <c r="C765" s="756"/>
      <c r="D765" s="757"/>
      <c r="E765" s="642"/>
      <c r="F765" s="758"/>
      <c r="G765" s="758"/>
      <c r="H765" s="758"/>
      <c r="I765" s="758"/>
      <c r="J765" s="758"/>
      <c r="K765" s="758"/>
      <c r="L765" s="758"/>
      <c r="M765" s="758"/>
      <c r="N765" s="758"/>
      <c r="O765" s="758"/>
      <c r="P765" s="758"/>
      <c r="Q765" s="758"/>
      <c r="R765" s="623"/>
      <c r="S765" s="623"/>
      <c r="T765" s="623"/>
      <c r="U765" s="626"/>
      <c r="V765" s="627"/>
      <c r="W765" s="623"/>
      <c r="X765" s="623"/>
      <c r="Y765" s="623"/>
      <c r="Z765" s="623"/>
    </row>
    <row r="766">
      <c r="A766" s="623"/>
      <c r="B766" s="625"/>
      <c r="C766" s="756"/>
      <c r="D766" s="757"/>
      <c r="E766" s="642"/>
      <c r="F766" s="758"/>
      <c r="G766" s="758"/>
      <c r="H766" s="758"/>
      <c r="I766" s="758"/>
      <c r="J766" s="758"/>
      <c r="K766" s="758"/>
      <c r="L766" s="758"/>
      <c r="M766" s="758"/>
      <c r="N766" s="758"/>
      <c r="O766" s="758"/>
      <c r="P766" s="758"/>
      <c r="Q766" s="758"/>
      <c r="R766" s="623"/>
      <c r="S766" s="623"/>
      <c r="T766" s="623"/>
      <c r="U766" s="626"/>
      <c r="V766" s="627"/>
      <c r="W766" s="623"/>
      <c r="X766" s="623"/>
      <c r="Y766" s="623"/>
      <c r="Z766" s="623"/>
    </row>
    <row r="767">
      <c r="A767" s="623"/>
      <c r="B767" s="625"/>
      <c r="C767" s="756"/>
      <c r="D767" s="757"/>
      <c r="E767" s="642"/>
      <c r="F767" s="758"/>
      <c r="G767" s="758"/>
      <c r="H767" s="758"/>
      <c r="I767" s="758"/>
      <c r="J767" s="758"/>
      <c r="K767" s="758"/>
      <c r="L767" s="758"/>
      <c r="M767" s="758"/>
      <c r="N767" s="758"/>
      <c r="O767" s="758"/>
      <c r="P767" s="758"/>
      <c r="Q767" s="758"/>
      <c r="R767" s="623"/>
      <c r="S767" s="623"/>
      <c r="T767" s="623"/>
      <c r="U767" s="626"/>
      <c r="V767" s="627"/>
      <c r="W767" s="623"/>
      <c r="X767" s="623"/>
      <c r="Y767" s="623"/>
      <c r="Z767" s="623"/>
    </row>
    <row r="768">
      <c r="A768" s="623"/>
      <c r="B768" s="625"/>
      <c r="C768" s="756"/>
      <c r="D768" s="757"/>
      <c r="E768" s="642"/>
      <c r="F768" s="758"/>
      <c r="G768" s="758"/>
      <c r="H768" s="758"/>
      <c r="I768" s="758"/>
      <c r="J768" s="758"/>
      <c r="K768" s="758"/>
      <c r="L768" s="758"/>
      <c r="M768" s="758"/>
      <c r="N768" s="758"/>
      <c r="O768" s="758"/>
      <c r="P768" s="758"/>
      <c r="Q768" s="758"/>
      <c r="R768" s="623"/>
      <c r="S768" s="623"/>
      <c r="T768" s="623"/>
      <c r="U768" s="626"/>
      <c r="V768" s="627"/>
      <c r="W768" s="623"/>
      <c r="X768" s="623"/>
      <c r="Y768" s="623"/>
      <c r="Z768" s="623"/>
    </row>
    <row r="769">
      <c r="A769" s="623"/>
      <c r="B769" s="625"/>
      <c r="C769" s="756"/>
      <c r="D769" s="757"/>
      <c r="E769" s="642"/>
      <c r="F769" s="758"/>
      <c r="G769" s="758"/>
      <c r="H769" s="758"/>
      <c r="I769" s="758"/>
      <c r="J769" s="758"/>
      <c r="K769" s="758"/>
      <c r="L769" s="758"/>
      <c r="M769" s="758"/>
      <c r="N769" s="758"/>
      <c r="O769" s="758"/>
      <c r="P769" s="758"/>
      <c r="Q769" s="758"/>
      <c r="R769" s="623"/>
      <c r="S769" s="623"/>
      <c r="T769" s="623"/>
      <c r="U769" s="626"/>
      <c r="V769" s="627"/>
      <c r="W769" s="623"/>
      <c r="X769" s="623"/>
      <c r="Y769" s="623"/>
      <c r="Z769" s="623"/>
    </row>
    <row r="770">
      <c r="A770" s="623"/>
      <c r="B770" s="625"/>
      <c r="C770" s="756"/>
      <c r="D770" s="757"/>
      <c r="E770" s="642"/>
      <c r="F770" s="758"/>
      <c r="G770" s="758"/>
      <c r="H770" s="758"/>
      <c r="I770" s="758"/>
      <c r="J770" s="758"/>
      <c r="K770" s="758"/>
      <c r="L770" s="758"/>
      <c r="M770" s="758"/>
      <c r="N770" s="758"/>
      <c r="O770" s="758"/>
      <c r="P770" s="758"/>
      <c r="Q770" s="758"/>
      <c r="R770" s="623"/>
      <c r="S770" s="623"/>
      <c r="T770" s="623"/>
      <c r="U770" s="626"/>
      <c r="V770" s="627"/>
      <c r="W770" s="623"/>
      <c r="X770" s="623"/>
      <c r="Y770" s="623"/>
      <c r="Z770" s="623"/>
    </row>
    <row r="771">
      <c r="A771" s="623"/>
      <c r="B771" s="625"/>
      <c r="C771" s="756"/>
      <c r="D771" s="757"/>
      <c r="E771" s="642"/>
      <c r="F771" s="758"/>
      <c r="G771" s="758"/>
      <c r="H771" s="758"/>
      <c r="I771" s="758"/>
      <c r="J771" s="758"/>
      <c r="K771" s="758"/>
      <c r="L771" s="758"/>
      <c r="M771" s="758"/>
      <c r="N771" s="758"/>
      <c r="O771" s="758"/>
      <c r="P771" s="758"/>
      <c r="Q771" s="758"/>
      <c r="R771" s="623"/>
      <c r="S771" s="623"/>
      <c r="T771" s="623"/>
      <c r="U771" s="626"/>
      <c r="V771" s="627"/>
      <c r="W771" s="623"/>
      <c r="X771" s="623"/>
      <c r="Y771" s="623"/>
      <c r="Z771" s="623"/>
    </row>
    <row r="772">
      <c r="A772" s="623"/>
      <c r="B772" s="625"/>
      <c r="C772" s="756"/>
      <c r="D772" s="757"/>
      <c r="E772" s="642"/>
      <c r="F772" s="758"/>
      <c r="G772" s="758"/>
      <c r="H772" s="758"/>
      <c r="I772" s="758"/>
      <c r="J772" s="758"/>
      <c r="K772" s="758"/>
      <c r="L772" s="758"/>
      <c r="M772" s="758"/>
      <c r="N772" s="758"/>
      <c r="O772" s="758"/>
      <c r="P772" s="758"/>
      <c r="Q772" s="758"/>
      <c r="R772" s="623"/>
      <c r="S772" s="623"/>
      <c r="T772" s="623"/>
      <c r="U772" s="626"/>
      <c r="V772" s="627"/>
      <c r="W772" s="623"/>
      <c r="X772" s="623"/>
      <c r="Y772" s="623"/>
      <c r="Z772" s="623"/>
    </row>
    <row r="773">
      <c r="A773" s="623"/>
      <c r="B773" s="625"/>
      <c r="C773" s="756"/>
      <c r="D773" s="757"/>
      <c r="E773" s="642"/>
      <c r="F773" s="758"/>
      <c r="G773" s="758"/>
      <c r="H773" s="758"/>
      <c r="I773" s="758"/>
      <c r="J773" s="758"/>
      <c r="K773" s="758"/>
      <c r="L773" s="758"/>
      <c r="M773" s="758"/>
      <c r="N773" s="758"/>
      <c r="O773" s="758"/>
      <c r="P773" s="758"/>
      <c r="Q773" s="758"/>
      <c r="R773" s="623"/>
      <c r="S773" s="623"/>
      <c r="T773" s="623"/>
      <c r="U773" s="626"/>
      <c r="V773" s="627"/>
      <c r="W773" s="623"/>
      <c r="X773" s="623"/>
      <c r="Y773" s="623"/>
      <c r="Z773" s="623"/>
    </row>
    <row r="774">
      <c r="A774" s="623"/>
      <c r="B774" s="625"/>
      <c r="C774" s="756"/>
      <c r="D774" s="757"/>
      <c r="E774" s="642"/>
      <c r="F774" s="758"/>
      <c r="G774" s="758"/>
      <c r="H774" s="758"/>
      <c r="I774" s="758"/>
      <c r="J774" s="758"/>
      <c r="K774" s="758"/>
      <c r="L774" s="758"/>
      <c r="M774" s="758"/>
      <c r="N774" s="758"/>
      <c r="O774" s="758"/>
      <c r="P774" s="758"/>
      <c r="Q774" s="758"/>
      <c r="R774" s="623"/>
      <c r="S774" s="623"/>
      <c r="T774" s="623"/>
      <c r="U774" s="626"/>
      <c r="V774" s="627"/>
      <c r="W774" s="623"/>
      <c r="X774" s="623"/>
      <c r="Y774" s="623"/>
      <c r="Z774" s="623"/>
    </row>
    <row r="775">
      <c r="A775" s="623"/>
      <c r="B775" s="625"/>
      <c r="C775" s="756"/>
      <c r="D775" s="757"/>
      <c r="E775" s="642"/>
      <c r="F775" s="758"/>
      <c r="G775" s="758"/>
      <c r="H775" s="758"/>
      <c r="I775" s="758"/>
      <c r="J775" s="758"/>
      <c r="K775" s="758"/>
      <c r="L775" s="758"/>
      <c r="M775" s="758"/>
      <c r="N775" s="758"/>
      <c r="O775" s="758"/>
      <c r="P775" s="758"/>
      <c r="Q775" s="758"/>
      <c r="R775" s="623"/>
      <c r="S775" s="623"/>
      <c r="T775" s="623"/>
      <c r="U775" s="626"/>
      <c r="V775" s="627"/>
      <c r="W775" s="623"/>
      <c r="X775" s="623"/>
      <c r="Y775" s="623"/>
      <c r="Z775" s="623"/>
    </row>
    <row r="776">
      <c r="A776" s="623"/>
      <c r="B776" s="625"/>
      <c r="C776" s="756"/>
      <c r="D776" s="757"/>
      <c r="E776" s="642"/>
      <c r="F776" s="758"/>
      <c r="G776" s="758"/>
      <c r="H776" s="758"/>
      <c r="I776" s="758"/>
      <c r="J776" s="758"/>
      <c r="K776" s="758"/>
      <c r="L776" s="758"/>
      <c r="M776" s="758"/>
      <c r="N776" s="758"/>
      <c r="O776" s="758"/>
      <c r="P776" s="758"/>
      <c r="Q776" s="758"/>
      <c r="R776" s="623"/>
      <c r="S776" s="623"/>
      <c r="T776" s="623"/>
      <c r="U776" s="626"/>
      <c r="V776" s="627"/>
      <c r="W776" s="623"/>
      <c r="X776" s="623"/>
      <c r="Y776" s="623"/>
      <c r="Z776" s="623"/>
    </row>
    <row r="777">
      <c r="A777" s="623"/>
      <c r="B777" s="625"/>
      <c r="C777" s="756"/>
      <c r="D777" s="757"/>
      <c r="E777" s="642"/>
      <c r="F777" s="758"/>
      <c r="G777" s="758"/>
      <c r="H777" s="758"/>
      <c r="I777" s="758"/>
      <c r="J777" s="758"/>
      <c r="K777" s="758"/>
      <c r="L777" s="758"/>
      <c r="M777" s="758"/>
      <c r="N777" s="758"/>
      <c r="O777" s="758"/>
      <c r="P777" s="758"/>
      <c r="Q777" s="758"/>
      <c r="R777" s="623"/>
      <c r="S777" s="623"/>
      <c r="T777" s="623"/>
      <c r="U777" s="626"/>
      <c r="V777" s="627"/>
      <c r="W777" s="623"/>
      <c r="X777" s="623"/>
      <c r="Y777" s="623"/>
      <c r="Z777" s="623"/>
    </row>
    <row r="778">
      <c r="A778" s="623"/>
      <c r="B778" s="625"/>
      <c r="C778" s="756"/>
      <c r="D778" s="757"/>
      <c r="E778" s="642"/>
      <c r="F778" s="758"/>
      <c r="G778" s="758"/>
      <c r="H778" s="758"/>
      <c r="I778" s="758"/>
      <c r="J778" s="758"/>
      <c r="K778" s="758"/>
      <c r="L778" s="758"/>
      <c r="M778" s="758"/>
      <c r="N778" s="758"/>
      <c r="O778" s="758"/>
      <c r="P778" s="758"/>
      <c r="Q778" s="758"/>
      <c r="R778" s="623"/>
      <c r="S778" s="623"/>
      <c r="T778" s="623"/>
      <c r="U778" s="626"/>
      <c r="V778" s="627"/>
      <c r="W778" s="623"/>
      <c r="X778" s="623"/>
      <c r="Y778" s="623"/>
      <c r="Z778" s="623"/>
    </row>
    <row r="779">
      <c r="A779" s="623"/>
      <c r="B779" s="625"/>
      <c r="C779" s="756"/>
      <c r="D779" s="757"/>
      <c r="E779" s="642"/>
      <c r="F779" s="758"/>
      <c r="G779" s="758"/>
      <c r="H779" s="758"/>
      <c r="I779" s="758"/>
      <c r="J779" s="758"/>
      <c r="K779" s="758"/>
      <c r="L779" s="758"/>
      <c r="M779" s="758"/>
      <c r="N779" s="758"/>
      <c r="O779" s="758"/>
      <c r="P779" s="758"/>
      <c r="Q779" s="758"/>
      <c r="R779" s="623"/>
      <c r="S779" s="623"/>
      <c r="T779" s="623"/>
      <c r="U779" s="626"/>
      <c r="V779" s="627"/>
      <c r="W779" s="623"/>
      <c r="X779" s="623"/>
      <c r="Y779" s="623"/>
      <c r="Z779" s="623"/>
    </row>
    <row r="780">
      <c r="A780" s="623"/>
      <c r="B780" s="625"/>
      <c r="C780" s="756"/>
      <c r="D780" s="757"/>
      <c r="E780" s="642"/>
      <c r="F780" s="758"/>
      <c r="G780" s="758"/>
      <c r="H780" s="758"/>
      <c r="I780" s="758"/>
      <c r="J780" s="758"/>
      <c r="K780" s="758"/>
      <c r="L780" s="758"/>
      <c r="M780" s="758"/>
      <c r="N780" s="758"/>
      <c r="O780" s="758"/>
      <c r="P780" s="758"/>
      <c r="Q780" s="758"/>
      <c r="R780" s="623"/>
      <c r="S780" s="623"/>
      <c r="T780" s="623"/>
      <c r="U780" s="626"/>
      <c r="V780" s="627"/>
      <c r="W780" s="623"/>
      <c r="X780" s="623"/>
      <c r="Y780" s="623"/>
      <c r="Z780" s="623"/>
    </row>
    <row r="781">
      <c r="A781" s="623"/>
      <c r="B781" s="625"/>
      <c r="C781" s="756"/>
      <c r="D781" s="757"/>
      <c r="E781" s="642"/>
      <c r="F781" s="758"/>
      <c r="G781" s="758"/>
      <c r="H781" s="758"/>
      <c r="I781" s="758"/>
      <c r="J781" s="758"/>
      <c r="K781" s="758"/>
      <c r="L781" s="758"/>
      <c r="M781" s="758"/>
      <c r="N781" s="758"/>
      <c r="O781" s="758"/>
      <c r="P781" s="758"/>
      <c r="Q781" s="758"/>
      <c r="R781" s="623"/>
      <c r="S781" s="623"/>
      <c r="T781" s="623"/>
      <c r="U781" s="626"/>
      <c r="V781" s="627"/>
      <c r="W781" s="623"/>
      <c r="X781" s="623"/>
      <c r="Y781" s="623"/>
      <c r="Z781" s="623"/>
    </row>
    <row r="782">
      <c r="A782" s="623"/>
      <c r="B782" s="625"/>
      <c r="C782" s="756"/>
      <c r="D782" s="757"/>
      <c r="E782" s="642"/>
      <c r="F782" s="758"/>
      <c r="G782" s="758"/>
      <c r="H782" s="758"/>
      <c r="I782" s="758"/>
      <c r="J782" s="758"/>
      <c r="K782" s="758"/>
      <c r="L782" s="758"/>
      <c r="M782" s="758"/>
      <c r="N782" s="758"/>
      <c r="O782" s="758"/>
      <c r="P782" s="758"/>
      <c r="Q782" s="758"/>
      <c r="R782" s="623"/>
      <c r="S782" s="623"/>
      <c r="T782" s="623"/>
      <c r="U782" s="626"/>
      <c r="V782" s="627"/>
      <c r="W782" s="623"/>
      <c r="X782" s="623"/>
      <c r="Y782" s="623"/>
      <c r="Z782" s="623"/>
    </row>
    <row r="783">
      <c r="A783" s="623"/>
      <c r="B783" s="625"/>
      <c r="C783" s="756"/>
      <c r="D783" s="757"/>
      <c r="E783" s="642"/>
      <c r="F783" s="758"/>
      <c r="G783" s="758"/>
      <c r="H783" s="758"/>
      <c r="I783" s="758"/>
      <c r="J783" s="758"/>
      <c r="K783" s="758"/>
      <c r="L783" s="758"/>
      <c r="M783" s="758"/>
      <c r="N783" s="758"/>
      <c r="O783" s="758"/>
      <c r="P783" s="758"/>
      <c r="Q783" s="758"/>
      <c r="R783" s="623"/>
      <c r="S783" s="623"/>
      <c r="T783" s="623"/>
      <c r="U783" s="626"/>
      <c r="V783" s="627"/>
      <c r="W783" s="623"/>
      <c r="X783" s="623"/>
      <c r="Y783" s="623"/>
      <c r="Z783" s="623"/>
    </row>
    <row r="784">
      <c r="A784" s="623"/>
      <c r="B784" s="625"/>
      <c r="C784" s="756"/>
      <c r="D784" s="757"/>
      <c r="E784" s="642"/>
      <c r="F784" s="758"/>
      <c r="G784" s="758"/>
      <c r="H784" s="758"/>
      <c r="I784" s="758"/>
      <c r="J784" s="758"/>
      <c r="K784" s="758"/>
      <c r="L784" s="758"/>
      <c r="M784" s="758"/>
      <c r="N784" s="758"/>
      <c r="O784" s="758"/>
      <c r="P784" s="758"/>
      <c r="Q784" s="758"/>
      <c r="R784" s="623"/>
      <c r="S784" s="623"/>
      <c r="T784" s="623"/>
      <c r="U784" s="626"/>
      <c r="V784" s="627"/>
      <c r="W784" s="623"/>
      <c r="X784" s="623"/>
      <c r="Y784" s="623"/>
      <c r="Z784" s="623"/>
    </row>
    <row r="785">
      <c r="A785" s="623"/>
      <c r="B785" s="625"/>
      <c r="C785" s="756"/>
      <c r="D785" s="757"/>
      <c r="E785" s="642"/>
      <c r="F785" s="758"/>
      <c r="G785" s="758"/>
      <c r="H785" s="758"/>
      <c r="I785" s="758"/>
      <c r="J785" s="758"/>
      <c r="K785" s="758"/>
      <c r="L785" s="758"/>
      <c r="M785" s="758"/>
      <c r="N785" s="758"/>
      <c r="O785" s="758"/>
      <c r="P785" s="758"/>
      <c r="Q785" s="758"/>
      <c r="R785" s="623"/>
      <c r="S785" s="623"/>
      <c r="T785" s="623"/>
      <c r="U785" s="626"/>
      <c r="V785" s="627"/>
      <c r="W785" s="623"/>
      <c r="X785" s="623"/>
      <c r="Y785" s="623"/>
      <c r="Z785" s="623"/>
    </row>
    <row r="786">
      <c r="A786" s="623"/>
      <c r="B786" s="625"/>
      <c r="C786" s="756"/>
      <c r="D786" s="757"/>
      <c r="E786" s="642"/>
      <c r="F786" s="758"/>
      <c r="G786" s="758"/>
      <c r="H786" s="758"/>
      <c r="I786" s="758"/>
      <c r="J786" s="758"/>
      <c r="K786" s="758"/>
      <c r="L786" s="758"/>
      <c r="M786" s="758"/>
      <c r="N786" s="758"/>
      <c r="O786" s="758"/>
      <c r="P786" s="758"/>
      <c r="Q786" s="758"/>
      <c r="R786" s="623"/>
      <c r="S786" s="623"/>
      <c r="T786" s="623"/>
      <c r="U786" s="626"/>
      <c r="V786" s="627"/>
      <c r="W786" s="623"/>
      <c r="X786" s="623"/>
      <c r="Y786" s="623"/>
      <c r="Z786" s="623"/>
    </row>
    <row r="787">
      <c r="A787" s="623"/>
      <c r="B787" s="625"/>
      <c r="C787" s="756"/>
      <c r="D787" s="757"/>
      <c r="E787" s="642"/>
      <c r="F787" s="758"/>
      <c r="G787" s="758"/>
      <c r="H787" s="758"/>
      <c r="I787" s="758"/>
      <c r="J787" s="758"/>
      <c r="K787" s="758"/>
      <c r="L787" s="758"/>
      <c r="M787" s="758"/>
      <c r="N787" s="758"/>
      <c r="O787" s="758"/>
      <c r="P787" s="758"/>
      <c r="Q787" s="758"/>
      <c r="R787" s="623"/>
      <c r="S787" s="623"/>
      <c r="T787" s="623"/>
      <c r="U787" s="626"/>
      <c r="V787" s="627"/>
      <c r="W787" s="623"/>
      <c r="X787" s="623"/>
      <c r="Y787" s="623"/>
      <c r="Z787" s="623"/>
    </row>
    <row r="788">
      <c r="A788" s="623"/>
      <c r="B788" s="625"/>
      <c r="C788" s="756"/>
      <c r="D788" s="757"/>
      <c r="E788" s="642"/>
      <c r="F788" s="758"/>
      <c r="G788" s="758"/>
      <c r="H788" s="758"/>
      <c r="I788" s="758"/>
      <c r="J788" s="758"/>
      <c r="K788" s="758"/>
      <c r="L788" s="758"/>
      <c r="M788" s="758"/>
      <c r="N788" s="758"/>
      <c r="O788" s="758"/>
      <c r="P788" s="758"/>
      <c r="Q788" s="758"/>
      <c r="R788" s="623"/>
      <c r="S788" s="623"/>
      <c r="T788" s="623"/>
      <c r="U788" s="626"/>
      <c r="V788" s="627"/>
      <c r="W788" s="623"/>
      <c r="X788" s="623"/>
      <c r="Y788" s="623"/>
      <c r="Z788" s="623"/>
    </row>
    <row r="789">
      <c r="A789" s="623"/>
      <c r="B789" s="625"/>
      <c r="C789" s="756"/>
      <c r="D789" s="757"/>
      <c r="E789" s="642"/>
      <c r="F789" s="758"/>
      <c r="G789" s="758"/>
      <c r="H789" s="758"/>
      <c r="I789" s="758"/>
      <c r="J789" s="758"/>
      <c r="K789" s="758"/>
      <c r="L789" s="758"/>
      <c r="M789" s="758"/>
      <c r="N789" s="758"/>
      <c r="O789" s="758"/>
      <c r="P789" s="758"/>
      <c r="Q789" s="758"/>
      <c r="R789" s="623"/>
      <c r="S789" s="623"/>
      <c r="T789" s="623"/>
      <c r="U789" s="626"/>
      <c r="V789" s="627"/>
      <c r="W789" s="623"/>
      <c r="X789" s="623"/>
      <c r="Y789" s="623"/>
      <c r="Z789" s="623"/>
    </row>
    <row r="790">
      <c r="A790" s="623"/>
      <c r="B790" s="625"/>
      <c r="C790" s="756"/>
      <c r="D790" s="757"/>
      <c r="E790" s="642"/>
      <c r="F790" s="758"/>
      <c r="G790" s="758"/>
      <c r="H790" s="758"/>
      <c r="I790" s="758"/>
      <c r="J790" s="758"/>
      <c r="K790" s="758"/>
      <c r="L790" s="758"/>
      <c r="M790" s="758"/>
      <c r="N790" s="758"/>
      <c r="O790" s="758"/>
      <c r="P790" s="758"/>
      <c r="Q790" s="758"/>
      <c r="R790" s="623"/>
      <c r="S790" s="623"/>
      <c r="T790" s="623"/>
      <c r="U790" s="626"/>
      <c r="V790" s="627"/>
      <c r="W790" s="623"/>
      <c r="X790" s="623"/>
      <c r="Y790" s="623"/>
      <c r="Z790" s="623"/>
    </row>
    <row r="791">
      <c r="A791" s="623"/>
      <c r="B791" s="625"/>
      <c r="C791" s="756"/>
      <c r="D791" s="757"/>
      <c r="E791" s="642"/>
      <c r="F791" s="758"/>
      <c r="G791" s="758"/>
      <c r="H791" s="758"/>
      <c r="I791" s="758"/>
      <c r="J791" s="758"/>
      <c r="K791" s="758"/>
      <c r="L791" s="758"/>
      <c r="M791" s="758"/>
      <c r="N791" s="758"/>
      <c r="O791" s="758"/>
      <c r="P791" s="758"/>
      <c r="Q791" s="758"/>
      <c r="R791" s="623"/>
      <c r="S791" s="623"/>
      <c r="T791" s="623"/>
      <c r="U791" s="626"/>
      <c r="V791" s="627"/>
      <c r="W791" s="623"/>
      <c r="X791" s="623"/>
      <c r="Y791" s="623"/>
      <c r="Z791" s="623"/>
    </row>
    <row r="792">
      <c r="A792" s="623"/>
      <c r="B792" s="625"/>
      <c r="C792" s="756"/>
      <c r="D792" s="757"/>
      <c r="E792" s="642"/>
      <c r="F792" s="758"/>
      <c r="G792" s="758"/>
      <c r="H792" s="758"/>
      <c r="I792" s="758"/>
      <c r="J792" s="758"/>
      <c r="K792" s="758"/>
      <c r="L792" s="758"/>
      <c r="M792" s="758"/>
      <c r="N792" s="758"/>
      <c r="O792" s="758"/>
      <c r="P792" s="758"/>
      <c r="Q792" s="758"/>
      <c r="R792" s="623"/>
      <c r="S792" s="623"/>
      <c r="T792" s="623"/>
      <c r="U792" s="626"/>
      <c r="V792" s="627"/>
      <c r="W792" s="623"/>
      <c r="X792" s="623"/>
      <c r="Y792" s="623"/>
      <c r="Z792" s="623"/>
    </row>
    <row r="793">
      <c r="A793" s="623"/>
      <c r="B793" s="625"/>
      <c r="C793" s="756"/>
      <c r="D793" s="757"/>
      <c r="E793" s="642"/>
      <c r="F793" s="758"/>
      <c r="G793" s="758"/>
      <c r="H793" s="758"/>
      <c r="I793" s="758"/>
      <c r="J793" s="758"/>
      <c r="K793" s="758"/>
      <c r="L793" s="758"/>
      <c r="M793" s="758"/>
      <c r="N793" s="758"/>
      <c r="O793" s="758"/>
      <c r="P793" s="758"/>
      <c r="Q793" s="758"/>
      <c r="R793" s="623"/>
      <c r="S793" s="623"/>
      <c r="T793" s="623"/>
      <c r="U793" s="626"/>
      <c r="V793" s="627"/>
      <c r="W793" s="623"/>
      <c r="X793" s="623"/>
      <c r="Y793" s="623"/>
      <c r="Z793" s="623"/>
    </row>
    <row r="794">
      <c r="A794" s="623"/>
      <c r="B794" s="625"/>
      <c r="C794" s="756"/>
      <c r="D794" s="757"/>
      <c r="E794" s="642"/>
      <c r="F794" s="758"/>
      <c r="G794" s="758"/>
      <c r="H794" s="758"/>
      <c r="I794" s="758"/>
      <c r="J794" s="758"/>
      <c r="K794" s="758"/>
      <c r="L794" s="758"/>
      <c r="M794" s="758"/>
      <c r="N794" s="758"/>
      <c r="O794" s="758"/>
      <c r="P794" s="758"/>
      <c r="Q794" s="758"/>
      <c r="R794" s="623"/>
      <c r="S794" s="623"/>
      <c r="T794" s="623"/>
      <c r="U794" s="626"/>
      <c r="V794" s="627"/>
      <c r="W794" s="623"/>
      <c r="X794" s="623"/>
      <c r="Y794" s="623"/>
      <c r="Z794" s="623"/>
    </row>
    <row r="795">
      <c r="A795" s="623"/>
      <c r="B795" s="625"/>
      <c r="C795" s="756"/>
      <c r="D795" s="757"/>
      <c r="E795" s="642"/>
      <c r="F795" s="758"/>
      <c r="G795" s="758"/>
      <c r="H795" s="758"/>
      <c r="I795" s="758"/>
      <c r="J795" s="758"/>
      <c r="K795" s="758"/>
      <c r="L795" s="758"/>
      <c r="M795" s="758"/>
      <c r="N795" s="758"/>
      <c r="O795" s="758"/>
      <c r="P795" s="758"/>
      <c r="Q795" s="758"/>
      <c r="R795" s="623"/>
      <c r="S795" s="623"/>
      <c r="T795" s="623"/>
      <c r="U795" s="626"/>
      <c r="V795" s="627"/>
      <c r="W795" s="623"/>
      <c r="X795" s="623"/>
      <c r="Y795" s="623"/>
      <c r="Z795" s="623"/>
    </row>
    <row r="796">
      <c r="A796" s="623"/>
      <c r="B796" s="625"/>
      <c r="C796" s="756"/>
      <c r="D796" s="757"/>
      <c r="E796" s="642"/>
      <c r="F796" s="758"/>
      <c r="G796" s="758"/>
      <c r="H796" s="758"/>
      <c r="I796" s="758"/>
      <c r="J796" s="758"/>
      <c r="K796" s="758"/>
      <c r="L796" s="758"/>
      <c r="M796" s="758"/>
      <c r="N796" s="758"/>
      <c r="O796" s="758"/>
      <c r="P796" s="758"/>
      <c r="Q796" s="758"/>
      <c r="R796" s="623"/>
      <c r="S796" s="623"/>
      <c r="T796" s="623"/>
      <c r="U796" s="626"/>
      <c r="V796" s="627"/>
      <c r="W796" s="623"/>
      <c r="X796" s="623"/>
      <c r="Y796" s="623"/>
      <c r="Z796" s="623"/>
    </row>
    <row r="797">
      <c r="A797" s="623"/>
      <c r="B797" s="625"/>
      <c r="C797" s="756"/>
      <c r="D797" s="757"/>
      <c r="E797" s="642"/>
      <c r="F797" s="758"/>
      <c r="G797" s="758"/>
      <c r="H797" s="758"/>
      <c r="I797" s="758"/>
      <c r="J797" s="758"/>
      <c r="K797" s="758"/>
      <c r="L797" s="758"/>
      <c r="M797" s="758"/>
      <c r="N797" s="758"/>
      <c r="O797" s="758"/>
      <c r="P797" s="758"/>
      <c r="Q797" s="758"/>
      <c r="R797" s="623"/>
      <c r="S797" s="623"/>
      <c r="T797" s="623"/>
      <c r="U797" s="626"/>
      <c r="V797" s="627"/>
      <c r="W797" s="623"/>
      <c r="X797" s="623"/>
      <c r="Y797" s="623"/>
      <c r="Z797" s="623"/>
    </row>
    <row r="798">
      <c r="A798" s="623"/>
      <c r="B798" s="625"/>
      <c r="C798" s="756"/>
      <c r="D798" s="757"/>
      <c r="E798" s="642"/>
      <c r="F798" s="758"/>
      <c r="G798" s="758"/>
      <c r="H798" s="758"/>
      <c r="I798" s="758"/>
      <c r="J798" s="758"/>
      <c r="K798" s="758"/>
      <c r="L798" s="758"/>
      <c r="M798" s="758"/>
      <c r="N798" s="758"/>
      <c r="O798" s="758"/>
      <c r="P798" s="758"/>
      <c r="Q798" s="758"/>
      <c r="R798" s="623"/>
      <c r="S798" s="623"/>
      <c r="T798" s="623"/>
      <c r="U798" s="626"/>
      <c r="V798" s="627"/>
      <c r="W798" s="623"/>
      <c r="X798" s="623"/>
      <c r="Y798" s="623"/>
      <c r="Z798" s="623"/>
    </row>
    <row r="799">
      <c r="A799" s="623"/>
      <c r="B799" s="625"/>
      <c r="C799" s="756"/>
      <c r="D799" s="757"/>
      <c r="E799" s="642"/>
      <c r="F799" s="758"/>
      <c r="G799" s="758"/>
      <c r="H799" s="758"/>
      <c r="I799" s="758"/>
      <c r="J799" s="758"/>
      <c r="K799" s="758"/>
      <c r="L799" s="758"/>
      <c r="M799" s="758"/>
      <c r="N799" s="758"/>
      <c r="O799" s="758"/>
      <c r="P799" s="758"/>
      <c r="Q799" s="758"/>
      <c r="R799" s="623"/>
      <c r="S799" s="623"/>
      <c r="T799" s="623"/>
      <c r="U799" s="626"/>
      <c r="V799" s="627"/>
      <c r="W799" s="623"/>
      <c r="X799" s="623"/>
      <c r="Y799" s="623"/>
      <c r="Z799" s="623"/>
    </row>
    <row r="800">
      <c r="A800" s="623"/>
      <c r="B800" s="625"/>
      <c r="C800" s="756"/>
      <c r="D800" s="757"/>
      <c r="E800" s="642"/>
      <c r="F800" s="758"/>
      <c r="G800" s="758"/>
      <c r="H800" s="758"/>
      <c r="I800" s="758"/>
      <c r="J800" s="758"/>
      <c r="K800" s="758"/>
      <c r="L800" s="758"/>
      <c r="M800" s="758"/>
      <c r="N800" s="758"/>
      <c r="O800" s="758"/>
      <c r="P800" s="758"/>
      <c r="Q800" s="758"/>
      <c r="R800" s="623"/>
      <c r="S800" s="623"/>
      <c r="T800" s="623"/>
      <c r="U800" s="626"/>
      <c r="V800" s="627"/>
      <c r="W800" s="623"/>
      <c r="X800" s="623"/>
      <c r="Y800" s="623"/>
      <c r="Z800" s="623"/>
    </row>
    <row r="801">
      <c r="A801" s="623"/>
      <c r="B801" s="625"/>
      <c r="C801" s="756"/>
      <c r="D801" s="757"/>
      <c r="E801" s="642"/>
      <c r="F801" s="758"/>
      <c r="G801" s="758"/>
      <c r="H801" s="758"/>
      <c r="I801" s="758"/>
      <c r="J801" s="758"/>
      <c r="K801" s="758"/>
      <c r="L801" s="758"/>
      <c r="M801" s="758"/>
      <c r="N801" s="758"/>
      <c r="O801" s="758"/>
      <c r="P801" s="758"/>
      <c r="Q801" s="758"/>
      <c r="R801" s="623"/>
      <c r="S801" s="623"/>
      <c r="T801" s="623"/>
      <c r="U801" s="626"/>
      <c r="V801" s="627"/>
      <c r="W801" s="623"/>
      <c r="X801" s="623"/>
      <c r="Y801" s="623"/>
      <c r="Z801" s="623"/>
    </row>
    <row r="802">
      <c r="A802" s="623"/>
      <c r="B802" s="625"/>
      <c r="C802" s="756"/>
      <c r="D802" s="757"/>
      <c r="E802" s="642"/>
      <c r="F802" s="758"/>
      <c r="G802" s="758"/>
      <c r="H802" s="758"/>
      <c r="I802" s="758"/>
      <c r="J802" s="758"/>
      <c r="K802" s="758"/>
      <c r="L802" s="758"/>
      <c r="M802" s="758"/>
      <c r="N802" s="758"/>
      <c r="O802" s="758"/>
      <c r="P802" s="758"/>
      <c r="Q802" s="758"/>
      <c r="R802" s="623"/>
      <c r="S802" s="623"/>
      <c r="T802" s="623"/>
      <c r="U802" s="626"/>
      <c r="V802" s="627"/>
      <c r="W802" s="623"/>
      <c r="X802" s="623"/>
      <c r="Y802" s="623"/>
      <c r="Z802" s="623"/>
    </row>
    <row r="803">
      <c r="A803" s="623"/>
      <c r="B803" s="625"/>
      <c r="C803" s="756"/>
      <c r="D803" s="757"/>
      <c r="E803" s="642"/>
      <c r="F803" s="758"/>
      <c r="G803" s="758"/>
      <c r="H803" s="758"/>
      <c r="I803" s="758"/>
      <c r="J803" s="758"/>
      <c r="K803" s="758"/>
      <c r="L803" s="758"/>
      <c r="M803" s="758"/>
      <c r="N803" s="758"/>
      <c r="O803" s="758"/>
      <c r="P803" s="758"/>
      <c r="Q803" s="758"/>
      <c r="R803" s="623"/>
      <c r="S803" s="623"/>
      <c r="T803" s="623"/>
      <c r="U803" s="626"/>
      <c r="V803" s="627"/>
      <c r="W803" s="623"/>
      <c r="X803" s="623"/>
      <c r="Y803" s="623"/>
      <c r="Z803" s="623"/>
    </row>
    <row r="804">
      <c r="A804" s="623"/>
      <c r="B804" s="625"/>
      <c r="C804" s="756"/>
      <c r="D804" s="757"/>
      <c r="E804" s="642"/>
      <c r="F804" s="758"/>
      <c r="G804" s="758"/>
      <c r="H804" s="758"/>
      <c r="I804" s="758"/>
      <c r="J804" s="758"/>
      <c r="K804" s="758"/>
      <c r="L804" s="758"/>
      <c r="M804" s="758"/>
      <c r="N804" s="758"/>
      <c r="O804" s="758"/>
      <c r="P804" s="758"/>
      <c r="Q804" s="758"/>
      <c r="R804" s="623"/>
      <c r="S804" s="623"/>
      <c r="T804" s="623"/>
      <c r="U804" s="626"/>
      <c r="V804" s="627"/>
      <c r="W804" s="623"/>
      <c r="X804" s="623"/>
      <c r="Y804" s="623"/>
      <c r="Z804" s="623"/>
    </row>
    <row r="805">
      <c r="A805" s="623"/>
      <c r="B805" s="625"/>
      <c r="C805" s="756"/>
      <c r="D805" s="757"/>
      <c r="E805" s="642"/>
      <c r="F805" s="758"/>
      <c r="G805" s="758"/>
      <c r="H805" s="758"/>
      <c r="I805" s="758"/>
      <c r="J805" s="758"/>
      <c r="K805" s="758"/>
      <c r="L805" s="758"/>
      <c r="M805" s="758"/>
      <c r="N805" s="758"/>
      <c r="O805" s="758"/>
      <c r="P805" s="758"/>
      <c r="Q805" s="758"/>
      <c r="R805" s="623"/>
      <c r="S805" s="623"/>
      <c r="T805" s="623"/>
      <c r="U805" s="626"/>
      <c r="V805" s="627"/>
      <c r="W805" s="623"/>
      <c r="X805" s="623"/>
      <c r="Y805" s="623"/>
      <c r="Z805" s="623"/>
    </row>
    <row r="806">
      <c r="A806" s="623"/>
      <c r="B806" s="625"/>
      <c r="C806" s="756"/>
      <c r="D806" s="757"/>
      <c r="E806" s="642"/>
      <c r="F806" s="758"/>
      <c r="G806" s="758"/>
      <c r="H806" s="758"/>
      <c r="I806" s="758"/>
      <c r="J806" s="758"/>
      <c r="K806" s="758"/>
      <c r="L806" s="758"/>
      <c r="M806" s="758"/>
      <c r="N806" s="758"/>
      <c r="O806" s="758"/>
      <c r="P806" s="758"/>
      <c r="Q806" s="758"/>
      <c r="R806" s="623"/>
      <c r="S806" s="623"/>
      <c r="T806" s="623"/>
      <c r="U806" s="626"/>
      <c r="V806" s="627"/>
      <c r="W806" s="623"/>
      <c r="X806" s="623"/>
      <c r="Y806" s="623"/>
      <c r="Z806" s="623"/>
    </row>
    <row r="807">
      <c r="A807" s="623"/>
      <c r="B807" s="625"/>
      <c r="C807" s="756"/>
      <c r="D807" s="757"/>
      <c r="E807" s="642"/>
      <c r="F807" s="758"/>
      <c r="G807" s="758"/>
      <c r="H807" s="758"/>
      <c r="I807" s="758"/>
      <c r="J807" s="758"/>
      <c r="K807" s="758"/>
      <c r="L807" s="758"/>
      <c r="M807" s="758"/>
      <c r="N807" s="758"/>
      <c r="O807" s="758"/>
      <c r="P807" s="758"/>
      <c r="Q807" s="758"/>
      <c r="R807" s="623"/>
      <c r="S807" s="623"/>
      <c r="T807" s="623"/>
      <c r="U807" s="626"/>
      <c r="V807" s="627"/>
      <c r="W807" s="623"/>
      <c r="X807" s="623"/>
      <c r="Y807" s="623"/>
      <c r="Z807" s="623"/>
    </row>
    <row r="808">
      <c r="A808" s="623"/>
      <c r="B808" s="625"/>
      <c r="C808" s="756"/>
      <c r="D808" s="757"/>
      <c r="E808" s="642"/>
      <c r="F808" s="758"/>
      <c r="G808" s="758"/>
      <c r="H808" s="758"/>
      <c r="I808" s="758"/>
      <c r="J808" s="758"/>
      <c r="K808" s="758"/>
      <c r="L808" s="758"/>
      <c r="M808" s="758"/>
      <c r="N808" s="758"/>
      <c r="O808" s="758"/>
      <c r="P808" s="758"/>
      <c r="Q808" s="758"/>
      <c r="R808" s="623"/>
      <c r="S808" s="623"/>
      <c r="T808" s="623"/>
      <c r="U808" s="626"/>
      <c r="V808" s="627"/>
      <c r="W808" s="623"/>
      <c r="X808" s="623"/>
      <c r="Y808" s="623"/>
      <c r="Z808" s="623"/>
    </row>
    <row r="809">
      <c r="A809" s="623"/>
      <c r="B809" s="625"/>
      <c r="C809" s="756"/>
      <c r="D809" s="757"/>
      <c r="E809" s="642"/>
      <c r="F809" s="758"/>
      <c r="G809" s="758"/>
      <c r="H809" s="758"/>
      <c r="I809" s="758"/>
      <c r="J809" s="758"/>
      <c r="K809" s="758"/>
      <c r="L809" s="758"/>
      <c r="M809" s="758"/>
      <c r="N809" s="758"/>
      <c r="O809" s="758"/>
      <c r="P809" s="758"/>
      <c r="Q809" s="758"/>
      <c r="R809" s="623"/>
      <c r="S809" s="623"/>
      <c r="T809" s="623"/>
      <c r="U809" s="626"/>
      <c r="V809" s="627"/>
      <c r="W809" s="623"/>
      <c r="X809" s="623"/>
      <c r="Y809" s="623"/>
      <c r="Z809" s="623"/>
    </row>
    <row r="810">
      <c r="A810" s="623"/>
      <c r="B810" s="625"/>
      <c r="C810" s="756"/>
      <c r="D810" s="757"/>
      <c r="E810" s="642"/>
      <c r="F810" s="758"/>
      <c r="G810" s="758"/>
      <c r="H810" s="758"/>
      <c r="I810" s="758"/>
      <c r="J810" s="758"/>
      <c r="K810" s="758"/>
      <c r="L810" s="758"/>
      <c r="M810" s="758"/>
      <c r="N810" s="758"/>
      <c r="O810" s="758"/>
      <c r="P810" s="758"/>
      <c r="Q810" s="758"/>
      <c r="R810" s="623"/>
      <c r="S810" s="623"/>
      <c r="T810" s="623"/>
      <c r="U810" s="626"/>
      <c r="V810" s="627"/>
      <c r="W810" s="623"/>
      <c r="X810" s="623"/>
      <c r="Y810" s="623"/>
      <c r="Z810" s="623"/>
    </row>
    <row r="811">
      <c r="A811" s="623"/>
      <c r="B811" s="625"/>
      <c r="C811" s="756"/>
      <c r="D811" s="757"/>
      <c r="E811" s="642"/>
      <c r="F811" s="758"/>
      <c r="G811" s="758"/>
      <c r="H811" s="758"/>
      <c r="I811" s="758"/>
      <c r="J811" s="758"/>
      <c r="K811" s="758"/>
      <c r="L811" s="758"/>
      <c r="M811" s="758"/>
      <c r="N811" s="758"/>
      <c r="O811" s="758"/>
      <c r="P811" s="758"/>
      <c r="Q811" s="758"/>
      <c r="R811" s="623"/>
      <c r="S811" s="623"/>
      <c r="T811" s="623"/>
      <c r="U811" s="626"/>
      <c r="V811" s="627"/>
      <c r="W811" s="623"/>
      <c r="X811" s="623"/>
      <c r="Y811" s="623"/>
      <c r="Z811" s="623"/>
    </row>
    <row r="812">
      <c r="A812" s="623"/>
      <c r="B812" s="625"/>
      <c r="C812" s="756"/>
      <c r="D812" s="757"/>
      <c r="E812" s="642"/>
      <c r="F812" s="758"/>
      <c r="G812" s="758"/>
      <c r="H812" s="758"/>
      <c r="I812" s="758"/>
      <c r="J812" s="758"/>
      <c r="K812" s="758"/>
      <c r="L812" s="758"/>
      <c r="M812" s="758"/>
      <c r="N812" s="758"/>
      <c r="O812" s="758"/>
      <c r="P812" s="758"/>
      <c r="Q812" s="758"/>
      <c r="R812" s="623"/>
      <c r="S812" s="623"/>
      <c r="T812" s="623"/>
      <c r="U812" s="626"/>
      <c r="V812" s="627"/>
      <c r="W812" s="623"/>
      <c r="X812" s="623"/>
      <c r="Y812" s="623"/>
      <c r="Z812" s="623"/>
    </row>
    <row r="813">
      <c r="A813" s="623"/>
      <c r="B813" s="625"/>
      <c r="C813" s="756"/>
      <c r="D813" s="757"/>
      <c r="E813" s="642"/>
      <c r="F813" s="758"/>
      <c r="G813" s="758"/>
      <c r="H813" s="758"/>
      <c r="I813" s="758"/>
      <c r="J813" s="758"/>
      <c r="K813" s="758"/>
      <c r="L813" s="758"/>
      <c r="M813" s="758"/>
      <c r="N813" s="758"/>
      <c r="O813" s="758"/>
      <c r="P813" s="758"/>
      <c r="Q813" s="758"/>
      <c r="R813" s="623"/>
      <c r="S813" s="623"/>
      <c r="T813" s="623"/>
      <c r="U813" s="626"/>
      <c r="V813" s="627"/>
      <c r="W813" s="623"/>
      <c r="X813" s="623"/>
      <c r="Y813" s="623"/>
      <c r="Z813" s="623"/>
    </row>
    <row r="814">
      <c r="A814" s="623"/>
      <c r="B814" s="625"/>
      <c r="C814" s="756"/>
      <c r="D814" s="757"/>
      <c r="E814" s="642"/>
      <c r="F814" s="758"/>
      <c r="G814" s="758"/>
      <c r="H814" s="758"/>
      <c r="I814" s="758"/>
      <c r="J814" s="758"/>
      <c r="K814" s="758"/>
      <c r="L814" s="758"/>
      <c r="M814" s="758"/>
      <c r="N814" s="758"/>
      <c r="O814" s="758"/>
      <c r="P814" s="758"/>
      <c r="Q814" s="758"/>
      <c r="R814" s="623"/>
      <c r="S814" s="623"/>
      <c r="T814" s="623"/>
      <c r="U814" s="626"/>
      <c r="V814" s="627"/>
      <c r="W814" s="623"/>
      <c r="X814" s="623"/>
      <c r="Y814" s="623"/>
      <c r="Z814" s="623"/>
    </row>
    <row r="815">
      <c r="A815" s="623"/>
      <c r="B815" s="625"/>
      <c r="C815" s="756"/>
      <c r="D815" s="757"/>
      <c r="E815" s="642"/>
      <c r="F815" s="758"/>
      <c r="G815" s="758"/>
      <c r="H815" s="758"/>
      <c r="I815" s="758"/>
      <c r="J815" s="758"/>
      <c r="K815" s="758"/>
      <c r="L815" s="758"/>
      <c r="M815" s="758"/>
      <c r="N815" s="758"/>
      <c r="O815" s="758"/>
      <c r="P815" s="758"/>
      <c r="Q815" s="758"/>
      <c r="R815" s="623"/>
      <c r="S815" s="623"/>
      <c r="T815" s="623"/>
      <c r="U815" s="626"/>
      <c r="V815" s="627"/>
      <c r="W815" s="623"/>
      <c r="X815" s="623"/>
      <c r="Y815" s="623"/>
      <c r="Z815" s="623"/>
    </row>
    <row r="816">
      <c r="A816" s="623"/>
      <c r="B816" s="625"/>
      <c r="C816" s="756"/>
      <c r="D816" s="757"/>
      <c r="E816" s="642"/>
      <c r="F816" s="758"/>
      <c r="G816" s="758"/>
      <c r="H816" s="758"/>
      <c r="I816" s="758"/>
      <c r="J816" s="758"/>
      <c r="K816" s="758"/>
      <c r="L816" s="758"/>
      <c r="M816" s="758"/>
      <c r="N816" s="758"/>
      <c r="O816" s="758"/>
      <c r="P816" s="758"/>
      <c r="Q816" s="758"/>
      <c r="R816" s="623"/>
      <c r="S816" s="623"/>
      <c r="T816" s="623"/>
      <c r="U816" s="626"/>
      <c r="V816" s="627"/>
      <c r="W816" s="623"/>
      <c r="X816" s="623"/>
      <c r="Y816" s="623"/>
      <c r="Z816" s="623"/>
    </row>
    <row r="817">
      <c r="A817" s="623"/>
      <c r="B817" s="625"/>
      <c r="C817" s="756"/>
      <c r="D817" s="757"/>
      <c r="E817" s="642"/>
      <c r="F817" s="758"/>
      <c r="G817" s="758"/>
      <c r="H817" s="758"/>
      <c r="I817" s="758"/>
      <c r="J817" s="758"/>
      <c r="K817" s="758"/>
      <c r="L817" s="758"/>
      <c r="M817" s="758"/>
      <c r="N817" s="758"/>
      <c r="O817" s="758"/>
      <c r="P817" s="758"/>
      <c r="Q817" s="758"/>
      <c r="R817" s="623"/>
      <c r="S817" s="623"/>
      <c r="T817" s="623"/>
      <c r="U817" s="626"/>
      <c r="V817" s="627"/>
      <c r="W817" s="623"/>
      <c r="X817" s="623"/>
      <c r="Y817" s="623"/>
      <c r="Z817" s="623"/>
    </row>
    <row r="818">
      <c r="A818" s="623"/>
      <c r="B818" s="625"/>
      <c r="C818" s="756"/>
      <c r="D818" s="757"/>
      <c r="E818" s="642"/>
      <c r="F818" s="758"/>
      <c r="G818" s="758"/>
      <c r="H818" s="758"/>
      <c r="I818" s="758"/>
      <c r="J818" s="758"/>
      <c r="K818" s="758"/>
      <c r="L818" s="758"/>
      <c r="M818" s="758"/>
      <c r="N818" s="758"/>
      <c r="O818" s="758"/>
      <c r="P818" s="758"/>
      <c r="Q818" s="758"/>
      <c r="R818" s="623"/>
      <c r="S818" s="623"/>
      <c r="T818" s="623"/>
      <c r="U818" s="626"/>
      <c r="V818" s="627"/>
      <c r="W818" s="623"/>
      <c r="X818" s="623"/>
      <c r="Y818" s="623"/>
      <c r="Z818" s="623"/>
    </row>
    <row r="819">
      <c r="A819" s="623"/>
      <c r="B819" s="625"/>
      <c r="C819" s="756"/>
      <c r="D819" s="757"/>
      <c r="E819" s="642"/>
      <c r="F819" s="758"/>
      <c r="G819" s="758"/>
      <c r="H819" s="758"/>
      <c r="I819" s="758"/>
      <c r="J819" s="758"/>
      <c r="K819" s="758"/>
      <c r="L819" s="758"/>
      <c r="M819" s="758"/>
      <c r="N819" s="758"/>
      <c r="O819" s="758"/>
      <c r="P819" s="758"/>
      <c r="Q819" s="758"/>
      <c r="R819" s="623"/>
      <c r="S819" s="623"/>
      <c r="T819" s="623"/>
      <c r="U819" s="626"/>
      <c r="V819" s="627"/>
      <c r="W819" s="623"/>
      <c r="X819" s="623"/>
      <c r="Y819" s="623"/>
      <c r="Z819" s="623"/>
    </row>
    <row r="820">
      <c r="A820" s="623"/>
      <c r="B820" s="625"/>
      <c r="C820" s="756"/>
      <c r="D820" s="757"/>
      <c r="E820" s="642"/>
      <c r="F820" s="758"/>
      <c r="G820" s="758"/>
      <c r="H820" s="758"/>
      <c r="I820" s="758"/>
      <c r="J820" s="758"/>
      <c r="K820" s="758"/>
      <c r="L820" s="758"/>
      <c r="M820" s="758"/>
      <c r="N820" s="758"/>
      <c r="O820" s="758"/>
      <c r="P820" s="758"/>
      <c r="Q820" s="758"/>
      <c r="R820" s="623"/>
      <c r="S820" s="623"/>
      <c r="T820" s="623"/>
      <c r="U820" s="626"/>
      <c r="V820" s="627"/>
      <c r="W820" s="623"/>
      <c r="X820" s="623"/>
      <c r="Y820" s="623"/>
      <c r="Z820" s="623"/>
    </row>
    <row r="821">
      <c r="A821" s="623"/>
      <c r="B821" s="625"/>
      <c r="C821" s="756"/>
      <c r="D821" s="757"/>
      <c r="E821" s="642"/>
      <c r="F821" s="758"/>
      <c r="G821" s="758"/>
      <c r="H821" s="758"/>
      <c r="I821" s="758"/>
      <c r="J821" s="758"/>
      <c r="K821" s="758"/>
      <c r="L821" s="758"/>
      <c r="M821" s="758"/>
      <c r="N821" s="758"/>
      <c r="O821" s="758"/>
      <c r="P821" s="758"/>
      <c r="Q821" s="758"/>
      <c r="R821" s="623"/>
      <c r="S821" s="623"/>
      <c r="T821" s="623"/>
      <c r="U821" s="626"/>
      <c r="V821" s="627"/>
      <c r="W821" s="623"/>
      <c r="X821" s="623"/>
      <c r="Y821" s="623"/>
      <c r="Z821" s="623"/>
    </row>
    <row r="822">
      <c r="A822" s="623"/>
      <c r="B822" s="625"/>
      <c r="C822" s="756"/>
      <c r="D822" s="757"/>
      <c r="E822" s="642"/>
      <c r="F822" s="758"/>
      <c r="G822" s="758"/>
      <c r="H822" s="758"/>
      <c r="I822" s="758"/>
      <c r="J822" s="758"/>
      <c r="K822" s="758"/>
      <c r="L822" s="758"/>
      <c r="M822" s="758"/>
      <c r="N822" s="758"/>
      <c r="O822" s="758"/>
      <c r="P822" s="758"/>
      <c r="Q822" s="758"/>
      <c r="R822" s="623"/>
      <c r="S822" s="623"/>
      <c r="T822" s="623"/>
      <c r="U822" s="626"/>
      <c r="V822" s="627"/>
      <c r="W822" s="623"/>
      <c r="X822" s="623"/>
      <c r="Y822" s="623"/>
      <c r="Z822" s="623"/>
    </row>
    <row r="823">
      <c r="A823" s="623"/>
      <c r="B823" s="625"/>
      <c r="C823" s="756"/>
      <c r="D823" s="757"/>
      <c r="E823" s="642"/>
      <c r="F823" s="758"/>
      <c r="G823" s="758"/>
      <c r="H823" s="758"/>
      <c r="I823" s="758"/>
      <c r="J823" s="758"/>
      <c r="K823" s="758"/>
      <c r="L823" s="758"/>
      <c r="M823" s="758"/>
      <c r="N823" s="758"/>
      <c r="O823" s="758"/>
      <c r="P823" s="758"/>
      <c r="Q823" s="758"/>
      <c r="R823" s="623"/>
      <c r="S823" s="623"/>
      <c r="T823" s="623"/>
      <c r="U823" s="626"/>
      <c r="V823" s="627"/>
      <c r="W823" s="623"/>
      <c r="X823" s="623"/>
      <c r="Y823" s="623"/>
      <c r="Z823" s="623"/>
    </row>
    <row r="824">
      <c r="A824" s="623"/>
      <c r="B824" s="625"/>
      <c r="C824" s="756"/>
      <c r="D824" s="757"/>
      <c r="E824" s="642"/>
      <c r="F824" s="758"/>
      <c r="G824" s="758"/>
      <c r="H824" s="758"/>
      <c r="I824" s="758"/>
      <c r="J824" s="758"/>
      <c r="K824" s="758"/>
      <c r="L824" s="758"/>
      <c r="M824" s="758"/>
      <c r="N824" s="758"/>
      <c r="O824" s="758"/>
      <c r="P824" s="758"/>
      <c r="Q824" s="758"/>
      <c r="R824" s="623"/>
      <c r="S824" s="623"/>
      <c r="T824" s="623"/>
      <c r="U824" s="626"/>
      <c r="V824" s="627"/>
      <c r="W824" s="623"/>
      <c r="X824" s="623"/>
      <c r="Y824" s="623"/>
      <c r="Z824" s="623"/>
    </row>
    <row r="825">
      <c r="A825" s="623"/>
      <c r="B825" s="625"/>
      <c r="C825" s="756"/>
      <c r="D825" s="757"/>
      <c r="E825" s="642"/>
      <c r="F825" s="758"/>
      <c r="G825" s="758"/>
      <c r="H825" s="758"/>
      <c r="I825" s="758"/>
      <c r="J825" s="758"/>
      <c r="K825" s="758"/>
      <c r="L825" s="758"/>
      <c r="M825" s="758"/>
      <c r="N825" s="758"/>
      <c r="O825" s="758"/>
      <c r="P825" s="758"/>
      <c r="Q825" s="758"/>
      <c r="R825" s="623"/>
      <c r="S825" s="623"/>
      <c r="T825" s="623"/>
      <c r="U825" s="626"/>
      <c r="V825" s="627"/>
      <c r="W825" s="623"/>
      <c r="X825" s="623"/>
      <c r="Y825" s="623"/>
      <c r="Z825" s="623"/>
    </row>
    <row r="826">
      <c r="A826" s="623"/>
      <c r="B826" s="625"/>
      <c r="C826" s="756"/>
      <c r="D826" s="757"/>
      <c r="E826" s="642"/>
      <c r="F826" s="758"/>
      <c r="G826" s="758"/>
      <c r="H826" s="758"/>
      <c r="I826" s="758"/>
      <c r="J826" s="758"/>
      <c r="K826" s="758"/>
      <c r="L826" s="758"/>
      <c r="M826" s="758"/>
      <c r="N826" s="758"/>
      <c r="O826" s="758"/>
      <c r="P826" s="758"/>
      <c r="Q826" s="758"/>
      <c r="R826" s="623"/>
      <c r="S826" s="623"/>
      <c r="T826" s="623"/>
      <c r="U826" s="626"/>
      <c r="V826" s="627"/>
      <c r="W826" s="623"/>
      <c r="X826" s="623"/>
      <c r="Y826" s="623"/>
      <c r="Z826" s="623"/>
    </row>
    <row r="827">
      <c r="A827" s="623"/>
      <c r="B827" s="625"/>
      <c r="C827" s="756"/>
      <c r="D827" s="757"/>
      <c r="E827" s="642"/>
      <c r="F827" s="758"/>
      <c r="G827" s="758"/>
      <c r="H827" s="758"/>
      <c r="I827" s="758"/>
      <c r="J827" s="758"/>
      <c r="K827" s="758"/>
      <c r="L827" s="758"/>
      <c r="M827" s="758"/>
      <c r="N827" s="758"/>
      <c r="O827" s="758"/>
      <c r="P827" s="758"/>
      <c r="Q827" s="758"/>
      <c r="R827" s="623"/>
      <c r="S827" s="623"/>
      <c r="T827" s="623"/>
      <c r="U827" s="626"/>
      <c r="V827" s="627"/>
      <c r="W827" s="623"/>
      <c r="X827" s="623"/>
      <c r="Y827" s="623"/>
      <c r="Z827" s="623"/>
    </row>
    <row r="828">
      <c r="A828" s="623"/>
      <c r="B828" s="625"/>
      <c r="C828" s="756"/>
      <c r="D828" s="757"/>
      <c r="E828" s="642"/>
      <c r="F828" s="758"/>
      <c r="G828" s="758"/>
      <c r="H828" s="758"/>
      <c r="I828" s="758"/>
      <c r="J828" s="758"/>
      <c r="K828" s="758"/>
      <c r="L828" s="758"/>
      <c r="M828" s="758"/>
      <c r="N828" s="758"/>
      <c r="O828" s="758"/>
      <c r="P828" s="758"/>
      <c r="Q828" s="758"/>
      <c r="R828" s="623"/>
      <c r="S828" s="623"/>
      <c r="T828" s="623"/>
      <c r="U828" s="626"/>
      <c r="V828" s="627"/>
      <c r="W828" s="623"/>
      <c r="X828" s="623"/>
      <c r="Y828" s="623"/>
      <c r="Z828" s="623"/>
    </row>
    <row r="829">
      <c r="A829" s="623"/>
      <c r="B829" s="625"/>
      <c r="C829" s="756"/>
      <c r="D829" s="757"/>
      <c r="E829" s="642"/>
      <c r="F829" s="758"/>
      <c r="G829" s="758"/>
      <c r="H829" s="758"/>
      <c r="I829" s="758"/>
      <c r="J829" s="758"/>
      <c r="K829" s="758"/>
      <c r="L829" s="758"/>
      <c r="M829" s="758"/>
      <c r="N829" s="758"/>
      <c r="O829" s="758"/>
      <c r="P829" s="758"/>
      <c r="Q829" s="758"/>
      <c r="R829" s="623"/>
      <c r="S829" s="623"/>
      <c r="T829" s="623"/>
      <c r="U829" s="626"/>
      <c r="V829" s="627"/>
      <c r="W829" s="623"/>
      <c r="X829" s="623"/>
      <c r="Y829" s="623"/>
      <c r="Z829" s="623"/>
    </row>
    <row r="830">
      <c r="A830" s="623"/>
      <c r="B830" s="625"/>
      <c r="C830" s="756"/>
      <c r="D830" s="757"/>
      <c r="E830" s="642"/>
      <c r="F830" s="758"/>
      <c r="G830" s="758"/>
      <c r="H830" s="758"/>
      <c r="I830" s="758"/>
      <c r="J830" s="758"/>
      <c r="K830" s="758"/>
      <c r="L830" s="758"/>
      <c r="M830" s="758"/>
      <c r="N830" s="758"/>
      <c r="O830" s="758"/>
      <c r="P830" s="758"/>
      <c r="Q830" s="758"/>
      <c r="R830" s="623"/>
      <c r="S830" s="623"/>
      <c r="T830" s="623"/>
      <c r="U830" s="626"/>
      <c r="V830" s="627"/>
      <c r="W830" s="623"/>
      <c r="X830" s="623"/>
      <c r="Y830" s="623"/>
      <c r="Z830" s="623"/>
    </row>
    <row r="831">
      <c r="A831" s="623"/>
      <c r="B831" s="625"/>
      <c r="C831" s="756"/>
      <c r="D831" s="757"/>
      <c r="E831" s="642"/>
      <c r="F831" s="758"/>
      <c r="G831" s="758"/>
      <c r="H831" s="758"/>
      <c r="I831" s="758"/>
      <c r="J831" s="758"/>
      <c r="K831" s="758"/>
      <c r="L831" s="758"/>
      <c r="M831" s="758"/>
      <c r="N831" s="758"/>
      <c r="O831" s="758"/>
      <c r="P831" s="758"/>
      <c r="Q831" s="758"/>
      <c r="R831" s="623"/>
      <c r="S831" s="623"/>
      <c r="T831" s="623"/>
      <c r="U831" s="626"/>
      <c r="V831" s="627"/>
      <c r="W831" s="623"/>
      <c r="X831" s="623"/>
      <c r="Y831" s="623"/>
      <c r="Z831" s="623"/>
    </row>
    <row r="832">
      <c r="A832" s="623"/>
      <c r="B832" s="625"/>
      <c r="C832" s="756"/>
      <c r="D832" s="757"/>
      <c r="E832" s="642"/>
      <c r="F832" s="758"/>
      <c r="G832" s="758"/>
      <c r="H832" s="758"/>
      <c r="I832" s="758"/>
      <c r="J832" s="758"/>
      <c r="K832" s="758"/>
      <c r="L832" s="758"/>
      <c r="M832" s="758"/>
      <c r="N832" s="758"/>
      <c r="O832" s="758"/>
      <c r="P832" s="758"/>
      <c r="Q832" s="758"/>
      <c r="R832" s="623"/>
      <c r="S832" s="623"/>
      <c r="T832" s="623"/>
      <c r="U832" s="626"/>
      <c r="V832" s="627"/>
      <c r="W832" s="623"/>
      <c r="X832" s="623"/>
      <c r="Y832" s="623"/>
      <c r="Z832" s="623"/>
    </row>
    <row r="833">
      <c r="A833" s="623"/>
      <c r="B833" s="625"/>
      <c r="C833" s="756"/>
      <c r="D833" s="757"/>
      <c r="E833" s="642"/>
      <c r="F833" s="758"/>
      <c r="G833" s="758"/>
      <c r="H833" s="758"/>
      <c r="I833" s="758"/>
      <c r="J833" s="758"/>
      <c r="K833" s="758"/>
      <c r="L833" s="758"/>
      <c r="M833" s="758"/>
      <c r="N833" s="758"/>
      <c r="O833" s="758"/>
      <c r="P833" s="758"/>
      <c r="Q833" s="758"/>
      <c r="R833" s="623"/>
      <c r="S833" s="623"/>
      <c r="T833" s="623"/>
      <c r="U833" s="626"/>
      <c r="V833" s="627"/>
      <c r="W833" s="623"/>
      <c r="X833" s="623"/>
      <c r="Y833" s="623"/>
      <c r="Z833" s="623"/>
    </row>
    <row r="834">
      <c r="A834" s="623"/>
      <c r="B834" s="625"/>
      <c r="C834" s="756"/>
      <c r="D834" s="757"/>
      <c r="E834" s="642"/>
      <c r="F834" s="758"/>
      <c r="G834" s="758"/>
      <c r="H834" s="758"/>
      <c r="I834" s="758"/>
      <c r="J834" s="758"/>
      <c r="K834" s="758"/>
      <c r="L834" s="758"/>
      <c r="M834" s="758"/>
      <c r="N834" s="758"/>
      <c r="O834" s="758"/>
      <c r="P834" s="758"/>
      <c r="Q834" s="758"/>
      <c r="R834" s="623"/>
      <c r="S834" s="623"/>
      <c r="T834" s="623"/>
      <c r="U834" s="626"/>
      <c r="V834" s="627"/>
      <c r="W834" s="623"/>
      <c r="X834" s="623"/>
      <c r="Y834" s="623"/>
      <c r="Z834" s="623"/>
    </row>
    <row r="835">
      <c r="A835" s="623"/>
      <c r="B835" s="625"/>
      <c r="C835" s="756"/>
      <c r="D835" s="757"/>
      <c r="E835" s="642"/>
      <c r="F835" s="758"/>
      <c r="G835" s="758"/>
      <c r="H835" s="758"/>
      <c r="I835" s="758"/>
      <c r="J835" s="758"/>
      <c r="K835" s="758"/>
      <c r="L835" s="758"/>
      <c r="M835" s="758"/>
      <c r="N835" s="758"/>
      <c r="O835" s="758"/>
      <c r="P835" s="758"/>
      <c r="Q835" s="758"/>
      <c r="R835" s="623"/>
      <c r="S835" s="623"/>
      <c r="T835" s="623"/>
      <c r="U835" s="626"/>
      <c r="V835" s="627"/>
      <c r="W835" s="623"/>
      <c r="X835" s="623"/>
      <c r="Y835" s="623"/>
      <c r="Z835" s="623"/>
    </row>
    <row r="836">
      <c r="A836" s="623"/>
      <c r="B836" s="625"/>
      <c r="C836" s="756"/>
      <c r="D836" s="757"/>
      <c r="E836" s="642"/>
      <c r="F836" s="758"/>
      <c r="G836" s="758"/>
      <c r="H836" s="758"/>
      <c r="I836" s="758"/>
      <c r="J836" s="758"/>
      <c r="K836" s="758"/>
      <c r="L836" s="758"/>
      <c r="M836" s="758"/>
      <c r="N836" s="758"/>
      <c r="O836" s="758"/>
      <c r="P836" s="758"/>
      <c r="Q836" s="758"/>
      <c r="R836" s="623"/>
      <c r="S836" s="623"/>
      <c r="T836" s="623"/>
      <c r="U836" s="626"/>
      <c r="V836" s="627"/>
      <c r="W836" s="623"/>
      <c r="X836" s="623"/>
      <c r="Y836" s="623"/>
      <c r="Z836" s="623"/>
    </row>
    <row r="837">
      <c r="A837" s="623"/>
      <c r="B837" s="625"/>
      <c r="C837" s="756"/>
      <c r="D837" s="757"/>
      <c r="E837" s="642"/>
      <c r="F837" s="758"/>
      <c r="G837" s="758"/>
      <c r="H837" s="758"/>
      <c r="I837" s="758"/>
      <c r="J837" s="758"/>
      <c r="K837" s="758"/>
      <c r="L837" s="758"/>
      <c r="M837" s="758"/>
      <c r="N837" s="758"/>
      <c r="O837" s="758"/>
      <c r="P837" s="758"/>
      <c r="Q837" s="758"/>
      <c r="R837" s="623"/>
      <c r="S837" s="623"/>
      <c r="T837" s="623"/>
      <c r="U837" s="626"/>
      <c r="V837" s="627"/>
      <c r="W837" s="623"/>
      <c r="X837" s="623"/>
      <c r="Y837" s="623"/>
      <c r="Z837" s="623"/>
    </row>
    <row r="838">
      <c r="A838" s="623"/>
      <c r="B838" s="625"/>
      <c r="C838" s="756"/>
      <c r="D838" s="757"/>
      <c r="E838" s="642"/>
      <c r="F838" s="758"/>
      <c r="G838" s="758"/>
      <c r="H838" s="758"/>
      <c r="I838" s="758"/>
      <c r="J838" s="758"/>
      <c r="K838" s="758"/>
      <c r="L838" s="758"/>
      <c r="M838" s="758"/>
      <c r="N838" s="758"/>
      <c r="O838" s="758"/>
      <c r="P838" s="758"/>
      <c r="Q838" s="758"/>
      <c r="R838" s="623"/>
      <c r="S838" s="623"/>
      <c r="T838" s="623"/>
      <c r="U838" s="626"/>
      <c r="V838" s="627"/>
      <c r="W838" s="623"/>
      <c r="X838" s="623"/>
      <c r="Y838" s="623"/>
      <c r="Z838" s="623"/>
    </row>
    <row r="839">
      <c r="A839" s="623"/>
      <c r="B839" s="625"/>
      <c r="C839" s="756"/>
      <c r="D839" s="757"/>
      <c r="E839" s="642"/>
      <c r="F839" s="758"/>
      <c r="G839" s="758"/>
      <c r="H839" s="758"/>
      <c r="I839" s="758"/>
      <c r="J839" s="758"/>
      <c r="K839" s="758"/>
      <c r="L839" s="758"/>
      <c r="M839" s="758"/>
      <c r="N839" s="758"/>
      <c r="O839" s="758"/>
      <c r="P839" s="758"/>
      <c r="Q839" s="758"/>
      <c r="R839" s="623"/>
      <c r="S839" s="623"/>
      <c r="T839" s="623"/>
      <c r="U839" s="626"/>
      <c r="V839" s="627"/>
      <c r="W839" s="623"/>
      <c r="X839" s="623"/>
      <c r="Y839" s="623"/>
      <c r="Z839" s="623"/>
    </row>
    <row r="840">
      <c r="A840" s="623"/>
      <c r="B840" s="625"/>
      <c r="C840" s="756"/>
      <c r="D840" s="757"/>
      <c r="E840" s="642"/>
      <c r="F840" s="758"/>
      <c r="G840" s="758"/>
      <c r="H840" s="758"/>
      <c r="I840" s="758"/>
      <c r="J840" s="758"/>
      <c r="K840" s="758"/>
      <c r="L840" s="758"/>
      <c r="M840" s="758"/>
      <c r="N840" s="758"/>
      <c r="O840" s="758"/>
      <c r="P840" s="758"/>
      <c r="Q840" s="758"/>
      <c r="R840" s="623"/>
      <c r="S840" s="623"/>
      <c r="T840" s="623"/>
      <c r="U840" s="626"/>
      <c r="V840" s="627"/>
      <c r="W840" s="623"/>
      <c r="X840" s="623"/>
      <c r="Y840" s="623"/>
      <c r="Z840" s="623"/>
    </row>
    <row r="841">
      <c r="A841" s="623"/>
      <c r="B841" s="625"/>
      <c r="C841" s="756"/>
      <c r="D841" s="757"/>
      <c r="E841" s="642"/>
      <c r="F841" s="758"/>
      <c r="G841" s="758"/>
      <c r="H841" s="758"/>
      <c r="I841" s="758"/>
      <c r="J841" s="758"/>
      <c r="K841" s="758"/>
      <c r="L841" s="758"/>
      <c r="M841" s="758"/>
      <c r="N841" s="758"/>
      <c r="O841" s="758"/>
      <c r="P841" s="758"/>
      <c r="Q841" s="758"/>
      <c r="R841" s="623"/>
      <c r="S841" s="623"/>
      <c r="T841" s="623"/>
      <c r="U841" s="626"/>
      <c r="V841" s="627"/>
      <c r="W841" s="623"/>
      <c r="X841" s="623"/>
      <c r="Y841" s="623"/>
      <c r="Z841" s="623"/>
    </row>
    <row r="842">
      <c r="A842" s="623"/>
      <c r="B842" s="625"/>
      <c r="C842" s="756"/>
      <c r="D842" s="757"/>
      <c r="E842" s="642"/>
      <c r="F842" s="758"/>
      <c r="G842" s="758"/>
      <c r="H842" s="758"/>
      <c r="I842" s="758"/>
      <c r="J842" s="758"/>
      <c r="K842" s="758"/>
      <c r="L842" s="758"/>
      <c r="M842" s="758"/>
      <c r="N842" s="758"/>
      <c r="O842" s="758"/>
      <c r="P842" s="758"/>
      <c r="Q842" s="758"/>
      <c r="R842" s="623"/>
      <c r="S842" s="623"/>
      <c r="T842" s="623"/>
      <c r="U842" s="626"/>
      <c r="V842" s="627"/>
      <c r="W842" s="623"/>
      <c r="X842" s="623"/>
      <c r="Y842" s="623"/>
      <c r="Z842" s="623"/>
    </row>
    <row r="843">
      <c r="A843" s="623"/>
      <c r="B843" s="625"/>
      <c r="C843" s="756"/>
      <c r="D843" s="757"/>
      <c r="E843" s="642"/>
      <c r="F843" s="758"/>
      <c r="G843" s="758"/>
      <c r="H843" s="758"/>
      <c r="I843" s="758"/>
      <c r="J843" s="758"/>
      <c r="K843" s="758"/>
      <c r="L843" s="758"/>
      <c r="M843" s="758"/>
      <c r="N843" s="758"/>
      <c r="O843" s="758"/>
      <c r="P843" s="758"/>
      <c r="Q843" s="758"/>
      <c r="R843" s="623"/>
      <c r="S843" s="623"/>
      <c r="T843" s="623"/>
      <c r="U843" s="626"/>
      <c r="V843" s="627"/>
      <c r="W843" s="623"/>
      <c r="X843" s="623"/>
      <c r="Y843" s="623"/>
      <c r="Z843" s="623"/>
    </row>
    <row r="844">
      <c r="A844" s="623"/>
      <c r="B844" s="625"/>
      <c r="C844" s="756"/>
      <c r="D844" s="757"/>
      <c r="E844" s="642"/>
      <c r="F844" s="758"/>
      <c r="G844" s="758"/>
      <c r="H844" s="758"/>
      <c r="I844" s="758"/>
      <c r="J844" s="758"/>
      <c r="K844" s="758"/>
      <c r="L844" s="758"/>
      <c r="M844" s="758"/>
      <c r="N844" s="758"/>
      <c r="O844" s="758"/>
      <c r="P844" s="758"/>
      <c r="Q844" s="758"/>
      <c r="R844" s="623"/>
      <c r="S844" s="623"/>
      <c r="T844" s="623"/>
      <c r="U844" s="626"/>
      <c r="V844" s="627"/>
      <c r="W844" s="623"/>
      <c r="X844" s="623"/>
      <c r="Y844" s="623"/>
      <c r="Z844" s="623"/>
    </row>
    <row r="845">
      <c r="A845" s="623"/>
      <c r="B845" s="625"/>
      <c r="C845" s="756"/>
      <c r="D845" s="757"/>
      <c r="E845" s="642"/>
      <c r="F845" s="758"/>
      <c r="G845" s="758"/>
      <c r="H845" s="758"/>
      <c r="I845" s="758"/>
      <c r="J845" s="758"/>
      <c r="K845" s="758"/>
      <c r="L845" s="758"/>
      <c r="M845" s="758"/>
      <c r="N845" s="758"/>
      <c r="O845" s="758"/>
      <c r="P845" s="758"/>
      <c r="Q845" s="758"/>
      <c r="R845" s="623"/>
      <c r="S845" s="623"/>
      <c r="T845" s="623"/>
      <c r="U845" s="626"/>
      <c r="V845" s="627"/>
      <c r="W845" s="623"/>
      <c r="X845" s="623"/>
      <c r="Y845" s="623"/>
      <c r="Z845" s="623"/>
    </row>
    <row r="846">
      <c r="A846" s="623"/>
      <c r="B846" s="625"/>
      <c r="C846" s="756"/>
      <c r="D846" s="757"/>
      <c r="E846" s="642"/>
      <c r="F846" s="758"/>
      <c r="G846" s="758"/>
      <c r="H846" s="758"/>
      <c r="I846" s="758"/>
      <c r="J846" s="758"/>
      <c r="K846" s="758"/>
      <c r="L846" s="758"/>
      <c r="M846" s="758"/>
      <c r="N846" s="758"/>
      <c r="O846" s="758"/>
      <c r="P846" s="758"/>
      <c r="Q846" s="758"/>
      <c r="R846" s="623"/>
      <c r="S846" s="623"/>
      <c r="T846" s="623"/>
      <c r="U846" s="626"/>
      <c r="V846" s="627"/>
      <c r="W846" s="623"/>
      <c r="X846" s="623"/>
      <c r="Y846" s="623"/>
      <c r="Z846" s="623"/>
    </row>
    <row r="847">
      <c r="A847" s="623"/>
      <c r="B847" s="625"/>
      <c r="C847" s="756"/>
      <c r="D847" s="757"/>
      <c r="E847" s="642"/>
      <c r="F847" s="758"/>
      <c r="G847" s="758"/>
      <c r="H847" s="758"/>
      <c r="I847" s="758"/>
      <c r="J847" s="758"/>
      <c r="K847" s="758"/>
      <c r="L847" s="758"/>
      <c r="M847" s="758"/>
      <c r="N847" s="758"/>
      <c r="O847" s="758"/>
      <c r="P847" s="758"/>
      <c r="Q847" s="758"/>
      <c r="R847" s="623"/>
      <c r="S847" s="623"/>
      <c r="T847" s="623"/>
      <c r="U847" s="626"/>
      <c r="V847" s="627"/>
      <c r="W847" s="623"/>
      <c r="X847" s="623"/>
      <c r="Y847" s="623"/>
      <c r="Z847" s="623"/>
    </row>
    <row r="848">
      <c r="A848" s="623"/>
      <c r="B848" s="625"/>
      <c r="C848" s="756"/>
      <c r="D848" s="757"/>
      <c r="E848" s="642"/>
      <c r="F848" s="758"/>
      <c r="G848" s="758"/>
      <c r="H848" s="758"/>
      <c r="I848" s="758"/>
      <c r="J848" s="758"/>
      <c r="K848" s="758"/>
      <c r="L848" s="758"/>
      <c r="M848" s="758"/>
      <c r="N848" s="758"/>
      <c r="O848" s="758"/>
      <c r="P848" s="758"/>
      <c r="Q848" s="758"/>
      <c r="R848" s="623"/>
      <c r="S848" s="623"/>
      <c r="T848" s="623"/>
      <c r="U848" s="626"/>
      <c r="V848" s="627"/>
      <c r="W848" s="623"/>
      <c r="X848" s="623"/>
      <c r="Y848" s="623"/>
      <c r="Z848" s="623"/>
    </row>
    <row r="849">
      <c r="A849" s="623"/>
      <c r="B849" s="625"/>
      <c r="C849" s="756"/>
      <c r="D849" s="757"/>
      <c r="E849" s="642"/>
      <c r="F849" s="758"/>
      <c r="G849" s="758"/>
      <c r="H849" s="758"/>
      <c r="I849" s="758"/>
      <c r="J849" s="758"/>
      <c r="K849" s="758"/>
      <c r="L849" s="758"/>
      <c r="M849" s="758"/>
      <c r="N849" s="758"/>
      <c r="O849" s="758"/>
      <c r="P849" s="758"/>
      <c r="Q849" s="758"/>
      <c r="R849" s="623"/>
      <c r="S849" s="623"/>
      <c r="T849" s="623"/>
      <c r="U849" s="626"/>
      <c r="V849" s="627"/>
      <c r="W849" s="623"/>
      <c r="X849" s="623"/>
      <c r="Y849" s="623"/>
      <c r="Z849" s="623"/>
    </row>
    <row r="850">
      <c r="A850" s="623"/>
      <c r="B850" s="625"/>
      <c r="C850" s="756"/>
      <c r="D850" s="757"/>
      <c r="E850" s="642"/>
      <c r="F850" s="758"/>
      <c r="G850" s="758"/>
      <c r="H850" s="758"/>
      <c r="I850" s="758"/>
      <c r="J850" s="758"/>
      <c r="K850" s="758"/>
      <c r="L850" s="758"/>
      <c r="M850" s="758"/>
      <c r="N850" s="758"/>
      <c r="O850" s="758"/>
      <c r="P850" s="758"/>
      <c r="Q850" s="758"/>
      <c r="R850" s="623"/>
      <c r="S850" s="623"/>
      <c r="T850" s="623"/>
      <c r="U850" s="626"/>
      <c r="V850" s="627"/>
      <c r="W850" s="623"/>
      <c r="X850" s="623"/>
      <c r="Y850" s="623"/>
      <c r="Z850" s="623"/>
    </row>
    <row r="851">
      <c r="A851" s="623"/>
      <c r="B851" s="625"/>
      <c r="C851" s="756"/>
      <c r="D851" s="757"/>
      <c r="E851" s="642"/>
      <c r="F851" s="758"/>
      <c r="G851" s="758"/>
      <c r="H851" s="758"/>
      <c r="I851" s="758"/>
      <c r="J851" s="758"/>
      <c r="K851" s="758"/>
      <c r="L851" s="758"/>
      <c r="M851" s="758"/>
      <c r="N851" s="758"/>
      <c r="O851" s="758"/>
      <c r="P851" s="758"/>
      <c r="Q851" s="758"/>
      <c r="R851" s="623"/>
      <c r="S851" s="623"/>
      <c r="T851" s="623"/>
      <c r="U851" s="626"/>
      <c r="V851" s="627"/>
      <c r="W851" s="623"/>
      <c r="X851" s="623"/>
      <c r="Y851" s="623"/>
      <c r="Z851" s="623"/>
    </row>
    <row r="852">
      <c r="A852" s="623"/>
      <c r="B852" s="625"/>
      <c r="C852" s="756"/>
      <c r="D852" s="757"/>
      <c r="E852" s="642"/>
      <c r="F852" s="758"/>
      <c r="G852" s="758"/>
      <c r="H852" s="758"/>
      <c r="I852" s="758"/>
      <c r="J852" s="758"/>
      <c r="K852" s="758"/>
      <c r="L852" s="758"/>
      <c r="M852" s="758"/>
      <c r="N852" s="758"/>
      <c r="O852" s="758"/>
      <c r="P852" s="758"/>
      <c r="Q852" s="758"/>
      <c r="R852" s="623"/>
      <c r="S852" s="623"/>
      <c r="T852" s="623"/>
      <c r="U852" s="626"/>
      <c r="V852" s="627"/>
      <c r="W852" s="623"/>
      <c r="X852" s="623"/>
      <c r="Y852" s="623"/>
      <c r="Z852" s="623"/>
    </row>
    <row r="853">
      <c r="A853" s="623"/>
      <c r="B853" s="625"/>
      <c r="C853" s="756"/>
      <c r="D853" s="757"/>
      <c r="E853" s="642"/>
      <c r="F853" s="758"/>
      <c r="G853" s="758"/>
      <c r="H853" s="758"/>
      <c r="I853" s="758"/>
      <c r="J853" s="758"/>
      <c r="K853" s="758"/>
      <c r="L853" s="758"/>
      <c r="M853" s="758"/>
      <c r="N853" s="758"/>
      <c r="O853" s="758"/>
      <c r="P853" s="758"/>
      <c r="Q853" s="758"/>
      <c r="R853" s="623"/>
      <c r="S853" s="623"/>
      <c r="T853" s="623"/>
      <c r="U853" s="626"/>
      <c r="V853" s="627"/>
      <c r="W853" s="623"/>
      <c r="X853" s="623"/>
      <c r="Y853" s="623"/>
      <c r="Z853" s="623"/>
    </row>
    <row r="854">
      <c r="A854" s="623"/>
      <c r="B854" s="625"/>
      <c r="C854" s="756"/>
      <c r="D854" s="757"/>
      <c r="E854" s="642"/>
      <c r="F854" s="758"/>
      <c r="G854" s="758"/>
      <c r="H854" s="758"/>
      <c r="I854" s="758"/>
      <c r="J854" s="758"/>
      <c r="K854" s="758"/>
      <c r="L854" s="758"/>
      <c r="M854" s="758"/>
      <c r="N854" s="758"/>
      <c r="O854" s="758"/>
      <c r="P854" s="758"/>
      <c r="Q854" s="758"/>
      <c r="R854" s="623"/>
      <c r="S854" s="623"/>
      <c r="T854" s="623"/>
      <c r="U854" s="626"/>
      <c r="V854" s="627"/>
      <c r="W854" s="623"/>
      <c r="X854" s="623"/>
      <c r="Y854" s="623"/>
      <c r="Z854" s="623"/>
    </row>
    <row r="855">
      <c r="A855" s="623"/>
      <c r="B855" s="625"/>
      <c r="C855" s="756"/>
      <c r="D855" s="757"/>
      <c r="E855" s="642"/>
      <c r="F855" s="758"/>
      <c r="G855" s="758"/>
      <c r="H855" s="758"/>
      <c r="I855" s="758"/>
      <c r="J855" s="758"/>
      <c r="K855" s="758"/>
      <c r="L855" s="758"/>
      <c r="M855" s="758"/>
      <c r="N855" s="758"/>
      <c r="O855" s="758"/>
      <c r="P855" s="758"/>
      <c r="Q855" s="758"/>
      <c r="R855" s="623"/>
      <c r="S855" s="623"/>
      <c r="T855" s="623"/>
      <c r="U855" s="626"/>
      <c r="V855" s="627"/>
      <c r="W855" s="623"/>
      <c r="X855" s="623"/>
      <c r="Y855" s="623"/>
      <c r="Z855" s="623"/>
    </row>
    <row r="856">
      <c r="A856" s="623"/>
      <c r="B856" s="625"/>
      <c r="C856" s="756"/>
      <c r="D856" s="757"/>
      <c r="E856" s="642"/>
      <c r="F856" s="758"/>
      <c r="G856" s="758"/>
      <c r="H856" s="758"/>
      <c r="I856" s="758"/>
      <c r="J856" s="758"/>
      <c r="K856" s="758"/>
      <c r="L856" s="758"/>
      <c r="M856" s="758"/>
      <c r="N856" s="758"/>
      <c r="O856" s="758"/>
      <c r="P856" s="758"/>
      <c r="Q856" s="758"/>
      <c r="R856" s="623"/>
      <c r="S856" s="623"/>
      <c r="T856" s="623"/>
      <c r="U856" s="626"/>
      <c r="V856" s="627"/>
      <c r="W856" s="623"/>
      <c r="X856" s="623"/>
      <c r="Y856" s="623"/>
      <c r="Z856" s="623"/>
    </row>
    <row r="857">
      <c r="A857" s="623"/>
      <c r="B857" s="625"/>
      <c r="C857" s="756"/>
      <c r="D857" s="757"/>
      <c r="E857" s="642"/>
      <c r="F857" s="758"/>
      <c r="G857" s="758"/>
      <c r="H857" s="758"/>
      <c r="I857" s="758"/>
      <c r="J857" s="758"/>
      <c r="K857" s="758"/>
      <c r="L857" s="758"/>
      <c r="M857" s="758"/>
      <c r="N857" s="758"/>
      <c r="O857" s="758"/>
      <c r="P857" s="758"/>
      <c r="Q857" s="758"/>
      <c r="R857" s="623"/>
      <c r="S857" s="623"/>
      <c r="T857" s="623"/>
      <c r="U857" s="626"/>
      <c r="V857" s="627"/>
      <c r="W857" s="623"/>
      <c r="X857" s="623"/>
      <c r="Y857" s="623"/>
      <c r="Z857" s="623"/>
    </row>
    <row r="858">
      <c r="A858" s="623"/>
      <c r="B858" s="625"/>
      <c r="C858" s="756"/>
      <c r="D858" s="757"/>
      <c r="E858" s="642"/>
      <c r="F858" s="758"/>
      <c r="G858" s="758"/>
      <c r="H858" s="758"/>
      <c r="I858" s="758"/>
      <c r="J858" s="758"/>
      <c r="K858" s="758"/>
      <c r="L858" s="758"/>
      <c r="M858" s="758"/>
      <c r="N858" s="758"/>
      <c r="O858" s="758"/>
      <c r="P858" s="758"/>
      <c r="Q858" s="758"/>
      <c r="R858" s="623"/>
      <c r="S858" s="623"/>
      <c r="T858" s="623"/>
      <c r="U858" s="626"/>
      <c r="V858" s="627"/>
      <c r="W858" s="623"/>
      <c r="X858" s="623"/>
      <c r="Y858" s="623"/>
      <c r="Z858" s="623"/>
    </row>
    <row r="859">
      <c r="A859" s="623"/>
      <c r="B859" s="625"/>
      <c r="C859" s="756"/>
      <c r="D859" s="757"/>
      <c r="E859" s="642"/>
      <c r="F859" s="758"/>
      <c r="G859" s="758"/>
      <c r="H859" s="758"/>
      <c r="I859" s="758"/>
      <c r="J859" s="758"/>
      <c r="K859" s="758"/>
      <c r="L859" s="758"/>
      <c r="M859" s="758"/>
      <c r="N859" s="758"/>
      <c r="O859" s="758"/>
      <c r="P859" s="758"/>
      <c r="Q859" s="758"/>
      <c r="R859" s="623"/>
      <c r="S859" s="623"/>
      <c r="T859" s="623"/>
      <c r="U859" s="626"/>
      <c r="V859" s="627"/>
      <c r="W859" s="623"/>
      <c r="X859" s="623"/>
      <c r="Y859" s="623"/>
      <c r="Z859" s="623"/>
    </row>
    <row r="860">
      <c r="A860" s="623"/>
      <c r="B860" s="625"/>
      <c r="C860" s="756"/>
      <c r="D860" s="757"/>
      <c r="E860" s="642"/>
      <c r="F860" s="758"/>
      <c r="G860" s="758"/>
      <c r="H860" s="758"/>
      <c r="I860" s="758"/>
      <c r="J860" s="758"/>
      <c r="K860" s="758"/>
      <c r="L860" s="758"/>
      <c r="M860" s="758"/>
      <c r="N860" s="758"/>
      <c r="O860" s="758"/>
      <c r="P860" s="758"/>
      <c r="Q860" s="758"/>
      <c r="R860" s="623"/>
      <c r="S860" s="623"/>
      <c r="T860" s="623"/>
      <c r="U860" s="626"/>
      <c r="V860" s="627"/>
      <c r="W860" s="623"/>
      <c r="X860" s="623"/>
      <c r="Y860" s="623"/>
      <c r="Z860" s="623"/>
    </row>
    <row r="861">
      <c r="A861" s="623"/>
      <c r="B861" s="625"/>
      <c r="C861" s="756"/>
      <c r="D861" s="757"/>
      <c r="E861" s="642"/>
      <c r="F861" s="758"/>
      <c r="G861" s="758"/>
      <c r="H861" s="758"/>
      <c r="I861" s="758"/>
      <c r="J861" s="758"/>
      <c r="K861" s="758"/>
      <c r="L861" s="758"/>
      <c r="M861" s="758"/>
      <c r="N861" s="758"/>
      <c r="O861" s="758"/>
      <c r="P861" s="758"/>
      <c r="Q861" s="758"/>
      <c r="R861" s="623"/>
      <c r="S861" s="623"/>
      <c r="T861" s="623"/>
      <c r="U861" s="626"/>
      <c r="V861" s="627"/>
      <c r="W861" s="623"/>
      <c r="X861" s="623"/>
      <c r="Y861" s="623"/>
      <c r="Z861" s="623"/>
    </row>
    <row r="862">
      <c r="A862" s="623"/>
      <c r="B862" s="625"/>
      <c r="C862" s="756"/>
      <c r="D862" s="757"/>
      <c r="E862" s="642"/>
      <c r="F862" s="758"/>
      <c r="G862" s="758"/>
      <c r="H862" s="758"/>
      <c r="I862" s="758"/>
      <c r="J862" s="758"/>
      <c r="K862" s="758"/>
      <c r="L862" s="758"/>
      <c r="M862" s="758"/>
      <c r="N862" s="758"/>
      <c r="O862" s="758"/>
      <c r="P862" s="758"/>
      <c r="Q862" s="758"/>
      <c r="R862" s="623"/>
      <c r="S862" s="623"/>
      <c r="T862" s="623"/>
      <c r="U862" s="626"/>
      <c r="V862" s="627"/>
      <c r="W862" s="623"/>
      <c r="X862" s="623"/>
      <c r="Y862" s="623"/>
      <c r="Z862" s="623"/>
    </row>
    <row r="863">
      <c r="A863" s="623"/>
      <c r="B863" s="625"/>
      <c r="C863" s="756"/>
      <c r="D863" s="757"/>
      <c r="E863" s="642"/>
      <c r="F863" s="758"/>
      <c r="G863" s="758"/>
      <c r="H863" s="758"/>
      <c r="I863" s="758"/>
      <c r="J863" s="758"/>
      <c r="K863" s="758"/>
      <c r="L863" s="758"/>
      <c r="M863" s="758"/>
      <c r="N863" s="758"/>
      <c r="O863" s="758"/>
      <c r="P863" s="758"/>
      <c r="Q863" s="758"/>
      <c r="R863" s="623"/>
      <c r="S863" s="623"/>
      <c r="T863" s="623"/>
      <c r="U863" s="626"/>
      <c r="V863" s="627"/>
      <c r="W863" s="623"/>
      <c r="X863" s="623"/>
      <c r="Y863" s="623"/>
      <c r="Z863" s="623"/>
    </row>
    <row r="864">
      <c r="A864" s="623"/>
      <c r="B864" s="625"/>
      <c r="C864" s="756"/>
      <c r="D864" s="757"/>
      <c r="E864" s="642"/>
      <c r="F864" s="758"/>
      <c r="G864" s="758"/>
      <c r="H864" s="758"/>
      <c r="I864" s="758"/>
      <c r="J864" s="758"/>
      <c r="K864" s="758"/>
      <c r="L864" s="758"/>
      <c r="M864" s="758"/>
      <c r="N864" s="758"/>
      <c r="O864" s="758"/>
      <c r="P864" s="758"/>
      <c r="Q864" s="758"/>
      <c r="R864" s="623"/>
      <c r="S864" s="623"/>
      <c r="T864" s="623"/>
      <c r="U864" s="626"/>
      <c r="V864" s="627"/>
      <c r="W864" s="623"/>
      <c r="X864" s="623"/>
      <c r="Y864" s="623"/>
      <c r="Z864" s="623"/>
    </row>
    <row r="865">
      <c r="A865" s="623"/>
      <c r="B865" s="625"/>
      <c r="C865" s="756"/>
      <c r="D865" s="757"/>
      <c r="E865" s="642"/>
      <c r="F865" s="758"/>
      <c r="G865" s="758"/>
      <c r="H865" s="758"/>
      <c r="I865" s="758"/>
      <c r="J865" s="758"/>
      <c r="K865" s="758"/>
      <c r="L865" s="758"/>
      <c r="M865" s="758"/>
      <c r="N865" s="758"/>
      <c r="O865" s="758"/>
      <c r="P865" s="758"/>
      <c r="Q865" s="758"/>
      <c r="R865" s="623"/>
      <c r="S865" s="623"/>
      <c r="T865" s="623"/>
      <c r="U865" s="626"/>
      <c r="V865" s="627"/>
      <c r="W865" s="623"/>
      <c r="X865" s="623"/>
      <c r="Y865" s="623"/>
      <c r="Z865" s="623"/>
    </row>
    <row r="866">
      <c r="A866" s="623"/>
      <c r="B866" s="625"/>
      <c r="C866" s="756"/>
      <c r="D866" s="757"/>
      <c r="E866" s="642"/>
      <c r="F866" s="758"/>
      <c r="G866" s="758"/>
      <c r="H866" s="758"/>
      <c r="I866" s="758"/>
      <c r="J866" s="758"/>
      <c r="K866" s="758"/>
      <c r="L866" s="758"/>
      <c r="M866" s="758"/>
      <c r="N866" s="758"/>
      <c r="O866" s="758"/>
      <c r="P866" s="758"/>
      <c r="Q866" s="758"/>
      <c r="R866" s="623"/>
      <c r="S866" s="623"/>
      <c r="T866" s="623"/>
      <c r="U866" s="626"/>
      <c r="V866" s="627"/>
      <c r="W866" s="623"/>
      <c r="X866" s="623"/>
      <c r="Y866" s="623"/>
      <c r="Z866" s="623"/>
    </row>
    <row r="867">
      <c r="A867" s="623"/>
      <c r="B867" s="625"/>
      <c r="C867" s="756"/>
      <c r="D867" s="757"/>
      <c r="E867" s="642"/>
      <c r="F867" s="758"/>
      <c r="G867" s="758"/>
      <c r="H867" s="758"/>
      <c r="I867" s="758"/>
      <c r="J867" s="758"/>
      <c r="K867" s="758"/>
      <c r="L867" s="758"/>
      <c r="M867" s="758"/>
      <c r="N867" s="758"/>
      <c r="O867" s="758"/>
      <c r="P867" s="758"/>
      <c r="Q867" s="758"/>
      <c r="R867" s="623"/>
      <c r="S867" s="623"/>
      <c r="T867" s="623"/>
      <c r="U867" s="626"/>
      <c r="V867" s="627"/>
      <c r="W867" s="623"/>
      <c r="X867" s="623"/>
      <c r="Y867" s="623"/>
      <c r="Z867" s="623"/>
    </row>
    <row r="868">
      <c r="A868" s="623"/>
      <c r="B868" s="625"/>
      <c r="C868" s="756"/>
      <c r="D868" s="757"/>
      <c r="E868" s="642"/>
      <c r="F868" s="758"/>
      <c r="G868" s="758"/>
      <c r="H868" s="758"/>
      <c r="I868" s="758"/>
      <c r="J868" s="758"/>
      <c r="K868" s="758"/>
      <c r="L868" s="758"/>
      <c r="M868" s="758"/>
      <c r="N868" s="758"/>
      <c r="O868" s="758"/>
      <c r="P868" s="758"/>
      <c r="Q868" s="758"/>
      <c r="R868" s="623"/>
      <c r="S868" s="623"/>
      <c r="T868" s="623"/>
      <c r="U868" s="626"/>
      <c r="V868" s="627"/>
      <c r="W868" s="623"/>
      <c r="X868" s="623"/>
      <c r="Y868" s="623"/>
      <c r="Z868" s="623"/>
    </row>
    <row r="869">
      <c r="A869" s="623"/>
      <c r="B869" s="625"/>
      <c r="C869" s="756"/>
      <c r="D869" s="757"/>
      <c r="E869" s="642"/>
      <c r="F869" s="758"/>
      <c r="G869" s="758"/>
      <c r="H869" s="758"/>
      <c r="I869" s="758"/>
      <c r="J869" s="758"/>
      <c r="K869" s="758"/>
      <c r="L869" s="758"/>
      <c r="M869" s="758"/>
      <c r="N869" s="758"/>
      <c r="O869" s="758"/>
      <c r="P869" s="758"/>
      <c r="Q869" s="758"/>
      <c r="R869" s="623"/>
      <c r="S869" s="623"/>
      <c r="T869" s="623"/>
      <c r="U869" s="626"/>
      <c r="V869" s="627"/>
      <c r="W869" s="623"/>
      <c r="X869" s="623"/>
      <c r="Y869" s="623"/>
      <c r="Z869" s="623"/>
    </row>
    <row r="870">
      <c r="A870" s="623"/>
      <c r="B870" s="625"/>
      <c r="C870" s="756"/>
      <c r="D870" s="757"/>
      <c r="E870" s="642"/>
      <c r="F870" s="758"/>
      <c r="G870" s="758"/>
      <c r="H870" s="758"/>
      <c r="I870" s="758"/>
      <c r="J870" s="758"/>
      <c r="K870" s="758"/>
      <c r="L870" s="758"/>
      <c r="M870" s="758"/>
      <c r="N870" s="758"/>
      <c r="O870" s="758"/>
      <c r="P870" s="758"/>
      <c r="Q870" s="758"/>
      <c r="R870" s="623"/>
      <c r="S870" s="623"/>
      <c r="T870" s="623"/>
      <c r="U870" s="626"/>
      <c r="V870" s="627"/>
      <c r="W870" s="623"/>
      <c r="X870" s="623"/>
      <c r="Y870" s="623"/>
      <c r="Z870" s="623"/>
    </row>
    <row r="871">
      <c r="A871" s="623"/>
      <c r="B871" s="625"/>
      <c r="C871" s="756"/>
      <c r="D871" s="757"/>
      <c r="E871" s="642"/>
      <c r="F871" s="758"/>
      <c r="G871" s="758"/>
      <c r="H871" s="758"/>
      <c r="I871" s="758"/>
      <c r="J871" s="758"/>
      <c r="K871" s="758"/>
      <c r="L871" s="758"/>
      <c r="M871" s="758"/>
      <c r="N871" s="758"/>
      <c r="O871" s="758"/>
      <c r="P871" s="758"/>
      <c r="Q871" s="758"/>
      <c r="R871" s="623"/>
      <c r="S871" s="623"/>
      <c r="T871" s="623"/>
      <c r="U871" s="626"/>
      <c r="V871" s="627"/>
      <c r="W871" s="623"/>
      <c r="X871" s="623"/>
      <c r="Y871" s="623"/>
      <c r="Z871" s="623"/>
    </row>
    <row r="872">
      <c r="A872" s="623"/>
      <c r="B872" s="625"/>
      <c r="C872" s="756"/>
      <c r="D872" s="757"/>
      <c r="E872" s="642"/>
      <c r="F872" s="758"/>
      <c r="G872" s="758"/>
      <c r="H872" s="758"/>
      <c r="I872" s="758"/>
      <c r="J872" s="758"/>
      <c r="K872" s="758"/>
      <c r="L872" s="758"/>
      <c r="M872" s="758"/>
      <c r="N872" s="758"/>
      <c r="O872" s="758"/>
      <c r="P872" s="758"/>
      <c r="Q872" s="758"/>
      <c r="R872" s="623"/>
      <c r="S872" s="623"/>
      <c r="T872" s="623"/>
      <c r="U872" s="626"/>
      <c r="V872" s="627"/>
      <c r="W872" s="623"/>
      <c r="X872" s="623"/>
      <c r="Y872" s="623"/>
      <c r="Z872" s="623"/>
    </row>
    <row r="873">
      <c r="A873" s="623"/>
      <c r="B873" s="625"/>
      <c r="C873" s="756"/>
      <c r="D873" s="757"/>
      <c r="E873" s="642"/>
      <c r="F873" s="758"/>
      <c r="G873" s="758"/>
      <c r="H873" s="758"/>
      <c r="I873" s="758"/>
      <c r="J873" s="758"/>
      <c r="K873" s="758"/>
      <c r="L873" s="758"/>
      <c r="M873" s="758"/>
      <c r="N873" s="758"/>
      <c r="O873" s="758"/>
      <c r="P873" s="758"/>
      <c r="Q873" s="758"/>
      <c r="R873" s="623"/>
      <c r="S873" s="623"/>
      <c r="T873" s="623"/>
      <c r="U873" s="626"/>
      <c r="V873" s="627"/>
      <c r="W873" s="623"/>
      <c r="X873" s="623"/>
      <c r="Y873" s="623"/>
      <c r="Z873" s="623"/>
    </row>
    <row r="874">
      <c r="A874" s="623"/>
      <c r="B874" s="625"/>
      <c r="C874" s="756"/>
      <c r="D874" s="757"/>
      <c r="E874" s="642"/>
      <c r="F874" s="758"/>
      <c r="G874" s="758"/>
      <c r="H874" s="758"/>
      <c r="I874" s="758"/>
      <c r="J874" s="758"/>
      <c r="K874" s="758"/>
      <c r="L874" s="758"/>
      <c r="M874" s="758"/>
      <c r="N874" s="758"/>
      <c r="O874" s="758"/>
      <c r="P874" s="758"/>
      <c r="Q874" s="758"/>
      <c r="R874" s="623"/>
      <c r="S874" s="623"/>
      <c r="T874" s="623"/>
      <c r="U874" s="626"/>
      <c r="V874" s="627"/>
      <c r="W874" s="623"/>
      <c r="X874" s="623"/>
      <c r="Y874" s="623"/>
      <c r="Z874" s="623"/>
    </row>
    <row r="875">
      <c r="A875" s="623"/>
      <c r="B875" s="625"/>
      <c r="C875" s="756"/>
      <c r="D875" s="757"/>
      <c r="E875" s="642"/>
      <c r="F875" s="758"/>
      <c r="G875" s="758"/>
      <c r="H875" s="758"/>
      <c r="I875" s="758"/>
      <c r="J875" s="758"/>
      <c r="K875" s="758"/>
      <c r="L875" s="758"/>
      <c r="M875" s="758"/>
      <c r="N875" s="758"/>
      <c r="O875" s="758"/>
      <c r="P875" s="758"/>
      <c r="Q875" s="758"/>
      <c r="R875" s="623"/>
      <c r="S875" s="623"/>
      <c r="T875" s="623"/>
      <c r="U875" s="626"/>
      <c r="V875" s="627"/>
      <c r="W875" s="623"/>
      <c r="X875" s="623"/>
      <c r="Y875" s="623"/>
      <c r="Z875" s="623"/>
    </row>
    <row r="876">
      <c r="A876" s="623"/>
      <c r="B876" s="625"/>
      <c r="C876" s="756"/>
      <c r="D876" s="757"/>
      <c r="E876" s="642"/>
      <c r="F876" s="758"/>
      <c r="G876" s="758"/>
      <c r="H876" s="758"/>
      <c r="I876" s="758"/>
      <c r="J876" s="758"/>
      <c r="K876" s="758"/>
      <c r="L876" s="758"/>
      <c r="M876" s="758"/>
      <c r="N876" s="758"/>
      <c r="O876" s="758"/>
      <c r="P876" s="758"/>
      <c r="Q876" s="758"/>
      <c r="R876" s="623"/>
      <c r="S876" s="623"/>
      <c r="T876" s="623"/>
      <c r="U876" s="626"/>
      <c r="V876" s="627"/>
      <c r="W876" s="623"/>
      <c r="X876" s="623"/>
      <c r="Y876" s="623"/>
      <c r="Z876" s="623"/>
    </row>
    <row r="877">
      <c r="A877" s="623"/>
      <c r="B877" s="625"/>
      <c r="C877" s="756"/>
      <c r="D877" s="757"/>
      <c r="E877" s="642"/>
      <c r="F877" s="758"/>
      <c r="G877" s="758"/>
      <c r="H877" s="758"/>
      <c r="I877" s="758"/>
      <c r="J877" s="758"/>
      <c r="K877" s="758"/>
      <c r="L877" s="758"/>
      <c r="M877" s="758"/>
      <c r="N877" s="758"/>
      <c r="O877" s="758"/>
      <c r="P877" s="758"/>
      <c r="Q877" s="758"/>
      <c r="R877" s="623"/>
      <c r="S877" s="623"/>
      <c r="T877" s="623"/>
      <c r="U877" s="626"/>
      <c r="V877" s="627"/>
      <c r="W877" s="623"/>
      <c r="X877" s="623"/>
      <c r="Y877" s="623"/>
      <c r="Z877" s="623"/>
    </row>
    <row r="878">
      <c r="A878" s="623"/>
      <c r="B878" s="625"/>
      <c r="C878" s="756"/>
      <c r="D878" s="757"/>
      <c r="E878" s="642"/>
      <c r="F878" s="758"/>
      <c r="G878" s="758"/>
      <c r="H878" s="758"/>
      <c r="I878" s="758"/>
      <c r="J878" s="758"/>
      <c r="K878" s="758"/>
      <c r="L878" s="758"/>
      <c r="M878" s="758"/>
      <c r="N878" s="758"/>
      <c r="O878" s="758"/>
      <c r="P878" s="758"/>
      <c r="Q878" s="758"/>
      <c r="R878" s="623"/>
      <c r="S878" s="623"/>
      <c r="T878" s="623"/>
      <c r="U878" s="626"/>
      <c r="V878" s="627"/>
      <c r="W878" s="623"/>
      <c r="X878" s="623"/>
      <c r="Y878" s="623"/>
      <c r="Z878" s="623"/>
    </row>
    <row r="879">
      <c r="A879" s="623"/>
      <c r="B879" s="625"/>
      <c r="C879" s="756"/>
      <c r="D879" s="757"/>
      <c r="E879" s="642"/>
      <c r="F879" s="758"/>
      <c r="G879" s="758"/>
      <c r="H879" s="758"/>
      <c r="I879" s="758"/>
      <c r="J879" s="758"/>
      <c r="K879" s="758"/>
      <c r="L879" s="758"/>
      <c r="M879" s="758"/>
      <c r="N879" s="758"/>
      <c r="O879" s="758"/>
      <c r="P879" s="758"/>
      <c r="Q879" s="758"/>
      <c r="R879" s="623"/>
      <c r="S879" s="623"/>
      <c r="T879" s="623"/>
      <c r="U879" s="626"/>
      <c r="V879" s="627"/>
      <c r="W879" s="623"/>
      <c r="X879" s="623"/>
      <c r="Y879" s="623"/>
      <c r="Z879" s="623"/>
    </row>
    <row r="880">
      <c r="A880" s="623"/>
      <c r="B880" s="625"/>
      <c r="C880" s="756"/>
      <c r="D880" s="757"/>
      <c r="E880" s="642"/>
      <c r="F880" s="758"/>
      <c r="G880" s="758"/>
      <c r="H880" s="758"/>
      <c r="I880" s="758"/>
      <c r="J880" s="758"/>
      <c r="K880" s="758"/>
      <c r="L880" s="758"/>
      <c r="M880" s="758"/>
      <c r="N880" s="758"/>
      <c r="O880" s="758"/>
      <c r="P880" s="758"/>
      <c r="Q880" s="758"/>
      <c r="R880" s="623"/>
      <c r="S880" s="623"/>
      <c r="T880" s="623"/>
      <c r="U880" s="626"/>
      <c r="V880" s="627"/>
      <c r="W880" s="623"/>
      <c r="X880" s="623"/>
      <c r="Y880" s="623"/>
      <c r="Z880" s="623"/>
    </row>
    <row r="881">
      <c r="A881" s="623"/>
      <c r="B881" s="625"/>
      <c r="C881" s="756"/>
      <c r="D881" s="757"/>
      <c r="E881" s="642"/>
      <c r="F881" s="758"/>
      <c r="G881" s="758"/>
      <c r="H881" s="758"/>
      <c r="I881" s="758"/>
      <c r="J881" s="758"/>
      <c r="K881" s="758"/>
      <c r="L881" s="758"/>
      <c r="M881" s="758"/>
      <c r="N881" s="758"/>
      <c r="O881" s="758"/>
      <c r="P881" s="758"/>
      <c r="Q881" s="758"/>
      <c r="R881" s="623"/>
      <c r="S881" s="623"/>
      <c r="T881" s="623"/>
      <c r="U881" s="626"/>
      <c r="V881" s="627"/>
      <c r="W881" s="623"/>
      <c r="X881" s="623"/>
      <c r="Y881" s="623"/>
      <c r="Z881" s="623"/>
    </row>
    <row r="882">
      <c r="A882" s="623"/>
      <c r="B882" s="625"/>
      <c r="C882" s="756"/>
      <c r="D882" s="757"/>
      <c r="E882" s="642"/>
      <c r="F882" s="758"/>
      <c r="G882" s="758"/>
      <c r="H882" s="758"/>
      <c r="I882" s="758"/>
      <c r="J882" s="758"/>
      <c r="K882" s="758"/>
      <c r="L882" s="758"/>
      <c r="M882" s="758"/>
      <c r="N882" s="758"/>
      <c r="O882" s="758"/>
      <c r="P882" s="758"/>
      <c r="Q882" s="758"/>
      <c r="R882" s="623"/>
      <c r="S882" s="623"/>
      <c r="T882" s="623"/>
      <c r="U882" s="626"/>
      <c r="V882" s="627"/>
      <c r="W882" s="623"/>
      <c r="X882" s="623"/>
      <c r="Y882" s="623"/>
      <c r="Z882" s="623"/>
    </row>
    <row r="883">
      <c r="A883" s="623"/>
      <c r="B883" s="625"/>
      <c r="C883" s="756"/>
      <c r="D883" s="757"/>
      <c r="E883" s="642"/>
      <c r="F883" s="758"/>
      <c r="G883" s="758"/>
      <c r="H883" s="758"/>
      <c r="I883" s="758"/>
      <c r="J883" s="758"/>
      <c r="K883" s="758"/>
      <c r="L883" s="758"/>
      <c r="M883" s="758"/>
      <c r="N883" s="758"/>
      <c r="O883" s="758"/>
      <c r="P883" s="758"/>
      <c r="Q883" s="758"/>
      <c r="R883" s="623"/>
      <c r="S883" s="623"/>
      <c r="T883" s="623"/>
      <c r="U883" s="626"/>
      <c r="V883" s="627"/>
      <c r="W883" s="623"/>
      <c r="X883" s="623"/>
      <c r="Y883" s="623"/>
      <c r="Z883" s="623"/>
    </row>
    <row r="884">
      <c r="A884" s="623"/>
      <c r="B884" s="625"/>
      <c r="C884" s="756"/>
      <c r="D884" s="757"/>
      <c r="E884" s="642"/>
      <c r="F884" s="758"/>
      <c r="G884" s="758"/>
      <c r="H884" s="758"/>
      <c r="I884" s="758"/>
      <c r="J884" s="758"/>
      <c r="K884" s="758"/>
      <c r="L884" s="758"/>
      <c r="M884" s="758"/>
      <c r="N884" s="758"/>
      <c r="O884" s="758"/>
      <c r="P884" s="758"/>
      <c r="Q884" s="758"/>
      <c r="R884" s="623"/>
      <c r="S884" s="623"/>
      <c r="T884" s="623"/>
      <c r="U884" s="626"/>
      <c r="V884" s="627"/>
      <c r="W884" s="623"/>
      <c r="X884" s="623"/>
      <c r="Y884" s="623"/>
      <c r="Z884" s="623"/>
    </row>
    <row r="885">
      <c r="A885" s="623"/>
      <c r="B885" s="625"/>
      <c r="C885" s="756"/>
      <c r="D885" s="757"/>
      <c r="E885" s="642"/>
      <c r="F885" s="758"/>
      <c r="G885" s="758"/>
      <c r="H885" s="758"/>
      <c r="I885" s="758"/>
      <c r="J885" s="758"/>
      <c r="K885" s="758"/>
      <c r="L885" s="758"/>
      <c r="M885" s="758"/>
      <c r="N885" s="758"/>
      <c r="O885" s="758"/>
      <c r="P885" s="758"/>
      <c r="Q885" s="758"/>
      <c r="R885" s="623"/>
      <c r="S885" s="623"/>
      <c r="T885" s="623"/>
      <c r="U885" s="626"/>
      <c r="V885" s="627"/>
      <c r="W885" s="623"/>
      <c r="X885" s="623"/>
      <c r="Y885" s="623"/>
      <c r="Z885" s="623"/>
    </row>
    <row r="886">
      <c r="A886" s="623"/>
      <c r="B886" s="625"/>
      <c r="C886" s="756"/>
      <c r="D886" s="757"/>
      <c r="E886" s="642"/>
      <c r="F886" s="758"/>
      <c r="G886" s="758"/>
      <c r="H886" s="758"/>
      <c r="I886" s="758"/>
      <c r="J886" s="758"/>
      <c r="K886" s="758"/>
      <c r="L886" s="758"/>
      <c r="M886" s="758"/>
      <c r="N886" s="758"/>
      <c r="O886" s="758"/>
      <c r="P886" s="758"/>
      <c r="Q886" s="758"/>
      <c r="R886" s="623"/>
      <c r="S886" s="623"/>
      <c r="T886" s="623"/>
      <c r="U886" s="626"/>
      <c r="V886" s="627"/>
      <c r="W886" s="623"/>
      <c r="X886" s="623"/>
      <c r="Y886" s="623"/>
      <c r="Z886" s="623"/>
    </row>
    <row r="887">
      <c r="A887" s="623"/>
      <c r="B887" s="625"/>
      <c r="C887" s="756"/>
      <c r="D887" s="757"/>
      <c r="E887" s="642"/>
      <c r="F887" s="758"/>
      <c r="G887" s="758"/>
      <c r="H887" s="758"/>
      <c r="I887" s="758"/>
      <c r="J887" s="758"/>
      <c r="K887" s="758"/>
      <c r="L887" s="758"/>
      <c r="M887" s="758"/>
      <c r="N887" s="758"/>
      <c r="O887" s="758"/>
      <c r="P887" s="758"/>
      <c r="Q887" s="758"/>
      <c r="R887" s="623"/>
      <c r="S887" s="623"/>
      <c r="T887" s="623"/>
      <c r="U887" s="626"/>
      <c r="V887" s="627"/>
      <c r="W887" s="623"/>
      <c r="X887" s="623"/>
      <c r="Y887" s="623"/>
      <c r="Z887" s="623"/>
    </row>
    <row r="888">
      <c r="A888" s="623"/>
      <c r="B888" s="625"/>
      <c r="C888" s="756"/>
      <c r="D888" s="757"/>
      <c r="E888" s="642"/>
      <c r="F888" s="758"/>
      <c r="G888" s="758"/>
      <c r="H888" s="758"/>
      <c r="I888" s="758"/>
      <c r="J888" s="758"/>
      <c r="K888" s="758"/>
      <c r="L888" s="758"/>
      <c r="M888" s="758"/>
      <c r="N888" s="758"/>
      <c r="O888" s="758"/>
      <c r="P888" s="758"/>
      <c r="Q888" s="758"/>
      <c r="R888" s="623"/>
      <c r="S888" s="623"/>
      <c r="T888" s="623"/>
      <c r="U888" s="626"/>
      <c r="V888" s="627"/>
      <c r="W888" s="623"/>
      <c r="X888" s="623"/>
      <c r="Y888" s="623"/>
      <c r="Z888" s="623"/>
    </row>
    <row r="889">
      <c r="A889" s="623"/>
      <c r="B889" s="625"/>
      <c r="C889" s="756"/>
      <c r="D889" s="757"/>
      <c r="E889" s="642"/>
      <c r="F889" s="758"/>
      <c r="G889" s="758"/>
      <c r="H889" s="758"/>
      <c r="I889" s="758"/>
      <c r="J889" s="758"/>
      <c r="K889" s="758"/>
      <c r="L889" s="758"/>
      <c r="M889" s="758"/>
      <c r="N889" s="758"/>
      <c r="O889" s="758"/>
      <c r="P889" s="758"/>
      <c r="Q889" s="758"/>
      <c r="R889" s="623"/>
      <c r="S889" s="623"/>
      <c r="T889" s="623"/>
      <c r="U889" s="626"/>
      <c r="V889" s="627"/>
      <c r="W889" s="623"/>
      <c r="X889" s="623"/>
      <c r="Y889" s="623"/>
      <c r="Z889" s="623"/>
    </row>
    <row r="890">
      <c r="A890" s="623"/>
      <c r="B890" s="625"/>
      <c r="C890" s="756"/>
      <c r="D890" s="757"/>
      <c r="E890" s="642"/>
      <c r="F890" s="758"/>
      <c r="G890" s="758"/>
      <c r="H890" s="758"/>
      <c r="I890" s="758"/>
      <c r="J890" s="758"/>
      <c r="K890" s="758"/>
      <c r="L890" s="758"/>
      <c r="M890" s="758"/>
      <c r="N890" s="758"/>
      <c r="O890" s="758"/>
      <c r="P890" s="758"/>
      <c r="Q890" s="758"/>
      <c r="R890" s="623"/>
      <c r="S890" s="623"/>
      <c r="T890" s="623"/>
      <c r="U890" s="626"/>
      <c r="V890" s="627"/>
      <c r="W890" s="623"/>
      <c r="X890" s="623"/>
      <c r="Y890" s="623"/>
      <c r="Z890" s="623"/>
    </row>
    <row r="891">
      <c r="A891" s="623"/>
      <c r="B891" s="625"/>
      <c r="C891" s="756"/>
      <c r="D891" s="757"/>
      <c r="E891" s="642"/>
      <c r="F891" s="758"/>
      <c r="G891" s="758"/>
      <c r="H891" s="758"/>
      <c r="I891" s="758"/>
      <c r="J891" s="758"/>
      <c r="K891" s="758"/>
      <c r="L891" s="758"/>
      <c r="M891" s="758"/>
      <c r="N891" s="758"/>
      <c r="O891" s="758"/>
      <c r="P891" s="758"/>
      <c r="Q891" s="758"/>
      <c r="R891" s="623"/>
      <c r="S891" s="623"/>
      <c r="T891" s="623"/>
      <c r="U891" s="626"/>
      <c r="V891" s="627"/>
      <c r="W891" s="623"/>
      <c r="X891" s="623"/>
      <c r="Y891" s="623"/>
      <c r="Z891" s="623"/>
    </row>
    <row r="892">
      <c r="A892" s="623"/>
      <c r="B892" s="625"/>
      <c r="C892" s="756"/>
      <c r="D892" s="757"/>
      <c r="E892" s="642"/>
      <c r="F892" s="758"/>
      <c r="G892" s="758"/>
      <c r="H892" s="758"/>
      <c r="I892" s="758"/>
      <c r="J892" s="758"/>
      <c r="K892" s="758"/>
      <c r="L892" s="758"/>
      <c r="M892" s="758"/>
      <c r="N892" s="758"/>
      <c r="O892" s="758"/>
      <c r="P892" s="758"/>
      <c r="Q892" s="758"/>
      <c r="R892" s="623"/>
      <c r="S892" s="623"/>
      <c r="T892" s="623"/>
      <c r="U892" s="626"/>
      <c r="V892" s="627"/>
      <c r="W892" s="623"/>
      <c r="X892" s="623"/>
      <c r="Y892" s="623"/>
      <c r="Z892" s="623"/>
    </row>
    <row r="893">
      <c r="A893" s="623"/>
      <c r="B893" s="625"/>
      <c r="C893" s="756"/>
      <c r="D893" s="757"/>
      <c r="E893" s="642"/>
      <c r="F893" s="758"/>
      <c r="G893" s="758"/>
      <c r="H893" s="758"/>
      <c r="I893" s="758"/>
      <c r="J893" s="758"/>
      <c r="K893" s="758"/>
      <c r="L893" s="758"/>
      <c r="M893" s="758"/>
      <c r="N893" s="758"/>
      <c r="O893" s="758"/>
      <c r="P893" s="758"/>
      <c r="Q893" s="758"/>
      <c r="R893" s="623"/>
      <c r="S893" s="623"/>
      <c r="T893" s="623"/>
      <c r="U893" s="626"/>
      <c r="V893" s="627"/>
      <c r="W893" s="623"/>
      <c r="X893" s="623"/>
      <c r="Y893" s="623"/>
      <c r="Z893" s="623"/>
    </row>
    <row r="894">
      <c r="A894" s="623"/>
      <c r="B894" s="625"/>
      <c r="C894" s="756"/>
      <c r="D894" s="757"/>
      <c r="E894" s="642"/>
      <c r="F894" s="758"/>
      <c r="G894" s="758"/>
      <c r="H894" s="758"/>
      <c r="I894" s="758"/>
      <c r="J894" s="758"/>
      <c r="K894" s="758"/>
      <c r="L894" s="758"/>
      <c r="M894" s="758"/>
      <c r="N894" s="758"/>
      <c r="O894" s="758"/>
      <c r="P894" s="758"/>
      <c r="Q894" s="758"/>
      <c r="R894" s="623"/>
      <c r="S894" s="623"/>
      <c r="T894" s="623"/>
      <c r="U894" s="626"/>
      <c r="V894" s="627"/>
      <c r="W894" s="623"/>
      <c r="X894" s="623"/>
      <c r="Y894" s="623"/>
      <c r="Z894" s="623"/>
    </row>
    <row r="895">
      <c r="A895" s="623"/>
      <c r="B895" s="625"/>
      <c r="C895" s="756"/>
      <c r="D895" s="757"/>
      <c r="E895" s="642"/>
      <c r="F895" s="758"/>
      <c r="G895" s="758"/>
      <c r="H895" s="758"/>
      <c r="I895" s="758"/>
      <c r="J895" s="758"/>
      <c r="K895" s="758"/>
      <c r="L895" s="758"/>
      <c r="M895" s="758"/>
      <c r="N895" s="758"/>
      <c r="O895" s="758"/>
      <c r="P895" s="758"/>
      <c r="Q895" s="758"/>
      <c r="R895" s="623"/>
      <c r="S895" s="623"/>
      <c r="T895" s="623"/>
      <c r="U895" s="626"/>
      <c r="V895" s="627"/>
      <c r="W895" s="623"/>
      <c r="X895" s="623"/>
      <c r="Y895" s="623"/>
      <c r="Z895" s="623"/>
    </row>
    <row r="896">
      <c r="A896" s="623"/>
      <c r="B896" s="625"/>
      <c r="C896" s="756"/>
      <c r="D896" s="757"/>
      <c r="E896" s="642"/>
      <c r="F896" s="758"/>
      <c r="G896" s="758"/>
      <c r="H896" s="758"/>
      <c r="I896" s="758"/>
      <c r="J896" s="758"/>
      <c r="K896" s="758"/>
      <c r="L896" s="758"/>
      <c r="M896" s="758"/>
      <c r="N896" s="758"/>
      <c r="O896" s="758"/>
      <c r="P896" s="758"/>
      <c r="Q896" s="758"/>
      <c r="R896" s="623"/>
      <c r="S896" s="623"/>
      <c r="T896" s="623"/>
      <c r="U896" s="626"/>
      <c r="V896" s="627"/>
      <c r="W896" s="623"/>
      <c r="X896" s="623"/>
      <c r="Y896" s="623"/>
      <c r="Z896" s="623"/>
    </row>
    <row r="897">
      <c r="A897" s="623"/>
      <c r="B897" s="625"/>
      <c r="C897" s="756"/>
      <c r="D897" s="757"/>
      <c r="E897" s="642"/>
      <c r="F897" s="758"/>
      <c r="G897" s="758"/>
      <c r="H897" s="758"/>
      <c r="I897" s="758"/>
      <c r="J897" s="758"/>
      <c r="K897" s="758"/>
      <c r="L897" s="758"/>
      <c r="M897" s="758"/>
      <c r="N897" s="758"/>
      <c r="O897" s="758"/>
      <c r="P897" s="758"/>
      <c r="Q897" s="758"/>
      <c r="R897" s="623"/>
      <c r="S897" s="623"/>
      <c r="T897" s="623"/>
      <c r="U897" s="626"/>
      <c r="V897" s="627"/>
      <c r="W897" s="623"/>
      <c r="X897" s="623"/>
      <c r="Y897" s="623"/>
      <c r="Z897" s="623"/>
    </row>
    <row r="898">
      <c r="A898" s="623"/>
      <c r="B898" s="625"/>
      <c r="C898" s="756"/>
      <c r="D898" s="757"/>
      <c r="E898" s="642"/>
      <c r="F898" s="758"/>
      <c r="G898" s="758"/>
      <c r="H898" s="758"/>
      <c r="I898" s="758"/>
      <c r="J898" s="758"/>
      <c r="K898" s="758"/>
      <c r="L898" s="758"/>
      <c r="M898" s="758"/>
      <c r="N898" s="758"/>
      <c r="O898" s="758"/>
      <c r="P898" s="758"/>
      <c r="Q898" s="758"/>
      <c r="R898" s="623"/>
      <c r="S898" s="623"/>
      <c r="T898" s="623"/>
      <c r="U898" s="626"/>
      <c r="V898" s="627"/>
      <c r="W898" s="623"/>
      <c r="X898" s="623"/>
      <c r="Y898" s="623"/>
      <c r="Z898" s="623"/>
    </row>
    <row r="899">
      <c r="A899" s="623"/>
      <c r="B899" s="625"/>
      <c r="C899" s="756"/>
      <c r="D899" s="757"/>
      <c r="E899" s="642"/>
      <c r="F899" s="758"/>
      <c r="G899" s="758"/>
      <c r="H899" s="758"/>
      <c r="I899" s="758"/>
      <c r="J899" s="758"/>
      <c r="K899" s="758"/>
      <c r="L899" s="758"/>
      <c r="M899" s="758"/>
      <c r="N899" s="758"/>
      <c r="O899" s="758"/>
      <c r="P899" s="758"/>
      <c r="Q899" s="758"/>
      <c r="R899" s="623"/>
      <c r="S899" s="623"/>
      <c r="T899" s="623"/>
      <c r="U899" s="626"/>
      <c r="V899" s="627"/>
      <c r="W899" s="623"/>
      <c r="X899" s="623"/>
      <c r="Y899" s="623"/>
      <c r="Z899" s="623"/>
    </row>
    <row r="900">
      <c r="A900" s="623"/>
      <c r="B900" s="625"/>
      <c r="C900" s="756"/>
      <c r="D900" s="757"/>
      <c r="E900" s="642"/>
      <c r="F900" s="758"/>
      <c r="G900" s="758"/>
      <c r="H900" s="758"/>
      <c r="I900" s="758"/>
      <c r="J900" s="758"/>
      <c r="K900" s="758"/>
      <c r="L900" s="758"/>
      <c r="M900" s="758"/>
      <c r="N900" s="758"/>
      <c r="O900" s="758"/>
      <c r="P900" s="758"/>
      <c r="Q900" s="758"/>
      <c r="R900" s="623"/>
      <c r="S900" s="623"/>
      <c r="T900" s="623"/>
      <c r="U900" s="626"/>
      <c r="V900" s="627"/>
      <c r="W900" s="623"/>
      <c r="X900" s="623"/>
      <c r="Y900" s="623"/>
      <c r="Z900" s="623"/>
    </row>
    <row r="901">
      <c r="A901" s="623"/>
      <c r="B901" s="625"/>
      <c r="C901" s="756"/>
      <c r="D901" s="757"/>
      <c r="E901" s="642"/>
      <c r="F901" s="758"/>
      <c r="G901" s="758"/>
      <c r="H901" s="758"/>
      <c r="I901" s="758"/>
      <c r="J901" s="758"/>
      <c r="K901" s="758"/>
      <c r="L901" s="758"/>
      <c r="M901" s="758"/>
      <c r="N901" s="758"/>
      <c r="O901" s="758"/>
      <c r="P901" s="758"/>
      <c r="Q901" s="758"/>
      <c r="R901" s="623"/>
      <c r="S901" s="623"/>
      <c r="T901" s="623"/>
      <c r="U901" s="626"/>
      <c r="V901" s="627"/>
      <c r="W901" s="623"/>
      <c r="X901" s="623"/>
      <c r="Y901" s="623"/>
      <c r="Z901" s="623"/>
    </row>
    <row r="902">
      <c r="A902" s="623"/>
      <c r="B902" s="625"/>
      <c r="C902" s="756"/>
      <c r="D902" s="757"/>
      <c r="E902" s="642"/>
      <c r="F902" s="758"/>
      <c r="G902" s="758"/>
      <c r="H902" s="758"/>
      <c r="I902" s="758"/>
      <c r="J902" s="758"/>
      <c r="K902" s="758"/>
      <c r="L902" s="758"/>
      <c r="M902" s="758"/>
      <c r="N902" s="758"/>
      <c r="O902" s="758"/>
      <c r="P902" s="758"/>
      <c r="Q902" s="758"/>
      <c r="R902" s="623"/>
      <c r="S902" s="623"/>
      <c r="T902" s="623"/>
      <c r="U902" s="626"/>
      <c r="V902" s="627"/>
      <c r="W902" s="623"/>
      <c r="X902" s="623"/>
      <c r="Y902" s="623"/>
      <c r="Z902" s="623"/>
    </row>
    <row r="903">
      <c r="A903" s="623"/>
      <c r="B903" s="625"/>
      <c r="C903" s="756"/>
      <c r="D903" s="757"/>
      <c r="E903" s="642"/>
      <c r="F903" s="758"/>
      <c r="G903" s="758"/>
      <c r="H903" s="758"/>
      <c r="I903" s="758"/>
      <c r="J903" s="758"/>
      <c r="K903" s="758"/>
      <c r="L903" s="758"/>
      <c r="M903" s="758"/>
      <c r="N903" s="758"/>
      <c r="O903" s="758"/>
      <c r="P903" s="758"/>
      <c r="Q903" s="758"/>
      <c r="R903" s="623"/>
      <c r="S903" s="623"/>
      <c r="T903" s="623"/>
      <c r="U903" s="626"/>
      <c r="V903" s="627"/>
      <c r="W903" s="623"/>
      <c r="X903" s="623"/>
      <c r="Y903" s="623"/>
      <c r="Z903" s="623"/>
    </row>
    <row r="904">
      <c r="A904" s="623"/>
      <c r="B904" s="625"/>
      <c r="C904" s="756"/>
      <c r="D904" s="757"/>
      <c r="E904" s="642"/>
      <c r="F904" s="758"/>
      <c r="G904" s="758"/>
      <c r="H904" s="758"/>
      <c r="I904" s="758"/>
      <c r="J904" s="758"/>
      <c r="K904" s="758"/>
      <c r="L904" s="758"/>
      <c r="M904" s="758"/>
      <c r="N904" s="758"/>
      <c r="O904" s="758"/>
      <c r="P904" s="758"/>
      <c r="Q904" s="758"/>
      <c r="R904" s="623"/>
      <c r="S904" s="623"/>
      <c r="T904" s="623"/>
      <c r="U904" s="626"/>
      <c r="V904" s="627"/>
      <c r="W904" s="623"/>
      <c r="X904" s="623"/>
      <c r="Y904" s="623"/>
      <c r="Z904" s="623"/>
    </row>
    <row r="905">
      <c r="A905" s="623"/>
      <c r="B905" s="625"/>
      <c r="C905" s="756"/>
      <c r="D905" s="757"/>
      <c r="E905" s="642"/>
      <c r="F905" s="758"/>
      <c r="G905" s="758"/>
      <c r="H905" s="758"/>
      <c r="I905" s="758"/>
      <c r="J905" s="758"/>
      <c r="K905" s="758"/>
      <c r="L905" s="758"/>
      <c r="M905" s="758"/>
      <c r="N905" s="758"/>
      <c r="O905" s="758"/>
      <c r="P905" s="758"/>
      <c r="Q905" s="758"/>
      <c r="R905" s="623"/>
      <c r="S905" s="623"/>
      <c r="T905" s="623"/>
      <c r="U905" s="626"/>
      <c r="V905" s="627"/>
      <c r="W905" s="623"/>
      <c r="X905" s="623"/>
      <c r="Y905" s="623"/>
      <c r="Z905" s="623"/>
    </row>
    <row r="906">
      <c r="A906" s="623"/>
      <c r="B906" s="625"/>
      <c r="C906" s="756"/>
      <c r="D906" s="757"/>
      <c r="E906" s="642"/>
      <c r="F906" s="758"/>
      <c r="G906" s="758"/>
      <c r="H906" s="758"/>
      <c r="I906" s="758"/>
      <c r="J906" s="758"/>
      <c r="K906" s="758"/>
      <c r="L906" s="758"/>
      <c r="M906" s="758"/>
      <c r="N906" s="758"/>
      <c r="O906" s="758"/>
      <c r="P906" s="758"/>
      <c r="Q906" s="758"/>
      <c r="R906" s="623"/>
      <c r="S906" s="623"/>
      <c r="T906" s="623"/>
      <c r="U906" s="626"/>
      <c r="V906" s="627"/>
      <c r="W906" s="623"/>
      <c r="X906" s="623"/>
      <c r="Y906" s="623"/>
      <c r="Z906" s="623"/>
    </row>
    <row r="907">
      <c r="A907" s="623"/>
      <c r="B907" s="625"/>
      <c r="C907" s="756"/>
      <c r="D907" s="757"/>
      <c r="E907" s="642"/>
      <c r="F907" s="758"/>
      <c r="G907" s="758"/>
      <c r="H907" s="758"/>
      <c r="I907" s="758"/>
      <c r="J907" s="758"/>
      <c r="K907" s="758"/>
      <c r="L907" s="758"/>
      <c r="M907" s="758"/>
      <c r="N907" s="758"/>
      <c r="O907" s="758"/>
      <c r="P907" s="758"/>
      <c r="Q907" s="758"/>
      <c r="R907" s="623"/>
      <c r="S907" s="623"/>
      <c r="T907" s="623"/>
      <c r="U907" s="626"/>
      <c r="V907" s="627"/>
      <c r="W907" s="623"/>
      <c r="X907" s="623"/>
      <c r="Y907" s="623"/>
      <c r="Z907" s="623"/>
    </row>
    <row r="908">
      <c r="A908" s="623"/>
      <c r="B908" s="625"/>
      <c r="C908" s="756"/>
      <c r="D908" s="757"/>
      <c r="E908" s="642"/>
      <c r="F908" s="758"/>
      <c r="G908" s="758"/>
      <c r="H908" s="758"/>
      <c r="I908" s="758"/>
      <c r="J908" s="758"/>
      <c r="K908" s="758"/>
      <c r="L908" s="758"/>
      <c r="M908" s="758"/>
      <c r="N908" s="758"/>
      <c r="O908" s="758"/>
      <c r="P908" s="758"/>
      <c r="Q908" s="758"/>
      <c r="R908" s="623"/>
      <c r="S908" s="623"/>
      <c r="T908" s="623"/>
      <c r="U908" s="626"/>
      <c r="V908" s="627"/>
      <c r="W908" s="623"/>
      <c r="X908" s="623"/>
      <c r="Y908" s="623"/>
      <c r="Z908" s="623"/>
    </row>
    <row r="909">
      <c r="A909" s="623"/>
      <c r="B909" s="625"/>
      <c r="C909" s="756"/>
      <c r="D909" s="757"/>
      <c r="E909" s="642"/>
      <c r="F909" s="758"/>
      <c r="G909" s="758"/>
      <c r="H909" s="758"/>
      <c r="I909" s="758"/>
      <c r="J909" s="758"/>
      <c r="K909" s="758"/>
      <c r="L909" s="758"/>
      <c r="M909" s="758"/>
      <c r="N909" s="758"/>
      <c r="O909" s="758"/>
      <c r="P909" s="758"/>
      <c r="Q909" s="758"/>
      <c r="R909" s="623"/>
      <c r="S909" s="623"/>
      <c r="T909" s="623"/>
      <c r="U909" s="626"/>
      <c r="V909" s="627"/>
      <c r="W909" s="623"/>
      <c r="X909" s="623"/>
      <c r="Y909" s="623"/>
      <c r="Z909" s="623"/>
    </row>
    <row r="910">
      <c r="A910" s="623"/>
      <c r="B910" s="625"/>
      <c r="C910" s="756"/>
      <c r="D910" s="757"/>
      <c r="E910" s="642"/>
      <c r="F910" s="758"/>
      <c r="G910" s="758"/>
      <c r="H910" s="758"/>
      <c r="I910" s="758"/>
      <c r="J910" s="758"/>
      <c r="K910" s="758"/>
      <c r="L910" s="758"/>
      <c r="M910" s="758"/>
      <c r="N910" s="758"/>
      <c r="O910" s="758"/>
      <c r="P910" s="758"/>
      <c r="Q910" s="758"/>
      <c r="R910" s="623"/>
      <c r="S910" s="623"/>
      <c r="T910" s="623"/>
      <c r="U910" s="626"/>
      <c r="V910" s="627"/>
      <c r="W910" s="623"/>
      <c r="X910" s="623"/>
      <c r="Y910" s="623"/>
      <c r="Z910" s="623"/>
    </row>
    <row r="911">
      <c r="A911" s="623"/>
      <c r="B911" s="625"/>
      <c r="C911" s="756"/>
      <c r="D911" s="757"/>
      <c r="E911" s="642"/>
      <c r="F911" s="758"/>
      <c r="G911" s="758"/>
      <c r="H911" s="758"/>
      <c r="I911" s="758"/>
      <c r="J911" s="758"/>
      <c r="K911" s="758"/>
      <c r="L911" s="758"/>
      <c r="M911" s="758"/>
      <c r="N911" s="758"/>
      <c r="O911" s="758"/>
      <c r="P911" s="758"/>
      <c r="Q911" s="758"/>
      <c r="R911" s="623"/>
      <c r="S911" s="623"/>
      <c r="T911" s="623"/>
      <c r="U911" s="626"/>
      <c r="V911" s="627"/>
      <c r="W911" s="623"/>
      <c r="X911" s="623"/>
      <c r="Y911" s="623"/>
      <c r="Z911" s="623"/>
    </row>
    <row r="912">
      <c r="A912" s="623"/>
      <c r="B912" s="625"/>
      <c r="C912" s="756"/>
      <c r="D912" s="757"/>
      <c r="E912" s="642"/>
      <c r="F912" s="758"/>
      <c r="G912" s="758"/>
      <c r="H912" s="758"/>
      <c r="I912" s="758"/>
      <c r="J912" s="758"/>
      <c r="K912" s="758"/>
      <c r="L912" s="758"/>
      <c r="M912" s="758"/>
      <c r="N912" s="758"/>
      <c r="O912" s="758"/>
      <c r="P912" s="758"/>
      <c r="Q912" s="758"/>
      <c r="R912" s="623"/>
      <c r="S912" s="623"/>
      <c r="T912" s="623"/>
      <c r="U912" s="626"/>
      <c r="V912" s="627"/>
      <c r="W912" s="623"/>
      <c r="X912" s="623"/>
      <c r="Y912" s="623"/>
      <c r="Z912" s="623"/>
    </row>
    <row r="913">
      <c r="A913" s="623"/>
      <c r="B913" s="625"/>
      <c r="C913" s="756"/>
      <c r="D913" s="757"/>
      <c r="E913" s="642"/>
      <c r="F913" s="758"/>
      <c r="G913" s="758"/>
      <c r="H913" s="758"/>
      <c r="I913" s="758"/>
      <c r="J913" s="758"/>
      <c r="K913" s="758"/>
      <c r="L913" s="758"/>
      <c r="M913" s="758"/>
      <c r="N913" s="758"/>
      <c r="O913" s="758"/>
      <c r="P913" s="758"/>
      <c r="Q913" s="758"/>
      <c r="R913" s="623"/>
      <c r="S913" s="623"/>
      <c r="T913" s="623"/>
      <c r="U913" s="626"/>
      <c r="V913" s="627"/>
      <c r="W913" s="623"/>
      <c r="X913" s="623"/>
      <c r="Y913" s="623"/>
      <c r="Z913" s="623"/>
    </row>
    <row r="914">
      <c r="A914" s="623"/>
      <c r="B914" s="625"/>
      <c r="C914" s="756"/>
      <c r="D914" s="757"/>
      <c r="E914" s="642"/>
      <c r="F914" s="758"/>
      <c r="G914" s="758"/>
      <c r="H914" s="758"/>
      <c r="I914" s="758"/>
      <c r="J914" s="758"/>
      <c r="K914" s="758"/>
      <c r="L914" s="758"/>
      <c r="M914" s="758"/>
      <c r="N914" s="758"/>
      <c r="O914" s="758"/>
      <c r="P914" s="758"/>
      <c r="Q914" s="758"/>
      <c r="R914" s="623"/>
      <c r="S914" s="623"/>
      <c r="T914" s="623"/>
      <c r="U914" s="626"/>
      <c r="V914" s="627"/>
      <c r="W914" s="623"/>
      <c r="X914" s="623"/>
      <c r="Y914" s="623"/>
      <c r="Z914" s="623"/>
    </row>
    <row r="915">
      <c r="A915" s="623"/>
      <c r="B915" s="625"/>
      <c r="C915" s="756"/>
      <c r="D915" s="757"/>
      <c r="E915" s="642"/>
      <c r="F915" s="758"/>
      <c r="G915" s="758"/>
      <c r="H915" s="758"/>
      <c r="I915" s="758"/>
      <c r="J915" s="758"/>
      <c r="K915" s="758"/>
      <c r="L915" s="758"/>
      <c r="M915" s="758"/>
      <c r="N915" s="758"/>
      <c r="O915" s="758"/>
      <c r="P915" s="758"/>
      <c r="Q915" s="758"/>
      <c r="R915" s="623"/>
      <c r="S915" s="623"/>
      <c r="T915" s="623"/>
      <c r="U915" s="626"/>
      <c r="V915" s="627"/>
      <c r="W915" s="623"/>
      <c r="X915" s="623"/>
      <c r="Y915" s="623"/>
      <c r="Z915" s="623"/>
    </row>
    <row r="916">
      <c r="A916" s="623"/>
      <c r="B916" s="625"/>
      <c r="C916" s="756"/>
      <c r="D916" s="757"/>
      <c r="E916" s="642"/>
      <c r="F916" s="758"/>
      <c r="G916" s="758"/>
      <c r="H916" s="758"/>
      <c r="I916" s="758"/>
      <c r="J916" s="758"/>
      <c r="K916" s="758"/>
      <c r="L916" s="758"/>
      <c r="M916" s="758"/>
      <c r="N916" s="758"/>
      <c r="O916" s="758"/>
      <c r="P916" s="758"/>
      <c r="Q916" s="758"/>
      <c r="R916" s="623"/>
      <c r="S916" s="623"/>
      <c r="T916" s="623"/>
      <c r="U916" s="626"/>
      <c r="V916" s="627"/>
      <c r="W916" s="623"/>
      <c r="X916" s="623"/>
      <c r="Y916" s="623"/>
      <c r="Z916" s="623"/>
    </row>
    <row r="917">
      <c r="A917" s="623"/>
      <c r="B917" s="625"/>
      <c r="C917" s="756"/>
      <c r="D917" s="757"/>
      <c r="E917" s="642"/>
      <c r="F917" s="758"/>
      <c r="G917" s="758"/>
      <c r="H917" s="758"/>
      <c r="I917" s="758"/>
      <c r="J917" s="758"/>
      <c r="K917" s="758"/>
      <c r="L917" s="758"/>
      <c r="M917" s="758"/>
      <c r="N917" s="758"/>
      <c r="O917" s="758"/>
      <c r="P917" s="758"/>
      <c r="Q917" s="758"/>
      <c r="R917" s="623"/>
      <c r="S917" s="623"/>
      <c r="T917" s="623"/>
      <c r="U917" s="626"/>
      <c r="V917" s="627"/>
      <c r="W917" s="623"/>
      <c r="X917" s="623"/>
      <c r="Y917" s="623"/>
      <c r="Z917" s="623"/>
    </row>
    <row r="918">
      <c r="A918" s="623"/>
      <c r="B918" s="625"/>
      <c r="C918" s="756"/>
      <c r="D918" s="757"/>
      <c r="E918" s="642"/>
      <c r="F918" s="758"/>
      <c r="G918" s="758"/>
      <c r="H918" s="758"/>
      <c r="I918" s="758"/>
      <c r="J918" s="758"/>
      <c r="K918" s="758"/>
      <c r="L918" s="758"/>
      <c r="M918" s="758"/>
      <c r="N918" s="758"/>
      <c r="O918" s="758"/>
      <c r="P918" s="758"/>
      <c r="Q918" s="758"/>
      <c r="R918" s="623"/>
      <c r="S918" s="623"/>
      <c r="T918" s="623"/>
      <c r="U918" s="626"/>
      <c r="V918" s="627"/>
      <c r="W918" s="623"/>
      <c r="X918" s="623"/>
      <c r="Y918" s="623"/>
      <c r="Z918" s="623"/>
    </row>
    <row r="919">
      <c r="A919" s="623"/>
      <c r="B919" s="625"/>
      <c r="C919" s="756"/>
      <c r="D919" s="757"/>
      <c r="E919" s="642"/>
      <c r="F919" s="758"/>
      <c r="G919" s="758"/>
      <c r="H919" s="758"/>
      <c r="I919" s="758"/>
      <c r="J919" s="758"/>
      <c r="K919" s="758"/>
      <c r="L919" s="758"/>
      <c r="M919" s="758"/>
      <c r="N919" s="758"/>
      <c r="O919" s="758"/>
      <c r="P919" s="758"/>
      <c r="Q919" s="758"/>
      <c r="R919" s="623"/>
      <c r="S919" s="623"/>
      <c r="T919" s="623"/>
      <c r="U919" s="626"/>
      <c r="V919" s="627"/>
      <c r="W919" s="623"/>
      <c r="X919" s="623"/>
      <c r="Y919" s="623"/>
      <c r="Z919" s="623"/>
    </row>
    <row r="920">
      <c r="A920" s="623"/>
      <c r="B920" s="625"/>
      <c r="C920" s="756"/>
      <c r="D920" s="757"/>
      <c r="E920" s="642"/>
      <c r="F920" s="758"/>
      <c r="G920" s="758"/>
      <c r="H920" s="758"/>
      <c r="I920" s="758"/>
      <c r="J920" s="758"/>
      <c r="K920" s="758"/>
      <c r="L920" s="758"/>
      <c r="M920" s="758"/>
      <c r="N920" s="758"/>
      <c r="O920" s="758"/>
      <c r="P920" s="758"/>
      <c r="Q920" s="758"/>
      <c r="R920" s="623"/>
      <c r="S920" s="623"/>
      <c r="T920" s="623"/>
      <c r="U920" s="626"/>
      <c r="V920" s="627"/>
      <c r="W920" s="623"/>
      <c r="X920" s="623"/>
      <c r="Y920" s="623"/>
      <c r="Z920" s="623"/>
    </row>
    <row r="921">
      <c r="A921" s="623"/>
      <c r="B921" s="625"/>
      <c r="C921" s="756"/>
      <c r="D921" s="757"/>
      <c r="E921" s="642"/>
      <c r="F921" s="758"/>
      <c r="G921" s="758"/>
      <c r="H921" s="758"/>
      <c r="I921" s="758"/>
      <c r="J921" s="758"/>
      <c r="K921" s="758"/>
      <c r="L921" s="758"/>
      <c r="M921" s="758"/>
      <c r="N921" s="758"/>
      <c r="O921" s="758"/>
      <c r="P921" s="758"/>
      <c r="Q921" s="758"/>
      <c r="R921" s="623"/>
      <c r="S921" s="623"/>
      <c r="T921" s="623"/>
      <c r="U921" s="626"/>
      <c r="V921" s="627"/>
      <c r="W921" s="623"/>
      <c r="X921" s="623"/>
      <c r="Y921" s="623"/>
      <c r="Z921" s="623"/>
    </row>
    <row r="922">
      <c r="A922" s="623"/>
      <c r="B922" s="625"/>
      <c r="C922" s="756"/>
      <c r="D922" s="757"/>
      <c r="E922" s="642"/>
      <c r="F922" s="758"/>
      <c r="G922" s="758"/>
      <c r="H922" s="758"/>
      <c r="I922" s="758"/>
      <c r="J922" s="758"/>
      <c r="K922" s="758"/>
      <c r="L922" s="758"/>
      <c r="M922" s="758"/>
      <c r="N922" s="758"/>
      <c r="O922" s="758"/>
      <c r="P922" s="758"/>
      <c r="Q922" s="758"/>
      <c r="R922" s="623"/>
      <c r="S922" s="623"/>
      <c r="T922" s="623"/>
      <c r="U922" s="626"/>
      <c r="V922" s="627"/>
      <c r="W922" s="623"/>
      <c r="X922" s="623"/>
      <c r="Y922" s="623"/>
      <c r="Z922" s="623"/>
    </row>
    <row r="923">
      <c r="A923" s="623"/>
      <c r="B923" s="625"/>
      <c r="C923" s="756"/>
      <c r="D923" s="757"/>
      <c r="E923" s="642"/>
      <c r="F923" s="758"/>
      <c r="G923" s="758"/>
      <c r="H923" s="758"/>
      <c r="I923" s="758"/>
      <c r="J923" s="758"/>
      <c r="K923" s="758"/>
      <c r="L923" s="758"/>
      <c r="M923" s="758"/>
      <c r="N923" s="758"/>
      <c r="O923" s="758"/>
      <c r="P923" s="758"/>
      <c r="Q923" s="758"/>
      <c r="R923" s="623"/>
      <c r="S923" s="623"/>
      <c r="T923" s="623"/>
      <c r="U923" s="626"/>
      <c r="V923" s="627"/>
      <c r="W923" s="623"/>
      <c r="X923" s="623"/>
      <c r="Y923" s="623"/>
      <c r="Z923" s="623"/>
    </row>
    <row r="924">
      <c r="A924" s="623"/>
      <c r="B924" s="625"/>
      <c r="C924" s="756"/>
      <c r="D924" s="757"/>
      <c r="E924" s="642"/>
      <c r="F924" s="758"/>
      <c r="G924" s="758"/>
      <c r="H924" s="758"/>
      <c r="I924" s="758"/>
      <c r="J924" s="758"/>
      <c r="K924" s="758"/>
      <c r="L924" s="758"/>
      <c r="M924" s="758"/>
      <c r="N924" s="758"/>
      <c r="O924" s="758"/>
      <c r="P924" s="758"/>
      <c r="Q924" s="758"/>
      <c r="R924" s="623"/>
      <c r="S924" s="623"/>
      <c r="T924" s="623"/>
      <c r="U924" s="626"/>
      <c r="V924" s="627"/>
      <c r="W924" s="623"/>
      <c r="X924" s="623"/>
      <c r="Y924" s="623"/>
      <c r="Z924" s="623"/>
    </row>
    <row r="925">
      <c r="A925" s="623"/>
      <c r="B925" s="625"/>
      <c r="C925" s="756"/>
      <c r="D925" s="757"/>
      <c r="E925" s="642"/>
      <c r="F925" s="758"/>
      <c r="G925" s="758"/>
      <c r="H925" s="758"/>
      <c r="I925" s="758"/>
      <c r="J925" s="758"/>
      <c r="K925" s="758"/>
      <c r="L925" s="758"/>
      <c r="M925" s="758"/>
      <c r="N925" s="758"/>
      <c r="O925" s="758"/>
      <c r="P925" s="758"/>
      <c r="Q925" s="758"/>
      <c r="R925" s="623"/>
      <c r="S925" s="623"/>
      <c r="T925" s="623"/>
      <c r="U925" s="626"/>
      <c r="V925" s="627"/>
      <c r="W925" s="623"/>
      <c r="X925" s="623"/>
      <c r="Y925" s="623"/>
      <c r="Z925" s="623"/>
    </row>
    <row r="926">
      <c r="A926" s="623"/>
      <c r="B926" s="625"/>
      <c r="C926" s="756"/>
      <c r="D926" s="757"/>
      <c r="E926" s="642"/>
      <c r="F926" s="758"/>
      <c r="G926" s="758"/>
      <c r="H926" s="758"/>
      <c r="I926" s="758"/>
      <c r="J926" s="758"/>
      <c r="K926" s="758"/>
      <c r="L926" s="758"/>
      <c r="M926" s="758"/>
      <c r="N926" s="758"/>
      <c r="O926" s="758"/>
      <c r="P926" s="758"/>
      <c r="Q926" s="758"/>
      <c r="R926" s="623"/>
      <c r="S926" s="623"/>
      <c r="T926" s="623"/>
      <c r="U926" s="626"/>
      <c r="V926" s="627"/>
      <c r="W926" s="623"/>
      <c r="X926" s="623"/>
      <c r="Y926" s="623"/>
      <c r="Z926" s="623"/>
    </row>
    <row r="927">
      <c r="A927" s="623"/>
      <c r="B927" s="625"/>
      <c r="C927" s="756"/>
      <c r="D927" s="757"/>
      <c r="E927" s="642"/>
      <c r="F927" s="758"/>
      <c r="G927" s="758"/>
      <c r="H927" s="758"/>
      <c r="I927" s="758"/>
      <c r="J927" s="758"/>
      <c r="K927" s="758"/>
      <c r="L927" s="758"/>
      <c r="M927" s="758"/>
      <c r="N927" s="758"/>
      <c r="O927" s="758"/>
      <c r="P927" s="758"/>
      <c r="Q927" s="758"/>
      <c r="R927" s="623"/>
      <c r="S927" s="623"/>
      <c r="T927" s="623"/>
      <c r="U927" s="626"/>
      <c r="V927" s="627"/>
      <c r="W927" s="623"/>
      <c r="X927" s="623"/>
      <c r="Y927" s="623"/>
      <c r="Z927" s="623"/>
    </row>
    <row r="928">
      <c r="A928" s="623"/>
      <c r="B928" s="625"/>
      <c r="C928" s="756"/>
      <c r="D928" s="757"/>
      <c r="E928" s="642"/>
      <c r="F928" s="758"/>
      <c r="G928" s="758"/>
      <c r="H928" s="758"/>
      <c r="I928" s="758"/>
      <c r="J928" s="758"/>
      <c r="K928" s="758"/>
      <c r="L928" s="758"/>
      <c r="M928" s="758"/>
      <c r="N928" s="758"/>
      <c r="O928" s="758"/>
      <c r="P928" s="758"/>
      <c r="Q928" s="758"/>
      <c r="R928" s="623"/>
      <c r="S928" s="623"/>
      <c r="T928" s="623"/>
      <c r="U928" s="626"/>
      <c r="V928" s="627"/>
      <c r="W928" s="623"/>
      <c r="X928" s="623"/>
      <c r="Y928" s="623"/>
      <c r="Z928" s="623"/>
    </row>
    <row r="929">
      <c r="A929" s="623"/>
      <c r="B929" s="625"/>
      <c r="C929" s="756"/>
      <c r="D929" s="757"/>
      <c r="E929" s="642"/>
      <c r="F929" s="758"/>
      <c r="G929" s="758"/>
      <c r="H929" s="758"/>
      <c r="I929" s="758"/>
      <c r="J929" s="758"/>
      <c r="K929" s="758"/>
      <c r="L929" s="758"/>
      <c r="M929" s="758"/>
      <c r="N929" s="758"/>
      <c r="O929" s="758"/>
      <c r="P929" s="758"/>
      <c r="Q929" s="758"/>
      <c r="R929" s="623"/>
      <c r="S929" s="623"/>
      <c r="T929" s="623"/>
      <c r="U929" s="626"/>
      <c r="V929" s="627"/>
      <c r="W929" s="623"/>
      <c r="X929" s="623"/>
      <c r="Y929" s="623"/>
      <c r="Z929" s="623"/>
    </row>
    <row r="930">
      <c r="A930" s="623"/>
      <c r="B930" s="625"/>
      <c r="C930" s="756"/>
      <c r="D930" s="757"/>
      <c r="E930" s="642"/>
      <c r="F930" s="758"/>
      <c r="G930" s="758"/>
      <c r="H930" s="758"/>
      <c r="I930" s="758"/>
      <c r="J930" s="758"/>
      <c r="K930" s="758"/>
      <c r="L930" s="758"/>
      <c r="M930" s="758"/>
      <c r="N930" s="758"/>
      <c r="O930" s="758"/>
      <c r="P930" s="758"/>
      <c r="Q930" s="758"/>
      <c r="R930" s="623"/>
      <c r="S930" s="623"/>
      <c r="T930" s="623"/>
      <c r="U930" s="626"/>
      <c r="V930" s="627"/>
      <c r="W930" s="623"/>
      <c r="X930" s="623"/>
      <c r="Y930" s="623"/>
      <c r="Z930" s="623"/>
    </row>
    <row r="931">
      <c r="A931" s="623"/>
      <c r="B931" s="625"/>
      <c r="C931" s="756"/>
      <c r="D931" s="757"/>
      <c r="E931" s="642"/>
      <c r="F931" s="758"/>
      <c r="G931" s="758"/>
      <c r="H931" s="758"/>
      <c r="I931" s="758"/>
      <c r="J931" s="758"/>
      <c r="K931" s="758"/>
      <c r="L931" s="758"/>
      <c r="M931" s="758"/>
      <c r="N931" s="758"/>
      <c r="O931" s="758"/>
      <c r="P931" s="758"/>
      <c r="Q931" s="758"/>
      <c r="R931" s="623"/>
      <c r="S931" s="623"/>
      <c r="T931" s="623"/>
      <c r="U931" s="626"/>
      <c r="V931" s="627"/>
      <c r="W931" s="623"/>
      <c r="X931" s="623"/>
      <c r="Y931" s="623"/>
      <c r="Z931" s="623"/>
    </row>
    <row r="932">
      <c r="A932" s="623"/>
      <c r="B932" s="625"/>
      <c r="C932" s="756"/>
      <c r="D932" s="757"/>
      <c r="E932" s="642"/>
      <c r="F932" s="758"/>
      <c r="G932" s="758"/>
      <c r="H932" s="758"/>
      <c r="I932" s="758"/>
      <c r="J932" s="758"/>
      <c r="K932" s="758"/>
      <c r="L932" s="758"/>
      <c r="M932" s="758"/>
      <c r="N932" s="758"/>
      <c r="O932" s="758"/>
      <c r="P932" s="758"/>
      <c r="Q932" s="758"/>
      <c r="R932" s="623"/>
      <c r="S932" s="623"/>
      <c r="T932" s="623"/>
      <c r="U932" s="626"/>
      <c r="V932" s="627"/>
      <c r="W932" s="623"/>
      <c r="X932" s="623"/>
      <c r="Y932" s="623"/>
      <c r="Z932" s="623"/>
    </row>
    <row r="933">
      <c r="A933" s="623"/>
      <c r="B933" s="625"/>
      <c r="C933" s="756"/>
      <c r="D933" s="757"/>
      <c r="E933" s="642"/>
      <c r="F933" s="758"/>
      <c r="G933" s="758"/>
      <c r="H933" s="758"/>
      <c r="I933" s="758"/>
      <c r="J933" s="758"/>
      <c r="K933" s="758"/>
      <c r="L933" s="758"/>
      <c r="M933" s="758"/>
      <c r="N933" s="758"/>
      <c r="O933" s="758"/>
      <c r="P933" s="758"/>
      <c r="Q933" s="758"/>
      <c r="R933" s="623"/>
      <c r="S933" s="623"/>
      <c r="T933" s="623"/>
      <c r="U933" s="626"/>
      <c r="V933" s="627"/>
      <c r="W933" s="623"/>
      <c r="X933" s="623"/>
      <c r="Y933" s="623"/>
      <c r="Z933" s="623"/>
    </row>
    <row r="934">
      <c r="A934" s="623"/>
      <c r="B934" s="625"/>
      <c r="C934" s="756"/>
      <c r="D934" s="757"/>
      <c r="E934" s="642"/>
      <c r="F934" s="758"/>
      <c r="G934" s="758"/>
      <c r="H934" s="758"/>
      <c r="I934" s="758"/>
      <c r="J934" s="758"/>
      <c r="K934" s="758"/>
      <c r="L934" s="758"/>
      <c r="M934" s="758"/>
      <c r="N934" s="758"/>
      <c r="O934" s="758"/>
      <c r="P934" s="758"/>
      <c r="Q934" s="758"/>
      <c r="R934" s="623"/>
      <c r="S934" s="623"/>
      <c r="T934" s="623"/>
      <c r="U934" s="626"/>
      <c r="V934" s="627"/>
      <c r="W934" s="623"/>
      <c r="X934" s="623"/>
      <c r="Y934" s="623"/>
      <c r="Z934" s="623"/>
    </row>
    <row r="935">
      <c r="A935" s="623"/>
      <c r="B935" s="625"/>
      <c r="C935" s="756"/>
      <c r="D935" s="757"/>
      <c r="E935" s="642"/>
      <c r="F935" s="758"/>
      <c r="G935" s="758"/>
      <c r="H935" s="758"/>
      <c r="I935" s="758"/>
      <c r="J935" s="758"/>
      <c r="K935" s="758"/>
      <c r="L935" s="758"/>
      <c r="M935" s="758"/>
      <c r="N935" s="758"/>
      <c r="O935" s="758"/>
      <c r="P935" s="758"/>
      <c r="Q935" s="758"/>
      <c r="R935" s="623"/>
      <c r="S935" s="623"/>
      <c r="T935" s="623"/>
      <c r="U935" s="626"/>
      <c r="V935" s="627"/>
      <c r="W935" s="623"/>
      <c r="X935" s="623"/>
      <c r="Y935" s="623"/>
      <c r="Z935" s="623"/>
    </row>
    <row r="936">
      <c r="A936" s="623"/>
      <c r="B936" s="625"/>
      <c r="C936" s="756"/>
      <c r="D936" s="757"/>
      <c r="E936" s="642"/>
      <c r="F936" s="758"/>
      <c r="G936" s="758"/>
      <c r="H936" s="758"/>
      <c r="I936" s="758"/>
      <c r="J936" s="758"/>
      <c r="K936" s="758"/>
      <c r="L936" s="758"/>
      <c r="M936" s="758"/>
      <c r="N936" s="758"/>
      <c r="O936" s="758"/>
      <c r="P936" s="758"/>
      <c r="Q936" s="758"/>
      <c r="R936" s="623"/>
      <c r="S936" s="623"/>
      <c r="T936" s="623"/>
      <c r="U936" s="626"/>
      <c r="V936" s="627"/>
      <c r="W936" s="623"/>
      <c r="X936" s="623"/>
      <c r="Y936" s="623"/>
      <c r="Z936" s="623"/>
    </row>
    <row r="937">
      <c r="A937" s="623"/>
      <c r="B937" s="625"/>
      <c r="C937" s="756"/>
      <c r="D937" s="757"/>
      <c r="E937" s="642"/>
      <c r="F937" s="758"/>
      <c r="G937" s="758"/>
      <c r="H937" s="758"/>
      <c r="I937" s="758"/>
      <c r="J937" s="758"/>
      <c r="K937" s="758"/>
      <c r="L937" s="758"/>
      <c r="M937" s="758"/>
      <c r="N937" s="758"/>
      <c r="O937" s="758"/>
      <c r="P937" s="758"/>
      <c r="Q937" s="758"/>
      <c r="R937" s="623"/>
      <c r="S937" s="623"/>
      <c r="T937" s="623"/>
      <c r="U937" s="626"/>
      <c r="V937" s="627"/>
      <c r="W937" s="623"/>
      <c r="X937" s="623"/>
      <c r="Y937" s="623"/>
      <c r="Z937" s="623"/>
    </row>
    <row r="938">
      <c r="A938" s="623"/>
      <c r="B938" s="625"/>
      <c r="C938" s="756"/>
      <c r="D938" s="757"/>
      <c r="E938" s="642"/>
      <c r="F938" s="758"/>
      <c r="G938" s="758"/>
      <c r="H938" s="758"/>
      <c r="I938" s="758"/>
      <c r="J938" s="758"/>
      <c r="K938" s="758"/>
      <c r="L938" s="758"/>
      <c r="M938" s="758"/>
      <c r="N938" s="758"/>
      <c r="O938" s="758"/>
      <c r="P938" s="758"/>
      <c r="Q938" s="758"/>
      <c r="R938" s="623"/>
      <c r="S938" s="623"/>
      <c r="T938" s="623"/>
      <c r="U938" s="626"/>
      <c r="V938" s="627"/>
      <c r="W938" s="623"/>
      <c r="X938" s="623"/>
      <c r="Y938" s="623"/>
      <c r="Z938" s="623"/>
    </row>
    <row r="939">
      <c r="A939" s="623"/>
      <c r="B939" s="625"/>
      <c r="C939" s="756"/>
      <c r="D939" s="757"/>
      <c r="E939" s="642"/>
      <c r="F939" s="758"/>
      <c r="G939" s="758"/>
      <c r="H939" s="758"/>
      <c r="I939" s="758"/>
      <c r="J939" s="758"/>
      <c r="K939" s="758"/>
      <c r="L939" s="758"/>
      <c r="M939" s="758"/>
      <c r="N939" s="758"/>
      <c r="O939" s="758"/>
      <c r="P939" s="758"/>
      <c r="Q939" s="758"/>
      <c r="R939" s="623"/>
      <c r="S939" s="623"/>
      <c r="T939" s="623"/>
      <c r="U939" s="626"/>
      <c r="V939" s="627"/>
      <c r="W939" s="623"/>
      <c r="X939" s="623"/>
      <c r="Y939" s="623"/>
      <c r="Z939" s="623"/>
    </row>
    <row r="940">
      <c r="A940" s="623"/>
      <c r="B940" s="625"/>
      <c r="C940" s="756"/>
      <c r="D940" s="757"/>
      <c r="E940" s="642"/>
      <c r="F940" s="758"/>
      <c r="G940" s="758"/>
      <c r="H940" s="758"/>
      <c r="I940" s="758"/>
      <c r="J940" s="758"/>
      <c r="K940" s="758"/>
      <c r="L940" s="758"/>
      <c r="M940" s="758"/>
      <c r="N940" s="758"/>
      <c r="O940" s="758"/>
      <c r="P940" s="758"/>
      <c r="Q940" s="758"/>
      <c r="R940" s="623"/>
      <c r="S940" s="623"/>
      <c r="T940" s="623"/>
      <c r="U940" s="626"/>
      <c r="V940" s="627"/>
      <c r="W940" s="623"/>
      <c r="X940" s="623"/>
      <c r="Y940" s="623"/>
      <c r="Z940" s="623"/>
    </row>
    <row r="941">
      <c r="A941" s="623"/>
      <c r="B941" s="625"/>
      <c r="C941" s="756"/>
      <c r="D941" s="757"/>
      <c r="E941" s="642"/>
      <c r="F941" s="758"/>
      <c r="G941" s="758"/>
      <c r="H941" s="758"/>
      <c r="I941" s="758"/>
      <c r="J941" s="758"/>
      <c r="K941" s="758"/>
      <c r="L941" s="758"/>
      <c r="M941" s="758"/>
      <c r="N941" s="758"/>
      <c r="O941" s="758"/>
      <c r="P941" s="758"/>
      <c r="Q941" s="758"/>
      <c r="R941" s="623"/>
      <c r="S941" s="623"/>
      <c r="T941" s="623"/>
      <c r="U941" s="626"/>
      <c r="V941" s="627"/>
      <c r="W941" s="623"/>
      <c r="X941" s="623"/>
      <c r="Y941" s="623"/>
      <c r="Z941" s="623"/>
    </row>
    <row r="942">
      <c r="A942" s="623"/>
      <c r="B942" s="625"/>
      <c r="C942" s="756"/>
      <c r="D942" s="757"/>
      <c r="E942" s="642"/>
      <c r="F942" s="758"/>
      <c r="G942" s="758"/>
      <c r="H942" s="758"/>
      <c r="I942" s="758"/>
      <c r="J942" s="758"/>
      <c r="K942" s="758"/>
      <c r="L942" s="758"/>
      <c r="M942" s="758"/>
      <c r="N942" s="758"/>
      <c r="O942" s="758"/>
      <c r="P942" s="758"/>
      <c r="Q942" s="758"/>
      <c r="R942" s="623"/>
      <c r="S942" s="623"/>
      <c r="T942" s="623"/>
      <c r="U942" s="626"/>
      <c r="V942" s="627"/>
      <c r="W942" s="623"/>
      <c r="X942" s="623"/>
      <c r="Y942" s="623"/>
      <c r="Z942" s="623"/>
    </row>
    <row r="943">
      <c r="A943" s="623"/>
      <c r="B943" s="625"/>
      <c r="C943" s="756"/>
      <c r="D943" s="757"/>
      <c r="E943" s="642"/>
      <c r="F943" s="758"/>
      <c r="G943" s="758"/>
      <c r="H943" s="758"/>
      <c r="I943" s="758"/>
      <c r="J943" s="758"/>
      <c r="K943" s="758"/>
      <c r="L943" s="758"/>
      <c r="M943" s="758"/>
      <c r="N943" s="758"/>
      <c r="O943" s="758"/>
      <c r="P943" s="758"/>
      <c r="Q943" s="758"/>
      <c r="R943" s="623"/>
      <c r="S943" s="623"/>
      <c r="T943" s="623"/>
      <c r="U943" s="626"/>
      <c r="V943" s="627"/>
      <c r="W943" s="623"/>
      <c r="X943" s="623"/>
      <c r="Y943" s="623"/>
      <c r="Z943" s="623"/>
    </row>
    <row r="944">
      <c r="A944" s="623"/>
      <c r="B944" s="625"/>
      <c r="C944" s="756"/>
      <c r="D944" s="757"/>
      <c r="E944" s="642"/>
      <c r="F944" s="758"/>
      <c r="G944" s="758"/>
      <c r="H944" s="758"/>
      <c r="I944" s="758"/>
      <c r="J944" s="758"/>
      <c r="K944" s="758"/>
      <c r="L944" s="758"/>
      <c r="M944" s="758"/>
      <c r="N944" s="758"/>
      <c r="O944" s="758"/>
      <c r="P944" s="758"/>
      <c r="Q944" s="758"/>
      <c r="R944" s="623"/>
      <c r="S944" s="623"/>
      <c r="T944" s="623"/>
      <c r="U944" s="626"/>
      <c r="V944" s="627"/>
      <c r="W944" s="623"/>
      <c r="X944" s="623"/>
      <c r="Y944" s="623"/>
      <c r="Z944" s="623"/>
    </row>
    <row r="945">
      <c r="A945" s="623"/>
      <c r="B945" s="625"/>
      <c r="C945" s="756"/>
      <c r="D945" s="757"/>
      <c r="E945" s="642"/>
      <c r="F945" s="758"/>
      <c r="G945" s="758"/>
      <c r="H945" s="758"/>
      <c r="I945" s="758"/>
      <c r="J945" s="758"/>
      <c r="K945" s="758"/>
      <c r="L945" s="758"/>
      <c r="M945" s="758"/>
      <c r="N945" s="758"/>
      <c r="O945" s="758"/>
      <c r="P945" s="758"/>
      <c r="Q945" s="758"/>
      <c r="R945" s="623"/>
      <c r="S945" s="623"/>
      <c r="T945" s="623"/>
      <c r="U945" s="626"/>
      <c r="V945" s="627"/>
      <c r="W945" s="623"/>
      <c r="X945" s="623"/>
      <c r="Y945" s="623"/>
      <c r="Z945" s="623"/>
    </row>
    <row r="946">
      <c r="A946" s="623"/>
      <c r="B946" s="625"/>
      <c r="C946" s="756"/>
      <c r="D946" s="757"/>
      <c r="E946" s="642"/>
      <c r="F946" s="758"/>
      <c r="G946" s="758"/>
      <c r="H946" s="758"/>
      <c r="I946" s="758"/>
      <c r="J946" s="758"/>
      <c r="K946" s="758"/>
      <c r="L946" s="758"/>
      <c r="M946" s="758"/>
      <c r="N946" s="758"/>
      <c r="O946" s="758"/>
      <c r="P946" s="758"/>
      <c r="Q946" s="758"/>
      <c r="R946" s="623"/>
      <c r="S946" s="623"/>
      <c r="T946" s="623"/>
      <c r="U946" s="626"/>
      <c r="V946" s="627"/>
      <c r="W946" s="623"/>
      <c r="X946" s="623"/>
      <c r="Y946" s="623"/>
      <c r="Z946" s="623"/>
    </row>
    <row r="947">
      <c r="A947" s="623"/>
      <c r="B947" s="625"/>
      <c r="C947" s="756"/>
      <c r="D947" s="757"/>
      <c r="E947" s="642"/>
      <c r="F947" s="758"/>
      <c r="G947" s="758"/>
      <c r="H947" s="758"/>
      <c r="I947" s="758"/>
      <c r="J947" s="758"/>
      <c r="K947" s="758"/>
      <c r="L947" s="758"/>
      <c r="M947" s="758"/>
      <c r="N947" s="758"/>
      <c r="O947" s="758"/>
      <c r="P947" s="758"/>
      <c r="Q947" s="758"/>
      <c r="R947" s="623"/>
      <c r="S947" s="623"/>
      <c r="T947" s="623"/>
      <c r="U947" s="626"/>
      <c r="V947" s="627"/>
      <c r="W947" s="623"/>
      <c r="X947" s="623"/>
      <c r="Y947" s="623"/>
      <c r="Z947" s="623"/>
    </row>
    <row r="948">
      <c r="A948" s="623"/>
      <c r="B948" s="625"/>
      <c r="C948" s="756"/>
      <c r="D948" s="757"/>
      <c r="E948" s="642"/>
      <c r="F948" s="758"/>
      <c r="G948" s="758"/>
      <c r="H948" s="758"/>
      <c r="I948" s="758"/>
      <c r="J948" s="758"/>
      <c r="K948" s="758"/>
      <c r="L948" s="758"/>
      <c r="M948" s="758"/>
      <c r="N948" s="758"/>
      <c r="O948" s="758"/>
      <c r="P948" s="758"/>
      <c r="Q948" s="758"/>
      <c r="R948" s="623"/>
      <c r="S948" s="623"/>
      <c r="T948" s="623"/>
      <c r="U948" s="626"/>
      <c r="V948" s="627"/>
      <c r="W948" s="623"/>
      <c r="X948" s="623"/>
      <c r="Y948" s="623"/>
      <c r="Z948" s="623"/>
    </row>
    <row r="949">
      <c r="A949" s="623"/>
      <c r="B949" s="625"/>
      <c r="C949" s="756"/>
      <c r="D949" s="757"/>
      <c r="E949" s="642"/>
      <c r="F949" s="758"/>
      <c r="G949" s="758"/>
      <c r="H949" s="758"/>
      <c r="I949" s="758"/>
      <c r="J949" s="758"/>
      <c r="K949" s="758"/>
      <c r="L949" s="758"/>
      <c r="M949" s="758"/>
      <c r="N949" s="758"/>
      <c r="O949" s="758"/>
      <c r="P949" s="758"/>
      <c r="Q949" s="758"/>
      <c r="R949" s="623"/>
      <c r="S949" s="623"/>
      <c r="T949" s="623"/>
      <c r="U949" s="626"/>
      <c r="V949" s="627"/>
      <c r="W949" s="623"/>
      <c r="X949" s="623"/>
      <c r="Y949" s="623"/>
      <c r="Z949" s="623"/>
    </row>
    <row r="950">
      <c r="A950" s="623"/>
      <c r="B950" s="625"/>
      <c r="C950" s="756"/>
      <c r="D950" s="757"/>
      <c r="E950" s="642"/>
      <c r="F950" s="758"/>
      <c r="G950" s="758"/>
      <c r="H950" s="758"/>
      <c r="I950" s="758"/>
      <c r="J950" s="758"/>
      <c r="K950" s="758"/>
      <c r="L950" s="758"/>
      <c r="M950" s="758"/>
      <c r="N950" s="758"/>
      <c r="O950" s="758"/>
      <c r="P950" s="758"/>
      <c r="Q950" s="758"/>
      <c r="R950" s="623"/>
      <c r="S950" s="623"/>
      <c r="T950" s="623"/>
      <c r="U950" s="626"/>
      <c r="V950" s="627"/>
      <c r="W950" s="623"/>
      <c r="X950" s="623"/>
      <c r="Y950" s="623"/>
      <c r="Z950" s="623"/>
    </row>
    <row r="951">
      <c r="A951" s="623"/>
      <c r="B951" s="625"/>
      <c r="C951" s="756"/>
      <c r="D951" s="757"/>
      <c r="E951" s="642"/>
      <c r="F951" s="758"/>
      <c r="G951" s="758"/>
      <c r="H951" s="758"/>
      <c r="I951" s="758"/>
      <c r="J951" s="758"/>
      <c r="K951" s="758"/>
      <c r="L951" s="758"/>
      <c r="M951" s="758"/>
      <c r="N951" s="758"/>
      <c r="O951" s="758"/>
      <c r="P951" s="758"/>
      <c r="Q951" s="758"/>
      <c r="R951" s="623"/>
      <c r="S951" s="623"/>
      <c r="T951" s="623"/>
      <c r="U951" s="626"/>
      <c r="V951" s="627"/>
      <c r="W951" s="623"/>
      <c r="X951" s="623"/>
      <c r="Y951" s="623"/>
      <c r="Z951" s="623"/>
    </row>
    <row r="952">
      <c r="A952" s="623"/>
      <c r="B952" s="625"/>
      <c r="C952" s="756"/>
      <c r="D952" s="757"/>
      <c r="E952" s="642"/>
      <c r="F952" s="758"/>
      <c r="G952" s="758"/>
      <c r="H952" s="758"/>
      <c r="I952" s="758"/>
      <c r="J952" s="758"/>
      <c r="K952" s="758"/>
      <c r="L952" s="758"/>
      <c r="M952" s="758"/>
      <c r="N952" s="758"/>
      <c r="O952" s="758"/>
      <c r="P952" s="758"/>
      <c r="Q952" s="758"/>
      <c r="R952" s="623"/>
      <c r="S952" s="623"/>
      <c r="T952" s="623"/>
      <c r="U952" s="626"/>
      <c r="V952" s="627"/>
      <c r="W952" s="623"/>
      <c r="X952" s="623"/>
      <c r="Y952" s="623"/>
      <c r="Z952" s="623"/>
    </row>
    <row r="953">
      <c r="A953" s="623"/>
      <c r="B953" s="625"/>
      <c r="C953" s="756"/>
      <c r="D953" s="757"/>
      <c r="E953" s="642"/>
      <c r="F953" s="758"/>
      <c r="G953" s="758"/>
      <c r="H953" s="758"/>
      <c r="I953" s="758"/>
      <c r="J953" s="758"/>
      <c r="K953" s="758"/>
      <c r="L953" s="758"/>
      <c r="M953" s="758"/>
      <c r="N953" s="758"/>
      <c r="O953" s="758"/>
      <c r="P953" s="758"/>
      <c r="Q953" s="758"/>
      <c r="R953" s="623"/>
      <c r="S953" s="623"/>
      <c r="T953" s="623"/>
      <c r="U953" s="626"/>
      <c r="V953" s="627"/>
      <c r="W953" s="623"/>
      <c r="X953" s="623"/>
      <c r="Y953" s="623"/>
      <c r="Z953" s="623"/>
    </row>
    <row r="954">
      <c r="A954" s="623"/>
      <c r="B954" s="625"/>
      <c r="C954" s="756"/>
      <c r="D954" s="757"/>
      <c r="E954" s="642"/>
      <c r="F954" s="758"/>
      <c r="G954" s="758"/>
      <c r="H954" s="758"/>
      <c r="I954" s="758"/>
      <c r="J954" s="758"/>
      <c r="K954" s="758"/>
      <c r="L954" s="758"/>
      <c r="M954" s="758"/>
      <c r="N954" s="758"/>
      <c r="O954" s="758"/>
      <c r="P954" s="758"/>
      <c r="Q954" s="758"/>
      <c r="R954" s="623"/>
      <c r="S954" s="623"/>
      <c r="T954" s="623"/>
      <c r="U954" s="626"/>
      <c r="V954" s="627"/>
      <c r="W954" s="623"/>
      <c r="X954" s="623"/>
      <c r="Y954" s="623"/>
      <c r="Z954" s="623"/>
    </row>
    <row r="955">
      <c r="A955" s="623"/>
      <c r="B955" s="625"/>
      <c r="C955" s="756"/>
      <c r="D955" s="757"/>
      <c r="E955" s="642"/>
      <c r="F955" s="758"/>
      <c r="G955" s="758"/>
      <c r="H955" s="758"/>
      <c r="I955" s="758"/>
      <c r="J955" s="758"/>
      <c r="K955" s="758"/>
      <c r="L955" s="758"/>
      <c r="M955" s="758"/>
      <c r="N955" s="758"/>
      <c r="O955" s="758"/>
      <c r="P955" s="758"/>
      <c r="Q955" s="758"/>
      <c r="R955" s="623"/>
      <c r="S955" s="623"/>
      <c r="T955" s="623"/>
      <c r="U955" s="626"/>
      <c r="V955" s="627"/>
      <c r="W955" s="623"/>
      <c r="X955" s="623"/>
      <c r="Y955" s="623"/>
      <c r="Z955" s="623"/>
    </row>
    <row r="956">
      <c r="A956" s="623"/>
      <c r="B956" s="625"/>
      <c r="C956" s="756"/>
      <c r="D956" s="757"/>
      <c r="E956" s="642"/>
      <c r="F956" s="758"/>
      <c r="G956" s="758"/>
      <c r="H956" s="758"/>
      <c r="I956" s="758"/>
      <c r="J956" s="758"/>
      <c r="K956" s="758"/>
      <c r="L956" s="758"/>
      <c r="M956" s="758"/>
      <c r="N956" s="758"/>
      <c r="O956" s="758"/>
      <c r="P956" s="758"/>
      <c r="Q956" s="758"/>
      <c r="R956" s="623"/>
      <c r="S956" s="623"/>
      <c r="T956" s="623"/>
      <c r="U956" s="626"/>
      <c r="V956" s="627"/>
      <c r="W956" s="623"/>
      <c r="X956" s="623"/>
      <c r="Y956" s="623"/>
      <c r="Z956" s="623"/>
    </row>
    <row r="957">
      <c r="A957" s="623"/>
      <c r="B957" s="625"/>
      <c r="C957" s="756"/>
      <c r="D957" s="757"/>
      <c r="E957" s="642"/>
      <c r="F957" s="758"/>
      <c r="G957" s="758"/>
      <c r="H957" s="758"/>
      <c r="I957" s="758"/>
      <c r="J957" s="758"/>
      <c r="K957" s="758"/>
      <c r="L957" s="758"/>
      <c r="M957" s="758"/>
      <c r="N957" s="758"/>
      <c r="O957" s="758"/>
      <c r="P957" s="758"/>
      <c r="Q957" s="758"/>
      <c r="R957" s="623"/>
      <c r="S957" s="623"/>
      <c r="T957" s="623"/>
      <c r="U957" s="626"/>
      <c r="V957" s="627"/>
      <c r="W957" s="623"/>
      <c r="X957" s="623"/>
      <c r="Y957" s="623"/>
      <c r="Z957" s="623"/>
    </row>
    <row r="958">
      <c r="A958" s="623"/>
      <c r="B958" s="625"/>
      <c r="C958" s="756"/>
      <c r="D958" s="757"/>
      <c r="E958" s="642"/>
      <c r="F958" s="758"/>
      <c r="G958" s="758"/>
      <c r="H958" s="758"/>
      <c r="I958" s="758"/>
      <c r="J958" s="758"/>
      <c r="K958" s="758"/>
      <c r="L958" s="758"/>
      <c r="M958" s="758"/>
      <c r="N958" s="758"/>
      <c r="O958" s="758"/>
      <c r="P958" s="758"/>
      <c r="Q958" s="758"/>
      <c r="R958" s="623"/>
      <c r="S958" s="623"/>
      <c r="T958" s="623"/>
      <c r="U958" s="626"/>
      <c r="V958" s="627"/>
      <c r="W958" s="623"/>
      <c r="X958" s="623"/>
      <c r="Y958" s="623"/>
      <c r="Z958" s="623"/>
    </row>
    <row r="959">
      <c r="A959" s="623"/>
      <c r="B959" s="625"/>
      <c r="C959" s="756"/>
      <c r="D959" s="757"/>
      <c r="E959" s="642"/>
      <c r="F959" s="758"/>
      <c r="G959" s="758"/>
      <c r="H959" s="758"/>
      <c r="I959" s="758"/>
      <c r="J959" s="758"/>
      <c r="K959" s="758"/>
      <c r="L959" s="758"/>
      <c r="M959" s="758"/>
      <c r="N959" s="758"/>
      <c r="O959" s="758"/>
      <c r="P959" s="758"/>
      <c r="Q959" s="758"/>
      <c r="R959" s="623"/>
      <c r="S959" s="623"/>
      <c r="T959" s="623"/>
      <c r="U959" s="626"/>
      <c r="V959" s="627"/>
      <c r="W959" s="623"/>
      <c r="X959" s="623"/>
      <c r="Y959" s="623"/>
      <c r="Z959" s="623"/>
    </row>
    <row r="960">
      <c r="A960" s="623"/>
      <c r="B960" s="625"/>
      <c r="C960" s="756"/>
      <c r="D960" s="757"/>
      <c r="E960" s="642"/>
      <c r="F960" s="758"/>
      <c r="G960" s="758"/>
      <c r="H960" s="758"/>
      <c r="I960" s="758"/>
      <c r="J960" s="758"/>
      <c r="K960" s="758"/>
      <c r="L960" s="758"/>
      <c r="M960" s="758"/>
      <c r="N960" s="758"/>
      <c r="O960" s="758"/>
      <c r="P960" s="758"/>
      <c r="Q960" s="758"/>
      <c r="R960" s="623"/>
      <c r="S960" s="623"/>
      <c r="T960" s="623"/>
      <c r="U960" s="626"/>
      <c r="V960" s="627"/>
      <c r="W960" s="623"/>
      <c r="X960" s="623"/>
      <c r="Y960" s="623"/>
      <c r="Z960" s="623"/>
    </row>
    <row r="961">
      <c r="A961" s="623"/>
      <c r="B961" s="625"/>
      <c r="C961" s="756"/>
      <c r="D961" s="757"/>
      <c r="E961" s="642"/>
      <c r="F961" s="758"/>
      <c r="G961" s="758"/>
      <c r="H961" s="758"/>
      <c r="I961" s="758"/>
      <c r="J961" s="758"/>
      <c r="K961" s="758"/>
      <c r="L961" s="758"/>
      <c r="M961" s="758"/>
      <c r="N961" s="758"/>
      <c r="O961" s="758"/>
      <c r="P961" s="758"/>
      <c r="Q961" s="758"/>
      <c r="R961" s="623"/>
      <c r="S961" s="623"/>
      <c r="T961" s="623"/>
      <c r="U961" s="626"/>
      <c r="V961" s="627"/>
      <c r="W961" s="623"/>
      <c r="X961" s="623"/>
      <c r="Y961" s="623"/>
      <c r="Z961" s="623"/>
    </row>
    <row r="962">
      <c r="A962" s="623"/>
      <c r="B962" s="625"/>
      <c r="C962" s="756"/>
      <c r="D962" s="757"/>
      <c r="E962" s="642"/>
      <c r="F962" s="758"/>
      <c r="G962" s="758"/>
      <c r="H962" s="758"/>
      <c r="I962" s="758"/>
      <c r="J962" s="758"/>
      <c r="K962" s="758"/>
      <c r="L962" s="758"/>
      <c r="M962" s="758"/>
      <c r="N962" s="758"/>
      <c r="O962" s="758"/>
      <c r="P962" s="758"/>
      <c r="Q962" s="758"/>
      <c r="R962" s="623"/>
      <c r="S962" s="623"/>
      <c r="T962" s="623"/>
      <c r="U962" s="626"/>
      <c r="V962" s="627"/>
      <c r="W962" s="623"/>
      <c r="X962" s="623"/>
      <c r="Y962" s="623"/>
      <c r="Z962" s="623"/>
    </row>
    <row r="963">
      <c r="A963" s="623"/>
      <c r="B963" s="625"/>
      <c r="C963" s="756"/>
      <c r="D963" s="757"/>
      <c r="E963" s="642"/>
      <c r="F963" s="758"/>
      <c r="G963" s="758"/>
      <c r="H963" s="758"/>
      <c r="I963" s="758"/>
      <c r="J963" s="758"/>
      <c r="K963" s="758"/>
      <c r="L963" s="758"/>
      <c r="M963" s="758"/>
      <c r="N963" s="758"/>
      <c r="O963" s="758"/>
      <c r="P963" s="758"/>
      <c r="Q963" s="758"/>
      <c r="R963" s="623"/>
      <c r="S963" s="623"/>
      <c r="T963" s="623"/>
      <c r="U963" s="626"/>
      <c r="V963" s="627"/>
      <c r="W963" s="623"/>
      <c r="X963" s="623"/>
      <c r="Y963" s="623"/>
      <c r="Z963" s="623"/>
    </row>
    <row r="964">
      <c r="A964" s="623"/>
      <c r="B964" s="625"/>
      <c r="C964" s="756"/>
      <c r="D964" s="757"/>
      <c r="E964" s="642"/>
      <c r="F964" s="758"/>
      <c r="G964" s="758"/>
      <c r="H964" s="758"/>
      <c r="I964" s="758"/>
      <c r="J964" s="758"/>
      <c r="K964" s="758"/>
      <c r="L964" s="758"/>
      <c r="M964" s="758"/>
      <c r="N964" s="758"/>
      <c r="O964" s="758"/>
      <c r="P964" s="758"/>
      <c r="Q964" s="758"/>
      <c r="R964" s="623"/>
      <c r="S964" s="623"/>
      <c r="T964" s="623"/>
      <c r="U964" s="626"/>
      <c r="V964" s="627"/>
      <c r="W964" s="623"/>
      <c r="X964" s="623"/>
      <c r="Y964" s="623"/>
      <c r="Z964" s="623"/>
    </row>
    <row r="965">
      <c r="A965" s="623"/>
      <c r="B965" s="625"/>
      <c r="C965" s="756"/>
      <c r="D965" s="757"/>
      <c r="E965" s="642"/>
      <c r="F965" s="758"/>
      <c r="G965" s="758"/>
      <c r="H965" s="758"/>
      <c r="I965" s="758"/>
      <c r="J965" s="758"/>
      <c r="K965" s="758"/>
      <c r="L965" s="758"/>
      <c r="M965" s="758"/>
      <c r="N965" s="758"/>
      <c r="O965" s="758"/>
      <c r="P965" s="758"/>
      <c r="Q965" s="758"/>
      <c r="R965" s="623"/>
      <c r="S965" s="623"/>
      <c r="T965" s="623"/>
      <c r="U965" s="626"/>
      <c r="V965" s="627"/>
      <c r="W965" s="623"/>
      <c r="X965" s="623"/>
      <c r="Y965" s="623"/>
      <c r="Z965" s="623"/>
    </row>
    <row r="966">
      <c r="A966" s="623"/>
      <c r="B966" s="625"/>
      <c r="C966" s="756"/>
      <c r="D966" s="757"/>
      <c r="E966" s="642"/>
      <c r="F966" s="758"/>
      <c r="G966" s="758"/>
      <c r="H966" s="758"/>
      <c r="I966" s="758"/>
      <c r="J966" s="758"/>
      <c r="K966" s="758"/>
      <c r="L966" s="758"/>
      <c r="M966" s="758"/>
      <c r="N966" s="758"/>
      <c r="O966" s="758"/>
      <c r="P966" s="758"/>
      <c r="Q966" s="758"/>
      <c r="R966" s="623"/>
      <c r="S966" s="623"/>
      <c r="T966" s="623"/>
      <c r="U966" s="626"/>
      <c r="V966" s="627"/>
      <c r="W966" s="623"/>
      <c r="X966" s="623"/>
      <c r="Y966" s="623"/>
      <c r="Z966" s="623"/>
    </row>
    <row r="967">
      <c r="A967" s="623"/>
      <c r="B967" s="625"/>
      <c r="C967" s="756"/>
      <c r="D967" s="757"/>
      <c r="E967" s="642"/>
      <c r="F967" s="758"/>
      <c r="G967" s="758"/>
      <c r="H967" s="758"/>
      <c r="I967" s="758"/>
      <c r="J967" s="758"/>
      <c r="K967" s="758"/>
      <c r="L967" s="758"/>
      <c r="M967" s="758"/>
      <c r="N967" s="758"/>
      <c r="O967" s="758"/>
      <c r="P967" s="758"/>
      <c r="Q967" s="758"/>
      <c r="R967" s="623"/>
      <c r="S967" s="623"/>
      <c r="T967" s="623"/>
      <c r="U967" s="626"/>
      <c r="V967" s="627"/>
      <c r="W967" s="623"/>
      <c r="X967" s="623"/>
      <c r="Y967" s="623"/>
      <c r="Z967" s="623"/>
    </row>
    <row r="968">
      <c r="A968" s="623"/>
      <c r="B968" s="625"/>
      <c r="C968" s="756"/>
      <c r="D968" s="757"/>
      <c r="E968" s="642"/>
      <c r="F968" s="758"/>
      <c r="G968" s="758"/>
      <c r="H968" s="758"/>
      <c r="I968" s="758"/>
      <c r="J968" s="758"/>
      <c r="K968" s="758"/>
      <c r="L968" s="758"/>
      <c r="M968" s="758"/>
      <c r="N968" s="758"/>
      <c r="O968" s="758"/>
      <c r="P968" s="758"/>
      <c r="Q968" s="758"/>
      <c r="R968" s="623"/>
      <c r="S968" s="623"/>
      <c r="T968" s="623"/>
      <c r="U968" s="626"/>
      <c r="V968" s="627"/>
      <c r="W968" s="623"/>
      <c r="X968" s="623"/>
      <c r="Y968" s="623"/>
      <c r="Z968" s="623"/>
    </row>
    <row r="969">
      <c r="A969" s="623"/>
      <c r="B969" s="625"/>
      <c r="C969" s="756"/>
      <c r="D969" s="757"/>
      <c r="E969" s="642"/>
      <c r="F969" s="758"/>
      <c r="G969" s="758"/>
      <c r="H969" s="758"/>
      <c r="I969" s="758"/>
      <c r="J969" s="758"/>
      <c r="K969" s="758"/>
      <c r="L969" s="758"/>
      <c r="M969" s="758"/>
      <c r="N969" s="758"/>
      <c r="O969" s="758"/>
      <c r="P969" s="758"/>
      <c r="Q969" s="758"/>
      <c r="R969" s="623"/>
      <c r="S969" s="623"/>
      <c r="T969" s="623"/>
      <c r="U969" s="626"/>
      <c r="V969" s="627"/>
      <c r="W969" s="623"/>
      <c r="X969" s="623"/>
      <c r="Y969" s="623"/>
      <c r="Z969" s="623"/>
    </row>
    <row r="970">
      <c r="A970" s="623"/>
      <c r="B970" s="625"/>
      <c r="C970" s="756"/>
      <c r="D970" s="757"/>
      <c r="E970" s="642"/>
      <c r="F970" s="758"/>
      <c r="G970" s="758"/>
      <c r="H970" s="758"/>
      <c r="I970" s="758"/>
      <c r="J970" s="758"/>
      <c r="K970" s="758"/>
      <c r="L970" s="758"/>
      <c r="M970" s="758"/>
      <c r="N970" s="758"/>
      <c r="O970" s="758"/>
      <c r="P970" s="758"/>
      <c r="Q970" s="758"/>
      <c r="R970" s="623"/>
      <c r="S970" s="623"/>
      <c r="T970" s="623"/>
      <c r="U970" s="626"/>
      <c r="V970" s="627"/>
      <c r="W970" s="623"/>
      <c r="X970" s="623"/>
      <c r="Y970" s="623"/>
      <c r="Z970" s="623"/>
    </row>
    <row r="971">
      <c r="A971" s="623"/>
      <c r="B971" s="625"/>
      <c r="C971" s="756"/>
      <c r="D971" s="757"/>
      <c r="E971" s="642"/>
      <c r="F971" s="758"/>
      <c r="G971" s="758"/>
      <c r="H971" s="758"/>
      <c r="I971" s="758"/>
      <c r="J971" s="758"/>
      <c r="K971" s="758"/>
      <c r="L971" s="758"/>
      <c r="M971" s="758"/>
      <c r="N971" s="758"/>
      <c r="O971" s="758"/>
      <c r="P971" s="758"/>
      <c r="Q971" s="758"/>
      <c r="R971" s="623"/>
      <c r="S971" s="623"/>
      <c r="T971" s="623"/>
      <c r="U971" s="626"/>
      <c r="V971" s="627"/>
      <c r="W971" s="623"/>
      <c r="X971" s="623"/>
      <c r="Y971" s="623"/>
      <c r="Z971" s="623"/>
    </row>
    <row r="972">
      <c r="A972" s="623"/>
      <c r="B972" s="625"/>
      <c r="C972" s="756"/>
      <c r="D972" s="757"/>
      <c r="E972" s="642"/>
      <c r="F972" s="758"/>
      <c r="G972" s="758"/>
      <c r="H972" s="758"/>
      <c r="I972" s="758"/>
      <c r="J972" s="758"/>
      <c r="K972" s="758"/>
      <c r="L972" s="758"/>
      <c r="M972" s="758"/>
      <c r="N972" s="758"/>
      <c r="O972" s="758"/>
      <c r="P972" s="758"/>
      <c r="Q972" s="758"/>
      <c r="R972" s="623"/>
      <c r="S972" s="623"/>
      <c r="T972" s="623"/>
      <c r="U972" s="626"/>
      <c r="V972" s="627"/>
      <c r="W972" s="623"/>
      <c r="X972" s="623"/>
      <c r="Y972" s="623"/>
      <c r="Z972" s="623"/>
    </row>
    <row r="973">
      <c r="A973" s="623"/>
      <c r="B973" s="625"/>
      <c r="C973" s="756"/>
      <c r="D973" s="757"/>
      <c r="E973" s="642"/>
      <c r="F973" s="758"/>
      <c r="G973" s="758"/>
      <c r="H973" s="758"/>
      <c r="I973" s="758"/>
      <c r="J973" s="758"/>
      <c r="K973" s="758"/>
      <c r="L973" s="758"/>
      <c r="M973" s="758"/>
      <c r="N973" s="758"/>
      <c r="O973" s="758"/>
      <c r="P973" s="758"/>
      <c r="Q973" s="758"/>
      <c r="R973" s="623"/>
      <c r="S973" s="623"/>
      <c r="T973" s="623"/>
      <c r="U973" s="626"/>
      <c r="V973" s="627"/>
      <c r="W973" s="623"/>
      <c r="X973" s="623"/>
      <c r="Y973" s="623"/>
      <c r="Z973" s="623"/>
    </row>
    <row r="974">
      <c r="A974" s="623"/>
      <c r="B974" s="625"/>
      <c r="C974" s="756"/>
      <c r="D974" s="757"/>
      <c r="E974" s="642"/>
      <c r="F974" s="758"/>
      <c r="G974" s="758"/>
      <c r="H974" s="758"/>
      <c r="I974" s="758"/>
      <c r="J974" s="758"/>
      <c r="K974" s="758"/>
      <c r="L974" s="758"/>
      <c r="M974" s="758"/>
      <c r="N974" s="758"/>
      <c r="O974" s="758"/>
      <c r="P974" s="758"/>
      <c r="Q974" s="758"/>
      <c r="R974" s="623"/>
      <c r="S974" s="623"/>
      <c r="T974" s="623"/>
      <c r="U974" s="626"/>
      <c r="V974" s="627"/>
      <c r="W974" s="623"/>
      <c r="X974" s="623"/>
      <c r="Y974" s="623"/>
      <c r="Z974" s="623"/>
    </row>
    <row r="975">
      <c r="A975" s="623"/>
      <c r="B975" s="625"/>
      <c r="C975" s="756"/>
      <c r="D975" s="757"/>
      <c r="E975" s="642"/>
      <c r="F975" s="758"/>
      <c r="G975" s="758"/>
      <c r="H975" s="758"/>
      <c r="I975" s="758"/>
      <c r="J975" s="758"/>
      <c r="K975" s="758"/>
      <c r="L975" s="758"/>
      <c r="M975" s="758"/>
      <c r="N975" s="758"/>
      <c r="O975" s="758"/>
      <c r="P975" s="758"/>
      <c r="Q975" s="758"/>
      <c r="R975" s="623"/>
      <c r="S975" s="623"/>
      <c r="T975" s="623"/>
      <c r="U975" s="626"/>
      <c r="V975" s="627"/>
      <c r="W975" s="623"/>
      <c r="X975" s="623"/>
      <c r="Y975" s="623"/>
      <c r="Z975" s="623"/>
    </row>
    <row r="976">
      <c r="A976" s="623"/>
      <c r="B976" s="625"/>
      <c r="C976" s="756"/>
      <c r="D976" s="757"/>
      <c r="E976" s="642"/>
      <c r="F976" s="758"/>
      <c r="G976" s="758"/>
      <c r="H976" s="758"/>
      <c r="I976" s="758"/>
      <c r="J976" s="758"/>
      <c r="K976" s="758"/>
      <c r="L976" s="758"/>
      <c r="M976" s="758"/>
      <c r="N976" s="758"/>
      <c r="O976" s="758"/>
      <c r="P976" s="758"/>
      <c r="Q976" s="758"/>
      <c r="R976" s="623"/>
      <c r="S976" s="623"/>
      <c r="T976" s="623"/>
      <c r="U976" s="626"/>
      <c r="V976" s="627"/>
      <c r="W976" s="623"/>
      <c r="X976" s="623"/>
      <c r="Y976" s="623"/>
      <c r="Z976" s="623"/>
    </row>
    <row r="977">
      <c r="A977" s="623"/>
      <c r="B977" s="625"/>
      <c r="C977" s="756"/>
      <c r="D977" s="757"/>
      <c r="E977" s="642"/>
      <c r="F977" s="758"/>
      <c r="G977" s="758"/>
      <c r="H977" s="758"/>
      <c r="I977" s="758"/>
      <c r="J977" s="758"/>
      <c r="K977" s="758"/>
      <c r="L977" s="758"/>
      <c r="M977" s="758"/>
      <c r="N977" s="758"/>
      <c r="O977" s="758"/>
      <c r="P977" s="758"/>
      <c r="Q977" s="758"/>
      <c r="R977" s="623"/>
      <c r="S977" s="623"/>
      <c r="T977" s="623"/>
      <c r="U977" s="626"/>
      <c r="V977" s="627"/>
      <c r="W977" s="623"/>
      <c r="X977" s="623"/>
      <c r="Y977" s="623"/>
      <c r="Z977" s="623"/>
    </row>
    <row r="978">
      <c r="A978" s="623"/>
      <c r="B978" s="625"/>
      <c r="C978" s="756"/>
      <c r="D978" s="757"/>
      <c r="E978" s="642"/>
      <c r="F978" s="758"/>
      <c r="G978" s="758"/>
      <c r="H978" s="758"/>
      <c r="I978" s="758"/>
      <c r="J978" s="758"/>
      <c r="K978" s="758"/>
      <c r="L978" s="758"/>
      <c r="M978" s="758"/>
      <c r="N978" s="758"/>
      <c r="O978" s="758"/>
      <c r="P978" s="758"/>
      <c r="Q978" s="758"/>
      <c r="R978" s="623"/>
      <c r="S978" s="623"/>
      <c r="T978" s="623"/>
      <c r="U978" s="626"/>
      <c r="V978" s="627"/>
      <c r="W978" s="623"/>
      <c r="X978" s="623"/>
      <c r="Y978" s="623"/>
      <c r="Z978" s="623"/>
    </row>
    <row r="979">
      <c r="A979" s="623"/>
      <c r="B979" s="625"/>
      <c r="C979" s="756"/>
      <c r="D979" s="757"/>
      <c r="E979" s="642"/>
      <c r="F979" s="758"/>
      <c r="G979" s="758"/>
      <c r="H979" s="758"/>
      <c r="I979" s="758"/>
      <c r="J979" s="758"/>
      <c r="K979" s="758"/>
      <c r="L979" s="758"/>
      <c r="M979" s="758"/>
      <c r="N979" s="758"/>
      <c r="O979" s="758"/>
      <c r="P979" s="758"/>
      <c r="Q979" s="758"/>
      <c r="R979" s="623"/>
      <c r="S979" s="623"/>
      <c r="T979" s="623"/>
      <c r="U979" s="626"/>
      <c r="V979" s="627"/>
      <c r="W979" s="623"/>
      <c r="X979" s="623"/>
      <c r="Y979" s="623"/>
      <c r="Z979" s="623"/>
    </row>
    <row r="980">
      <c r="A980" s="623"/>
      <c r="B980" s="625"/>
      <c r="C980" s="756"/>
      <c r="D980" s="757"/>
      <c r="E980" s="642"/>
      <c r="F980" s="758"/>
      <c r="G980" s="758"/>
      <c r="H980" s="758"/>
      <c r="I980" s="758"/>
      <c r="J980" s="758"/>
      <c r="K980" s="758"/>
      <c r="L980" s="758"/>
      <c r="M980" s="758"/>
      <c r="N980" s="758"/>
      <c r="O980" s="758"/>
      <c r="P980" s="758"/>
      <c r="Q980" s="758"/>
      <c r="R980" s="623"/>
      <c r="S980" s="623"/>
      <c r="T980" s="623"/>
      <c r="U980" s="626"/>
      <c r="V980" s="627"/>
      <c r="W980" s="623"/>
      <c r="X980" s="623"/>
      <c r="Y980" s="623"/>
      <c r="Z980" s="623"/>
    </row>
    <row r="981">
      <c r="A981" s="623"/>
      <c r="B981" s="625"/>
      <c r="C981" s="756"/>
      <c r="D981" s="757"/>
      <c r="E981" s="642"/>
      <c r="F981" s="758"/>
      <c r="G981" s="758"/>
      <c r="H981" s="758"/>
      <c r="I981" s="758"/>
      <c r="J981" s="758"/>
      <c r="K981" s="758"/>
      <c r="L981" s="758"/>
      <c r="M981" s="758"/>
      <c r="N981" s="758"/>
      <c r="O981" s="758"/>
      <c r="P981" s="758"/>
      <c r="Q981" s="758"/>
      <c r="R981" s="623"/>
      <c r="S981" s="623"/>
      <c r="T981" s="623"/>
      <c r="U981" s="626"/>
      <c r="V981" s="627"/>
      <c r="W981" s="623"/>
      <c r="X981" s="623"/>
      <c r="Y981" s="623"/>
      <c r="Z981" s="623"/>
    </row>
    <row r="982">
      <c r="A982" s="623"/>
      <c r="B982" s="625"/>
      <c r="C982" s="756"/>
      <c r="D982" s="757"/>
      <c r="E982" s="642"/>
      <c r="F982" s="758"/>
      <c r="G982" s="758"/>
      <c r="H982" s="758"/>
      <c r="I982" s="758"/>
      <c r="J982" s="758"/>
      <c r="K982" s="758"/>
      <c r="L982" s="758"/>
      <c r="M982" s="758"/>
      <c r="N982" s="758"/>
      <c r="O982" s="758"/>
      <c r="P982" s="758"/>
      <c r="Q982" s="758"/>
      <c r="R982" s="623"/>
      <c r="S982" s="623"/>
      <c r="T982" s="623"/>
      <c r="U982" s="626"/>
      <c r="V982" s="627"/>
      <c r="W982" s="623"/>
      <c r="X982" s="623"/>
      <c r="Y982" s="623"/>
      <c r="Z982" s="623"/>
    </row>
    <row r="983">
      <c r="A983" s="623"/>
      <c r="B983" s="625"/>
      <c r="C983" s="756"/>
      <c r="D983" s="757"/>
      <c r="E983" s="642"/>
      <c r="F983" s="758"/>
      <c r="G983" s="758"/>
      <c r="H983" s="758"/>
      <c r="I983" s="758"/>
      <c r="J983" s="758"/>
      <c r="K983" s="758"/>
      <c r="L983" s="758"/>
      <c r="M983" s="758"/>
      <c r="N983" s="758"/>
      <c r="O983" s="758"/>
      <c r="P983" s="758"/>
      <c r="Q983" s="758"/>
      <c r="R983" s="623"/>
      <c r="S983" s="623"/>
      <c r="T983" s="623"/>
      <c r="U983" s="626"/>
      <c r="V983" s="627"/>
      <c r="W983" s="623"/>
      <c r="X983" s="623"/>
      <c r="Y983" s="623"/>
      <c r="Z983" s="623"/>
    </row>
    <row r="984">
      <c r="A984" s="623"/>
      <c r="B984" s="625"/>
      <c r="C984" s="756"/>
      <c r="D984" s="757"/>
      <c r="E984" s="642"/>
      <c r="F984" s="758"/>
      <c r="G984" s="758"/>
      <c r="H984" s="758"/>
      <c r="I984" s="758"/>
      <c r="J984" s="758"/>
      <c r="K984" s="758"/>
      <c r="L984" s="758"/>
      <c r="M984" s="758"/>
      <c r="N984" s="758"/>
      <c r="O984" s="758"/>
      <c r="P984" s="758"/>
      <c r="Q984" s="758"/>
      <c r="R984" s="623"/>
      <c r="S984" s="623"/>
      <c r="T984" s="623"/>
      <c r="U984" s="626"/>
      <c r="V984" s="627"/>
      <c r="W984" s="623"/>
      <c r="X984" s="623"/>
      <c r="Y984" s="623"/>
      <c r="Z984" s="623"/>
    </row>
    <row r="985">
      <c r="A985" s="623"/>
      <c r="B985" s="625"/>
      <c r="C985" s="756"/>
      <c r="D985" s="757"/>
      <c r="E985" s="642"/>
      <c r="F985" s="758"/>
      <c r="G985" s="758"/>
      <c r="H985" s="758"/>
      <c r="I985" s="758"/>
      <c r="J985" s="758"/>
      <c r="K985" s="758"/>
      <c r="L985" s="758"/>
      <c r="M985" s="758"/>
      <c r="N985" s="758"/>
      <c r="O985" s="758"/>
      <c r="P985" s="758"/>
      <c r="Q985" s="758"/>
      <c r="R985" s="623"/>
      <c r="S985" s="623"/>
      <c r="T985" s="623"/>
      <c r="U985" s="626"/>
      <c r="V985" s="627"/>
      <c r="W985" s="623"/>
      <c r="X985" s="623"/>
      <c r="Y985" s="623"/>
      <c r="Z985" s="623"/>
    </row>
    <row r="986">
      <c r="A986" s="623"/>
      <c r="B986" s="625"/>
      <c r="C986" s="756"/>
      <c r="D986" s="757"/>
      <c r="E986" s="642"/>
      <c r="F986" s="758"/>
      <c r="G986" s="758"/>
      <c r="H986" s="758"/>
      <c r="I986" s="758"/>
      <c r="J986" s="758"/>
      <c r="K986" s="758"/>
      <c r="L986" s="758"/>
      <c r="M986" s="758"/>
      <c r="N986" s="758"/>
      <c r="O986" s="758"/>
      <c r="P986" s="758"/>
      <c r="Q986" s="758"/>
      <c r="R986" s="623"/>
      <c r="S986" s="623"/>
      <c r="T986" s="623"/>
      <c r="U986" s="626"/>
      <c r="V986" s="627"/>
      <c r="W986" s="623"/>
      <c r="X986" s="623"/>
      <c r="Y986" s="623"/>
      <c r="Z986" s="623"/>
    </row>
    <row r="987">
      <c r="A987" s="623"/>
      <c r="B987" s="625"/>
      <c r="C987" s="756"/>
      <c r="D987" s="757"/>
      <c r="E987" s="642"/>
      <c r="F987" s="758"/>
      <c r="G987" s="758"/>
      <c r="H987" s="758"/>
      <c r="I987" s="758"/>
      <c r="J987" s="758"/>
      <c r="K987" s="758"/>
      <c r="L987" s="758"/>
      <c r="M987" s="758"/>
      <c r="N987" s="758"/>
      <c r="O987" s="758"/>
      <c r="P987" s="758"/>
      <c r="Q987" s="758"/>
      <c r="R987" s="623"/>
      <c r="S987" s="623"/>
      <c r="T987" s="623"/>
      <c r="U987" s="626"/>
      <c r="V987" s="627"/>
      <c r="W987" s="623"/>
      <c r="X987" s="623"/>
      <c r="Y987" s="623"/>
      <c r="Z987" s="623"/>
    </row>
    <row r="988">
      <c r="A988" s="623"/>
      <c r="B988" s="625"/>
      <c r="C988" s="756"/>
      <c r="D988" s="757"/>
      <c r="E988" s="642"/>
      <c r="F988" s="758"/>
      <c r="G988" s="758"/>
      <c r="H988" s="758"/>
      <c r="I988" s="758"/>
      <c r="J988" s="758"/>
      <c r="K988" s="758"/>
      <c r="L988" s="758"/>
      <c r="M988" s="758"/>
      <c r="N988" s="758"/>
      <c r="O988" s="758"/>
      <c r="P988" s="758"/>
      <c r="Q988" s="758"/>
      <c r="R988" s="623"/>
      <c r="S988" s="623"/>
      <c r="T988" s="623"/>
      <c r="U988" s="626"/>
      <c r="V988" s="627"/>
      <c r="W988" s="623"/>
      <c r="X988" s="623"/>
      <c r="Y988" s="623"/>
      <c r="Z988" s="623"/>
    </row>
    <row r="989">
      <c r="A989" s="623"/>
      <c r="B989" s="625"/>
      <c r="C989" s="756"/>
      <c r="D989" s="757"/>
      <c r="E989" s="642"/>
      <c r="F989" s="758"/>
      <c r="G989" s="758"/>
      <c r="H989" s="758"/>
      <c r="I989" s="758"/>
      <c r="J989" s="758"/>
      <c r="K989" s="758"/>
      <c r="L989" s="758"/>
      <c r="M989" s="758"/>
      <c r="N989" s="758"/>
      <c r="O989" s="758"/>
      <c r="P989" s="758"/>
      <c r="Q989" s="758"/>
      <c r="R989" s="623"/>
      <c r="S989" s="623"/>
      <c r="T989" s="623"/>
      <c r="U989" s="626"/>
      <c r="V989" s="627"/>
      <c r="W989" s="623"/>
      <c r="X989" s="623"/>
      <c r="Y989" s="623"/>
      <c r="Z989" s="623"/>
    </row>
    <row r="990">
      <c r="A990" s="623"/>
      <c r="B990" s="625"/>
      <c r="C990" s="756"/>
      <c r="D990" s="757"/>
      <c r="E990" s="642"/>
      <c r="F990" s="758"/>
      <c r="G990" s="758"/>
      <c r="H990" s="758"/>
      <c r="I990" s="758"/>
      <c r="J990" s="758"/>
      <c r="K990" s="758"/>
      <c r="L990" s="758"/>
      <c r="M990" s="758"/>
      <c r="N990" s="758"/>
      <c r="O990" s="758"/>
      <c r="P990" s="758"/>
      <c r="Q990" s="758"/>
      <c r="R990" s="623"/>
      <c r="S990" s="623"/>
      <c r="T990" s="623"/>
      <c r="U990" s="626"/>
      <c r="V990" s="627"/>
      <c r="W990" s="623"/>
      <c r="X990" s="623"/>
      <c r="Y990" s="623"/>
      <c r="Z990" s="623"/>
    </row>
    <row r="991">
      <c r="A991" s="623"/>
      <c r="B991" s="625"/>
      <c r="C991" s="756"/>
      <c r="D991" s="757"/>
      <c r="E991" s="642"/>
      <c r="F991" s="758"/>
      <c r="G991" s="758"/>
      <c r="H991" s="758"/>
      <c r="I991" s="758"/>
      <c r="J991" s="758"/>
      <c r="K991" s="758"/>
      <c r="L991" s="758"/>
      <c r="M991" s="758"/>
      <c r="N991" s="758"/>
      <c r="O991" s="758"/>
      <c r="P991" s="758"/>
      <c r="Q991" s="758"/>
      <c r="R991" s="623"/>
      <c r="S991" s="623"/>
      <c r="T991" s="623"/>
      <c r="U991" s="626"/>
      <c r="V991" s="627"/>
      <c r="W991" s="623"/>
      <c r="X991" s="623"/>
      <c r="Y991" s="623"/>
      <c r="Z991" s="623"/>
    </row>
    <row r="992">
      <c r="A992" s="623"/>
      <c r="B992" s="625"/>
      <c r="C992" s="756"/>
      <c r="D992" s="757"/>
      <c r="E992" s="642"/>
      <c r="F992" s="758"/>
      <c r="G992" s="758"/>
      <c r="H992" s="758"/>
      <c r="I992" s="758"/>
      <c r="J992" s="758"/>
      <c r="K992" s="758"/>
      <c r="L992" s="758"/>
      <c r="M992" s="758"/>
      <c r="N992" s="758"/>
      <c r="O992" s="758"/>
      <c r="P992" s="758"/>
      <c r="Q992" s="758"/>
      <c r="R992" s="623"/>
      <c r="S992" s="623"/>
      <c r="T992" s="623"/>
      <c r="U992" s="626"/>
      <c r="V992" s="627"/>
      <c r="W992" s="623"/>
      <c r="X992" s="623"/>
      <c r="Y992" s="623"/>
      <c r="Z992" s="623"/>
    </row>
    <row r="993">
      <c r="A993" s="623"/>
      <c r="B993" s="625"/>
      <c r="C993" s="756"/>
      <c r="D993" s="757"/>
      <c r="E993" s="642"/>
      <c r="F993" s="758"/>
      <c r="G993" s="758"/>
      <c r="H993" s="758"/>
      <c r="I993" s="758"/>
      <c r="J993" s="758"/>
      <c r="K993" s="758"/>
      <c r="L993" s="758"/>
      <c r="M993" s="758"/>
      <c r="N993" s="758"/>
      <c r="O993" s="758"/>
      <c r="P993" s="758"/>
      <c r="Q993" s="758"/>
      <c r="R993" s="623"/>
      <c r="S993" s="623"/>
      <c r="T993" s="623"/>
      <c r="U993" s="626"/>
      <c r="V993" s="627"/>
      <c r="W993" s="623"/>
      <c r="X993" s="623"/>
      <c r="Y993" s="623"/>
      <c r="Z993" s="623"/>
    </row>
    <row r="994">
      <c r="A994" s="623"/>
      <c r="B994" s="625"/>
      <c r="C994" s="756"/>
      <c r="D994" s="757"/>
      <c r="E994" s="642"/>
      <c r="F994" s="758"/>
      <c r="G994" s="758"/>
      <c r="H994" s="758"/>
      <c r="I994" s="758"/>
      <c r="J994" s="758"/>
      <c r="K994" s="758"/>
      <c r="L994" s="758"/>
      <c r="M994" s="758"/>
      <c r="N994" s="758"/>
      <c r="O994" s="758"/>
      <c r="P994" s="758"/>
      <c r="Q994" s="758"/>
      <c r="R994" s="623"/>
      <c r="S994" s="623"/>
      <c r="T994" s="623"/>
      <c r="U994" s="626"/>
      <c r="V994" s="627"/>
      <c r="W994" s="623"/>
      <c r="X994" s="623"/>
      <c r="Y994" s="623"/>
      <c r="Z994" s="623"/>
    </row>
    <row r="995">
      <c r="A995" s="623"/>
      <c r="B995" s="625"/>
      <c r="C995" s="756"/>
      <c r="D995" s="757"/>
      <c r="E995" s="642"/>
      <c r="F995" s="758"/>
      <c r="G995" s="758"/>
      <c r="H995" s="758"/>
      <c r="I995" s="758"/>
      <c r="J995" s="758"/>
      <c r="K995" s="758"/>
      <c r="L995" s="758"/>
      <c r="M995" s="758"/>
      <c r="N995" s="758"/>
      <c r="O995" s="758"/>
      <c r="P995" s="758"/>
      <c r="Q995" s="758"/>
      <c r="R995" s="623"/>
      <c r="S995" s="623"/>
      <c r="T995" s="623"/>
      <c r="U995" s="626"/>
      <c r="V995" s="627"/>
      <c r="W995" s="623"/>
      <c r="X995" s="623"/>
      <c r="Y995" s="623"/>
      <c r="Z995" s="623"/>
    </row>
    <row r="996">
      <c r="A996" s="623"/>
      <c r="B996" s="625"/>
      <c r="C996" s="756"/>
      <c r="D996" s="757"/>
      <c r="E996" s="642"/>
      <c r="F996" s="758"/>
      <c r="G996" s="758"/>
      <c r="H996" s="758"/>
      <c r="I996" s="758"/>
      <c r="J996" s="758"/>
      <c r="K996" s="758"/>
      <c r="L996" s="758"/>
      <c r="M996" s="758"/>
      <c r="N996" s="758"/>
      <c r="O996" s="758"/>
      <c r="P996" s="758"/>
      <c r="Q996" s="758"/>
      <c r="R996" s="623"/>
      <c r="S996" s="623"/>
      <c r="T996" s="623"/>
      <c r="U996" s="626"/>
      <c r="V996" s="627"/>
      <c r="W996" s="623"/>
      <c r="X996" s="623"/>
      <c r="Y996" s="623"/>
      <c r="Z996" s="623"/>
    </row>
    <row r="997">
      <c r="A997" s="623"/>
      <c r="B997" s="625"/>
      <c r="C997" s="756"/>
      <c r="D997" s="757"/>
      <c r="E997" s="642"/>
      <c r="F997" s="758"/>
      <c r="G997" s="758"/>
      <c r="H997" s="758"/>
      <c r="I997" s="758"/>
      <c r="J997" s="758"/>
      <c r="K997" s="758"/>
      <c r="L997" s="758"/>
      <c r="M997" s="758"/>
      <c r="N997" s="758"/>
      <c r="O997" s="758"/>
      <c r="P997" s="758"/>
      <c r="Q997" s="758"/>
      <c r="R997" s="623"/>
      <c r="S997" s="623"/>
      <c r="T997" s="623"/>
      <c r="U997" s="626"/>
      <c r="V997" s="627"/>
      <c r="W997" s="623"/>
      <c r="X997" s="623"/>
      <c r="Y997" s="623"/>
      <c r="Z997" s="623"/>
    </row>
    <row r="998">
      <c r="A998" s="623"/>
      <c r="B998" s="625"/>
      <c r="C998" s="756"/>
      <c r="D998" s="757"/>
      <c r="E998" s="642"/>
      <c r="F998" s="758"/>
      <c r="G998" s="758"/>
      <c r="H998" s="758"/>
      <c r="I998" s="758"/>
      <c r="J998" s="758"/>
      <c r="K998" s="758"/>
      <c r="L998" s="758"/>
      <c r="M998" s="758"/>
      <c r="N998" s="758"/>
      <c r="O998" s="758"/>
      <c r="P998" s="758"/>
      <c r="Q998" s="758"/>
      <c r="R998" s="623"/>
      <c r="S998" s="623"/>
      <c r="T998" s="623"/>
      <c r="U998" s="626"/>
      <c r="V998" s="627"/>
      <c r="W998" s="623"/>
      <c r="X998" s="623"/>
      <c r="Y998" s="623"/>
      <c r="Z998" s="623"/>
    </row>
    <row r="999">
      <c r="A999" s="623"/>
      <c r="B999" s="625"/>
      <c r="C999" s="756"/>
      <c r="D999" s="757"/>
      <c r="E999" s="642"/>
      <c r="F999" s="758"/>
      <c r="G999" s="758"/>
      <c r="H999" s="758"/>
      <c r="I999" s="758"/>
      <c r="J999" s="758"/>
      <c r="K999" s="758"/>
      <c r="L999" s="758"/>
      <c r="M999" s="758"/>
      <c r="N999" s="758"/>
      <c r="O999" s="758"/>
      <c r="P999" s="758"/>
      <c r="Q999" s="758"/>
      <c r="R999" s="623"/>
      <c r="S999" s="623"/>
      <c r="T999" s="623"/>
      <c r="U999" s="626"/>
      <c r="V999" s="627"/>
      <c r="W999" s="623"/>
      <c r="X999" s="623"/>
      <c r="Y999" s="623"/>
      <c r="Z999" s="623"/>
    </row>
    <row r="1000">
      <c r="A1000" s="623"/>
      <c r="B1000" s="625"/>
      <c r="C1000" s="756"/>
      <c r="D1000" s="757"/>
      <c r="E1000" s="642"/>
      <c r="F1000" s="758"/>
      <c r="G1000" s="758"/>
      <c r="H1000" s="758"/>
      <c r="I1000" s="758"/>
      <c r="J1000" s="758"/>
      <c r="K1000" s="758"/>
      <c r="L1000" s="758"/>
      <c r="M1000" s="758"/>
      <c r="N1000" s="758"/>
      <c r="O1000" s="758"/>
      <c r="P1000" s="758"/>
      <c r="Q1000" s="758"/>
      <c r="R1000" s="623"/>
      <c r="S1000" s="623"/>
      <c r="T1000" s="623"/>
      <c r="U1000" s="626"/>
      <c r="V1000" s="627"/>
      <c r="W1000" s="623"/>
      <c r="X1000" s="623"/>
      <c r="Y1000" s="623"/>
      <c r="Z1000" s="623"/>
    </row>
    <row r="1001">
      <c r="A1001" s="623"/>
      <c r="B1001" s="625"/>
      <c r="C1001" s="756"/>
      <c r="D1001" s="757"/>
      <c r="E1001" s="642"/>
      <c r="F1001" s="758"/>
      <c r="G1001" s="758"/>
      <c r="H1001" s="758"/>
      <c r="I1001" s="758"/>
      <c r="J1001" s="758"/>
      <c r="K1001" s="758"/>
      <c r="L1001" s="758"/>
      <c r="M1001" s="758"/>
      <c r="N1001" s="758"/>
      <c r="O1001" s="758"/>
      <c r="P1001" s="758"/>
      <c r="Q1001" s="758"/>
      <c r="R1001" s="623"/>
      <c r="S1001" s="623"/>
      <c r="T1001" s="623"/>
      <c r="U1001" s="626"/>
      <c r="V1001" s="627"/>
      <c r="W1001" s="623"/>
      <c r="X1001" s="623"/>
      <c r="Y1001" s="623"/>
      <c r="Z1001" s="62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9"/>
      <c r="B1" s="760"/>
      <c r="C1" s="760"/>
      <c r="D1" s="760"/>
      <c r="E1" s="760"/>
      <c r="F1" s="760"/>
      <c r="G1" s="760"/>
      <c r="H1" s="760"/>
      <c r="I1" s="760"/>
      <c r="J1" s="760"/>
      <c r="K1" s="759"/>
      <c r="L1" s="760"/>
      <c r="M1" s="760"/>
      <c r="N1" s="760"/>
      <c r="O1" s="760"/>
      <c r="P1" s="760"/>
      <c r="Q1" s="760"/>
      <c r="R1" s="760"/>
      <c r="S1" s="760"/>
      <c r="T1" s="760"/>
      <c r="U1" s="760"/>
      <c r="V1" s="760"/>
      <c r="W1" s="760"/>
      <c r="X1" s="760"/>
      <c r="Y1" s="760"/>
      <c r="Z1" s="760"/>
      <c r="AA1" s="760"/>
      <c r="AB1" s="760"/>
      <c r="AC1" s="760"/>
      <c r="AD1" s="760"/>
      <c r="AE1" s="760"/>
      <c r="AF1" s="760"/>
      <c r="AG1" s="760"/>
      <c r="AH1" s="760"/>
    </row>
    <row r="2" ht="30.0" customHeight="1">
      <c r="A2" s="759"/>
      <c r="B2" s="761" t="s">
        <v>442</v>
      </c>
      <c r="C2" s="760"/>
      <c r="D2" s="760"/>
      <c r="E2" s="760"/>
      <c r="F2" s="760"/>
      <c r="G2" s="760"/>
      <c r="H2" s="760"/>
      <c r="I2" s="762"/>
      <c r="J2" s="763"/>
      <c r="K2" s="764"/>
      <c r="L2" s="765"/>
      <c r="M2" s="765"/>
      <c r="N2" s="765"/>
      <c r="O2" s="765"/>
      <c r="P2" s="765"/>
      <c r="Q2" s="765"/>
      <c r="R2" s="765"/>
      <c r="S2" s="765"/>
      <c r="T2" s="760"/>
      <c r="U2" s="765"/>
      <c r="V2" s="760"/>
      <c r="W2" s="765"/>
      <c r="X2" s="760"/>
      <c r="Y2" s="765"/>
      <c r="Z2" s="760"/>
      <c r="AA2" s="765"/>
      <c r="AB2" s="760"/>
      <c r="AC2" s="765"/>
      <c r="AD2" s="760"/>
      <c r="AE2" s="760"/>
      <c r="AF2" s="760"/>
      <c r="AG2" s="760"/>
      <c r="AH2" s="760"/>
    </row>
    <row r="3" ht="10.5" customHeight="1">
      <c r="A3" s="759"/>
      <c r="B3" s="760"/>
      <c r="C3" s="760"/>
      <c r="D3" s="760"/>
      <c r="E3" s="760"/>
      <c r="F3" s="760"/>
      <c r="G3" s="760"/>
      <c r="H3" s="760"/>
      <c r="I3" s="762"/>
      <c r="J3" s="763"/>
      <c r="K3" s="759"/>
      <c r="L3" s="760"/>
      <c r="M3" s="760"/>
      <c r="N3" s="760"/>
      <c r="O3" s="760"/>
      <c r="P3" s="760"/>
      <c r="Q3" s="760"/>
      <c r="R3" s="760"/>
      <c r="S3" s="760"/>
      <c r="T3" s="760"/>
      <c r="U3" s="760"/>
      <c r="V3" s="760"/>
      <c r="W3" s="760"/>
      <c r="X3" s="760"/>
      <c r="Y3" s="760"/>
      <c r="Z3" s="760"/>
      <c r="AA3" s="760"/>
      <c r="AB3" s="760"/>
      <c r="AC3" s="760"/>
      <c r="AD3" s="760"/>
      <c r="AE3" s="760"/>
      <c r="AF3" s="760"/>
      <c r="AG3" s="760"/>
      <c r="AH3" s="760"/>
    </row>
    <row r="4" ht="15.75" customHeight="1">
      <c r="A4" s="759"/>
      <c r="B4" s="766" t="s">
        <v>443</v>
      </c>
      <c r="C4" s="767"/>
      <c r="D4" s="768" t="s">
        <v>444</v>
      </c>
      <c r="E4" s="760"/>
      <c r="F4" s="760"/>
      <c r="G4" s="760"/>
      <c r="H4" s="760"/>
      <c r="J4" s="763"/>
      <c r="K4" s="759"/>
      <c r="L4" s="760"/>
      <c r="M4" s="760"/>
      <c r="N4" s="760"/>
      <c r="O4" s="760"/>
      <c r="P4" s="760"/>
      <c r="Q4" s="760"/>
      <c r="R4" s="760"/>
      <c r="S4" s="760"/>
      <c r="T4" s="760"/>
      <c r="U4" s="760"/>
      <c r="V4" s="760"/>
      <c r="W4" s="760"/>
      <c r="X4" s="760"/>
      <c r="Y4" s="760"/>
      <c r="Z4" s="760"/>
      <c r="AA4" s="760"/>
      <c r="AB4" s="760"/>
      <c r="AC4" s="760"/>
      <c r="AD4" s="760"/>
      <c r="AE4" s="760"/>
      <c r="AF4" s="760"/>
      <c r="AG4" s="760"/>
      <c r="AH4" s="760"/>
    </row>
    <row r="5" ht="16.5" customHeight="1">
      <c r="A5" s="759"/>
      <c r="B5" s="769" t="s">
        <v>33</v>
      </c>
      <c r="C5" s="770" t="s">
        <v>83</v>
      </c>
      <c r="D5" s="771"/>
      <c r="E5" s="772" t="b">
        <v>0</v>
      </c>
      <c r="F5" s="770" t="s">
        <v>445</v>
      </c>
      <c r="G5" s="773"/>
      <c r="H5" s="774" t="b">
        <v>0</v>
      </c>
      <c r="J5" s="775"/>
      <c r="K5" s="759"/>
      <c r="L5" s="776" t="s">
        <v>446</v>
      </c>
      <c r="T5" s="775"/>
      <c r="U5" s="777" t="s">
        <v>447</v>
      </c>
      <c r="AC5" s="760"/>
      <c r="AD5" s="778" t="s">
        <v>95</v>
      </c>
      <c r="AE5" s="778" t="s">
        <v>448</v>
      </c>
      <c r="AF5" s="760"/>
      <c r="AG5" s="760"/>
      <c r="AH5" s="760"/>
    </row>
    <row r="6" ht="15.75" customHeight="1">
      <c r="A6" s="759"/>
      <c r="B6" s="38"/>
      <c r="C6" s="38"/>
      <c r="D6" s="38"/>
      <c r="E6" s="38"/>
      <c r="F6" s="38"/>
      <c r="G6" s="38"/>
      <c r="H6" s="38"/>
      <c r="J6" s="775"/>
      <c r="K6" s="759"/>
      <c r="L6" s="779"/>
      <c r="M6" s="779"/>
      <c r="N6" s="779"/>
      <c r="O6" s="779"/>
      <c r="P6" s="779"/>
      <c r="Q6" s="779"/>
      <c r="R6" s="779"/>
      <c r="S6" s="779"/>
      <c r="T6" s="775"/>
      <c r="U6" s="780"/>
      <c r="V6" s="780"/>
      <c r="W6" s="780"/>
      <c r="X6" s="780"/>
      <c r="Y6" s="780"/>
      <c r="Z6" s="780"/>
      <c r="AA6" s="780"/>
      <c r="AB6" s="780"/>
      <c r="AC6" s="760"/>
      <c r="AD6" s="213" t="str">
        <f t="array" ref="AD6">IFERROR(INDEX('💻シート作成'!$D$6:$D205, MATCH(AE6, '💻シート作成'!$E$6:$E205, 0)), "")</f>
        <v/>
      </c>
      <c r="AE6" s="166" t="str">
        <f>IFERROR(__xludf.DUMMYFUNCTION("filter('💻シート作成'!E6:E205,'💻シート作成'!E6:E205&lt;&gt;"""")"),"💭口コミ")</f>
        <v>💭口コミ</v>
      </c>
      <c r="AF6" s="760"/>
      <c r="AG6" s="760"/>
      <c r="AH6" s="760"/>
    </row>
    <row r="7" ht="15.75" customHeight="1">
      <c r="A7" s="759"/>
      <c r="J7" s="775"/>
      <c r="K7" s="759"/>
      <c r="L7" s="781" t="s">
        <v>449</v>
      </c>
      <c r="M7" s="221"/>
      <c r="N7" s="221"/>
      <c r="O7" s="221"/>
      <c r="P7" s="221"/>
      <c r="Q7" s="221"/>
      <c r="R7" s="221"/>
      <c r="S7" s="107"/>
      <c r="T7" s="782" t="s">
        <v>450</v>
      </c>
      <c r="U7" s="783" t="s">
        <v>451</v>
      </c>
      <c r="V7" s="217"/>
      <c r="W7" s="217"/>
      <c r="X7" s="217"/>
      <c r="Y7" s="217"/>
      <c r="Z7" s="217"/>
      <c r="AA7" s="217"/>
      <c r="AB7" s="2"/>
      <c r="AC7" s="760"/>
      <c r="AD7" s="213" t="str">
        <f t="array" ref="AD7">IFERROR(INDEX('💻シート作成'!$D$6:$D205, MATCH(AE7, '💻シート作成'!$E$6:$E205, 0)), "")</f>
        <v/>
      </c>
      <c r="AE7" s="166" t="str">
        <f>IFERROR(__xludf.DUMMYFUNCTION("""COMPUTED_VALUE"""),"🔵クレーム")</f>
        <v>🔵クレーム</v>
      </c>
      <c r="AF7" s="760"/>
      <c r="AG7" s="760"/>
      <c r="AH7" s="760"/>
    </row>
    <row r="8" ht="15.75" customHeight="1">
      <c r="A8" s="759"/>
      <c r="B8" s="784" t="s">
        <v>452</v>
      </c>
      <c r="C8" s="785"/>
      <c r="D8" s="786" t="s">
        <v>50</v>
      </c>
      <c r="E8" s="787" t="str">
        <f>IFERROR(__xludf.DUMMYFUNCTION("IFERROR(INDEX(FILTER($AE$6:$AE$200, $AD$6:$AD$200=$B$5, REGEXMATCH($AE$6:$AE$200, ""集計"")), 1), """")
"),"①R8_2集計")</f>
        <v>①R8_2集計</v>
      </c>
      <c r="F8" s="271"/>
      <c r="G8" s="208"/>
      <c r="H8" s="208"/>
      <c r="I8" s="186"/>
      <c r="J8" s="775"/>
      <c r="K8" s="759"/>
      <c r="L8" s="788"/>
      <c r="M8" s="230"/>
      <c r="N8" s="230"/>
      <c r="O8" s="230"/>
      <c r="P8" s="230"/>
      <c r="Q8" s="230"/>
      <c r="R8" s="230"/>
      <c r="S8" s="232"/>
      <c r="U8" s="788"/>
      <c r="V8" s="230"/>
      <c r="W8" s="230"/>
      <c r="X8" s="230"/>
      <c r="Y8" s="230"/>
      <c r="Z8" s="230"/>
      <c r="AA8" s="230"/>
      <c r="AB8" s="232"/>
      <c r="AC8" s="760"/>
      <c r="AD8" s="213" t="str">
        <f t="array" ref="AD8">IFERROR(INDEX('💻シート作成'!$D$6:$D205, MATCH(AE8, '💻シート作成'!$E$6:$E205, 0)), "")</f>
        <v/>
      </c>
      <c r="AE8" s="166" t="str">
        <f>IFERROR(__xludf.DUMMYFUNCTION("""COMPUTED_VALUE"""),"✅安全チェック")</f>
        <v>✅安全チェック</v>
      </c>
      <c r="AF8" s="760"/>
      <c r="AG8" s="760"/>
      <c r="AH8" s="760"/>
    </row>
    <row r="9" ht="15.75" customHeight="1">
      <c r="A9" s="759"/>
      <c r="B9" s="789" t="s">
        <v>299</v>
      </c>
      <c r="C9" s="790" t="s">
        <v>300</v>
      </c>
      <c r="D9" s="790" t="s">
        <v>301</v>
      </c>
      <c r="E9" s="791" t="s">
        <v>302</v>
      </c>
      <c r="F9" s="791" t="s">
        <v>303</v>
      </c>
      <c r="G9" s="790" t="s">
        <v>307</v>
      </c>
      <c r="H9" s="790" t="s">
        <v>308</v>
      </c>
      <c r="I9" s="791" t="s">
        <v>34</v>
      </c>
      <c r="J9" s="775"/>
      <c r="K9" s="759"/>
      <c r="L9" s="792"/>
      <c r="S9" s="204"/>
      <c r="U9" s="792"/>
      <c r="AB9" s="204"/>
      <c r="AC9" s="760"/>
      <c r="AD9" s="213" t="str">
        <f t="array" ref="AD9">IFERROR(INDEX('💻シート作成'!$D$6:$D205, MATCH(AE9, '💻シート作成'!$E$6:$E205, 0)), "")</f>
        <v>2月</v>
      </c>
      <c r="AE9" s="166" t="str">
        <f>IFERROR(__xludf.DUMMYFUNCTION("""COMPUTED_VALUE"""),"①R8_2集計")</f>
        <v>①R8_2集計</v>
      </c>
      <c r="AF9" s="760"/>
      <c r="AG9" s="760"/>
      <c r="AH9" s="760"/>
    </row>
    <row r="10" ht="15.75" customHeight="1">
      <c r="A10" s="759"/>
      <c r="B10" s="793" t="s">
        <v>313</v>
      </c>
      <c r="C10" s="794">
        <f t="array" ref="C10">INDIRECT($E$8 &amp; "!C8")</f>
        <v>0.2673188183</v>
      </c>
      <c r="D10" s="794">
        <f t="array" ref="D10">INDIRECT($E$8 &amp; "!E8")</f>
        <v>0.5440359822</v>
      </c>
      <c r="E10" s="794">
        <f t="array" ref="E10">INDIRECT($E$8 &amp; "!G8")</f>
        <v>0.6594567404</v>
      </c>
      <c r="F10" s="795">
        <f t="array" ref="F10">INDIRECT($E$8 &amp; "!H8")</f>
        <v>2655760</v>
      </c>
      <c r="G10" s="795">
        <f t="array" ref="G10">INDIRECT($E$8 &amp; "!K8")</f>
        <v>3461</v>
      </c>
      <c r="H10" s="795">
        <f t="array" ref="H10">INDIRECT($E$8 &amp; "!M8")</f>
        <v>709934.625</v>
      </c>
      <c r="I10" s="794">
        <f t="array" ref="I10">INDIRECT($E$8 &amp; "!AT7")</f>
        <v>0</v>
      </c>
      <c r="J10" s="775"/>
      <c r="K10" s="759"/>
      <c r="L10" s="792"/>
      <c r="S10" s="204"/>
      <c r="U10" s="792"/>
      <c r="AB10" s="204"/>
      <c r="AC10" s="760"/>
      <c r="AD10" s="213" t="str">
        <f t="array" ref="AD10">IFERROR(INDEX('💻シート作成'!$D$6:$D205, MATCH(AE10, '💻シート作成'!$E$6:$E205, 0)), "")</f>
        <v>2月</v>
      </c>
      <c r="AE10" s="166" t="str">
        <f>IFERROR(__xludf.DUMMYFUNCTION("""COMPUTED_VALUE"""),"②R8_2シフト")</f>
        <v>②R8_2シフト</v>
      </c>
      <c r="AF10" s="760"/>
      <c r="AG10" s="760"/>
      <c r="AH10" s="760"/>
    </row>
    <row r="11" ht="15.75" customHeight="1">
      <c r="A11" s="759"/>
      <c r="B11" s="796" t="s">
        <v>35</v>
      </c>
      <c r="C11" s="797">
        <f t="array" ref="C11">INDIRECT($E$8 &amp; "!C7")</f>
        <v>0.2483313894</v>
      </c>
      <c r="D11" s="798"/>
      <c r="E11" s="799"/>
      <c r="F11" s="800">
        <f t="array" ref="F11">INDIRECT($E$8 &amp; "!H7")</f>
        <v>2620184</v>
      </c>
      <c r="G11" s="798"/>
      <c r="H11" s="801">
        <f t="array" ref="H11">INDIRECT($E$8 &amp; "!M7")</f>
        <v>650673.9333</v>
      </c>
      <c r="I11" s="802">
        <v>0.0015</v>
      </c>
      <c r="J11" s="803"/>
      <c r="K11" s="759"/>
      <c r="L11" s="792"/>
      <c r="S11" s="204"/>
      <c r="U11" s="792"/>
      <c r="AB11" s="204"/>
      <c r="AC11" s="760"/>
      <c r="AD11" s="213" t="str">
        <f t="array" ref="AD11">IFERROR(INDEX('💻シート作成'!$D$6:$D205, MATCH(AE11, '💻シート作成'!$E$6:$E205, 0)), "")</f>
        <v>2月</v>
      </c>
      <c r="AE11" s="166" t="str">
        <f>IFERROR(__xludf.DUMMYFUNCTION("""COMPUTED_VALUE"""),"③R8_2日報")</f>
        <v>③R8_2日報</v>
      </c>
      <c r="AF11" s="760"/>
      <c r="AG11" s="760"/>
      <c r="AH11" s="760"/>
    </row>
    <row r="12" ht="15.75" customHeight="1">
      <c r="A12" s="759"/>
      <c r="B12" s="186"/>
      <c r="C12" s="186"/>
      <c r="D12" s="186"/>
      <c r="E12" s="186"/>
      <c r="F12" s="186"/>
      <c r="G12" s="186"/>
      <c r="H12" s="186"/>
      <c r="I12" s="760"/>
      <c r="J12" s="803"/>
      <c r="K12" s="759"/>
      <c r="L12" s="792"/>
      <c r="S12" s="204"/>
      <c r="U12" s="792"/>
      <c r="AB12" s="204"/>
      <c r="AC12" s="760"/>
      <c r="AD12" s="213" t="str">
        <f t="array" ref="AD12">IFERROR(INDEX('💻シート作成'!$D$6:$D205, MATCH(AE12, '💻シート作成'!$E$6:$E205, 0)), "")</f>
        <v>2月</v>
      </c>
      <c r="AE12" s="166" t="str">
        <f>IFERROR(__xludf.DUMMYFUNCTION("""COMPUTED_VALUE"""),"④R8_2月報")</f>
        <v>④R8_2月報</v>
      </c>
      <c r="AF12" s="760"/>
      <c r="AG12" s="760"/>
      <c r="AH12" s="760"/>
    </row>
    <row r="13" ht="15.75" customHeight="1">
      <c r="A13" s="759"/>
      <c r="B13" s="804" t="s">
        <v>453</v>
      </c>
      <c r="C13" s="805"/>
      <c r="D13" s="806" t="s">
        <v>50</v>
      </c>
      <c r="E13" s="807" t="s">
        <v>454</v>
      </c>
      <c r="F13" s="186"/>
      <c r="G13" s="186"/>
      <c r="H13" s="808" t="s">
        <v>34</v>
      </c>
      <c r="I13" s="809">
        <f t="array" ref="I13">xlookup($B$5,'🔵クレーム'!$C$10:$C$21,'🔵クレーム'!X$10:X$21)</f>
        <v>0</v>
      </c>
      <c r="J13" s="803"/>
      <c r="K13" s="759"/>
      <c r="L13" s="792"/>
      <c r="S13" s="204"/>
      <c r="U13" s="792"/>
      <c r="AB13" s="204"/>
      <c r="AC13" s="760"/>
      <c r="AD13" s="213" t="str">
        <f t="array" ref="AD13">IFERROR(INDEX('💻シート作成'!$D$6:$D205, MATCH(AE13, '💻シート作成'!$E$6:$E205, 0)), "")</f>
        <v>3月</v>
      </c>
      <c r="AE13" s="166" t="str">
        <f>IFERROR(__xludf.DUMMYFUNCTION("""COMPUTED_VALUE"""),"①R8_3集計")</f>
        <v>①R8_3集計</v>
      </c>
      <c r="AF13" s="760"/>
      <c r="AG13" s="760"/>
      <c r="AH13" s="760"/>
    </row>
    <row r="14" ht="15.75" customHeight="1">
      <c r="A14" s="759"/>
      <c r="B14" s="791" t="s">
        <v>23</v>
      </c>
      <c r="C14" s="791" t="s">
        <v>24</v>
      </c>
      <c r="D14" s="810" t="s">
        <v>25</v>
      </c>
      <c r="E14" s="810" t="s">
        <v>37</v>
      </c>
      <c r="F14" s="791" t="s">
        <v>38</v>
      </c>
      <c r="G14" s="791" t="s">
        <v>39</v>
      </c>
      <c r="H14" s="791" t="s">
        <v>40</v>
      </c>
      <c r="I14" s="811" t="s">
        <v>455</v>
      </c>
      <c r="J14" s="803"/>
      <c r="K14" s="759"/>
      <c r="L14" s="792"/>
      <c r="S14" s="204"/>
      <c r="U14" s="792"/>
      <c r="AB14" s="204"/>
      <c r="AC14" s="760"/>
      <c r="AD14" s="213" t="str">
        <f t="array" ref="AD14">IFERROR(INDEX('💻シート作成'!$D$6:$D205, MATCH(AE14, '💻シート作成'!$E$6:$E205, 0)), "")</f>
        <v>3月</v>
      </c>
      <c r="AE14" s="166" t="str">
        <f>IFERROR(__xludf.DUMMYFUNCTION("""COMPUTED_VALUE"""),"②R8_3シフト")</f>
        <v>②R8_3シフト</v>
      </c>
      <c r="AF14" s="760"/>
      <c r="AG14" s="760"/>
      <c r="AH14" s="760"/>
    </row>
    <row r="15" ht="15.75" customHeight="1">
      <c r="A15" s="759"/>
      <c r="B15" s="812">
        <f t="array" ref="B15">xlookup($B$5,'🔵クレーム'!$C$10:$C$21,'🔵クレーム'!D$10:D$21)</f>
        <v>0</v>
      </c>
      <c r="C15" s="812">
        <f t="array" ref="C15">xlookup($B$5,'🔵クレーム'!$C$10:$C$21,'🔵クレーム'!E$10:E$21)</f>
        <v>0</v>
      </c>
      <c r="D15" s="812">
        <f t="array" ref="D15">xlookup($B$5,'🔵クレーム'!$C$10:$C$21,'🔵クレーム'!F$10:F$21)</f>
        <v>0</v>
      </c>
      <c r="E15" s="812">
        <f t="array" ref="E15">xlookup($B$5,'🔵クレーム'!$C$10:$C$21,'🔵クレーム'!G$10:G$21)</f>
        <v>0</v>
      </c>
      <c r="F15" s="812">
        <f t="array" ref="F15">xlookup($B$5,'🔵クレーム'!$C$10:$C$21,'🔵クレーム'!H$10:H$21)</f>
        <v>0</v>
      </c>
      <c r="G15" s="812">
        <f t="array" ref="G15">xlookup($B$5,'🔵クレーム'!$C$10:$C$21,'🔵クレーム'!I$10:I$21)</f>
        <v>0</v>
      </c>
      <c r="H15" s="812">
        <f t="array" ref="H15">xlookup($B$5,'🔵クレーム'!$C$10:$C$21,'🔵クレーム'!J$10:J$21)</f>
        <v>0</v>
      </c>
      <c r="I15" s="813"/>
      <c r="J15" s="803"/>
      <c r="K15" s="759"/>
      <c r="L15" s="792"/>
      <c r="S15" s="204"/>
      <c r="U15" s="792"/>
      <c r="AB15" s="204"/>
      <c r="AC15" s="760"/>
      <c r="AD15" s="213" t="str">
        <f t="array" ref="AD15">IFERROR(INDEX('💻シート作成'!$D$6:$D205, MATCH(AE15, '💻シート作成'!$E$6:$E205, 0)), "")</f>
        <v>3月</v>
      </c>
      <c r="AE15" s="166" t="str">
        <f>IFERROR(__xludf.DUMMYFUNCTION("""COMPUTED_VALUE"""),"③R8_3日報")</f>
        <v>③R8_3日報</v>
      </c>
      <c r="AF15" s="760"/>
      <c r="AG15" s="760"/>
      <c r="AH15" s="760"/>
    </row>
    <row r="16" ht="15.75" customHeight="1">
      <c r="A16" s="759"/>
      <c r="B16" s="791" t="s">
        <v>41</v>
      </c>
      <c r="C16" s="791" t="s">
        <v>42</v>
      </c>
      <c r="D16" s="810" t="s">
        <v>43</v>
      </c>
      <c r="E16" s="810" t="s">
        <v>44</v>
      </c>
      <c r="F16" s="791" t="s">
        <v>45</v>
      </c>
      <c r="G16" s="791" t="s">
        <v>30</v>
      </c>
      <c r="H16" s="814"/>
      <c r="I16" s="815">
        <f>sum(B15:H17)</f>
        <v>0</v>
      </c>
      <c r="J16" s="803"/>
      <c r="K16" s="759"/>
      <c r="L16" s="792"/>
      <c r="S16" s="204"/>
      <c r="U16" s="792"/>
      <c r="AB16" s="204"/>
      <c r="AC16" s="760"/>
      <c r="AD16" s="213" t="str">
        <f t="array" ref="AD16">IFERROR(INDEX('💻シート作成'!$D$6:$D205, MATCH(AE16, '💻シート作成'!$E$6:$E205, 0)), "")</f>
        <v>3月</v>
      </c>
      <c r="AE16" s="166" t="str">
        <f>IFERROR(__xludf.DUMMYFUNCTION("""COMPUTED_VALUE"""),"④R8_3月報")</f>
        <v>④R8_3月報</v>
      </c>
      <c r="AF16" s="760"/>
      <c r="AG16" s="760"/>
      <c r="AH16" s="760"/>
    </row>
    <row r="17" ht="15.75" customHeight="1">
      <c r="A17" s="759"/>
      <c r="B17" s="812">
        <f t="array" ref="B17">xlookup($B$5,'🔵クレーム'!$C$10:$C$21,'🔵クレーム'!K$10:K$21)</f>
        <v>0</v>
      </c>
      <c r="C17" s="812">
        <f t="array" ref="C17">xlookup($B$5,'🔵クレーム'!$C$10:$C$21,'🔵クレーム'!L$10:L$21)</f>
        <v>0</v>
      </c>
      <c r="D17" s="812">
        <f t="array" ref="D17">xlookup($B$5,'🔵クレーム'!$C$10:$C$21,'🔵クレーム'!M$10:M$21)</f>
        <v>0</v>
      </c>
      <c r="E17" s="812">
        <f t="array" ref="E17">xlookup($B$5,'🔵クレーム'!$C$10:$C$21,'🔵クレーム'!N$10:N$21)</f>
        <v>0</v>
      </c>
      <c r="F17" s="812">
        <f t="array" ref="F17">xlookup($B$5,'🔵クレーム'!$C$10:$C$21,'🔵クレーム'!P$10:P$21)</f>
        <v>0</v>
      </c>
      <c r="G17" s="812">
        <f t="array" ref="G17">xlookup($B$5,'🔵クレーム'!$C$10:$C$21,'🔵クレーム'!R$10:R$21)</f>
        <v>0</v>
      </c>
      <c r="H17" s="816"/>
      <c r="I17" s="817"/>
      <c r="J17" s="803"/>
      <c r="K17" s="759"/>
      <c r="L17" s="792"/>
      <c r="S17" s="204"/>
      <c r="U17" s="792"/>
      <c r="AB17" s="204"/>
      <c r="AC17" s="760"/>
      <c r="AD17" s="213" t="str">
        <f t="array" ref="AD17">IFERROR(INDEX('💻シート作成'!$D$6:$D205, MATCH(AE17, '💻シート作成'!$E$6:$E205, 0)), "")</f>
        <v>4月</v>
      </c>
      <c r="AE17" s="166" t="str">
        <f>IFERROR(__xludf.DUMMYFUNCTION("""COMPUTED_VALUE"""),"①R8_4集計")</f>
        <v>①R8_4集計</v>
      </c>
      <c r="AF17" s="760"/>
      <c r="AG17" s="760"/>
      <c r="AH17" s="760"/>
    </row>
    <row r="18" ht="15.75" customHeight="1">
      <c r="A18" s="759"/>
      <c r="B18" s="186"/>
      <c r="C18" s="186"/>
      <c r="D18" s="186"/>
      <c r="E18" s="186"/>
      <c r="F18" s="186"/>
      <c r="G18" s="186"/>
      <c r="H18" s="186"/>
      <c r="I18" s="186"/>
      <c r="J18" s="803"/>
      <c r="K18" s="759"/>
      <c r="L18" s="792"/>
      <c r="S18" s="204"/>
      <c r="U18" s="792"/>
      <c r="AB18" s="204"/>
      <c r="AC18" s="760"/>
      <c r="AD18" s="213" t="str">
        <f t="array" ref="AD18">IFERROR(INDEX('💻シート作成'!$D$6:$D205, MATCH(AE18, '💻シート作成'!$E$6:$E205, 0)), "")</f>
        <v>4月</v>
      </c>
      <c r="AE18" s="166" t="str">
        <f>IFERROR(__xludf.DUMMYFUNCTION("""COMPUTED_VALUE"""),"②R8_4シフト")</f>
        <v>②R8_4シフト</v>
      </c>
      <c r="AF18" s="760"/>
      <c r="AG18" s="760"/>
      <c r="AH18" s="760"/>
    </row>
    <row r="19" ht="15.75" customHeight="1">
      <c r="A19" s="759"/>
      <c r="B19" s="818" t="s">
        <v>456</v>
      </c>
      <c r="C19" s="819"/>
      <c r="D19" s="820"/>
      <c r="E19" s="821"/>
      <c r="F19" s="821"/>
      <c r="G19" s="821"/>
      <c r="H19" s="821"/>
      <c r="I19" s="186"/>
      <c r="J19" s="775"/>
      <c r="K19" s="759"/>
      <c r="L19" s="344"/>
      <c r="M19" s="221"/>
      <c r="N19" s="221"/>
      <c r="O19" s="221"/>
      <c r="P19" s="221"/>
      <c r="Q19" s="221"/>
      <c r="R19" s="221"/>
      <c r="S19" s="107"/>
      <c r="U19" s="344"/>
      <c r="V19" s="221"/>
      <c r="W19" s="221"/>
      <c r="X19" s="221"/>
      <c r="Y19" s="221"/>
      <c r="Z19" s="221"/>
      <c r="AA19" s="221"/>
      <c r="AB19" s="107"/>
      <c r="AC19" s="760"/>
      <c r="AD19" s="213" t="str">
        <f t="array" ref="AD19">IFERROR(INDEX('💻シート作成'!$D$6:$D205, MATCH(AE19, '💻シート作成'!$E$6:$E205, 0)), "")</f>
        <v>4月</v>
      </c>
      <c r="AE19" s="166" t="str">
        <f>IFERROR(__xludf.DUMMYFUNCTION("""COMPUTED_VALUE"""),"③R8_4日報")</f>
        <v>③R8_4日報</v>
      </c>
      <c r="AF19" s="760"/>
      <c r="AG19" s="760"/>
      <c r="AH19" s="760"/>
    </row>
    <row r="20" ht="15.75" customHeight="1">
      <c r="A20" s="759"/>
      <c r="B20" s="791" t="s">
        <v>457</v>
      </c>
      <c r="C20" s="791" t="s">
        <v>458</v>
      </c>
      <c r="D20" s="791" t="s">
        <v>88</v>
      </c>
      <c r="E20" s="791" t="s">
        <v>89</v>
      </c>
      <c r="F20" s="791" t="s">
        <v>459</v>
      </c>
      <c r="G20" s="791" t="s">
        <v>230</v>
      </c>
      <c r="H20" s="791" t="s">
        <v>230</v>
      </c>
      <c r="I20" s="791" t="s">
        <v>460</v>
      </c>
      <c r="J20" s="775"/>
      <c r="K20" s="759"/>
      <c r="L20" s="822"/>
      <c r="M20" s="822"/>
      <c r="N20" s="822"/>
      <c r="O20" s="822"/>
      <c r="P20" s="822"/>
      <c r="Q20" s="822"/>
      <c r="R20" s="822"/>
      <c r="S20" s="822"/>
      <c r="T20" s="775"/>
      <c r="U20" s="822"/>
      <c r="V20" s="822"/>
      <c r="W20" s="822"/>
      <c r="X20" s="822"/>
      <c r="Y20" s="822"/>
      <c r="Z20" s="822"/>
      <c r="AA20" s="822"/>
      <c r="AB20" s="822"/>
      <c r="AC20" s="760"/>
      <c r="AD20" s="213" t="str">
        <f t="array" ref="AD20">IFERROR(INDEX('💻シート作成'!$D$6:$D205, MATCH(AE20, '💻シート作成'!$E$6:$E205, 0)), "")</f>
        <v>4月</v>
      </c>
      <c r="AE20" s="166" t="str">
        <f>IFERROR(__xludf.DUMMYFUNCTION("""COMPUTED_VALUE"""),"④R8_4月報")</f>
        <v>④R8_4月報</v>
      </c>
      <c r="AF20" s="760"/>
      <c r="AG20" s="760"/>
      <c r="AH20" s="760"/>
    </row>
    <row r="21" ht="15.75" customHeight="1">
      <c r="A21" s="759"/>
      <c r="B21" s="823"/>
      <c r="C21" s="823"/>
      <c r="D21" s="823"/>
      <c r="E21" s="823"/>
      <c r="F21" s="824"/>
      <c r="G21" s="824"/>
      <c r="H21" s="824"/>
      <c r="I21" s="825">
        <f>sum(B21:G21)</f>
        <v>0</v>
      </c>
      <c r="J21" s="775"/>
      <c r="K21" s="759"/>
      <c r="L21" s="826" t="s">
        <v>461</v>
      </c>
      <c r="M21" s="217"/>
      <c r="N21" s="217"/>
      <c r="O21" s="217"/>
      <c r="P21" s="217"/>
      <c r="Q21" s="217"/>
      <c r="R21" s="217"/>
      <c r="S21" s="2"/>
      <c r="T21" s="782" t="s">
        <v>450</v>
      </c>
      <c r="U21" s="783" t="s">
        <v>462</v>
      </c>
      <c r="V21" s="217"/>
      <c r="W21" s="217"/>
      <c r="X21" s="217"/>
      <c r="Y21" s="217"/>
      <c r="Z21" s="217"/>
      <c r="AA21" s="217"/>
      <c r="AB21" s="2"/>
      <c r="AC21" s="760"/>
      <c r="AD21" s="213" t="str">
        <f t="array" ref="AD21">IFERROR(INDEX('💻シート作成'!$D$6:$D205, MATCH(AE21, '💻シート作成'!$E$6:$E205, 0)), "")</f>
        <v>5月</v>
      </c>
      <c r="AE21" s="168" t="str">
        <f>IFERROR(__xludf.DUMMYFUNCTION("""COMPUTED_VALUE"""),"①R8_5集計")</f>
        <v>①R8_5集計</v>
      </c>
      <c r="AF21" s="760"/>
      <c r="AG21" s="760"/>
      <c r="AH21" s="760"/>
    </row>
    <row r="22" ht="15.75" customHeight="1">
      <c r="A22" s="759"/>
      <c r="B22" s="818"/>
      <c r="C22" s="217"/>
      <c r="D22" s="217"/>
      <c r="E22" s="217"/>
      <c r="F22" s="217"/>
      <c r="G22" s="217"/>
      <c r="H22" s="217"/>
      <c r="I22" s="2"/>
      <c r="J22" s="775"/>
      <c r="K22" s="759"/>
      <c r="L22" s="788"/>
      <c r="M22" s="230"/>
      <c r="N22" s="230"/>
      <c r="O22" s="230"/>
      <c r="P22" s="230"/>
      <c r="Q22" s="230"/>
      <c r="R22" s="230"/>
      <c r="S22" s="232"/>
      <c r="U22" s="788"/>
      <c r="V22" s="230"/>
      <c r="W22" s="230"/>
      <c r="X22" s="230"/>
      <c r="Y22" s="230"/>
      <c r="Z22" s="230"/>
      <c r="AA22" s="230"/>
      <c r="AB22" s="232"/>
      <c r="AC22" s="760"/>
      <c r="AD22" s="213" t="str">
        <f t="array" ref="AD22">IFERROR(INDEX('💻シート作成'!$D$6:$D205, MATCH(AE22, '💻シート作成'!$E$6:$E205, 0)), "")</f>
        <v>5月</v>
      </c>
      <c r="AE22" s="168" t="str">
        <f>IFERROR(__xludf.DUMMYFUNCTION("""COMPUTED_VALUE"""),"②R8_5シフト")</f>
        <v>②R8_5シフト</v>
      </c>
      <c r="AF22" s="760"/>
      <c r="AG22" s="760"/>
      <c r="AH22" s="760"/>
    </row>
    <row r="23" ht="15.75" customHeight="1">
      <c r="A23" s="759"/>
      <c r="B23" s="186"/>
      <c r="C23" s="186"/>
      <c r="D23" s="186"/>
      <c r="E23" s="186"/>
      <c r="F23" s="186"/>
      <c r="G23" s="186"/>
      <c r="H23" s="186"/>
      <c r="I23" s="186"/>
      <c r="J23" s="775"/>
      <c r="K23" s="759"/>
      <c r="L23" s="792"/>
      <c r="S23" s="204"/>
      <c r="U23" s="792"/>
      <c r="AB23" s="204"/>
      <c r="AC23" s="760"/>
      <c r="AD23" s="213" t="str">
        <f t="array" ref="AD23">IFERROR(INDEX('💻シート作成'!$D$6:$D205, MATCH(AE23, '💻シート作成'!$E$6:$E205, 0)), "")</f>
        <v>5月</v>
      </c>
      <c r="AE23" s="168" t="str">
        <f>IFERROR(__xludf.DUMMYFUNCTION("""COMPUTED_VALUE"""),"③R8_5日報")</f>
        <v>③R8_5日報</v>
      </c>
      <c r="AF23" s="760"/>
      <c r="AG23" s="760"/>
      <c r="AH23" s="760"/>
    </row>
    <row r="24" ht="15.75" customHeight="1">
      <c r="A24" s="759"/>
      <c r="B24" s="827" t="s">
        <v>463</v>
      </c>
      <c r="C24" s="828"/>
      <c r="D24" s="829"/>
      <c r="E24" s="821"/>
      <c r="F24" s="821"/>
      <c r="G24" s="821"/>
      <c r="H24" s="821"/>
      <c r="I24" s="760"/>
      <c r="J24" s="775"/>
      <c r="K24" s="759"/>
      <c r="L24" s="792"/>
      <c r="S24" s="204"/>
      <c r="U24" s="792"/>
      <c r="AB24" s="204"/>
      <c r="AC24" s="760"/>
      <c r="AD24" s="213" t="str">
        <f t="array" ref="AD24">IFERROR(INDEX('💻シート作成'!$D$6:$D205, MATCH(AE24, '💻シート作成'!$E$6:$E205, 0)), "")</f>
        <v>5月</v>
      </c>
      <c r="AE24" s="168" t="str">
        <f>IFERROR(__xludf.DUMMYFUNCTION("""COMPUTED_VALUE"""),"④R8_5月報")</f>
        <v>④R8_5月報</v>
      </c>
      <c r="AF24" s="760"/>
      <c r="AG24" s="760"/>
      <c r="AH24" s="760"/>
    </row>
    <row r="25" ht="15.75" customHeight="1">
      <c r="A25" s="759"/>
      <c r="B25" s="830" t="s">
        <v>464</v>
      </c>
      <c r="C25" s="831" t="s">
        <v>465</v>
      </c>
      <c r="D25" s="2"/>
      <c r="E25" s="831" t="s">
        <v>466</v>
      </c>
      <c r="F25" s="217"/>
      <c r="G25" s="217"/>
      <c r="H25" s="831" t="s">
        <v>467</v>
      </c>
      <c r="I25" s="2"/>
      <c r="J25" s="775"/>
      <c r="K25" s="759"/>
      <c r="L25" s="792"/>
      <c r="S25" s="204"/>
      <c r="U25" s="792"/>
      <c r="AB25" s="204"/>
      <c r="AC25" s="760"/>
      <c r="AD25" s="213" t="str">
        <f t="array" ref="AD25">IFERROR(INDEX('💻シート作成'!$D$6:$D205, MATCH(AE25, '💻シート作成'!$E$6:$E205, 0)), "")</f>
        <v>6月</v>
      </c>
      <c r="AE25" s="168" t="str">
        <f>IFERROR(__xludf.DUMMYFUNCTION("""COMPUTED_VALUE"""),"①R8_6集計")</f>
        <v>①R8_6集計</v>
      </c>
      <c r="AF25" s="760"/>
      <c r="AG25" s="760"/>
      <c r="AH25" s="760"/>
    </row>
    <row r="26" ht="15.75" customHeight="1">
      <c r="A26" s="759"/>
      <c r="B26" s="832"/>
      <c r="C26" s="833"/>
      <c r="D26" s="2"/>
      <c r="E26" s="833"/>
      <c r="F26" s="217"/>
      <c r="G26" s="217"/>
      <c r="H26" s="834"/>
      <c r="I26" s="2"/>
      <c r="J26" s="775"/>
      <c r="K26" s="759"/>
      <c r="L26" s="792"/>
      <c r="S26" s="204"/>
      <c r="U26" s="792"/>
      <c r="AB26" s="204"/>
      <c r="AC26" s="760"/>
      <c r="AD26" s="213" t="str">
        <f t="array" ref="AD26">IFERROR(INDEX('💻シート作成'!$D$6:$D205, MATCH(AE26, '💻シート作成'!$E$6:$E205, 0)), "")</f>
        <v>6月</v>
      </c>
      <c r="AE26" s="168" t="str">
        <f>IFERROR(__xludf.DUMMYFUNCTION("""COMPUTED_VALUE"""),"②R8_6シフト")</f>
        <v>②R8_6シフト</v>
      </c>
      <c r="AF26" s="760"/>
      <c r="AG26" s="760"/>
      <c r="AH26" s="760"/>
    </row>
    <row r="27" ht="15.75" customHeight="1">
      <c r="A27" s="759"/>
      <c r="B27" s="832"/>
      <c r="C27" s="833"/>
      <c r="D27" s="2"/>
      <c r="E27" s="833"/>
      <c r="F27" s="217"/>
      <c r="G27" s="217"/>
      <c r="H27" s="834"/>
      <c r="I27" s="2"/>
      <c r="J27" s="775"/>
      <c r="K27" s="759"/>
      <c r="L27" s="792"/>
      <c r="S27" s="204"/>
      <c r="U27" s="792"/>
      <c r="AB27" s="204"/>
      <c r="AC27" s="760"/>
      <c r="AD27" s="213" t="str">
        <f t="array" ref="AD27">IFERROR(INDEX('💻シート作成'!$D$6:$D205, MATCH(AE27, '💻シート作成'!$E$6:$E205, 0)), "")</f>
        <v>6月</v>
      </c>
      <c r="AE27" s="168" t="str">
        <f>IFERROR(__xludf.DUMMYFUNCTION("""COMPUTED_VALUE"""),"③R8_6日報")</f>
        <v>③R8_6日報</v>
      </c>
      <c r="AF27" s="760"/>
      <c r="AG27" s="760"/>
      <c r="AH27" s="760"/>
    </row>
    <row r="28" ht="15.75" customHeight="1">
      <c r="A28" s="759"/>
      <c r="B28" s="832"/>
      <c r="C28" s="833"/>
      <c r="D28" s="2"/>
      <c r="E28" s="833"/>
      <c r="F28" s="217"/>
      <c r="G28" s="217"/>
      <c r="H28" s="834"/>
      <c r="I28" s="2"/>
      <c r="J28" s="775"/>
      <c r="K28" s="759"/>
      <c r="L28" s="792"/>
      <c r="S28" s="204"/>
      <c r="U28" s="792"/>
      <c r="AB28" s="204"/>
      <c r="AC28" s="760"/>
      <c r="AD28" s="213" t="str">
        <f t="array" ref="AD28">IFERROR(INDEX('💻シート作成'!$D$6:$D205, MATCH(AE28, '💻シート作成'!$E$6:$E205, 0)), "")</f>
        <v>6月</v>
      </c>
      <c r="AE28" s="168" t="str">
        <f>IFERROR(__xludf.DUMMYFUNCTION("""COMPUTED_VALUE"""),"④R8_6月報")</f>
        <v>④R8_6月報</v>
      </c>
      <c r="AF28" s="760"/>
      <c r="AG28" s="760"/>
      <c r="AH28" s="760"/>
    </row>
    <row r="29" ht="15.75" customHeight="1">
      <c r="A29" s="759"/>
      <c r="B29" s="832"/>
      <c r="C29" s="833"/>
      <c r="D29" s="2"/>
      <c r="E29" s="833"/>
      <c r="F29" s="217"/>
      <c r="G29" s="217"/>
      <c r="H29" s="834"/>
      <c r="I29" s="2"/>
      <c r="J29" s="803"/>
      <c r="K29" s="759"/>
      <c r="L29" s="792"/>
      <c r="S29" s="204"/>
      <c r="U29" s="792"/>
      <c r="AB29" s="204"/>
      <c r="AC29" s="760"/>
      <c r="AD29" s="213" t="str">
        <f t="array" ref="AD29">IFERROR(INDEX('💻シート作成'!$D$6:$D205, MATCH(AE29, '💻シート作成'!$E$6:$E205, 0)), "")</f>
        <v>7月</v>
      </c>
      <c r="AE29" s="168" t="str">
        <f>IFERROR(__xludf.DUMMYFUNCTION("""COMPUTED_VALUE"""),"①R8_7集計")</f>
        <v>①R8_7集計</v>
      </c>
      <c r="AF29" s="760"/>
      <c r="AG29" s="760"/>
      <c r="AH29" s="760"/>
    </row>
    <row r="30" ht="15.75" customHeight="1">
      <c r="A30" s="759"/>
      <c r="B30" s="832"/>
      <c r="C30" s="833"/>
      <c r="D30" s="2"/>
      <c r="E30" s="833"/>
      <c r="F30" s="217"/>
      <c r="G30" s="217"/>
      <c r="H30" s="834"/>
      <c r="I30" s="2"/>
      <c r="J30" s="803"/>
      <c r="K30" s="759"/>
      <c r="L30" s="792"/>
      <c r="S30" s="204"/>
      <c r="U30" s="792"/>
      <c r="AB30" s="204"/>
      <c r="AC30" s="760"/>
      <c r="AD30" s="213" t="str">
        <f t="array" ref="AD30">IFERROR(INDEX('💻シート作成'!$D$6:$D205, MATCH(AE30, '💻シート作成'!$E$6:$E205, 0)), "")</f>
        <v>7月</v>
      </c>
      <c r="AE30" s="168" t="str">
        <f>IFERROR(__xludf.DUMMYFUNCTION("""COMPUTED_VALUE"""),"②R8_7シフト")</f>
        <v>②R8_7シフト</v>
      </c>
      <c r="AF30" s="760"/>
      <c r="AG30" s="760"/>
      <c r="AH30" s="760"/>
    </row>
    <row r="31" ht="15.75" customHeight="1">
      <c r="A31" s="759"/>
      <c r="B31" s="832"/>
      <c r="C31" s="833"/>
      <c r="D31" s="2"/>
      <c r="E31" s="833"/>
      <c r="F31" s="217"/>
      <c r="G31" s="217"/>
      <c r="H31" s="834"/>
      <c r="I31" s="2"/>
      <c r="J31" s="803"/>
      <c r="K31" s="759"/>
      <c r="L31" s="792"/>
      <c r="S31" s="204"/>
      <c r="U31" s="792"/>
      <c r="AB31" s="204"/>
      <c r="AC31" s="760"/>
      <c r="AD31" s="213" t="str">
        <f t="array" ref="AD31">IFERROR(INDEX('💻シート作成'!$D$6:$D205, MATCH(AE31, '💻シート作成'!$E$6:$E205, 0)), "")</f>
        <v>7月</v>
      </c>
      <c r="AE31" s="168" t="str">
        <f>IFERROR(__xludf.DUMMYFUNCTION("""COMPUTED_VALUE"""),"③R8_7日報")</f>
        <v>③R8_7日報</v>
      </c>
      <c r="AF31" s="760"/>
      <c r="AG31" s="760"/>
      <c r="AH31" s="760"/>
    </row>
    <row r="32" ht="15.75" customHeight="1">
      <c r="A32" s="759"/>
      <c r="B32" s="832"/>
      <c r="C32" s="833"/>
      <c r="D32" s="2"/>
      <c r="E32" s="833"/>
      <c r="F32" s="217"/>
      <c r="G32" s="217"/>
      <c r="H32" s="834"/>
      <c r="I32" s="2"/>
      <c r="J32" s="775"/>
      <c r="K32" s="759"/>
      <c r="L32" s="792"/>
      <c r="S32" s="204"/>
      <c r="U32" s="792"/>
      <c r="AB32" s="204"/>
      <c r="AC32" s="760"/>
      <c r="AD32" s="213" t="str">
        <f t="array" ref="AD32">IFERROR(INDEX('💻シート作成'!$D$6:$D205, MATCH(AE32, '💻シート作成'!$E$6:$E205, 0)), "")</f>
        <v>7月</v>
      </c>
      <c r="AE32" s="168" t="str">
        <f>IFERROR(__xludf.DUMMYFUNCTION("""COMPUTED_VALUE"""),"④R8_7月報")</f>
        <v>④R8_7月報</v>
      </c>
      <c r="AF32" s="760"/>
      <c r="AG32" s="760"/>
      <c r="AH32" s="760"/>
    </row>
    <row r="33" ht="15.75" customHeight="1">
      <c r="A33" s="759"/>
      <c r="B33" s="832"/>
      <c r="C33" s="833"/>
      <c r="D33" s="2"/>
      <c r="E33" s="833"/>
      <c r="F33" s="217"/>
      <c r="G33" s="217"/>
      <c r="H33" s="834"/>
      <c r="I33" s="2"/>
      <c r="J33" s="775"/>
      <c r="K33" s="759"/>
      <c r="L33" s="344"/>
      <c r="M33" s="221"/>
      <c r="N33" s="221"/>
      <c r="O33" s="221"/>
      <c r="P33" s="221"/>
      <c r="Q33" s="221"/>
      <c r="R33" s="221"/>
      <c r="S33" s="107"/>
      <c r="U33" s="344"/>
      <c r="V33" s="221"/>
      <c r="W33" s="221"/>
      <c r="X33" s="221"/>
      <c r="Y33" s="221"/>
      <c r="Z33" s="221"/>
      <c r="AA33" s="221"/>
      <c r="AB33" s="107"/>
      <c r="AC33" s="760"/>
      <c r="AD33" s="213" t="str">
        <f t="array" ref="AD33">IFERROR(INDEX('💻シート作成'!$D$6:$D205, MATCH(AE33, '💻シート作成'!$E$6:$E205, 0)), "")</f>
        <v>8月</v>
      </c>
      <c r="AE33" s="168" t="str">
        <f>IFERROR(__xludf.DUMMYFUNCTION("""COMPUTED_VALUE"""),"①R8_8集計")</f>
        <v>①R8_8集計</v>
      </c>
      <c r="AF33" s="760"/>
      <c r="AG33" s="760"/>
      <c r="AH33" s="760"/>
    </row>
    <row r="34" ht="15.75" customHeight="1">
      <c r="A34" s="759"/>
      <c r="B34" s="832"/>
      <c r="C34" s="833"/>
      <c r="D34" s="2"/>
      <c r="E34" s="833"/>
      <c r="F34" s="217"/>
      <c r="G34" s="217"/>
      <c r="H34" s="834"/>
      <c r="I34" s="2"/>
      <c r="J34" s="775"/>
      <c r="K34" s="759"/>
      <c r="L34" s="835"/>
      <c r="M34" s="835"/>
      <c r="N34" s="835"/>
      <c r="O34" s="835"/>
      <c r="P34" s="835"/>
      <c r="Q34" s="835"/>
      <c r="R34" s="835"/>
      <c r="S34" s="835"/>
      <c r="T34" s="775"/>
      <c r="U34" s="836"/>
      <c r="V34" s="836"/>
      <c r="W34" s="836"/>
      <c r="X34" s="836"/>
      <c r="Y34" s="836"/>
      <c r="Z34" s="836"/>
      <c r="AA34" s="836"/>
      <c r="AB34" s="836"/>
      <c r="AC34" s="760"/>
      <c r="AD34" s="213" t="str">
        <f t="array" ref="AD34">IFERROR(INDEX('💻シート作成'!$D$6:$D205, MATCH(AE34, '💻シート作成'!$E$6:$E205, 0)), "")</f>
        <v>8月</v>
      </c>
      <c r="AE34" s="168" t="str">
        <f>IFERROR(__xludf.DUMMYFUNCTION("""COMPUTED_VALUE"""),"②R8_8シフト")</f>
        <v>②R8_8シフト</v>
      </c>
      <c r="AF34" s="760"/>
      <c r="AG34" s="760"/>
      <c r="AH34" s="760"/>
    </row>
    <row r="35" ht="15.75" customHeight="1">
      <c r="A35" s="759"/>
      <c r="B35" s="832"/>
      <c r="C35" s="833"/>
      <c r="D35" s="2"/>
      <c r="E35" s="833"/>
      <c r="F35" s="217"/>
      <c r="G35" s="217"/>
      <c r="H35" s="834"/>
      <c r="I35" s="2"/>
      <c r="J35" s="775"/>
      <c r="K35" s="759"/>
      <c r="L35" s="826" t="s">
        <v>468</v>
      </c>
      <c r="M35" s="217"/>
      <c r="N35" s="217"/>
      <c r="O35" s="217"/>
      <c r="P35" s="217"/>
      <c r="Q35" s="217"/>
      <c r="R35" s="217"/>
      <c r="S35" s="2"/>
      <c r="T35" s="782" t="s">
        <v>450</v>
      </c>
      <c r="U35" s="783" t="s">
        <v>468</v>
      </c>
      <c r="V35" s="217"/>
      <c r="W35" s="217"/>
      <c r="X35" s="217"/>
      <c r="Y35" s="217"/>
      <c r="Z35" s="217"/>
      <c r="AA35" s="217"/>
      <c r="AB35" s="2"/>
      <c r="AC35" s="760"/>
      <c r="AD35" s="213" t="str">
        <f t="array" ref="AD35">IFERROR(INDEX('💻シート作成'!$D$6:$D205, MATCH(AE35, '💻シート作成'!$E$6:$E205, 0)), "")</f>
        <v>8月</v>
      </c>
      <c r="AE35" s="168" t="str">
        <f>IFERROR(__xludf.DUMMYFUNCTION("""COMPUTED_VALUE"""),"③R8_8日報")</f>
        <v>③R8_8日報</v>
      </c>
      <c r="AF35" s="760"/>
      <c r="AG35" s="760"/>
      <c r="AH35" s="760"/>
    </row>
    <row r="36" ht="15.75" customHeight="1">
      <c r="A36" s="759"/>
      <c r="B36" s="186"/>
      <c r="C36" s="186"/>
      <c r="D36" s="186"/>
      <c r="E36" s="186"/>
      <c r="F36" s="186"/>
      <c r="G36" s="186"/>
      <c r="H36" s="186"/>
      <c r="I36" s="186"/>
      <c r="J36" s="775"/>
      <c r="K36" s="759"/>
      <c r="L36" s="788"/>
      <c r="M36" s="230"/>
      <c r="N36" s="230"/>
      <c r="O36" s="230"/>
      <c r="P36" s="230"/>
      <c r="Q36" s="230"/>
      <c r="R36" s="230"/>
      <c r="S36" s="232"/>
      <c r="U36" s="788"/>
      <c r="V36" s="230"/>
      <c r="W36" s="230"/>
      <c r="X36" s="230"/>
      <c r="Y36" s="230"/>
      <c r="Z36" s="230"/>
      <c r="AA36" s="230"/>
      <c r="AB36" s="232"/>
      <c r="AC36" s="760"/>
      <c r="AD36" s="213" t="str">
        <f t="array" ref="AD36">IFERROR(INDEX('💻シート作成'!$D$6:$D205, MATCH(AE36, '💻シート作成'!$E$6:$E205, 0)), "")</f>
        <v>8月</v>
      </c>
      <c r="AE36" s="168" t="str">
        <f>IFERROR(__xludf.DUMMYFUNCTION("""COMPUTED_VALUE"""),"④R8_8月報")</f>
        <v>④R8_8月報</v>
      </c>
      <c r="AF36" s="760"/>
      <c r="AG36" s="760"/>
      <c r="AH36" s="760"/>
    </row>
    <row r="37" ht="15.75" customHeight="1">
      <c r="A37" s="759"/>
      <c r="B37" s="837" t="s">
        <v>469</v>
      </c>
      <c r="C37" s="838"/>
      <c r="D37" s="839">
        <f>counta(C39:D48)</f>
        <v>0</v>
      </c>
      <c r="E37" s="840" t="s">
        <v>470</v>
      </c>
      <c r="F37" s="841"/>
      <c r="G37" s="839">
        <f>D37 - COUNTIF(E39:E48,"採用")</f>
        <v>0</v>
      </c>
      <c r="H37" s="821"/>
      <c r="I37" s="821"/>
      <c r="J37" s="775"/>
      <c r="K37" s="759"/>
      <c r="L37" s="792"/>
      <c r="S37" s="204"/>
      <c r="U37" s="792"/>
      <c r="AB37" s="204"/>
      <c r="AC37" s="760"/>
      <c r="AD37" s="213" t="str">
        <f t="array" ref="AD37">IFERROR(INDEX('💻シート作成'!$D$6:$D205, MATCH(AE37, '💻シート作成'!$E$6:$E205, 0)), "")</f>
        <v>9月</v>
      </c>
      <c r="AE37" s="168" t="str">
        <f>IFERROR(__xludf.DUMMYFUNCTION("""COMPUTED_VALUE"""),"①R8_9集計")</f>
        <v>①R8_9集計</v>
      </c>
      <c r="AF37" s="760"/>
      <c r="AG37" s="760"/>
      <c r="AH37" s="760"/>
    </row>
    <row r="38" ht="15.75" customHeight="1">
      <c r="A38" s="759"/>
      <c r="B38" s="842" t="s">
        <v>317</v>
      </c>
      <c r="C38" s="843" t="s">
        <v>227</v>
      </c>
      <c r="D38" s="844"/>
      <c r="E38" s="843" t="s">
        <v>466</v>
      </c>
      <c r="F38" s="844"/>
      <c r="G38" s="843" t="s">
        <v>471</v>
      </c>
      <c r="H38" s="845"/>
      <c r="I38" s="844"/>
      <c r="J38" s="775"/>
      <c r="K38" s="759"/>
      <c r="L38" s="792"/>
      <c r="S38" s="204"/>
      <c r="U38" s="792"/>
      <c r="AB38" s="204"/>
      <c r="AC38" s="760"/>
      <c r="AD38" s="213" t="str">
        <f t="array" ref="AD38">IFERROR(INDEX('💻シート作成'!$D$6:$D205, MATCH(AE38, '💻シート作成'!$E$6:$E205, 0)), "")</f>
        <v>9月</v>
      </c>
      <c r="AE38" s="168" t="str">
        <f>IFERROR(__xludf.DUMMYFUNCTION("""COMPUTED_VALUE"""),"②R8_9シフト")</f>
        <v>②R8_9シフト</v>
      </c>
      <c r="AF38" s="760"/>
      <c r="AG38" s="760"/>
      <c r="AH38" s="760"/>
    </row>
    <row r="39" ht="15.75" customHeight="1">
      <c r="A39" s="759"/>
      <c r="B39" s="846"/>
      <c r="C39" s="847"/>
      <c r="D39" s="844"/>
      <c r="E39" s="848"/>
      <c r="F39" s="844"/>
      <c r="G39" s="849"/>
      <c r="H39" s="845"/>
      <c r="I39" s="844"/>
      <c r="J39" s="775"/>
      <c r="K39" s="759"/>
      <c r="L39" s="792"/>
      <c r="S39" s="204"/>
      <c r="U39" s="792"/>
      <c r="AB39" s="204"/>
      <c r="AC39" s="760"/>
      <c r="AD39" s="213" t="str">
        <f t="array" ref="AD39">IFERROR(INDEX('💻シート作成'!$D$6:$D205, MATCH(AE39, '💻シート作成'!$E$6:$E205, 0)), "")</f>
        <v>9月</v>
      </c>
      <c r="AE39" s="168" t="str">
        <f>IFERROR(__xludf.DUMMYFUNCTION("""COMPUTED_VALUE"""),"③R8_9日報")</f>
        <v>③R8_9日報</v>
      </c>
      <c r="AF39" s="760"/>
      <c r="AG39" s="760"/>
      <c r="AH39" s="760"/>
    </row>
    <row r="40" ht="15.75" customHeight="1">
      <c r="A40" s="759"/>
      <c r="B40" s="846"/>
      <c r="C40" s="847"/>
      <c r="D40" s="844"/>
      <c r="E40" s="848"/>
      <c r="F40" s="844"/>
      <c r="G40" s="849"/>
      <c r="H40" s="845"/>
      <c r="I40" s="844"/>
      <c r="J40" s="775"/>
      <c r="K40" s="759"/>
      <c r="L40" s="792"/>
      <c r="S40" s="204"/>
      <c r="U40" s="792"/>
      <c r="AB40" s="204"/>
      <c r="AC40" s="760"/>
      <c r="AD40" s="213" t="str">
        <f t="array" ref="AD40">IFERROR(INDEX('💻シート作成'!$D$6:$D205, MATCH(AE40, '💻シート作成'!$E$6:$E205, 0)), "")</f>
        <v>9月</v>
      </c>
      <c r="AE40" s="168" t="str">
        <f>IFERROR(__xludf.DUMMYFUNCTION("""COMPUTED_VALUE"""),"④R8_9月報")</f>
        <v>④R8_9月報</v>
      </c>
      <c r="AF40" s="760"/>
      <c r="AG40" s="760"/>
      <c r="AH40" s="760"/>
    </row>
    <row r="41" ht="15.75" customHeight="1">
      <c r="A41" s="759"/>
      <c r="B41" s="846"/>
      <c r="C41" s="847"/>
      <c r="D41" s="844"/>
      <c r="E41" s="848"/>
      <c r="F41" s="844"/>
      <c r="G41" s="849"/>
      <c r="H41" s="845"/>
      <c r="I41" s="844"/>
      <c r="J41" s="775"/>
      <c r="K41" s="759"/>
      <c r="L41" s="792"/>
      <c r="S41" s="204"/>
      <c r="U41" s="792"/>
      <c r="AB41" s="204"/>
      <c r="AC41" s="760"/>
      <c r="AD41" s="213" t="str">
        <f t="array" ref="AD41">IFERROR(INDEX('💻シート作成'!$D$6:$D205, MATCH(AE41, '💻シート作成'!$E$6:$E205, 0)), "")</f>
        <v>10月</v>
      </c>
      <c r="AE41" s="168" t="str">
        <f>IFERROR(__xludf.DUMMYFUNCTION("""COMPUTED_VALUE"""),"①R8_10集計")</f>
        <v>①R8_10集計</v>
      </c>
      <c r="AF41" s="760"/>
      <c r="AG41" s="760"/>
      <c r="AH41" s="760"/>
    </row>
    <row r="42" ht="15.75" customHeight="1">
      <c r="A42" s="759"/>
      <c r="B42" s="846"/>
      <c r="C42" s="847"/>
      <c r="D42" s="844"/>
      <c r="E42" s="848"/>
      <c r="F42" s="844"/>
      <c r="G42" s="849"/>
      <c r="H42" s="845"/>
      <c r="I42" s="844"/>
      <c r="J42" s="775"/>
      <c r="K42" s="850"/>
      <c r="L42" s="792"/>
      <c r="S42" s="204"/>
      <c r="U42" s="792"/>
      <c r="AB42" s="204"/>
      <c r="AC42" s="851"/>
      <c r="AD42" s="213" t="str">
        <f t="array" ref="AD42">IFERROR(INDEX('💻シート作成'!$D$6:$D205, MATCH(AE42, '💻シート作成'!$E$6:$E205, 0)), "")</f>
        <v>10月</v>
      </c>
      <c r="AE42" s="168" t="str">
        <f>IFERROR(__xludf.DUMMYFUNCTION("""COMPUTED_VALUE"""),"②R8_10シフト")</f>
        <v>②R8_10シフト</v>
      </c>
      <c r="AF42" s="851"/>
      <c r="AG42" s="851"/>
      <c r="AH42" s="851"/>
    </row>
    <row r="43" ht="15.75" customHeight="1">
      <c r="A43" s="759"/>
      <c r="B43" s="846"/>
      <c r="C43" s="847"/>
      <c r="D43" s="844"/>
      <c r="E43" s="848"/>
      <c r="F43" s="844"/>
      <c r="G43" s="849"/>
      <c r="H43" s="845"/>
      <c r="I43" s="844"/>
      <c r="J43" s="760"/>
      <c r="K43" s="759"/>
      <c r="L43" s="792"/>
      <c r="S43" s="204"/>
      <c r="U43" s="792"/>
      <c r="AB43" s="204"/>
      <c r="AC43" s="760"/>
      <c r="AD43" s="213" t="str">
        <f t="array" ref="AD43">IFERROR(INDEX('💻シート作成'!$D$6:$D205, MATCH(AE43, '💻シート作成'!$E$6:$E205, 0)), "")</f>
        <v>10月</v>
      </c>
      <c r="AE43" s="168" t="str">
        <f>IFERROR(__xludf.DUMMYFUNCTION("""COMPUTED_VALUE"""),"③R8_10日報")</f>
        <v>③R8_10日報</v>
      </c>
      <c r="AF43" s="760"/>
      <c r="AG43" s="760"/>
      <c r="AH43" s="760"/>
    </row>
    <row r="44" ht="15.75" customHeight="1">
      <c r="A44" s="759"/>
      <c r="B44" s="846"/>
      <c r="C44" s="852"/>
      <c r="D44" s="844"/>
      <c r="E44" s="853"/>
      <c r="F44" s="844"/>
      <c r="G44" s="849"/>
      <c r="H44" s="845"/>
      <c r="I44" s="844"/>
      <c r="J44" s="760"/>
      <c r="K44" s="854"/>
      <c r="L44" s="792"/>
      <c r="S44" s="204"/>
      <c r="U44" s="792"/>
      <c r="AB44" s="204"/>
      <c r="AC44" s="855"/>
      <c r="AD44" s="213" t="str">
        <f t="array" ref="AD44">IFERROR(INDEX('💻シート作成'!$D$6:$D205, MATCH(AE44, '💻シート作成'!$E$6:$E205, 0)), "")</f>
        <v>10月</v>
      </c>
      <c r="AE44" s="168" t="str">
        <f>IFERROR(__xludf.DUMMYFUNCTION("""COMPUTED_VALUE"""),"④R8_10月報")</f>
        <v>④R8_10月報</v>
      </c>
      <c r="AF44" s="855"/>
      <c r="AG44" s="855"/>
      <c r="AH44" s="855"/>
    </row>
    <row r="45" ht="15.75" customHeight="1">
      <c r="A45" s="850"/>
      <c r="B45" s="846"/>
      <c r="C45" s="852"/>
      <c r="D45" s="844"/>
      <c r="E45" s="853"/>
      <c r="F45" s="844"/>
      <c r="G45" s="849"/>
      <c r="H45" s="845"/>
      <c r="I45" s="844"/>
      <c r="J45" s="851"/>
      <c r="K45" s="759"/>
      <c r="L45" s="792"/>
      <c r="S45" s="204"/>
      <c r="U45" s="792"/>
      <c r="AB45" s="204"/>
      <c r="AC45" s="760"/>
      <c r="AD45" s="213" t="str">
        <f t="array" ref="AD45">IFERROR(INDEX('💻シート作成'!$D$6:$D205, MATCH(AE45, '💻シート作成'!$E$6:$E205, 0)), "")</f>
        <v>11月</v>
      </c>
      <c r="AE45" s="168" t="str">
        <f>IFERROR(__xludf.DUMMYFUNCTION("""COMPUTED_VALUE"""),"①R8_11集計")</f>
        <v>①R8_11集計</v>
      </c>
      <c r="AF45" s="760"/>
      <c r="AG45" s="760"/>
      <c r="AH45" s="760"/>
    </row>
    <row r="46" ht="15.75" customHeight="1">
      <c r="A46" s="759"/>
      <c r="B46" s="846"/>
      <c r="C46" s="852"/>
      <c r="D46" s="844"/>
      <c r="E46" s="853"/>
      <c r="F46" s="844"/>
      <c r="G46" s="849"/>
      <c r="H46" s="845"/>
      <c r="I46" s="844"/>
      <c r="J46" s="760"/>
      <c r="K46" s="759"/>
      <c r="L46" s="792"/>
      <c r="S46" s="204"/>
      <c r="U46" s="792"/>
      <c r="AB46" s="204"/>
      <c r="AC46" s="760"/>
      <c r="AD46" s="213" t="str">
        <f t="array" ref="AD46">IFERROR(INDEX('💻シート作成'!$D$6:$D205, MATCH(AE46, '💻シート作成'!$E$6:$E205, 0)), "")</f>
        <v>11月</v>
      </c>
      <c r="AE46" s="168" t="str">
        <f>IFERROR(__xludf.DUMMYFUNCTION("""COMPUTED_VALUE"""),"②R8_11シフト")</f>
        <v>②R8_11シフト</v>
      </c>
      <c r="AF46" s="760"/>
      <c r="AG46" s="760"/>
      <c r="AH46" s="760"/>
    </row>
    <row r="47" ht="15.75" customHeight="1">
      <c r="A47" s="854"/>
      <c r="B47" s="846"/>
      <c r="C47" s="852"/>
      <c r="D47" s="844"/>
      <c r="E47" s="853"/>
      <c r="F47" s="844"/>
      <c r="G47" s="849"/>
      <c r="H47" s="845"/>
      <c r="I47" s="844"/>
      <c r="J47" s="855"/>
      <c r="K47" s="759"/>
      <c r="L47" s="344"/>
      <c r="M47" s="221"/>
      <c r="N47" s="221"/>
      <c r="O47" s="221"/>
      <c r="P47" s="221"/>
      <c r="Q47" s="221"/>
      <c r="R47" s="221"/>
      <c r="S47" s="107"/>
      <c r="U47" s="344"/>
      <c r="V47" s="221"/>
      <c r="W47" s="221"/>
      <c r="X47" s="221"/>
      <c r="Y47" s="221"/>
      <c r="Z47" s="221"/>
      <c r="AA47" s="221"/>
      <c r="AB47" s="107"/>
      <c r="AC47" s="760"/>
      <c r="AD47" s="213" t="str">
        <f t="array" ref="AD47">IFERROR(INDEX('💻シート作成'!$D$6:$D205, MATCH(AE47, '💻シート作成'!$E$6:$E205, 0)), "")</f>
        <v>11月</v>
      </c>
      <c r="AE47" s="168" t="str">
        <f>IFERROR(__xludf.DUMMYFUNCTION("""COMPUTED_VALUE"""),"③R8_11日報")</f>
        <v>③R8_11日報</v>
      </c>
      <c r="AF47" s="760"/>
      <c r="AG47" s="760"/>
      <c r="AH47" s="760"/>
    </row>
    <row r="48" ht="15.75" customHeight="1">
      <c r="A48" s="759"/>
      <c r="B48" s="846"/>
      <c r="C48" s="852"/>
      <c r="D48" s="844"/>
      <c r="E48" s="853"/>
      <c r="F48" s="844"/>
      <c r="G48" s="849"/>
      <c r="H48" s="845"/>
      <c r="I48" s="844"/>
      <c r="J48" s="760"/>
      <c r="K48" s="759"/>
      <c r="L48" s="822"/>
      <c r="M48" s="822"/>
      <c r="N48" s="822"/>
      <c r="O48" s="822"/>
      <c r="P48" s="822"/>
      <c r="Q48" s="822"/>
      <c r="R48" s="822"/>
      <c r="S48" s="822"/>
      <c r="T48" s="775"/>
      <c r="U48" s="822"/>
      <c r="V48" s="822"/>
      <c r="W48" s="822"/>
      <c r="X48" s="822"/>
      <c r="Y48" s="822"/>
      <c r="Z48" s="822"/>
      <c r="AA48" s="822"/>
      <c r="AB48" s="822"/>
      <c r="AC48" s="760"/>
      <c r="AD48" s="213" t="str">
        <f t="array" ref="AD48">IFERROR(INDEX('💻シート作成'!$D$6:$D205, MATCH(AE48, '💻シート作成'!$E$6:$E205, 0)), "")</f>
        <v>11月</v>
      </c>
      <c r="AE48" s="168" t="str">
        <f>IFERROR(__xludf.DUMMYFUNCTION("""COMPUTED_VALUE"""),"④R8_11月報")</f>
        <v>④R8_11月報</v>
      </c>
      <c r="AF48" s="760"/>
      <c r="AG48" s="760"/>
      <c r="AH48" s="760"/>
    </row>
    <row r="49" ht="15.75" customHeight="1">
      <c r="A49" s="759"/>
      <c r="B49" s="186"/>
      <c r="C49" s="186"/>
      <c r="D49" s="186"/>
      <c r="E49" s="186"/>
      <c r="F49" s="186"/>
      <c r="G49" s="186"/>
      <c r="H49" s="186"/>
      <c r="I49" s="186"/>
      <c r="J49" s="760"/>
      <c r="K49" s="759"/>
      <c r="L49" s="826" t="s">
        <v>472</v>
      </c>
      <c r="M49" s="217"/>
      <c r="N49" s="217"/>
      <c r="O49" s="217"/>
      <c r="P49" s="217"/>
      <c r="Q49" s="217"/>
      <c r="R49" s="217"/>
      <c r="S49" s="2"/>
      <c r="T49" s="782" t="s">
        <v>450</v>
      </c>
      <c r="U49" s="783" t="s">
        <v>473</v>
      </c>
      <c r="V49" s="217"/>
      <c r="W49" s="217"/>
      <c r="X49" s="217"/>
      <c r="Y49" s="217"/>
      <c r="Z49" s="217"/>
      <c r="AA49" s="217"/>
      <c r="AB49" s="2"/>
      <c r="AC49" s="760"/>
      <c r="AD49" s="213" t="str">
        <f t="array" ref="AD49">IFERROR(INDEX('💻シート作成'!$D$6:$D205, MATCH(AE49, '💻シート作成'!$E$6:$E205, 0)), "")</f>
        <v>12月</v>
      </c>
      <c r="AE49" s="168" t="str">
        <f>IFERROR(__xludf.DUMMYFUNCTION("""COMPUTED_VALUE"""),"①R8_12集計")</f>
        <v>①R8_12集計</v>
      </c>
      <c r="AF49" s="760"/>
      <c r="AG49" s="760"/>
      <c r="AH49" s="760"/>
    </row>
    <row r="50" ht="15.75" customHeight="1">
      <c r="A50" s="759"/>
      <c r="B50" s="856" t="s">
        <v>474</v>
      </c>
      <c r="C50" s="857"/>
      <c r="D50" s="858">
        <f>COUNTA(C52:D62)</f>
        <v>0</v>
      </c>
      <c r="E50" s="821"/>
      <c r="F50" s="821"/>
      <c r="G50" s="821"/>
      <c r="H50" s="821"/>
      <c r="I50" s="760"/>
      <c r="J50" s="760"/>
      <c r="K50" s="759"/>
      <c r="L50" s="788"/>
      <c r="M50" s="230"/>
      <c r="N50" s="230"/>
      <c r="O50" s="230"/>
      <c r="P50" s="230"/>
      <c r="Q50" s="230"/>
      <c r="R50" s="230"/>
      <c r="S50" s="232"/>
      <c r="U50" s="788"/>
      <c r="V50" s="230"/>
      <c r="W50" s="230"/>
      <c r="X50" s="230"/>
      <c r="Y50" s="230"/>
      <c r="Z50" s="230"/>
      <c r="AA50" s="230"/>
      <c r="AB50" s="232"/>
      <c r="AC50" s="760"/>
      <c r="AD50" s="213" t="str">
        <f t="array" ref="AD50">IFERROR(INDEX('💻シート作成'!$D$6:$D205, MATCH(AE50, '💻シート作成'!$E$6:$E205, 0)), "")</f>
        <v>12月</v>
      </c>
      <c r="AE50" s="168" t="str">
        <f>IFERROR(__xludf.DUMMYFUNCTION("""COMPUTED_VALUE"""),"②R8_12シフト")</f>
        <v>②R8_12シフト</v>
      </c>
      <c r="AF50" s="760"/>
      <c r="AG50" s="760"/>
      <c r="AH50" s="760"/>
    </row>
    <row r="51" ht="15.75" customHeight="1">
      <c r="A51" s="759"/>
      <c r="B51" s="842" t="s">
        <v>475</v>
      </c>
      <c r="C51" s="843" t="s">
        <v>227</v>
      </c>
      <c r="D51" s="844"/>
      <c r="E51" s="842" t="s">
        <v>476</v>
      </c>
      <c r="F51" s="842" t="s">
        <v>477</v>
      </c>
      <c r="G51" s="842" t="s">
        <v>478</v>
      </c>
      <c r="H51" s="843" t="s">
        <v>479</v>
      </c>
      <c r="I51" s="844"/>
      <c r="J51" s="760"/>
      <c r="K51" s="759"/>
      <c r="L51" s="792"/>
      <c r="S51" s="204"/>
      <c r="U51" s="792"/>
      <c r="AB51" s="204"/>
      <c r="AC51" s="760"/>
      <c r="AD51" s="213" t="str">
        <f t="array" ref="AD51">IFERROR(INDEX('💻シート作成'!$D$6:$D205, MATCH(AE51, '💻シート作成'!$E$6:$E205, 0)), "")</f>
        <v>12月</v>
      </c>
      <c r="AE51" s="168" t="str">
        <f>IFERROR(__xludf.DUMMYFUNCTION("""COMPUTED_VALUE"""),"③R8_12日報")</f>
        <v>③R8_12日報</v>
      </c>
      <c r="AF51" s="760"/>
      <c r="AG51" s="760"/>
      <c r="AH51" s="760"/>
    </row>
    <row r="52" ht="15.75" customHeight="1">
      <c r="A52" s="759"/>
      <c r="B52" s="859"/>
      <c r="C52" s="847"/>
      <c r="D52" s="844"/>
      <c r="E52" s="860"/>
      <c r="F52" s="860"/>
      <c r="G52" s="861"/>
      <c r="H52" s="862"/>
      <c r="I52" s="844"/>
      <c r="J52" s="760"/>
      <c r="K52" s="759"/>
      <c r="L52" s="792"/>
      <c r="S52" s="204"/>
      <c r="U52" s="792"/>
      <c r="AB52" s="204"/>
      <c r="AC52" s="760"/>
      <c r="AD52" s="213" t="str">
        <f t="array" ref="AD52">IFERROR(INDEX('💻シート作成'!$D$6:$D205, MATCH(AE52, '💻シート作成'!$E$6:$E205, 0)), "")</f>
        <v>12月</v>
      </c>
      <c r="AE52" s="168" t="str">
        <f>IFERROR(__xludf.DUMMYFUNCTION("""COMPUTED_VALUE"""),"④R8_12月報")</f>
        <v>④R8_12月報</v>
      </c>
      <c r="AF52" s="760"/>
      <c r="AG52" s="760"/>
      <c r="AH52" s="760"/>
    </row>
    <row r="53" ht="15.75" customHeight="1">
      <c r="A53" s="759"/>
      <c r="B53" s="859"/>
      <c r="C53" s="847"/>
      <c r="D53" s="844"/>
      <c r="E53" s="860"/>
      <c r="F53" s="860"/>
      <c r="G53" s="861"/>
      <c r="H53" s="862"/>
      <c r="I53" s="844"/>
      <c r="J53" s="760"/>
      <c r="K53" s="759"/>
      <c r="L53" s="792"/>
      <c r="S53" s="204"/>
      <c r="U53" s="792"/>
      <c r="AB53" s="204"/>
      <c r="AC53" s="760"/>
      <c r="AD53" s="213" t="str">
        <f t="array" ref="AD53">IFERROR(INDEX('💻シート作成'!$D$6:$D205, MATCH(AE53, '💻シート作成'!$E$6:$E205, 0)), "")</f>
        <v>1月</v>
      </c>
      <c r="AE53" s="168" t="str">
        <f>IFERROR(__xludf.DUMMYFUNCTION("""COMPUTED_VALUE"""),"①R9_1集計")</f>
        <v>①R9_1集計</v>
      </c>
      <c r="AF53" s="760"/>
      <c r="AG53" s="760"/>
      <c r="AH53" s="760"/>
    </row>
    <row r="54" ht="15.75" customHeight="1">
      <c r="A54" s="759"/>
      <c r="B54" s="859"/>
      <c r="C54" s="847"/>
      <c r="D54" s="844"/>
      <c r="E54" s="860"/>
      <c r="F54" s="860"/>
      <c r="G54" s="861"/>
      <c r="H54" s="862"/>
      <c r="I54" s="844"/>
      <c r="J54" s="760"/>
      <c r="K54" s="759"/>
      <c r="L54" s="792"/>
      <c r="S54" s="204"/>
      <c r="U54" s="792"/>
      <c r="AB54" s="204"/>
      <c r="AC54" s="760"/>
      <c r="AD54" s="213" t="str">
        <f t="array" ref="AD54">IFERROR(INDEX('💻シート作成'!$D$6:$D205, MATCH(AE54, '💻シート作成'!$E$6:$E205, 0)), "")</f>
        <v>1月</v>
      </c>
      <c r="AE54" s="168" t="str">
        <f>IFERROR(__xludf.DUMMYFUNCTION("""COMPUTED_VALUE"""),"②R9_1シフト")</f>
        <v>②R9_1シフト</v>
      </c>
      <c r="AF54" s="760"/>
      <c r="AG54" s="760"/>
      <c r="AH54" s="760"/>
    </row>
    <row r="55" ht="15.75" customHeight="1">
      <c r="A55" s="759"/>
      <c r="B55" s="859"/>
      <c r="C55" s="847"/>
      <c r="D55" s="844"/>
      <c r="E55" s="860"/>
      <c r="F55" s="860"/>
      <c r="G55" s="860"/>
      <c r="H55" s="862"/>
      <c r="I55" s="844"/>
      <c r="J55" s="760"/>
      <c r="K55" s="759"/>
      <c r="L55" s="792"/>
      <c r="S55" s="204"/>
      <c r="U55" s="792"/>
      <c r="AB55" s="204"/>
      <c r="AC55" s="760"/>
      <c r="AD55" s="213" t="str">
        <f t="array" ref="AD55">IFERROR(INDEX('💻シート作成'!$D$6:$D205, MATCH(AE55, '💻シート作成'!$E$6:$E205, 0)), "")</f>
        <v>1月</v>
      </c>
      <c r="AE55" s="168" t="str">
        <f>IFERROR(__xludf.DUMMYFUNCTION("""COMPUTED_VALUE"""),"③R9_1日報")</f>
        <v>③R9_1日報</v>
      </c>
      <c r="AF55" s="760"/>
      <c r="AG55" s="760"/>
      <c r="AH55" s="760"/>
    </row>
    <row r="56" ht="15.75" customHeight="1">
      <c r="A56" s="759"/>
      <c r="B56" s="859"/>
      <c r="C56" s="847"/>
      <c r="D56" s="844"/>
      <c r="E56" s="860"/>
      <c r="F56" s="860"/>
      <c r="G56" s="860"/>
      <c r="H56" s="862"/>
      <c r="I56" s="844"/>
      <c r="J56" s="760"/>
      <c r="K56" s="759"/>
      <c r="L56" s="792"/>
      <c r="S56" s="204"/>
      <c r="U56" s="792"/>
      <c r="AB56" s="204"/>
      <c r="AC56" s="760"/>
      <c r="AD56" s="213" t="str">
        <f t="array" ref="AD56">IFERROR(INDEX('💻シート作成'!$D$6:$D205, MATCH(AE56, '💻シート作成'!$E$6:$E205, 0)), "")</f>
        <v>1月</v>
      </c>
      <c r="AE56" s="168" t="str">
        <f>IFERROR(__xludf.DUMMYFUNCTION("""COMPUTED_VALUE"""),"④R9_1月報")</f>
        <v>④R9_1月報</v>
      </c>
      <c r="AF56" s="760"/>
      <c r="AG56" s="760"/>
      <c r="AH56" s="760"/>
    </row>
    <row r="57" ht="15.75" customHeight="1">
      <c r="A57" s="759"/>
      <c r="B57" s="859"/>
      <c r="C57" s="847"/>
      <c r="D57" s="844"/>
      <c r="E57" s="860"/>
      <c r="F57" s="860"/>
      <c r="G57" s="860"/>
      <c r="H57" s="862"/>
      <c r="I57" s="844"/>
      <c r="J57" s="760"/>
      <c r="K57" s="759"/>
      <c r="L57" s="792"/>
      <c r="S57" s="204"/>
      <c r="U57" s="792"/>
      <c r="AB57" s="204"/>
      <c r="AC57" s="760"/>
      <c r="AD57" s="213" t="str">
        <f t="array" ref="AD57">IFERROR(INDEX('💻シート作成'!$D$6:$D205, MATCH(AE57, '💻シート作成'!$E$6:$E205, 0)), "")</f>
        <v/>
      </c>
      <c r="AE57" s="166" t="str">
        <f>IFERROR(__xludf.DUMMYFUNCTION("""COMPUTED_VALUE"""),"💻シート作成")</f>
        <v>💻シート作成</v>
      </c>
      <c r="AF57" s="760"/>
      <c r="AG57" s="760"/>
      <c r="AH57" s="760"/>
    </row>
    <row r="58" ht="15.75" customHeight="1">
      <c r="A58" s="759"/>
      <c r="B58" s="859"/>
      <c r="C58" s="847"/>
      <c r="D58" s="844"/>
      <c r="E58" s="860"/>
      <c r="F58" s="860"/>
      <c r="G58" s="860"/>
      <c r="H58" s="862"/>
      <c r="I58" s="844"/>
      <c r="J58" s="760"/>
      <c r="K58" s="854"/>
      <c r="L58" s="792"/>
      <c r="S58" s="204"/>
      <c r="U58" s="792"/>
      <c r="AB58" s="204"/>
      <c r="AC58" s="855"/>
      <c r="AD58" s="213" t="str">
        <f t="array" ref="AD58">IFERROR(INDEX('💻シート作成'!$D$6:$D205, MATCH(AE58, '💻シート作成'!$E$6:$E205, 0)), "")</f>
        <v/>
      </c>
      <c r="AE58" s="166" t="str">
        <f>IFERROR(__xludf.DUMMYFUNCTION("""COMPUTED_VALUE"""),"🌟目標数値")</f>
        <v>🌟目標数値</v>
      </c>
      <c r="AF58" s="855"/>
      <c r="AG58" s="855"/>
      <c r="AH58" s="855"/>
    </row>
    <row r="59" ht="15.75" customHeight="1">
      <c r="A59" s="759"/>
      <c r="B59" s="859"/>
      <c r="C59" s="847"/>
      <c r="D59" s="844"/>
      <c r="E59" s="860"/>
      <c r="F59" s="860"/>
      <c r="G59" s="860"/>
      <c r="H59" s="862"/>
      <c r="I59" s="844"/>
      <c r="J59" s="760"/>
      <c r="K59" s="759"/>
      <c r="L59" s="792"/>
      <c r="S59" s="204"/>
      <c r="U59" s="792"/>
      <c r="AB59" s="204"/>
      <c r="AC59" s="760"/>
      <c r="AD59" s="213" t="str">
        <f t="array" ref="AD59">IFERROR(INDEX('💻シート作成'!$D$6:$D205, MATCH(AE59, '💻シート作成'!$E$6:$E205, 0)), "")</f>
        <v/>
      </c>
      <c r="AE59" s="166" t="str">
        <f>IFERROR(__xludf.DUMMYFUNCTION("""COMPUTED_VALUE"""),"🏆皆勤アワード")</f>
        <v>🏆皆勤アワード</v>
      </c>
      <c r="AF59" s="760"/>
      <c r="AG59" s="760"/>
      <c r="AH59" s="760"/>
    </row>
    <row r="60" ht="15.75" customHeight="1">
      <c r="A60" s="759"/>
      <c r="B60" s="859"/>
      <c r="C60" s="847"/>
      <c r="D60" s="844"/>
      <c r="E60" s="860"/>
      <c r="F60" s="860"/>
      <c r="G60" s="860"/>
      <c r="H60" s="862"/>
      <c r="I60" s="844"/>
      <c r="J60" s="760"/>
      <c r="K60" s="759"/>
      <c r="L60" s="792"/>
      <c r="S60" s="204"/>
      <c r="U60" s="792"/>
      <c r="AB60" s="204"/>
      <c r="AC60" s="760"/>
      <c r="AD60" s="213" t="str">
        <f t="array" ref="AD60">IFERROR(INDEX('💻シート作成'!$D$6:$D205, MATCH(AE60, '💻シート作成'!$E$6:$E205, 0)), "")</f>
        <v/>
      </c>
      <c r="AE60" s="166" t="str">
        <f>IFERROR(__xludf.DUMMYFUNCTION("""COMPUTED_VALUE"""),"🧹特別清掃")</f>
        <v>🧹特別清掃</v>
      </c>
      <c r="AF60" s="760"/>
      <c r="AG60" s="760"/>
      <c r="AH60" s="760"/>
    </row>
    <row r="61" ht="15.75" customHeight="1">
      <c r="A61" s="854"/>
      <c r="B61" s="859"/>
      <c r="C61" s="847"/>
      <c r="D61" s="844"/>
      <c r="E61" s="860"/>
      <c r="F61" s="860"/>
      <c r="G61" s="860"/>
      <c r="H61" s="862"/>
      <c r="I61" s="844"/>
      <c r="J61" s="855"/>
      <c r="K61" s="759"/>
      <c r="L61" s="344"/>
      <c r="M61" s="221"/>
      <c r="N61" s="221"/>
      <c r="O61" s="221"/>
      <c r="P61" s="221"/>
      <c r="Q61" s="221"/>
      <c r="R61" s="221"/>
      <c r="S61" s="107"/>
      <c r="U61" s="344"/>
      <c r="V61" s="221"/>
      <c r="W61" s="221"/>
      <c r="X61" s="221"/>
      <c r="Y61" s="221"/>
      <c r="Z61" s="221"/>
      <c r="AA61" s="221"/>
      <c r="AB61" s="107"/>
      <c r="AC61" s="760"/>
      <c r="AD61" s="213" t="str">
        <f t="array" ref="AD61">IFERROR(INDEX('💻シート作成'!$D$6:$D205, MATCH(AE61, '💻シート作成'!$E$6:$E205, 0)), "")</f>
        <v/>
      </c>
      <c r="AE61" s="166" t="str">
        <f>IFERROR(__xludf.DUMMYFUNCTION("""COMPUTED_VALUE"""),"⚙️抽出用")</f>
        <v>⚙️抽出用</v>
      </c>
      <c r="AF61" s="760"/>
      <c r="AG61" s="760"/>
      <c r="AH61" s="760"/>
    </row>
    <row r="62" ht="15.75" customHeight="1">
      <c r="A62" s="759"/>
      <c r="B62" s="859"/>
      <c r="C62" s="847"/>
      <c r="D62" s="844"/>
      <c r="E62" s="860"/>
      <c r="F62" s="860"/>
      <c r="G62" s="860"/>
      <c r="H62" s="862"/>
      <c r="I62" s="844"/>
      <c r="J62" s="760"/>
      <c r="K62" s="759"/>
      <c r="L62" s="822"/>
      <c r="M62" s="822"/>
      <c r="N62" s="822"/>
      <c r="O62" s="822"/>
      <c r="P62" s="822"/>
      <c r="Q62" s="822"/>
      <c r="R62" s="822"/>
      <c r="S62" s="822"/>
      <c r="T62" s="775"/>
      <c r="U62" s="822"/>
      <c r="V62" s="822"/>
      <c r="W62" s="822"/>
      <c r="X62" s="822"/>
      <c r="Y62" s="822"/>
      <c r="Z62" s="822"/>
      <c r="AA62" s="822"/>
      <c r="AB62" s="822"/>
      <c r="AC62" s="760"/>
      <c r="AD62" s="213" t="str">
        <f t="array" ref="AD62">IFERROR(INDEX('💻シート作成'!$D$6:$D205, MATCH(AE62, '💻シート作成'!$E$6:$E205, 0)), "")</f>
        <v/>
      </c>
      <c r="AE62" s="166" t="str">
        <f>IFERROR(__xludf.DUMMYFUNCTION("""COMPUTED_VALUE"""),"①集計_原本")</f>
        <v>①集計_原本</v>
      </c>
      <c r="AF62" s="760"/>
      <c r="AG62" s="760"/>
      <c r="AH62" s="760"/>
    </row>
    <row r="63" ht="15.75" customHeight="1">
      <c r="A63" s="759"/>
      <c r="B63" s="186"/>
      <c r="C63" s="186"/>
      <c r="D63" s="186"/>
      <c r="E63" s="186"/>
      <c r="F63" s="186"/>
      <c r="G63" s="186"/>
      <c r="H63" s="186"/>
      <c r="I63" s="186"/>
      <c r="J63" s="760"/>
      <c r="K63" s="759"/>
      <c r="L63" s="826" t="s">
        <v>480</v>
      </c>
      <c r="M63" s="217"/>
      <c r="N63" s="217"/>
      <c r="O63" s="217"/>
      <c r="P63" s="217"/>
      <c r="Q63" s="217"/>
      <c r="R63" s="217"/>
      <c r="S63" s="2"/>
      <c r="T63" s="782" t="s">
        <v>450</v>
      </c>
      <c r="U63" s="783" t="s">
        <v>481</v>
      </c>
      <c r="V63" s="217"/>
      <c r="W63" s="217"/>
      <c r="X63" s="217"/>
      <c r="Y63" s="217"/>
      <c r="Z63" s="217"/>
      <c r="AA63" s="217"/>
      <c r="AB63" s="2"/>
      <c r="AC63" s="760"/>
      <c r="AD63" s="213" t="str">
        <f t="array" ref="AD63">IFERROR(INDEX('💻シート作成'!$D$6:$D205, MATCH(AE63, '💻シート作成'!$E$6:$E205, 0)), "")</f>
        <v/>
      </c>
      <c r="AE63" s="166" t="str">
        <f>IFERROR(__xludf.DUMMYFUNCTION("""COMPUTED_VALUE"""),"②シフト_原本")</f>
        <v>②シフト_原本</v>
      </c>
      <c r="AF63" s="760"/>
      <c r="AG63" s="760"/>
      <c r="AH63" s="760"/>
    </row>
    <row r="64" ht="15.75" customHeight="1">
      <c r="A64" s="759"/>
      <c r="B64" s="863" t="s">
        <v>482</v>
      </c>
      <c r="C64" s="864"/>
      <c r="D64" s="858">
        <f>COUNTA(C66:D76)</f>
        <v>0</v>
      </c>
      <c r="E64" s="821"/>
      <c r="F64" s="821"/>
      <c r="G64" s="821"/>
      <c r="H64" s="821"/>
      <c r="I64" s="821"/>
      <c r="J64" s="760"/>
      <c r="K64" s="759"/>
      <c r="L64" s="788"/>
      <c r="M64" s="230"/>
      <c r="N64" s="230"/>
      <c r="O64" s="230"/>
      <c r="P64" s="230"/>
      <c r="Q64" s="230"/>
      <c r="R64" s="230"/>
      <c r="S64" s="232"/>
      <c r="U64" s="788"/>
      <c r="V64" s="230"/>
      <c r="W64" s="230"/>
      <c r="X64" s="230"/>
      <c r="Y64" s="230"/>
      <c r="Z64" s="230"/>
      <c r="AA64" s="230"/>
      <c r="AB64" s="232"/>
      <c r="AC64" s="760"/>
      <c r="AD64" s="213" t="str">
        <f t="array" ref="AD64">IFERROR(INDEX('💻シート作成'!$D$6:$D205, MATCH(AE64, '💻シート作成'!$E$6:$E205, 0)), "")</f>
        <v/>
      </c>
      <c r="AE64" s="166" t="str">
        <f>IFERROR(__xludf.DUMMYFUNCTION("""COMPUTED_VALUE"""),"③日報_原本")</f>
        <v>③日報_原本</v>
      </c>
      <c r="AF64" s="760"/>
      <c r="AG64" s="760"/>
      <c r="AH64" s="760"/>
    </row>
    <row r="65" ht="15.75" customHeight="1">
      <c r="A65" s="759"/>
      <c r="B65" s="842" t="s">
        <v>475</v>
      </c>
      <c r="C65" s="843" t="s">
        <v>227</v>
      </c>
      <c r="D65" s="844"/>
      <c r="E65" s="842" t="s">
        <v>483</v>
      </c>
      <c r="F65" s="843" t="s">
        <v>484</v>
      </c>
      <c r="G65" s="844"/>
      <c r="H65" s="843" t="s">
        <v>479</v>
      </c>
      <c r="I65" s="844"/>
      <c r="J65" s="760"/>
      <c r="K65" s="759"/>
      <c r="L65" s="792"/>
      <c r="S65" s="204"/>
      <c r="U65" s="792"/>
      <c r="AB65" s="204"/>
      <c r="AC65" s="760"/>
      <c r="AD65" s="213" t="str">
        <f t="array" ref="AD65">IFERROR(INDEX('💻シート作成'!$D$6:$D205, MATCH(AE65, '💻シート作成'!$E$6:$E205, 0)), "")</f>
        <v/>
      </c>
      <c r="AE65" s="166" t="str">
        <f>IFERROR(__xludf.DUMMYFUNCTION("""COMPUTED_VALUE"""),"④月報_原本")</f>
        <v>④月報_原本</v>
      </c>
      <c r="AF65" s="760"/>
      <c r="AG65" s="760"/>
      <c r="AH65" s="760"/>
    </row>
    <row r="66" ht="15.75" customHeight="1">
      <c r="A66" s="759"/>
      <c r="B66" s="846"/>
      <c r="C66" s="847"/>
      <c r="D66" s="844"/>
      <c r="E66" s="865"/>
      <c r="F66" s="849"/>
      <c r="G66" s="844"/>
      <c r="H66" s="866"/>
      <c r="I66" s="844"/>
      <c r="J66" s="760"/>
      <c r="K66" s="759"/>
      <c r="L66" s="792"/>
      <c r="S66" s="204"/>
      <c r="U66" s="792"/>
      <c r="AB66" s="204"/>
      <c r="AC66" s="760"/>
      <c r="AD66" s="213" t="str">
        <f t="array" ref="AD66">IFERROR(INDEX('💻シート作成'!$D$6:$D205, MATCH(AE66, '💻シート作成'!$E$6:$E205, 0)), "")</f>
        <v/>
      </c>
      <c r="AE66" s="168"/>
      <c r="AF66" s="760"/>
      <c r="AG66" s="760"/>
      <c r="AH66" s="760"/>
    </row>
    <row r="67" ht="15.75" customHeight="1">
      <c r="A67" s="759"/>
      <c r="B67" s="846"/>
      <c r="C67" s="852"/>
      <c r="D67" s="844"/>
      <c r="E67" s="865"/>
      <c r="F67" s="849"/>
      <c r="G67" s="844"/>
      <c r="H67" s="866"/>
      <c r="I67" s="844"/>
      <c r="J67" s="760"/>
      <c r="K67" s="759"/>
      <c r="L67" s="792"/>
      <c r="S67" s="204"/>
      <c r="U67" s="792"/>
      <c r="AB67" s="204"/>
      <c r="AC67" s="760"/>
      <c r="AD67" s="213" t="str">
        <f t="array" ref="AD67">IFERROR(INDEX('💻シート作成'!$D$6:$D205, MATCH(AE67, '💻シート作成'!$E$6:$E205, 0)), "")</f>
        <v/>
      </c>
      <c r="AE67" s="168"/>
      <c r="AF67" s="760"/>
      <c r="AG67" s="760"/>
      <c r="AH67" s="760"/>
    </row>
    <row r="68" ht="15.75" customHeight="1">
      <c r="A68" s="759"/>
      <c r="B68" s="846"/>
      <c r="C68" s="852"/>
      <c r="D68" s="844"/>
      <c r="E68" s="865"/>
      <c r="F68" s="849"/>
      <c r="G68" s="844"/>
      <c r="H68" s="866"/>
      <c r="I68" s="844"/>
      <c r="J68" s="760"/>
      <c r="K68" s="759"/>
      <c r="L68" s="792"/>
      <c r="S68" s="204"/>
      <c r="U68" s="792"/>
      <c r="AB68" s="204"/>
      <c r="AC68" s="760"/>
      <c r="AD68" s="213" t="str">
        <f t="array" ref="AD68">IFERROR(INDEX('💻シート作成'!$D$6:$D205, MATCH(AE68, '💻シート作成'!$E$6:$E205, 0)), "")</f>
        <v/>
      </c>
      <c r="AE68" s="168"/>
      <c r="AF68" s="760"/>
      <c r="AG68" s="760"/>
      <c r="AH68" s="760"/>
    </row>
    <row r="69" ht="15.75" customHeight="1">
      <c r="A69" s="759"/>
      <c r="B69" s="846"/>
      <c r="C69" s="852"/>
      <c r="D69" s="844"/>
      <c r="E69" s="865"/>
      <c r="F69" s="849"/>
      <c r="G69" s="844"/>
      <c r="H69" s="866"/>
      <c r="I69" s="844"/>
      <c r="J69" s="760"/>
      <c r="K69" s="759"/>
      <c r="L69" s="792"/>
      <c r="S69" s="204"/>
      <c r="U69" s="792"/>
      <c r="AB69" s="204"/>
      <c r="AC69" s="760"/>
      <c r="AD69" s="213" t="str">
        <f t="array" ref="AD69">IFERROR(INDEX('💻シート作成'!$D$6:$D205, MATCH(AE69, '💻シート作成'!$E$6:$E205, 0)), "")</f>
        <v/>
      </c>
      <c r="AE69" s="168"/>
      <c r="AF69" s="760"/>
      <c r="AG69" s="760"/>
      <c r="AH69" s="760"/>
    </row>
    <row r="70" ht="15.75" customHeight="1">
      <c r="A70" s="759"/>
      <c r="B70" s="846"/>
      <c r="C70" s="852"/>
      <c r="D70" s="844"/>
      <c r="E70" s="865"/>
      <c r="F70" s="849"/>
      <c r="G70" s="844"/>
      <c r="H70" s="866"/>
      <c r="I70" s="844"/>
      <c r="J70" s="760"/>
      <c r="K70" s="759"/>
      <c r="L70" s="792"/>
      <c r="S70" s="204"/>
      <c r="U70" s="792"/>
      <c r="AB70" s="204"/>
      <c r="AC70" s="760"/>
      <c r="AD70" s="213" t="str">
        <f t="array" ref="AD70">IFERROR(INDEX('💻シート作成'!$D$6:$D205, MATCH(AE70, '💻シート作成'!$E$6:$E205, 0)), "")</f>
        <v/>
      </c>
      <c r="AE70" s="168"/>
      <c r="AF70" s="760"/>
      <c r="AG70" s="760"/>
      <c r="AH70" s="760"/>
    </row>
    <row r="71" ht="15.75" customHeight="1">
      <c r="A71" s="759"/>
      <c r="B71" s="846"/>
      <c r="C71" s="852"/>
      <c r="D71" s="844"/>
      <c r="E71" s="865"/>
      <c r="F71" s="849"/>
      <c r="G71" s="844"/>
      <c r="H71" s="866"/>
      <c r="I71" s="844"/>
      <c r="J71" s="760"/>
      <c r="K71" s="759"/>
      <c r="L71" s="792"/>
      <c r="S71" s="204"/>
      <c r="U71" s="792"/>
      <c r="AB71" s="204"/>
      <c r="AC71" s="760"/>
      <c r="AD71" s="213" t="str">
        <f t="array" ref="AD71">IFERROR(INDEX('💻シート作成'!$D$6:$D205, MATCH(AE71, '💻シート作成'!$E$6:$E205, 0)), "")</f>
        <v/>
      </c>
      <c r="AE71" s="168"/>
      <c r="AF71" s="760"/>
      <c r="AG71" s="760"/>
      <c r="AH71" s="760"/>
    </row>
    <row r="72" ht="15.75" customHeight="1">
      <c r="A72" s="759"/>
      <c r="B72" s="846"/>
      <c r="C72" s="852"/>
      <c r="D72" s="844"/>
      <c r="E72" s="865"/>
      <c r="F72" s="849"/>
      <c r="G72" s="844"/>
      <c r="H72" s="866"/>
      <c r="I72" s="844"/>
      <c r="J72" s="760"/>
      <c r="K72" s="854"/>
      <c r="L72" s="792"/>
      <c r="S72" s="204"/>
      <c r="U72" s="792"/>
      <c r="AB72" s="204"/>
      <c r="AC72" s="855"/>
      <c r="AD72" s="213" t="str">
        <f t="array" ref="AD72">IFERROR(INDEX('💻シート作成'!$D$6:$D205, MATCH(AE72, '💻シート作成'!$E$6:$E205, 0)), "")</f>
        <v/>
      </c>
      <c r="AE72" s="168"/>
      <c r="AF72" s="855"/>
      <c r="AG72" s="855"/>
      <c r="AH72" s="855"/>
    </row>
    <row r="73" ht="15.75" customHeight="1">
      <c r="A73" s="759"/>
      <c r="B73" s="846"/>
      <c r="C73" s="852"/>
      <c r="D73" s="844"/>
      <c r="E73" s="865"/>
      <c r="F73" s="849"/>
      <c r="G73" s="844"/>
      <c r="H73" s="866"/>
      <c r="I73" s="844"/>
      <c r="J73" s="760"/>
      <c r="K73" s="759"/>
      <c r="L73" s="792"/>
      <c r="S73" s="204"/>
      <c r="U73" s="792"/>
      <c r="AB73" s="204"/>
      <c r="AC73" s="760"/>
      <c r="AD73" s="213" t="str">
        <f t="array" ref="AD73">IFERROR(INDEX('💻シート作成'!$D$6:$D205, MATCH(AE73, '💻シート作成'!$E$6:$E205, 0)), "")</f>
        <v/>
      </c>
      <c r="AE73" s="168"/>
      <c r="AF73" s="760"/>
      <c r="AG73" s="760"/>
      <c r="AH73" s="760"/>
    </row>
    <row r="74" ht="15.75" customHeight="1">
      <c r="A74" s="759"/>
      <c r="B74" s="846"/>
      <c r="C74" s="852"/>
      <c r="D74" s="844"/>
      <c r="E74" s="865"/>
      <c r="F74" s="849"/>
      <c r="G74" s="844"/>
      <c r="H74" s="866"/>
      <c r="I74" s="844"/>
      <c r="J74" s="760"/>
      <c r="K74" s="759"/>
      <c r="L74" s="792"/>
      <c r="S74" s="204"/>
      <c r="U74" s="792"/>
      <c r="AB74" s="204"/>
      <c r="AC74" s="760"/>
      <c r="AD74" s="213" t="str">
        <f t="array" ref="AD74">IFERROR(INDEX('💻シート作成'!$D$6:$D205, MATCH(AE74, '💻シート作成'!$E$6:$E205, 0)), "")</f>
        <v/>
      </c>
      <c r="AE74" s="168"/>
      <c r="AF74" s="760"/>
      <c r="AG74" s="760"/>
      <c r="AH74" s="760"/>
    </row>
    <row r="75" ht="15.75" customHeight="1">
      <c r="A75" s="854"/>
      <c r="B75" s="846"/>
      <c r="C75" s="852"/>
      <c r="D75" s="844"/>
      <c r="E75" s="865"/>
      <c r="F75" s="849"/>
      <c r="G75" s="844"/>
      <c r="H75" s="866"/>
      <c r="I75" s="844"/>
      <c r="J75" s="855"/>
      <c r="K75" s="759"/>
      <c r="L75" s="344"/>
      <c r="M75" s="221"/>
      <c r="N75" s="221"/>
      <c r="O75" s="221"/>
      <c r="P75" s="221"/>
      <c r="Q75" s="221"/>
      <c r="R75" s="221"/>
      <c r="S75" s="107"/>
      <c r="U75" s="344"/>
      <c r="V75" s="221"/>
      <c r="W75" s="221"/>
      <c r="X75" s="221"/>
      <c r="Y75" s="221"/>
      <c r="Z75" s="221"/>
      <c r="AA75" s="221"/>
      <c r="AB75" s="107"/>
      <c r="AC75" s="760"/>
      <c r="AD75" s="213" t="str">
        <f t="array" ref="AD75">IFERROR(INDEX('💻シート作成'!$D$6:$D205, MATCH(AE75, '💻シート作成'!$E$6:$E205, 0)), "")</f>
        <v/>
      </c>
      <c r="AE75" s="168"/>
      <c r="AF75" s="760"/>
      <c r="AG75" s="760"/>
      <c r="AH75" s="760"/>
    </row>
    <row r="76" ht="15.75" customHeight="1">
      <c r="A76" s="759"/>
      <c r="B76" s="846"/>
      <c r="C76" s="852"/>
      <c r="D76" s="844"/>
      <c r="E76" s="865"/>
      <c r="F76" s="849"/>
      <c r="G76" s="844"/>
      <c r="H76" s="866"/>
      <c r="I76" s="844"/>
      <c r="J76" s="760"/>
      <c r="K76" s="759"/>
      <c r="L76" s="822"/>
      <c r="M76" s="822"/>
      <c r="N76" s="822"/>
      <c r="O76" s="822"/>
      <c r="P76" s="822"/>
      <c r="Q76" s="822"/>
      <c r="R76" s="822"/>
      <c r="S76" s="822"/>
      <c r="T76" s="775"/>
      <c r="U76" s="822"/>
      <c r="V76" s="822"/>
      <c r="W76" s="822"/>
      <c r="X76" s="822"/>
      <c r="Y76" s="822"/>
      <c r="Z76" s="822"/>
      <c r="AA76" s="822"/>
      <c r="AB76" s="822"/>
      <c r="AC76" s="760"/>
      <c r="AD76" s="213" t="str">
        <f t="array" ref="AD76">IFERROR(INDEX('💻シート作成'!$D$6:$D205, MATCH(AE76, '💻シート作成'!$E$6:$E205, 0)), "")</f>
        <v/>
      </c>
      <c r="AE76" s="168"/>
      <c r="AF76" s="760"/>
      <c r="AG76" s="760"/>
      <c r="AH76" s="760"/>
    </row>
    <row r="77" ht="15.75" customHeight="1">
      <c r="A77" s="759"/>
      <c r="B77" s="760"/>
      <c r="C77" s="760"/>
      <c r="D77" s="760"/>
      <c r="E77" s="760"/>
      <c r="H77" s="760"/>
      <c r="I77" s="760"/>
      <c r="J77" s="760"/>
      <c r="K77" s="759"/>
      <c r="L77" s="826" t="s">
        <v>485</v>
      </c>
      <c r="M77" s="217"/>
      <c r="N77" s="217"/>
      <c r="O77" s="217"/>
      <c r="P77" s="217"/>
      <c r="Q77" s="217"/>
      <c r="R77" s="217"/>
      <c r="S77" s="2"/>
      <c r="T77" s="775"/>
      <c r="U77" s="867" t="s">
        <v>486</v>
      </c>
      <c r="V77" s="217"/>
      <c r="W77" s="217"/>
      <c r="X77" s="217"/>
      <c r="Y77" s="217"/>
      <c r="Z77" s="217"/>
      <c r="AA77" s="217"/>
      <c r="AB77" s="2"/>
      <c r="AC77" s="760"/>
      <c r="AD77" s="213" t="str">
        <f t="array" ref="AD77">IFERROR(INDEX('💻シート作成'!$D$6:$D205, MATCH(AE77, '💻シート作成'!$E$6:$E205, 0)), "")</f>
        <v/>
      </c>
      <c r="AE77" s="168"/>
      <c r="AF77" s="760"/>
      <c r="AG77" s="760"/>
      <c r="AH77" s="760"/>
    </row>
    <row r="78" ht="15.75" customHeight="1">
      <c r="A78" s="759"/>
      <c r="B78" s="760"/>
      <c r="C78" s="760"/>
      <c r="D78" s="760"/>
      <c r="E78" s="760"/>
      <c r="H78" s="760"/>
      <c r="I78" s="760"/>
      <c r="J78" s="760"/>
      <c r="K78" s="759"/>
      <c r="L78" s="788"/>
      <c r="M78" s="230"/>
      <c r="N78" s="230"/>
      <c r="O78" s="230"/>
      <c r="P78" s="230"/>
      <c r="Q78" s="230"/>
      <c r="R78" s="230"/>
      <c r="S78" s="232"/>
      <c r="U78" s="788"/>
      <c r="V78" s="230"/>
      <c r="W78" s="230"/>
      <c r="X78" s="230"/>
      <c r="Y78" s="230"/>
      <c r="Z78" s="230"/>
      <c r="AA78" s="230"/>
      <c r="AB78" s="232"/>
      <c r="AC78" s="760"/>
      <c r="AD78" s="213" t="str">
        <f t="array" ref="AD78">IFERROR(INDEX('💻シート作成'!$D$6:$D205, MATCH(AE78, '💻シート作成'!$E$6:$E205, 0)), "")</f>
        <v/>
      </c>
      <c r="AE78" s="168"/>
      <c r="AF78" s="760"/>
      <c r="AG78" s="760"/>
      <c r="AH78" s="760"/>
    </row>
    <row r="79" ht="15.75" customHeight="1">
      <c r="A79" s="759"/>
      <c r="B79" s="760"/>
      <c r="C79" s="760"/>
      <c r="D79" s="760"/>
      <c r="E79" s="760"/>
      <c r="H79" s="760"/>
      <c r="I79" s="760"/>
      <c r="J79" s="760"/>
      <c r="K79" s="759"/>
      <c r="L79" s="792"/>
      <c r="S79" s="204"/>
      <c r="U79" s="792"/>
      <c r="AB79" s="204"/>
      <c r="AC79" s="760"/>
      <c r="AD79" s="213" t="str">
        <f t="array" ref="AD79">IFERROR(INDEX('💻シート作成'!$D$6:$D205, MATCH(AE79, '💻シート作成'!$E$6:$E205, 0)), "")</f>
        <v/>
      </c>
      <c r="AE79" s="168"/>
      <c r="AF79" s="760"/>
      <c r="AG79" s="760"/>
      <c r="AH79" s="760"/>
    </row>
    <row r="80" ht="15.75" customHeight="1">
      <c r="A80" s="759"/>
      <c r="B80" s="760"/>
      <c r="C80" s="760"/>
      <c r="D80" s="760"/>
      <c r="E80" s="760"/>
      <c r="H80" s="760"/>
      <c r="I80" s="760"/>
      <c r="J80" s="760"/>
      <c r="K80" s="759"/>
      <c r="L80" s="792"/>
      <c r="S80" s="204"/>
      <c r="U80" s="792"/>
      <c r="AB80" s="204"/>
      <c r="AC80" s="760"/>
      <c r="AD80" s="213" t="str">
        <f t="array" ref="AD80">IFERROR(INDEX('💻シート作成'!$D$6:$D205, MATCH(AE80, '💻シート作成'!$E$6:$E205, 0)), "")</f>
        <v/>
      </c>
      <c r="AE80" s="168"/>
      <c r="AF80" s="760"/>
      <c r="AG80" s="760"/>
      <c r="AH80" s="760"/>
    </row>
    <row r="81" ht="15.75" customHeight="1">
      <c r="A81" s="759"/>
      <c r="B81" s="760"/>
      <c r="C81" s="760"/>
      <c r="D81" s="760"/>
      <c r="E81" s="760"/>
      <c r="H81" s="760"/>
      <c r="I81" s="760"/>
      <c r="J81" s="760"/>
      <c r="K81" s="759"/>
      <c r="L81" s="792"/>
      <c r="S81" s="204"/>
      <c r="U81" s="792"/>
      <c r="AB81" s="204"/>
      <c r="AC81" s="760"/>
      <c r="AD81" s="213" t="str">
        <f t="array" ref="AD81">IFERROR(INDEX('💻シート作成'!$D$6:$D205, MATCH(AE81, '💻シート作成'!$E$6:$E205, 0)), "")</f>
        <v/>
      </c>
      <c r="AE81" s="168"/>
      <c r="AF81" s="760"/>
      <c r="AG81" s="760"/>
      <c r="AH81" s="760"/>
    </row>
    <row r="82" ht="15.75" customHeight="1">
      <c r="A82" s="759"/>
      <c r="B82" s="760"/>
      <c r="C82" s="760"/>
      <c r="D82" s="760"/>
      <c r="E82" s="760"/>
      <c r="H82" s="760"/>
      <c r="I82" s="760"/>
      <c r="J82" s="760"/>
      <c r="K82" s="759"/>
      <c r="L82" s="792"/>
      <c r="S82" s="204"/>
      <c r="U82" s="792"/>
      <c r="AB82" s="204"/>
      <c r="AC82" s="760"/>
      <c r="AD82" s="213" t="str">
        <f t="array" ref="AD82">IFERROR(INDEX('💻シート作成'!$D$6:$D205, MATCH(AE82, '💻シート作成'!$E$6:$E205, 0)), "")</f>
        <v/>
      </c>
      <c r="AE82" s="168"/>
      <c r="AF82" s="760"/>
      <c r="AG82" s="760"/>
      <c r="AH82" s="760"/>
    </row>
    <row r="83" ht="15.75" customHeight="1">
      <c r="A83" s="759"/>
      <c r="B83" s="760"/>
      <c r="C83" s="760"/>
      <c r="D83" s="760"/>
      <c r="E83" s="760"/>
      <c r="H83" s="760"/>
      <c r="I83" s="760"/>
      <c r="J83" s="760"/>
      <c r="K83" s="759"/>
      <c r="L83" s="792"/>
      <c r="S83" s="204"/>
      <c r="U83" s="792"/>
      <c r="AB83" s="204"/>
      <c r="AC83" s="760"/>
      <c r="AD83" s="213" t="str">
        <f t="array" ref="AD83">IFERROR(INDEX('💻シート作成'!$D$6:$D205, MATCH(AE83, '💻シート作成'!$E$6:$E205, 0)), "")</f>
        <v/>
      </c>
      <c r="AE83" s="168"/>
      <c r="AF83" s="760"/>
      <c r="AG83" s="760"/>
      <c r="AH83" s="760"/>
    </row>
    <row r="84" ht="15.75" customHeight="1">
      <c r="A84" s="759"/>
      <c r="B84" s="760"/>
      <c r="C84" s="760"/>
      <c r="D84" s="760"/>
      <c r="E84" s="760"/>
      <c r="H84" s="760"/>
      <c r="I84" s="760"/>
      <c r="J84" s="760"/>
      <c r="K84" s="759"/>
      <c r="L84" s="792"/>
      <c r="S84" s="204"/>
      <c r="U84" s="792"/>
      <c r="AB84" s="204"/>
      <c r="AC84" s="760"/>
      <c r="AD84" s="213" t="str">
        <f t="array" ref="AD84">IFERROR(INDEX('💻シート作成'!$D$6:$D205, MATCH(AE84, '💻シート作成'!$E$6:$E205, 0)), "")</f>
        <v/>
      </c>
      <c r="AE84" s="168"/>
      <c r="AF84" s="760"/>
      <c r="AG84" s="760"/>
      <c r="AH84" s="760"/>
    </row>
    <row r="85" ht="15.75" customHeight="1">
      <c r="A85" s="759"/>
      <c r="B85" s="760"/>
      <c r="C85" s="760"/>
      <c r="D85" s="760"/>
      <c r="E85" s="760"/>
      <c r="H85" s="760"/>
      <c r="I85" s="760"/>
      <c r="J85" s="760"/>
      <c r="K85" s="759"/>
      <c r="L85" s="792"/>
      <c r="S85" s="204"/>
      <c r="U85" s="792"/>
      <c r="AB85" s="204"/>
      <c r="AC85" s="760"/>
      <c r="AD85" s="213" t="str">
        <f t="array" ref="AD85">IFERROR(INDEX('💻シート作成'!$D$6:$D205, MATCH(AE85, '💻シート作成'!$E$6:$E205, 0)), "")</f>
        <v/>
      </c>
      <c r="AE85" s="168"/>
      <c r="AF85" s="760"/>
      <c r="AG85" s="760"/>
      <c r="AH85" s="760"/>
    </row>
    <row r="86" ht="15.75" customHeight="1">
      <c r="A86" s="759"/>
      <c r="B86" s="760"/>
      <c r="C86" s="760"/>
      <c r="D86" s="760"/>
      <c r="E86" s="760"/>
      <c r="H86" s="760"/>
      <c r="I86" s="760"/>
      <c r="J86" s="760"/>
      <c r="K86" s="854"/>
      <c r="L86" s="792"/>
      <c r="S86" s="204"/>
      <c r="U86" s="792"/>
      <c r="AB86" s="204"/>
      <c r="AC86" s="855"/>
      <c r="AD86" s="213" t="str">
        <f t="array" ref="AD86">IFERROR(INDEX('💻シート作成'!$D$6:$D205, MATCH(AE86, '💻シート作成'!$E$6:$E205, 0)), "")</f>
        <v/>
      </c>
      <c r="AE86" s="168"/>
      <c r="AF86" s="855"/>
      <c r="AG86" s="855"/>
      <c r="AH86" s="855"/>
    </row>
    <row r="87" ht="15.75" customHeight="1">
      <c r="A87" s="759"/>
      <c r="B87" s="760"/>
      <c r="C87" s="760"/>
      <c r="D87" s="760"/>
      <c r="E87" s="760"/>
      <c r="H87" s="760"/>
      <c r="I87" s="760"/>
      <c r="J87" s="760"/>
      <c r="K87" s="759"/>
      <c r="L87" s="792"/>
      <c r="S87" s="204"/>
      <c r="U87" s="792"/>
      <c r="AB87" s="204"/>
      <c r="AC87" s="760"/>
      <c r="AD87" s="213" t="str">
        <f t="array" ref="AD87">IFERROR(INDEX('💻シート作成'!$D$6:$D205, MATCH(AE87, '💻シート作成'!$E$6:$E205, 0)), "")</f>
        <v/>
      </c>
      <c r="AE87" s="168"/>
      <c r="AF87" s="760"/>
      <c r="AG87" s="760"/>
      <c r="AH87" s="760"/>
    </row>
    <row r="88" ht="15.75" customHeight="1">
      <c r="A88" s="759"/>
      <c r="B88" s="760"/>
      <c r="C88" s="760"/>
      <c r="D88" s="760"/>
      <c r="E88" s="760"/>
      <c r="H88" s="760"/>
      <c r="I88" s="760"/>
      <c r="J88" s="760"/>
      <c r="K88" s="759"/>
      <c r="L88" s="792"/>
      <c r="S88" s="204"/>
      <c r="U88" s="792"/>
      <c r="AB88" s="204"/>
      <c r="AC88" s="760"/>
      <c r="AD88" s="213" t="str">
        <f t="array" ref="AD88">IFERROR(INDEX('💻シート作成'!$D$6:$D205, MATCH(AE88, '💻シート作成'!$E$6:$E205, 0)), "")</f>
        <v/>
      </c>
      <c r="AE88" s="168"/>
      <c r="AF88" s="760"/>
      <c r="AG88" s="760"/>
      <c r="AH88" s="760"/>
    </row>
    <row r="89" ht="15.75" customHeight="1">
      <c r="A89" s="854"/>
      <c r="B89" s="855"/>
      <c r="C89" s="855"/>
      <c r="D89" s="855"/>
      <c r="E89" s="855"/>
      <c r="F89" s="855"/>
      <c r="G89" s="855"/>
      <c r="H89" s="855"/>
      <c r="I89" s="855"/>
      <c r="J89" s="855"/>
      <c r="K89" s="759"/>
      <c r="L89" s="344"/>
      <c r="M89" s="221"/>
      <c r="N89" s="221"/>
      <c r="O89" s="221"/>
      <c r="P89" s="221"/>
      <c r="Q89" s="221"/>
      <c r="R89" s="221"/>
      <c r="S89" s="107"/>
      <c r="U89" s="344"/>
      <c r="V89" s="221"/>
      <c r="W89" s="221"/>
      <c r="X89" s="221"/>
      <c r="Y89" s="221"/>
      <c r="Z89" s="221"/>
      <c r="AA89" s="221"/>
      <c r="AB89" s="107"/>
      <c r="AC89" s="760"/>
      <c r="AD89" s="213" t="str">
        <f t="array" ref="AD89">IFERROR(INDEX('💻シート作成'!$D$6:$D205, MATCH(AE89, '💻シート作成'!$E$6:$E205, 0)), "")</f>
        <v/>
      </c>
      <c r="AE89" s="168"/>
      <c r="AF89" s="760"/>
      <c r="AG89" s="760"/>
      <c r="AH89" s="760"/>
    </row>
    <row r="90" ht="15.75" customHeight="1">
      <c r="A90" s="759"/>
      <c r="B90" s="760"/>
      <c r="C90" s="760"/>
      <c r="D90" s="760"/>
      <c r="E90" s="760"/>
      <c r="F90" s="760"/>
      <c r="G90" s="760"/>
      <c r="H90" s="760"/>
      <c r="I90" s="760"/>
      <c r="J90" s="760"/>
      <c r="K90" s="759"/>
      <c r="L90" s="868"/>
      <c r="M90" s="868"/>
      <c r="N90" s="868"/>
      <c r="O90" s="868"/>
      <c r="P90" s="868"/>
      <c r="Q90" s="868"/>
      <c r="R90" s="868"/>
      <c r="S90" s="868"/>
      <c r="T90" s="775"/>
      <c r="U90" s="868"/>
      <c r="V90" s="868"/>
      <c r="W90" s="868"/>
      <c r="X90" s="868"/>
      <c r="Y90" s="868"/>
      <c r="Z90" s="868"/>
      <c r="AA90" s="868"/>
      <c r="AB90" s="868"/>
      <c r="AC90" s="760"/>
      <c r="AD90" s="213" t="str">
        <f t="array" ref="AD90">IFERROR(INDEX('💻シート作成'!$D$6:$D205, MATCH(AE90, '💻シート作成'!$E$6:$E205, 0)), "")</f>
        <v/>
      </c>
      <c r="AE90" s="168"/>
      <c r="AF90" s="760"/>
      <c r="AG90" s="760"/>
      <c r="AH90" s="760"/>
    </row>
    <row r="91" ht="15.75" customHeight="1">
      <c r="A91" s="759"/>
      <c r="B91" s="760"/>
      <c r="C91" s="760"/>
      <c r="D91" s="760"/>
      <c r="E91" s="760"/>
      <c r="F91" s="760"/>
      <c r="G91" s="760"/>
      <c r="H91" s="760"/>
      <c r="I91" s="760"/>
      <c r="J91" s="760"/>
      <c r="K91" s="759"/>
      <c r="L91" s="869" t="s">
        <v>487</v>
      </c>
      <c r="M91" s="217"/>
      <c r="N91" s="217"/>
      <c r="O91" s="217"/>
      <c r="P91" s="217"/>
      <c r="Q91" s="217"/>
      <c r="R91" s="217"/>
      <c r="S91" s="217"/>
      <c r="T91" s="217"/>
      <c r="U91" s="217"/>
      <c r="V91" s="217"/>
      <c r="W91" s="217"/>
      <c r="X91" s="217"/>
      <c r="Y91" s="217"/>
      <c r="Z91" s="217"/>
      <c r="AA91" s="217"/>
      <c r="AB91" s="2"/>
      <c r="AC91" s="760"/>
      <c r="AD91" s="213" t="str">
        <f t="array" ref="AD91">IFERROR(INDEX('💻シート作成'!$D$6:$D205, MATCH(AE91, '💻シート作成'!$E$6:$E205, 0)), "")</f>
        <v/>
      </c>
      <c r="AE91" s="168"/>
      <c r="AF91" s="760"/>
      <c r="AG91" s="760"/>
      <c r="AH91" s="760"/>
    </row>
    <row r="92" ht="15.75" customHeight="1">
      <c r="A92" s="759"/>
      <c r="B92" s="760"/>
      <c r="C92" s="760"/>
      <c r="D92" s="760"/>
      <c r="E92" s="760"/>
      <c r="F92" s="760"/>
      <c r="G92" s="760"/>
      <c r="H92" s="760"/>
      <c r="I92" s="760"/>
      <c r="J92" s="760"/>
      <c r="K92" s="759"/>
      <c r="L92" s="788"/>
      <c r="M92" s="230"/>
      <c r="N92" s="230"/>
      <c r="O92" s="230"/>
      <c r="P92" s="230"/>
      <c r="Q92" s="230"/>
      <c r="R92" s="230"/>
      <c r="S92" s="230"/>
      <c r="T92" s="230"/>
      <c r="U92" s="230"/>
      <c r="V92" s="230"/>
      <c r="W92" s="230"/>
      <c r="X92" s="230"/>
      <c r="Y92" s="230"/>
      <c r="Z92" s="230"/>
      <c r="AA92" s="230"/>
      <c r="AB92" s="232"/>
      <c r="AC92" s="760"/>
      <c r="AD92" s="213" t="str">
        <f t="array" ref="AD92">IFERROR(INDEX('💻シート作成'!$D$6:$D205, MATCH(AE92, '💻シート作成'!$E$6:$E205, 0)), "")</f>
        <v/>
      </c>
      <c r="AE92" s="168"/>
      <c r="AF92" s="760"/>
      <c r="AG92" s="760"/>
      <c r="AH92" s="760"/>
    </row>
    <row r="93" ht="15.75" customHeight="1">
      <c r="A93" s="759"/>
      <c r="B93" s="760"/>
      <c r="C93" s="760"/>
      <c r="D93" s="760"/>
      <c r="E93" s="760"/>
      <c r="F93" s="760"/>
      <c r="G93" s="760"/>
      <c r="H93" s="760"/>
      <c r="I93" s="760"/>
      <c r="J93" s="760"/>
      <c r="K93" s="759"/>
      <c r="L93" s="792"/>
      <c r="AB93" s="204"/>
      <c r="AC93" s="760"/>
      <c r="AD93" s="213" t="str">
        <f t="array" ref="AD93">IFERROR(INDEX('💻シート作成'!$D$6:$D205, MATCH(AE93, '💻シート作成'!$E$6:$E205, 0)), "")</f>
        <v/>
      </c>
      <c r="AE93" s="168"/>
      <c r="AF93" s="760"/>
      <c r="AG93" s="760"/>
      <c r="AH93" s="760"/>
    </row>
    <row r="94" ht="15.75" customHeight="1">
      <c r="A94" s="759"/>
      <c r="B94" s="760"/>
      <c r="C94" s="760"/>
      <c r="D94" s="760"/>
      <c r="E94" s="760"/>
      <c r="F94" s="760"/>
      <c r="G94" s="760"/>
      <c r="H94" s="760"/>
      <c r="I94" s="760"/>
      <c r="J94" s="760"/>
      <c r="K94" s="759"/>
      <c r="L94" s="792"/>
      <c r="AB94" s="204"/>
      <c r="AC94" s="760"/>
      <c r="AD94" s="213" t="str">
        <f t="array" ref="AD94">IFERROR(INDEX('💻シート作成'!$D$6:$D205, MATCH(AE94, '💻シート作成'!$E$6:$E205, 0)), "")</f>
        <v/>
      </c>
      <c r="AE94" s="168"/>
      <c r="AF94" s="760"/>
      <c r="AG94" s="760"/>
      <c r="AH94" s="760"/>
    </row>
    <row r="95" ht="15.75" customHeight="1">
      <c r="A95" s="759"/>
      <c r="B95" s="760"/>
      <c r="C95" s="760"/>
      <c r="D95" s="760"/>
      <c r="E95" s="760"/>
      <c r="F95" s="760"/>
      <c r="G95" s="760"/>
      <c r="H95" s="760"/>
      <c r="I95" s="760"/>
      <c r="J95" s="760"/>
      <c r="K95" s="759"/>
      <c r="L95" s="792"/>
      <c r="AB95" s="204"/>
      <c r="AC95" s="760"/>
      <c r="AD95" s="213" t="str">
        <f t="array" ref="AD95">IFERROR(INDEX('💻シート作成'!$D$6:$D205, MATCH(AE95, '💻シート作成'!$E$6:$E205, 0)), "")</f>
        <v/>
      </c>
      <c r="AE95" s="168"/>
      <c r="AF95" s="760"/>
      <c r="AG95" s="760"/>
      <c r="AH95" s="760"/>
    </row>
    <row r="96" ht="15.75" customHeight="1">
      <c r="A96" s="759"/>
      <c r="B96" s="760"/>
      <c r="C96" s="760"/>
      <c r="D96" s="760"/>
      <c r="E96" s="760"/>
      <c r="F96" s="760"/>
      <c r="G96" s="760"/>
      <c r="H96" s="760"/>
      <c r="I96" s="760"/>
      <c r="J96" s="760"/>
      <c r="K96" s="759"/>
      <c r="L96" s="792"/>
      <c r="AB96" s="204"/>
      <c r="AC96" s="760"/>
      <c r="AD96" s="213" t="str">
        <f t="array" ref="AD96">IFERROR(INDEX('💻シート作成'!$D$6:$D205, MATCH(AE96, '💻シート作成'!$E$6:$E205, 0)), "")</f>
        <v/>
      </c>
      <c r="AE96" s="168"/>
      <c r="AF96" s="760"/>
      <c r="AG96" s="760"/>
      <c r="AH96" s="760"/>
    </row>
    <row r="97" ht="15.75" customHeight="1">
      <c r="A97" s="759"/>
      <c r="B97" s="760"/>
      <c r="C97" s="760"/>
      <c r="D97" s="760"/>
      <c r="E97" s="760"/>
      <c r="F97" s="760"/>
      <c r="G97" s="760"/>
      <c r="H97" s="760"/>
      <c r="I97" s="760"/>
      <c r="J97" s="760"/>
      <c r="K97" s="759"/>
      <c r="L97" s="792"/>
      <c r="AB97" s="204"/>
      <c r="AC97" s="760"/>
      <c r="AD97" s="213" t="str">
        <f t="array" ref="AD97">IFERROR(INDEX('💻シート作成'!$D$6:$D205, MATCH(AE97, '💻シート作成'!$E$6:$E205, 0)), "")</f>
        <v/>
      </c>
      <c r="AE97" s="168"/>
      <c r="AF97" s="760"/>
      <c r="AG97" s="760"/>
      <c r="AH97" s="760"/>
    </row>
    <row r="98" ht="15.75" customHeight="1">
      <c r="A98" s="759"/>
      <c r="B98" s="760"/>
      <c r="C98" s="760"/>
      <c r="D98" s="760"/>
      <c r="E98" s="760"/>
      <c r="F98" s="760"/>
      <c r="G98" s="760"/>
      <c r="H98" s="760"/>
      <c r="I98" s="760"/>
      <c r="J98" s="760"/>
      <c r="K98" s="759"/>
      <c r="L98" s="792"/>
      <c r="AB98" s="204"/>
      <c r="AC98" s="760"/>
      <c r="AD98" s="213" t="str">
        <f t="array" ref="AD98">IFERROR(INDEX('💻シート作成'!$D$6:$D205, MATCH(AE98, '💻シート作成'!$E$6:$E205, 0)), "")</f>
        <v/>
      </c>
      <c r="AE98" s="168"/>
      <c r="AF98" s="760"/>
      <c r="AG98" s="760"/>
      <c r="AH98" s="760"/>
    </row>
    <row r="99" ht="15.75" customHeight="1">
      <c r="A99" s="759"/>
      <c r="B99" s="760"/>
      <c r="C99" s="760"/>
      <c r="D99" s="760"/>
      <c r="E99" s="760"/>
      <c r="F99" s="760"/>
      <c r="G99" s="760"/>
      <c r="H99" s="760"/>
      <c r="I99" s="760"/>
      <c r="J99" s="760"/>
      <c r="K99" s="759"/>
      <c r="L99" s="344"/>
      <c r="M99" s="221"/>
      <c r="N99" s="221"/>
      <c r="O99" s="221"/>
      <c r="P99" s="221"/>
      <c r="Q99" s="221"/>
      <c r="R99" s="221"/>
      <c r="S99" s="221"/>
      <c r="T99" s="221"/>
      <c r="U99" s="221"/>
      <c r="V99" s="221"/>
      <c r="W99" s="221"/>
      <c r="X99" s="221"/>
      <c r="Y99" s="221"/>
      <c r="Z99" s="221"/>
      <c r="AA99" s="221"/>
      <c r="AB99" s="107"/>
      <c r="AC99" s="760"/>
      <c r="AD99" s="213" t="str">
        <f t="array" ref="AD99">IFERROR(INDEX('💻シート作成'!$D$6:$D205, MATCH(AE99, '💻シート作成'!$E$6:$E205, 0)), "")</f>
        <v/>
      </c>
      <c r="AE99" s="168"/>
      <c r="AF99" s="760"/>
      <c r="AG99" s="760"/>
      <c r="AH99" s="760"/>
    </row>
    <row r="100" ht="21.75" customHeight="1">
      <c r="A100" s="759"/>
      <c r="B100" s="760"/>
      <c r="C100" s="760"/>
      <c r="D100" s="760"/>
      <c r="E100" s="760"/>
      <c r="F100" s="760"/>
      <c r="G100" s="760"/>
      <c r="H100" s="760"/>
      <c r="I100" s="760"/>
      <c r="J100" s="760"/>
      <c r="K100" s="854"/>
      <c r="L100" s="855"/>
      <c r="M100" s="855"/>
      <c r="N100" s="855"/>
      <c r="O100" s="855"/>
      <c r="P100" s="855"/>
      <c r="Q100" s="855"/>
      <c r="R100" s="855"/>
      <c r="S100" s="855"/>
      <c r="T100" s="855"/>
      <c r="U100" s="855"/>
      <c r="V100" s="855"/>
      <c r="W100" s="855"/>
      <c r="X100" s="855"/>
      <c r="Y100" s="855"/>
      <c r="Z100" s="855"/>
      <c r="AA100" s="855"/>
      <c r="AB100" s="855"/>
      <c r="AC100" s="855"/>
      <c r="AD100" s="213" t="str">
        <f t="array" ref="AD100">IFERROR(INDEX('💻シート作成'!$D$6:$D205, MATCH(AE100, '💻シート作成'!$E$6:$E205, 0)), "")</f>
        <v/>
      </c>
      <c r="AE100" s="168"/>
      <c r="AF100" s="855"/>
      <c r="AG100" s="855"/>
      <c r="AH100" s="855"/>
    </row>
    <row r="101" ht="15.75" customHeight="1">
      <c r="A101" s="759"/>
      <c r="B101" s="760"/>
      <c r="C101" s="760"/>
      <c r="D101" s="760"/>
      <c r="E101" s="760"/>
      <c r="F101" s="760"/>
      <c r="G101" s="760"/>
      <c r="H101" s="760"/>
      <c r="I101" s="760"/>
      <c r="J101" s="760"/>
      <c r="K101" s="759"/>
      <c r="L101" s="760"/>
      <c r="M101" s="760"/>
      <c r="N101" s="760"/>
      <c r="O101" s="760"/>
      <c r="P101" s="760"/>
      <c r="Q101" s="760"/>
      <c r="R101" s="760"/>
      <c r="S101" s="760"/>
      <c r="T101" s="760"/>
      <c r="U101" s="760"/>
      <c r="V101" s="760"/>
      <c r="W101" s="760"/>
      <c r="X101" s="760"/>
      <c r="Y101" s="760"/>
      <c r="Z101" s="760"/>
      <c r="AA101" s="760"/>
      <c r="AB101" s="760"/>
      <c r="AC101" s="760"/>
      <c r="AD101" s="213" t="str">
        <f t="array" ref="AD101">IFERROR(INDEX('💻シート作成'!$D$6:$D205, MATCH(AE101, '💻シート作成'!$E$6:$E205, 0)), "")</f>
        <v/>
      </c>
      <c r="AE101" s="168"/>
      <c r="AF101" s="760"/>
      <c r="AG101" s="760"/>
      <c r="AH101" s="760"/>
    </row>
    <row r="102" ht="15.75" customHeight="1">
      <c r="A102" s="759"/>
      <c r="B102" s="760"/>
      <c r="C102" s="760"/>
      <c r="D102" s="760"/>
      <c r="E102" s="760"/>
      <c r="F102" s="760"/>
      <c r="G102" s="760"/>
      <c r="H102" s="760"/>
      <c r="I102" s="760"/>
      <c r="J102" s="760"/>
      <c r="K102" s="759"/>
      <c r="L102" s="760"/>
      <c r="M102" s="760"/>
      <c r="N102" s="760"/>
      <c r="O102" s="760"/>
      <c r="P102" s="760"/>
      <c r="Q102" s="760"/>
      <c r="R102" s="760"/>
      <c r="S102" s="760"/>
      <c r="T102" s="760"/>
      <c r="U102" s="760"/>
      <c r="V102" s="760"/>
      <c r="W102" s="760"/>
      <c r="X102" s="760"/>
      <c r="Y102" s="760"/>
      <c r="Z102" s="760"/>
      <c r="AA102" s="760"/>
      <c r="AB102" s="760"/>
      <c r="AC102" s="760"/>
      <c r="AD102" s="213" t="str">
        <f t="array" ref="AD102">IFERROR(INDEX('💻シート作成'!$D$6:$D205, MATCH(AE102, '💻シート作成'!$E$6:$E205, 0)), "")</f>
        <v/>
      </c>
      <c r="AE102" s="168"/>
      <c r="AF102" s="760"/>
      <c r="AG102" s="760"/>
      <c r="AH102" s="760"/>
    </row>
    <row r="103" ht="15.75" customHeight="1">
      <c r="A103" s="854"/>
      <c r="B103" s="855"/>
      <c r="C103" s="855"/>
      <c r="D103" s="855"/>
      <c r="E103" s="855"/>
      <c r="F103" s="855"/>
      <c r="G103" s="855"/>
      <c r="H103" s="855"/>
      <c r="I103" s="855"/>
      <c r="J103" s="855"/>
      <c r="K103" s="759"/>
      <c r="L103" s="760"/>
      <c r="M103" s="760"/>
      <c r="N103" s="760"/>
      <c r="O103" s="760"/>
      <c r="P103" s="760"/>
      <c r="Q103" s="760"/>
      <c r="R103" s="760"/>
      <c r="S103" s="760"/>
      <c r="T103" s="760"/>
      <c r="U103" s="760"/>
      <c r="V103" s="760"/>
      <c r="W103" s="760"/>
      <c r="X103" s="760"/>
      <c r="Y103" s="760"/>
      <c r="Z103" s="760"/>
      <c r="AA103" s="760"/>
      <c r="AB103" s="760"/>
      <c r="AC103" s="760"/>
      <c r="AD103" s="213" t="str">
        <f t="array" ref="AD103">IFERROR(INDEX('💻シート作成'!$D$6:$D205, MATCH(AE103, '💻シート作成'!$E$6:$E205, 0)), "")</f>
        <v/>
      </c>
      <c r="AE103" s="168"/>
      <c r="AF103" s="760"/>
      <c r="AG103" s="760"/>
      <c r="AH103" s="760"/>
    </row>
    <row r="104" ht="15.75" customHeight="1">
      <c r="A104" s="759"/>
      <c r="B104" s="760"/>
      <c r="C104" s="760"/>
      <c r="D104" s="760"/>
      <c r="E104" s="760"/>
      <c r="F104" s="760"/>
      <c r="G104" s="760"/>
      <c r="H104" s="760"/>
      <c r="I104" s="760"/>
      <c r="J104" s="760"/>
      <c r="K104" s="759"/>
      <c r="L104" s="760"/>
      <c r="M104" s="760"/>
      <c r="N104" s="760"/>
      <c r="O104" s="760"/>
      <c r="P104" s="760"/>
      <c r="Q104" s="760"/>
      <c r="R104" s="760"/>
      <c r="S104" s="760"/>
      <c r="T104" s="760"/>
      <c r="U104" s="760"/>
      <c r="V104" s="760"/>
      <c r="W104" s="760"/>
      <c r="X104" s="760"/>
      <c r="Y104" s="760"/>
      <c r="Z104" s="760"/>
      <c r="AA104" s="760"/>
      <c r="AB104" s="760"/>
      <c r="AC104" s="760"/>
      <c r="AD104" s="213" t="str">
        <f t="array" ref="AD104">IFERROR(INDEX('💻シート作成'!$D$6:$D205, MATCH(AE104, '💻シート作成'!$E$6:$E205, 0)), "")</f>
        <v/>
      </c>
      <c r="AE104" s="168"/>
      <c r="AF104" s="760"/>
      <c r="AG104" s="760"/>
      <c r="AH104" s="760"/>
    </row>
    <row r="105" ht="15.75" customHeight="1">
      <c r="A105" s="759"/>
      <c r="B105" s="760"/>
      <c r="C105" s="760"/>
      <c r="D105" s="760"/>
      <c r="E105" s="760"/>
      <c r="F105" s="760"/>
      <c r="G105" s="760"/>
      <c r="H105" s="760"/>
      <c r="I105" s="760"/>
      <c r="J105" s="760"/>
      <c r="K105" s="759"/>
      <c r="L105" s="760"/>
      <c r="M105" s="760"/>
      <c r="N105" s="760"/>
      <c r="O105" s="760"/>
      <c r="P105" s="760"/>
      <c r="Q105" s="760"/>
      <c r="R105" s="760"/>
      <c r="S105" s="760"/>
      <c r="T105" s="760"/>
      <c r="U105" s="760"/>
      <c r="V105" s="760"/>
      <c r="W105" s="760"/>
      <c r="X105" s="760"/>
      <c r="Y105" s="760"/>
      <c r="Z105" s="760"/>
      <c r="AA105" s="760"/>
      <c r="AB105" s="760"/>
      <c r="AC105" s="760"/>
      <c r="AD105" s="213" t="str">
        <f t="array" ref="AD105">IFERROR(INDEX('💻シート作成'!$D$6:$D205, MATCH(AE105, '💻シート作成'!$E$6:$E205, 0)), "")</f>
        <v/>
      </c>
      <c r="AE105" s="168"/>
      <c r="AF105" s="760"/>
      <c r="AG105" s="760"/>
      <c r="AH105" s="760"/>
    </row>
    <row r="106" ht="15.75" customHeight="1">
      <c r="A106" s="759"/>
      <c r="B106" s="760"/>
      <c r="C106" s="760"/>
      <c r="D106" s="760"/>
      <c r="E106" s="760"/>
      <c r="F106" s="760"/>
      <c r="G106" s="760"/>
      <c r="H106" s="760"/>
      <c r="I106" s="760"/>
      <c r="J106" s="760"/>
      <c r="K106" s="759"/>
      <c r="L106" s="760"/>
      <c r="M106" s="760"/>
      <c r="N106" s="760"/>
      <c r="O106" s="760"/>
      <c r="P106" s="760"/>
      <c r="Q106" s="760"/>
      <c r="R106" s="760"/>
      <c r="S106" s="760"/>
      <c r="T106" s="760"/>
      <c r="U106" s="760"/>
      <c r="V106" s="760"/>
      <c r="W106" s="760"/>
      <c r="X106" s="760"/>
      <c r="Y106" s="760"/>
      <c r="Z106" s="760"/>
      <c r="AA106" s="760"/>
      <c r="AB106" s="760"/>
      <c r="AC106" s="760"/>
      <c r="AD106" s="213" t="str">
        <f t="array" ref="AD106">IFERROR(INDEX('💻シート作成'!$D$6:$D205, MATCH(AE106, '💻シート作成'!$E$6:$E205, 0)), "")</f>
        <v/>
      </c>
      <c r="AE106" s="170"/>
      <c r="AF106" s="760"/>
      <c r="AG106" s="760"/>
      <c r="AH106" s="760"/>
    </row>
    <row r="107" ht="15.75" customHeight="1">
      <c r="A107" s="759"/>
      <c r="B107" s="760"/>
      <c r="C107" s="760"/>
      <c r="D107" s="760"/>
      <c r="E107" s="760"/>
      <c r="F107" s="760"/>
      <c r="G107" s="760"/>
      <c r="H107" s="760"/>
      <c r="I107" s="760"/>
      <c r="J107" s="760"/>
      <c r="K107" s="759"/>
      <c r="L107" s="760"/>
      <c r="M107" s="760"/>
      <c r="N107" s="760"/>
      <c r="O107" s="760"/>
      <c r="P107" s="760"/>
      <c r="Q107" s="760"/>
      <c r="R107" s="760"/>
      <c r="S107" s="760"/>
      <c r="T107" s="760"/>
      <c r="U107" s="760"/>
      <c r="V107" s="760"/>
      <c r="W107" s="760"/>
      <c r="X107" s="760"/>
      <c r="Y107" s="760"/>
      <c r="Z107" s="760"/>
      <c r="AA107" s="760"/>
      <c r="AB107" s="760"/>
      <c r="AC107" s="760"/>
      <c r="AD107" s="213" t="str">
        <f t="array" ref="AD107">IFERROR(INDEX('💻シート作成'!$D$6:$D205, MATCH(AE107, '💻シート作成'!$E$6:$E205, 0)), "")</f>
        <v/>
      </c>
      <c r="AE107" s="168"/>
      <c r="AF107" s="760"/>
      <c r="AG107" s="760"/>
      <c r="AH107" s="760"/>
    </row>
    <row r="108" ht="15.75" customHeight="1">
      <c r="A108" s="759"/>
      <c r="B108" s="760"/>
      <c r="C108" s="760"/>
      <c r="D108" s="760"/>
      <c r="E108" s="760"/>
      <c r="F108" s="760"/>
      <c r="G108" s="760"/>
      <c r="H108" s="760"/>
      <c r="I108" s="760"/>
      <c r="J108" s="760"/>
      <c r="K108" s="759"/>
      <c r="L108" s="760"/>
      <c r="M108" s="760"/>
      <c r="N108" s="760"/>
      <c r="O108" s="760"/>
      <c r="P108" s="760"/>
      <c r="Q108" s="760"/>
      <c r="R108" s="760"/>
      <c r="S108" s="760"/>
      <c r="T108" s="760"/>
      <c r="U108" s="760"/>
      <c r="V108" s="760"/>
      <c r="W108" s="760"/>
      <c r="X108" s="760"/>
      <c r="Y108" s="760"/>
      <c r="Z108" s="760"/>
      <c r="AA108" s="760"/>
      <c r="AB108" s="760"/>
      <c r="AC108" s="760"/>
      <c r="AD108" s="213" t="str">
        <f t="array" ref="AD108">IFERROR(INDEX('💻シート作成'!$D$6:$D205, MATCH(AE108, '💻シート作成'!$E$6:$E205, 0)), "")</f>
        <v/>
      </c>
      <c r="AE108" s="170"/>
      <c r="AF108" s="760"/>
      <c r="AG108" s="760"/>
      <c r="AH108" s="760"/>
    </row>
    <row r="109" ht="15.75" customHeight="1">
      <c r="A109" s="759"/>
      <c r="B109" s="760"/>
      <c r="C109" s="760"/>
      <c r="D109" s="760"/>
      <c r="E109" s="760"/>
      <c r="F109" s="760"/>
      <c r="G109" s="760"/>
      <c r="H109" s="760"/>
      <c r="I109" s="760"/>
      <c r="J109" s="760"/>
      <c r="K109" s="759"/>
      <c r="L109" s="760"/>
      <c r="M109" s="760"/>
      <c r="N109" s="760"/>
      <c r="O109" s="760"/>
      <c r="P109" s="760"/>
      <c r="Q109" s="760"/>
      <c r="R109" s="760"/>
      <c r="S109" s="760"/>
      <c r="T109" s="760"/>
      <c r="U109" s="760"/>
      <c r="V109" s="760"/>
      <c r="W109" s="760"/>
      <c r="X109" s="760"/>
      <c r="Y109" s="760"/>
      <c r="Z109" s="760"/>
      <c r="AA109" s="760"/>
      <c r="AB109" s="760"/>
      <c r="AC109" s="760"/>
      <c r="AD109" s="213" t="str">
        <f t="array" ref="AD109">IFERROR(INDEX('💻シート作成'!$D$6:$D205, MATCH(AE109, '💻シート作成'!$E$6:$E205, 0)), "")</f>
        <v/>
      </c>
      <c r="AE109" s="170"/>
      <c r="AF109" s="760"/>
      <c r="AG109" s="760"/>
      <c r="AH109" s="760"/>
    </row>
    <row r="110" ht="15.75" customHeight="1">
      <c r="A110" s="759"/>
      <c r="B110" s="760"/>
      <c r="C110" s="760"/>
      <c r="D110" s="760"/>
      <c r="E110" s="760"/>
      <c r="F110" s="760"/>
      <c r="G110" s="760"/>
      <c r="H110" s="760"/>
      <c r="I110" s="760"/>
      <c r="J110" s="760"/>
      <c r="K110" s="759"/>
      <c r="L110" s="760"/>
      <c r="M110" s="760"/>
      <c r="N110" s="760"/>
      <c r="O110" s="760"/>
      <c r="P110" s="760"/>
      <c r="Q110" s="760"/>
      <c r="R110" s="760"/>
      <c r="S110" s="760"/>
      <c r="T110" s="760"/>
      <c r="U110" s="760"/>
      <c r="V110" s="760"/>
      <c r="W110" s="760"/>
      <c r="X110" s="760"/>
      <c r="Y110" s="760"/>
      <c r="Z110" s="760"/>
      <c r="AA110" s="760"/>
      <c r="AB110" s="760"/>
      <c r="AC110" s="760"/>
      <c r="AD110" s="213" t="str">
        <f t="array" ref="AD110">IFERROR(INDEX('💻シート作成'!$D$6:$D205, MATCH(AE110, '💻シート作成'!$E$6:$E205, 0)), "")</f>
        <v/>
      </c>
      <c r="AE110" s="170"/>
      <c r="AF110" s="760"/>
      <c r="AG110" s="760"/>
      <c r="AH110" s="760"/>
    </row>
    <row r="111" ht="15.75" customHeight="1">
      <c r="A111" s="759"/>
      <c r="B111" s="760"/>
      <c r="C111" s="760"/>
      <c r="D111" s="760"/>
      <c r="E111" s="760"/>
      <c r="F111" s="760"/>
      <c r="G111" s="760"/>
      <c r="H111" s="760"/>
      <c r="I111" s="760"/>
      <c r="J111" s="760"/>
      <c r="K111" s="759"/>
      <c r="L111" s="760"/>
      <c r="M111" s="760"/>
      <c r="N111" s="760"/>
      <c r="O111" s="760"/>
      <c r="P111" s="760"/>
      <c r="Q111" s="760"/>
      <c r="R111" s="760"/>
      <c r="S111" s="760"/>
      <c r="T111" s="760"/>
      <c r="U111" s="760"/>
      <c r="V111" s="760"/>
      <c r="W111" s="760"/>
      <c r="X111" s="760"/>
      <c r="Y111" s="760"/>
      <c r="Z111" s="760"/>
      <c r="AA111" s="760"/>
      <c r="AB111" s="760"/>
      <c r="AC111" s="760"/>
      <c r="AD111" s="213" t="str">
        <f t="array" ref="AD111">IFERROR(INDEX('💻シート作成'!$D$6:$D205, MATCH(AE111, '💻シート作成'!$E$6:$E205, 0)), "")</f>
        <v/>
      </c>
      <c r="AE111" s="170"/>
      <c r="AF111" s="760"/>
      <c r="AG111" s="760"/>
      <c r="AH111" s="760"/>
    </row>
    <row r="112" ht="15.75" customHeight="1">
      <c r="A112" s="759"/>
      <c r="B112" s="760"/>
      <c r="C112" s="760"/>
      <c r="D112" s="760"/>
      <c r="E112" s="760"/>
      <c r="F112" s="760"/>
      <c r="G112" s="760"/>
      <c r="H112" s="760"/>
      <c r="I112" s="760"/>
      <c r="J112" s="760"/>
      <c r="K112" s="759"/>
      <c r="L112" s="760"/>
      <c r="M112" s="760"/>
      <c r="N112" s="760"/>
      <c r="O112" s="760"/>
      <c r="P112" s="760"/>
      <c r="Q112" s="760"/>
      <c r="R112" s="760"/>
      <c r="S112" s="760"/>
      <c r="T112" s="760"/>
      <c r="U112" s="760"/>
      <c r="V112" s="760"/>
      <c r="W112" s="760"/>
      <c r="X112" s="760"/>
      <c r="Y112" s="760"/>
      <c r="Z112" s="760"/>
      <c r="AA112" s="760"/>
      <c r="AB112" s="760"/>
      <c r="AC112" s="760"/>
      <c r="AD112" s="213" t="str">
        <f t="array" ref="AD112">IFERROR(INDEX('💻シート作成'!$D$6:$D205, MATCH(AE112, '💻シート作成'!$E$6:$E205, 0)), "")</f>
        <v/>
      </c>
      <c r="AE112" s="170"/>
      <c r="AF112" s="760"/>
      <c r="AG112" s="760"/>
      <c r="AH112" s="760"/>
    </row>
    <row r="113" ht="15.75" customHeight="1">
      <c r="A113" s="759"/>
      <c r="B113" s="760"/>
      <c r="C113" s="760"/>
      <c r="D113" s="760"/>
      <c r="E113" s="760"/>
      <c r="F113" s="760"/>
      <c r="G113" s="760"/>
      <c r="H113" s="760"/>
      <c r="I113" s="760"/>
      <c r="J113" s="760"/>
      <c r="K113" s="759"/>
      <c r="L113" s="760"/>
      <c r="M113" s="760"/>
      <c r="N113" s="760"/>
      <c r="O113" s="760"/>
      <c r="P113" s="760"/>
      <c r="Q113" s="760"/>
      <c r="R113" s="760"/>
      <c r="S113" s="760"/>
      <c r="T113" s="760"/>
      <c r="U113" s="760"/>
      <c r="V113" s="760"/>
      <c r="W113" s="760"/>
      <c r="X113" s="760"/>
      <c r="Y113" s="760"/>
      <c r="Z113" s="760"/>
      <c r="AA113" s="760"/>
      <c r="AB113" s="760"/>
      <c r="AC113" s="760"/>
      <c r="AD113" s="213" t="str">
        <f t="array" ref="AD113">IFERROR(INDEX('💻シート作成'!$D$6:$D205, MATCH(AE113, '💻シート作成'!$E$6:$E205, 0)), "")</f>
        <v/>
      </c>
      <c r="AE113" s="170"/>
      <c r="AF113" s="760"/>
      <c r="AG113" s="760"/>
      <c r="AH113" s="760"/>
    </row>
    <row r="114" ht="21.75" customHeight="1">
      <c r="A114" s="759"/>
      <c r="B114" s="760"/>
      <c r="C114" s="760"/>
      <c r="D114" s="760"/>
      <c r="E114" s="760"/>
      <c r="F114" s="760"/>
      <c r="G114" s="760"/>
      <c r="H114" s="760"/>
      <c r="I114" s="760"/>
      <c r="J114" s="760"/>
      <c r="K114" s="854"/>
      <c r="L114" s="855"/>
      <c r="M114" s="855"/>
      <c r="N114" s="855"/>
      <c r="O114" s="855"/>
      <c r="P114" s="855"/>
      <c r="Q114" s="855"/>
      <c r="R114" s="855"/>
      <c r="S114" s="855"/>
      <c r="T114" s="855"/>
      <c r="U114" s="855"/>
      <c r="V114" s="855"/>
      <c r="W114" s="855"/>
      <c r="X114" s="855"/>
      <c r="Y114" s="855"/>
      <c r="Z114" s="855"/>
      <c r="AA114" s="855"/>
      <c r="AB114" s="855"/>
      <c r="AC114" s="855"/>
      <c r="AD114" s="213" t="str">
        <f t="array" ref="AD114">IFERROR(INDEX('💻シート作成'!$D$6:$D205, MATCH(AE114, '💻シート作成'!$E$6:$E205, 0)), "")</f>
        <v/>
      </c>
      <c r="AE114" s="170"/>
      <c r="AF114" s="855"/>
      <c r="AG114" s="855"/>
      <c r="AH114" s="855"/>
    </row>
    <row r="115" ht="15.75" customHeight="1">
      <c r="A115" s="759"/>
      <c r="B115" s="760"/>
      <c r="C115" s="760"/>
      <c r="D115" s="760"/>
      <c r="E115" s="760"/>
      <c r="F115" s="760"/>
      <c r="G115" s="760"/>
      <c r="H115" s="760"/>
      <c r="I115" s="760"/>
      <c r="J115" s="760"/>
      <c r="K115" s="759"/>
      <c r="L115" s="760"/>
      <c r="M115" s="760"/>
      <c r="N115" s="760"/>
      <c r="O115" s="760"/>
      <c r="P115" s="760"/>
      <c r="Q115" s="760"/>
      <c r="R115" s="760"/>
      <c r="S115" s="760"/>
      <c r="T115" s="760"/>
      <c r="U115" s="760"/>
      <c r="V115" s="760"/>
      <c r="W115" s="760"/>
      <c r="X115" s="760"/>
      <c r="Y115" s="760"/>
      <c r="Z115" s="760"/>
      <c r="AA115" s="760"/>
      <c r="AB115" s="760"/>
      <c r="AC115" s="760"/>
      <c r="AD115" s="213" t="str">
        <f t="array" ref="AD115">IFERROR(INDEX('💻シート作成'!$D$6:$D205, MATCH(AE115, '💻シート作成'!$E$6:$E205, 0)), "")</f>
        <v/>
      </c>
      <c r="AE115" s="170"/>
      <c r="AF115" s="760"/>
      <c r="AG115" s="760"/>
      <c r="AH115" s="760"/>
    </row>
    <row r="116" ht="15.75" customHeight="1">
      <c r="A116" s="759"/>
      <c r="B116" s="760"/>
      <c r="C116" s="760"/>
      <c r="D116" s="760"/>
      <c r="E116" s="760"/>
      <c r="F116" s="760"/>
      <c r="G116" s="760"/>
      <c r="H116" s="760"/>
      <c r="I116" s="760"/>
      <c r="J116" s="760"/>
      <c r="K116" s="759"/>
      <c r="L116" s="760"/>
      <c r="M116" s="760"/>
      <c r="N116" s="760"/>
      <c r="O116" s="760"/>
      <c r="P116" s="760"/>
      <c r="Q116" s="760"/>
      <c r="R116" s="760"/>
      <c r="S116" s="760"/>
      <c r="T116" s="760"/>
      <c r="U116" s="760"/>
      <c r="V116" s="760"/>
      <c r="W116" s="760"/>
      <c r="X116" s="760"/>
      <c r="Y116" s="760"/>
      <c r="Z116" s="760"/>
      <c r="AA116" s="760"/>
      <c r="AB116" s="760"/>
      <c r="AC116" s="760"/>
      <c r="AD116" s="213" t="str">
        <f t="array" ref="AD116">IFERROR(INDEX('💻シート作成'!$D$6:$D205, MATCH(AE116, '💻シート作成'!$E$6:$E205, 0)), "")</f>
        <v/>
      </c>
      <c r="AE116" s="170"/>
      <c r="AF116" s="760"/>
      <c r="AG116" s="760"/>
      <c r="AH116" s="760"/>
    </row>
    <row r="117" ht="15.75" customHeight="1">
      <c r="A117" s="854"/>
      <c r="B117" s="855"/>
      <c r="C117" s="855"/>
      <c r="D117" s="855"/>
      <c r="E117" s="855"/>
      <c r="F117" s="855"/>
      <c r="G117" s="855"/>
      <c r="H117" s="855"/>
      <c r="I117" s="855"/>
      <c r="J117" s="855"/>
      <c r="K117" s="759"/>
      <c r="L117" s="760"/>
      <c r="M117" s="760"/>
      <c r="N117" s="760"/>
      <c r="O117" s="760"/>
      <c r="P117" s="760"/>
      <c r="Q117" s="760"/>
      <c r="R117" s="760"/>
      <c r="S117" s="760"/>
      <c r="T117" s="760"/>
      <c r="U117" s="760"/>
      <c r="V117" s="760"/>
      <c r="W117" s="760"/>
      <c r="X117" s="760"/>
      <c r="Y117" s="760"/>
      <c r="Z117" s="760"/>
      <c r="AA117" s="760"/>
      <c r="AB117" s="760"/>
      <c r="AC117" s="760"/>
      <c r="AD117" s="213" t="str">
        <f t="array" ref="AD117">IFERROR(INDEX('💻シート作成'!$D$6:$D205, MATCH(AE117, '💻シート作成'!$E$6:$E205, 0)), "")</f>
        <v/>
      </c>
      <c r="AE117" s="170"/>
      <c r="AF117" s="760"/>
      <c r="AG117" s="760"/>
      <c r="AH117" s="760"/>
    </row>
    <row r="118" ht="15.75" customHeight="1">
      <c r="A118" s="759"/>
      <c r="B118" s="760"/>
      <c r="C118" s="760"/>
      <c r="D118" s="760"/>
      <c r="E118" s="760"/>
      <c r="F118" s="760"/>
      <c r="G118" s="760"/>
      <c r="H118" s="760"/>
      <c r="I118" s="760"/>
      <c r="J118" s="760"/>
      <c r="K118" s="759"/>
      <c r="L118" s="760"/>
      <c r="M118" s="760"/>
      <c r="N118" s="760"/>
      <c r="O118" s="760"/>
      <c r="P118" s="760"/>
      <c r="Q118" s="760"/>
      <c r="R118" s="760"/>
      <c r="S118" s="760"/>
      <c r="T118" s="760"/>
      <c r="U118" s="760"/>
      <c r="V118" s="760"/>
      <c r="W118" s="760"/>
      <c r="X118" s="760"/>
      <c r="Y118" s="760"/>
      <c r="Z118" s="760"/>
      <c r="AA118" s="760"/>
      <c r="AB118" s="760"/>
      <c r="AC118" s="760"/>
      <c r="AD118" s="213" t="str">
        <f t="array" ref="AD118">IFERROR(INDEX('💻シート作成'!$D$6:$D205, MATCH(AE118, '💻シート作成'!$E$6:$E205, 0)), "")</f>
        <v/>
      </c>
      <c r="AE118" s="170"/>
      <c r="AF118" s="760"/>
      <c r="AG118" s="760"/>
      <c r="AH118" s="760"/>
    </row>
    <row r="119" ht="15.75" customHeight="1">
      <c r="A119" s="759"/>
      <c r="B119" s="760"/>
      <c r="C119" s="760"/>
      <c r="D119" s="760"/>
      <c r="E119" s="760"/>
      <c r="F119" s="760"/>
      <c r="G119" s="760"/>
      <c r="H119" s="760"/>
      <c r="I119" s="760"/>
      <c r="J119" s="760"/>
      <c r="K119" s="759"/>
      <c r="L119" s="760"/>
      <c r="M119" s="760"/>
      <c r="N119" s="760"/>
      <c r="O119" s="760"/>
      <c r="P119" s="760"/>
      <c r="Q119" s="760"/>
      <c r="R119" s="760"/>
      <c r="S119" s="760"/>
      <c r="T119" s="760"/>
      <c r="U119" s="760"/>
      <c r="V119" s="760"/>
      <c r="W119" s="760"/>
      <c r="X119" s="760"/>
      <c r="Y119" s="760"/>
      <c r="Z119" s="760"/>
      <c r="AA119" s="760"/>
      <c r="AB119" s="760"/>
      <c r="AC119" s="760"/>
      <c r="AD119" s="213" t="str">
        <f t="array" ref="AD119">IFERROR(INDEX('💻シート作成'!$D$6:$D205, MATCH(AE119, '💻シート作成'!$E$6:$E205, 0)), "")</f>
        <v/>
      </c>
      <c r="AE119" s="170"/>
      <c r="AF119" s="760"/>
      <c r="AG119" s="760"/>
      <c r="AH119" s="760"/>
    </row>
    <row r="120" ht="15.75" customHeight="1">
      <c r="A120" s="759"/>
      <c r="B120" s="760"/>
      <c r="C120" s="760"/>
      <c r="D120" s="760"/>
      <c r="E120" s="760"/>
      <c r="F120" s="760"/>
      <c r="G120" s="760"/>
      <c r="H120" s="760"/>
      <c r="I120" s="760"/>
      <c r="J120" s="760"/>
      <c r="K120" s="759"/>
      <c r="L120" s="760"/>
      <c r="M120" s="760"/>
      <c r="N120" s="760"/>
      <c r="O120" s="760"/>
      <c r="P120" s="760"/>
      <c r="Q120" s="760"/>
      <c r="R120" s="760"/>
      <c r="S120" s="760"/>
      <c r="T120" s="760"/>
      <c r="U120" s="760"/>
      <c r="V120" s="760"/>
      <c r="W120" s="760"/>
      <c r="X120" s="760"/>
      <c r="Y120" s="760"/>
      <c r="Z120" s="760"/>
      <c r="AA120" s="760"/>
      <c r="AB120" s="760"/>
      <c r="AC120" s="760"/>
      <c r="AD120" s="213" t="str">
        <f t="array" ref="AD120">IFERROR(INDEX('💻シート作成'!$D$6:$D205, MATCH(AE120, '💻シート作成'!$E$6:$E205, 0)), "")</f>
        <v/>
      </c>
      <c r="AE120" s="170"/>
      <c r="AF120" s="760"/>
      <c r="AG120" s="760"/>
      <c r="AH120" s="760"/>
    </row>
    <row r="121" ht="15.75" customHeight="1">
      <c r="A121" s="759"/>
      <c r="B121" s="760"/>
      <c r="C121" s="760"/>
      <c r="D121" s="760"/>
      <c r="E121" s="760"/>
      <c r="F121" s="760"/>
      <c r="G121" s="760"/>
      <c r="H121" s="760"/>
      <c r="I121" s="760"/>
      <c r="J121" s="760"/>
      <c r="K121" s="759"/>
      <c r="L121" s="760"/>
      <c r="M121" s="760"/>
      <c r="N121" s="760"/>
      <c r="O121" s="760"/>
      <c r="P121" s="760"/>
      <c r="Q121" s="760"/>
      <c r="R121" s="760"/>
      <c r="S121" s="760"/>
      <c r="T121" s="760"/>
      <c r="U121" s="760"/>
      <c r="V121" s="760"/>
      <c r="W121" s="760"/>
      <c r="X121" s="760"/>
      <c r="Y121" s="760"/>
      <c r="Z121" s="760"/>
      <c r="AA121" s="760"/>
      <c r="AB121" s="760"/>
      <c r="AC121" s="760"/>
      <c r="AD121" s="213" t="str">
        <f t="array" ref="AD121">IFERROR(INDEX('💻シート作成'!$D$6:$D205, MATCH(AE121, '💻シート作成'!$E$6:$E205, 0)), "")</f>
        <v/>
      </c>
      <c r="AE121" s="170"/>
      <c r="AF121" s="760"/>
      <c r="AG121" s="760"/>
      <c r="AH121" s="760"/>
    </row>
    <row r="122" ht="15.75" customHeight="1">
      <c r="A122" s="759"/>
      <c r="B122" s="760"/>
      <c r="C122" s="760"/>
      <c r="D122" s="760"/>
      <c r="E122" s="760"/>
      <c r="F122" s="760"/>
      <c r="G122" s="760"/>
      <c r="H122" s="760"/>
      <c r="I122" s="760"/>
      <c r="J122" s="760"/>
      <c r="K122" s="759"/>
      <c r="L122" s="760"/>
      <c r="M122" s="760"/>
      <c r="N122" s="760"/>
      <c r="O122" s="760"/>
      <c r="P122" s="760"/>
      <c r="Q122" s="760"/>
      <c r="R122" s="760"/>
      <c r="S122" s="760"/>
      <c r="T122" s="760"/>
      <c r="U122" s="760"/>
      <c r="V122" s="760"/>
      <c r="W122" s="760"/>
      <c r="X122" s="760"/>
      <c r="Y122" s="760"/>
      <c r="Z122" s="760"/>
      <c r="AA122" s="760"/>
      <c r="AB122" s="760"/>
      <c r="AC122" s="760"/>
      <c r="AD122" s="213" t="str">
        <f t="array" ref="AD122">IFERROR(INDEX('💻シート作成'!$D$6:$D205, MATCH(AE122, '💻シート作成'!$E$6:$E205, 0)), "")</f>
        <v/>
      </c>
      <c r="AE122" s="170"/>
      <c r="AF122" s="760"/>
      <c r="AG122" s="760"/>
      <c r="AH122" s="760"/>
    </row>
    <row r="123" ht="15.75" customHeight="1">
      <c r="A123" s="759"/>
      <c r="B123" s="760"/>
      <c r="C123" s="760"/>
      <c r="D123" s="760"/>
      <c r="E123" s="760"/>
      <c r="F123" s="760"/>
      <c r="G123" s="760"/>
      <c r="H123" s="760"/>
      <c r="I123" s="760"/>
      <c r="J123" s="760"/>
      <c r="K123" s="759"/>
      <c r="L123" s="760"/>
      <c r="M123" s="760"/>
      <c r="N123" s="760"/>
      <c r="O123" s="760"/>
      <c r="P123" s="760"/>
      <c r="Q123" s="760"/>
      <c r="R123" s="760"/>
      <c r="S123" s="760"/>
      <c r="T123" s="760"/>
      <c r="U123" s="760"/>
      <c r="V123" s="760"/>
      <c r="W123" s="760"/>
      <c r="X123" s="760"/>
      <c r="Y123" s="760"/>
      <c r="Z123" s="760"/>
      <c r="AA123" s="760"/>
      <c r="AB123" s="760"/>
      <c r="AC123" s="760"/>
      <c r="AD123" s="213" t="str">
        <f t="array" ref="AD123">IFERROR(INDEX('💻シート作成'!$D$6:$D205, MATCH(AE123, '💻シート作成'!$E$6:$E205, 0)), "")</f>
        <v/>
      </c>
      <c r="AE123" s="170"/>
      <c r="AF123" s="760"/>
      <c r="AG123" s="760"/>
      <c r="AH123" s="760"/>
    </row>
    <row r="124" ht="15.75" customHeight="1">
      <c r="A124" s="759"/>
      <c r="B124" s="760"/>
      <c r="C124" s="760"/>
      <c r="D124" s="760"/>
      <c r="E124" s="760"/>
      <c r="F124" s="760"/>
      <c r="G124" s="760"/>
      <c r="H124" s="760"/>
      <c r="I124" s="760"/>
      <c r="J124" s="760"/>
      <c r="K124" s="759"/>
      <c r="L124" s="760"/>
      <c r="M124" s="760"/>
      <c r="N124" s="760"/>
      <c r="O124" s="760"/>
      <c r="P124" s="760"/>
      <c r="Q124" s="760"/>
      <c r="R124" s="760"/>
      <c r="S124" s="760"/>
      <c r="T124" s="760"/>
      <c r="U124" s="760"/>
      <c r="V124" s="760"/>
      <c r="W124" s="760"/>
      <c r="X124" s="760"/>
      <c r="Y124" s="760"/>
      <c r="Z124" s="760"/>
      <c r="AA124" s="760"/>
      <c r="AB124" s="760"/>
      <c r="AC124" s="760"/>
      <c r="AD124" s="213" t="str">
        <f t="array" ref="AD124">IFERROR(INDEX('💻シート作成'!$D$6:$D205, MATCH(AE124, '💻シート作成'!$E$6:$E205, 0)), "")</f>
        <v/>
      </c>
      <c r="AE124" s="170"/>
      <c r="AF124" s="760"/>
      <c r="AG124" s="760"/>
      <c r="AH124" s="760"/>
    </row>
    <row r="125" ht="15.75" customHeight="1">
      <c r="A125" s="759"/>
      <c r="B125" s="760"/>
      <c r="C125" s="760"/>
      <c r="D125" s="760"/>
      <c r="E125" s="760"/>
      <c r="F125" s="760"/>
      <c r="G125" s="760"/>
      <c r="H125" s="760"/>
      <c r="I125" s="760"/>
      <c r="J125" s="760"/>
      <c r="K125" s="759"/>
      <c r="L125" s="760"/>
      <c r="M125" s="760"/>
      <c r="N125" s="760"/>
      <c r="O125" s="760"/>
      <c r="P125" s="760"/>
      <c r="Q125" s="760"/>
      <c r="R125" s="760"/>
      <c r="S125" s="760"/>
      <c r="T125" s="760"/>
      <c r="U125" s="760"/>
      <c r="V125" s="760"/>
      <c r="W125" s="760"/>
      <c r="X125" s="760"/>
      <c r="Y125" s="760"/>
      <c r="Z125" s="760"/>
      <c r="AA125" s="760"/>
      <c r="AB125" s="760"/>
      <c r="AC125" s="760"/>
      <c r="AD125" s="213" t="str">
        <f t="array" ref="AD125">IFERROR(INDEX('💻シート作成'!$D$6:$D205, MATCH(AE125, '💻シート作成'!$E$6:$E205, 0)), "")</f>
        <v/>
      </c>
      <c r="AE125" s="170"/>
      <c r="AF125" s="760"/>
      <c r="AG125" s="760"/>
      <c r="AH125" s="760"/>
    </row>
    <row r="126" ht="15.75" customHeight="1">
      <c r="A126" s="759"/>
      <c r="B126" s="760"/>
      <c r="C126" s="760"/>
      <c r="D126" s="760"/>
      <c r="E126" s="760"/>
      <c r="F126" s="760"/>
      <c r="G126" s="760"/>
      <c r="H126" s="760"/>
      <c r="I126" s="760"/>
      <c r="J126" s="760"/>
      <c r="K126" s="759"/>
      <c r="L126" s="760"/>
      <c r="M126" s="760"/>
      <c r="N126" s="760"/>
      <c r="O126" s="760"/>
      <c r="P126" s="760"/>
      <c r="Q126" s="760"/>
      <c r="R126" s="760"/>
      <c r="S126" s="760"/>
      <c r="T126" s="760"/>
      <c r="U126" s="760"/>
      <c r="V126" s="760"/>
      <c r="W126" s="760"/>
      <c r="X126" s="760"/>
      <c r="Y126" s="760"/>
      <c r="Z126" s="760"/>
      <c r="AA126" s="760"/>
      <c r="AB126" s="760"/>
      <c r="AC126" s="760"/>
      <c r="AD126" s="213" t="str">
        <f t="array" ref="AD126">IFERROR(INDEX('💻シート作成'!$D$6:$D205, MATCH(AE126, '💻シート作成'!$E$6:$E205, 0)), "")</f>
        <v/>
      </c>
      <c r="AE126" s="170"/>
      <c r="AF126" s="760"/>
      <c r="AG126" s="760"/>
      <c r="AH126" s="760"/>
    </row>
    <row r="127" ht="15.75" customHeight="1">
      <c r="A127" s="759"/>
      <c r="B127" s="760"/>
      <c r="C127" s="760"/>
      <c r="D127" s="760"/>
      <c r="E127" s="760"/>
      <c r="F127" s="760"/>
      <c r="G127" s="760"/>
      <c r="H127" s="760"/>
      <c r="I127" s="760"/>
      <c r="J127" s="760"/>
      <c r="K127" s="759"/>
      <c r="L127" s="760"/>
      <c r="M127" s="760"/>
      <c r="N127" s="760"/>
      <c r="O127" s="760"/>
      <c r="P127" s="760"/>
      <c r="Q127" s="760"/>
      <c r="R127" s="760"/>
      <c r="S127" s="760"/>
      <c r="T127" s="760"/>
      <c r="U127" s="760"/>
      <c r="V127" s="760"/>
      <c r="W127" s="760"/>
      <c r="X127" s="760"/>
      <c r="Y127" s="760"/>
      <c r="Z127" s="760"/>
      <c r="AA127" s="760"/>
      <c r="AB127" s="760"/>
      <c r="AC127" s="760"/>
      <c r="AD127" s="213" t="str">
        <f t="array" ref="AD127">IFERROR(INDEX('💻シート作成'!$D$6:$D205, MATCH(AE127, '💻シート作成'!$E$6:$E205, 0)), "")</f>
        <v/>
      </c>
      <c r="AE127" s="170"/>
      <c r="AF127" s="760"/>
      <c r="AG127" s="760"/>
      <c r="AH127" s="760"/>
    </row>
    <row r="128" ht="21.75" customHeight="1">
      <c r="A128" s="759"/>
      <c r="B128" s="760"/>
      <c r="C128" s="760"/>
      <c r="D128" s="760"/>
      <c r="E128" s="760"/>
      <c r="F128" s="760"/>
      <c r="G128" s="760"/>
      <c r="H128" s="760"/>
      <c r="I128" s="760"/>
      <c r="J128" s="760"/>
      <c r="K128" s="854"/>
      <c r="L128" s="855"/>
      <c r="M128" s="855"/>
      <c r="N128" s="855"/>
      <c r="O128" s="855"/>
      <c r="P128" s="855"/>
      <c r="Q128" s="855"/>
      <c r="R128" s="855"/>
      <c r="S128" s="855"/>
      <c r="T128" s="855"/>
      <c r="U128" s="855"/>
      <c r="V128" s="855"/>
      <c r="W128" s="855"/>
      <c r="X128" s="855"/>
      <c r="Y128" s="855"/>
      <c r="Z128" s="855"/>
      <c r="AA128" s="855"/>
      <c r="AB128" s="855"/>
      <c r="AC128" s="855"/>
      <c r="AD128" s="213" t="str">
        <f t="array" ref="AD128">IFERROR(INDEX('💻シート作成'!$D$6:$D205, MATCH(AE128, '💻シート作成'!$E$6:$E205, 0)), "")</f>
        <v/>
      </c>
      <c r="AE128" s="170"/>
      <c r="AF128" s="855"/>
      <c r="AG128" s="855"/>
      <c r="AH128" s="855"/>
    </row>
    <row r="129" ht="15.75" customHeight="1">
      <c r="A129" s="759"/>
      <c r="B129" s="760"/>
      <c r="C129" s="760"/>
      <c r="D129" s="760"/>
      <c r="E129" s="760"/>
      <c r="F129" s="760"/>
      <c r="G129" s="760"/>
      <c r="H129" s="760"/>
      <c r="I129" s="760"/>
      <c r="J129" s="760"/>
      <c r="K129" s="759"/>
      <c r="L129" s="760"/>
      <c r="M129" s="760"/>
      <c r="N129" s="760"/>
      <c r="O129" s="760"/>
      <c r="P129" s="760"/>
      <c r="Q129" s="760"/>
      <c r="R129" s="760"/>
      <c r="S129" s="760"/>
      <c r="T129" s="760"/>
      <c r="U129" s="760"/>
      <c r="V129" s="760"/>
      <c r="W129" s="760"/>
      <c r="X129" s="760"/>
      <c r="Y129" s="760"/>
      <c r="Z129" s="760"/>
      <c r="AA129" s="760"/>
      <c r="AB129" s="760"/>
      <c r="AC129" s="760"/>
      <c r="AD129" s="213" t="str">
        <f t="array" ref="AD129">IFERROR(INDEX('💻シート作成'!$D$6:$D205, MATCH(AE129, '💻シート作成'!$E$6:$E205, 0)), "")</f>
        <v/>
      </c>
      <c r="AE129" s="170"/>
      <c r="AF129" s="760"/>
      <c r="AG129" s="760"/>
      <c r="AH129" s="760"/>
    </row>
    <row r="130" ht="15.75" customHeight="1">
      <c r="A130" s="759"/>
      <c r="B130" s="760"/>
      <c r="C130" s="760"/>
      <c r="D130" s="760"/>
      <c r="E130" s="760"/>
      <c r="F130" s="760"/>
      <c r="G130" s="760"/>
      <c r="H130" s="760"/>
      <c r="I130" s="760"/>
      <c r="J130" s="760"/>
      <c r="K130" s="759"/>
      <c r="L130" s="760"/>
      <c r="M130" s="760"/>
      <c r="N130" s="760"/>
      <c r="O130" s="760"/>
      <c r="P130" s="760"/>
      <c r="Q130" s="760"/>
      <c r="R130" s="760"/>
      <c r="S130" s="760"/>
      <c r="T130" s="760"/>
      <c r="U130" s="760"/>
      <c r="V130" s="760"/>
      <c r="W130" s="760"/>
      <c r="X130" s="760"/>
      <c r="Y130" s="760"/>
      <c r="Z130" s="760"/>
      <c r="AA130" s="760"/>
      <c r="AB130" s="760"/>
      <c r="AC130" s="760"/>
      <c r="AD130" s="213" t="str">
        <f t="array" ref="AD130">IFERROR(INDEX('💻シート作成'!$D$6:$D205, MATCH(AE130, '💻シート作成'!$E$6:$E205, 0)), "")</f>
        <v/>
      </c>
      <c r="AE130" s="170"/>
      <c r="AF130" s="760"/>
      <c r="AG130" s="760"/>
      <c r="AH130" s="760"/>
    </row>
    <row r="131" ht="15.75" customHeight="1">
      <c r="A131" s="854"/>
      <c r="B131" s="855"/>
      <c r="C131" s="855"/>
      <c r="D131" s="855"/>
      <c r="E131" s="855"/>
      <c r="F131" s="855"/>
      <c r="G131" s="855"/>
      <c r="H131" s="855"/>
      <c r="I131" s="855"/>
      <c r="J131" s="855"/>
      <c r="K131" s="759"/>
      <c r="L131" s="760"/>
      <c r="M131" s="760"/>
      <c r="N131" s="760"/>
      <c r="O131" s="760"/>
      <c r="P131" s="760"/>
      <c r="Q131" s="760"/>
      <c r="R131" s="760"/>
      <c r="S131" s="760"/>
      <c r="T131" s="760"/>
      <c r="U131" s="760"/>
      <c r="V131" s="760"/>
      <c r="W131" s="760"/>
      <c r="X131" s="760"/>
      <c r="Y131" s="760"/>
      <c r="Z131" s="760"/>
      <c r="AA131" s="760"/>
      <c r="AB131" s="760"/>
      <c r="AC131" s="760"/>
      <c r="AD131" s="213" t="str">
        <f t="array" ref="AD131">IFERROR(INDEX('💻シート作成'!$D$6:$D205, MATCH(AE131, '💻シート作成'!$E$6:$E205, 0)), "")</f>
        <v/>
      </c>
      <c r="AE131" s="170"/>
      <c r="AF131" s="760"/>
      <c r="AG131" s="760"/>
      <c r="AH131" s="760"/>
    </row>
    <row r="132" ht="15.75" customHeight="1">
      <c r="A132" s="759"/>
      <c r="B132" s="760"/>
      <c r="C132" s="760"/>
      <c r="D132" s="760"/>
      <c r="E132" s="760"/>
      <c r="F132" s="760"/>
      <c r="G132" s="760"/>
      <c r="H132" s="760"/>
      <c r="I132" s="760"/>
      <c r="J132" s="760"/>
      <c r="K132" s="759"/>
      <c r="L132" s="760"/>
      <c r="M132" s="760"/>
      <c r="N132" s="760"/>
      <c r="O132" s="760"/>
      <c r="P132" s="760"/>
      <c r="Q132" s="760"/>
      <c r="R132" s="760"/>
      <c r="S132" s="760"/>
      <c r="T132" s="760"/>
      <c r="U132" s="760"/>
      <c r="V132" s="760"/>
      <c r="W132" s="760"/>
      <c r="X132" s="760"/>
      <c r="Y132" s="760"/>
      <c r="Z132" s="760"/>
      <c r="AA132" s="760"/>
      <c r="AB132" s="760"/>
      <c r="AC132" s="760"/>
      <c r="AD132" s="213" t="str">
        <f t="array" ref="AD132">IFERROR(INDEX('💻シート作成'!$D$6:$D205, MATCH(AE132, '💻シート作成'!$E$6:$E205, 0)), "")</f>
        <v/>
      </c>
      <c r="AE132" s="170"/>
      <c r="AF132" s="760"/>
      <c r="AG132" s="760"/>
      <c r="AH132" s="760"/>
    </row>
    <row r="133" ht="15.75" customHeight="1">
      <c r="A133" s="759"/>
      <c r="B133" s="760"/>
      <c r="C133" s="760"/>
      <c r="D133" s="760"/>
      <c r="E133" s="760"/>
      <c r="F133" s="760"/>
      <c r="G133" s="760"/>
      <c r="H133" s="760"/>
      <c r="I133" s="760"/>
      <c r="J133" s="760"/>
      <c r="K133" s="759"/>
      <c r="L133" s="760"/>
      <c r="M133" s="760"/>
      <c r="N133" s="760"/>
      <c r="O133" s="760"/>
      <c r="P133" s="760"/>
      <c r="Q133" s="760"/>
      <c r="R133" s="760"/>
      <c r="S133" s="760"/>
      <c r="T133" s="760"/>
      <c r="U133" s="760"/>
      <c r="V133" s="760"/>
      <c r="W133" s="760"/>
      <c r="X133" s="760"/>
      <c r="Y133" s="760"/>
      <c r="Z133" s="760"/>
      <c r="AA133" s="760"/>
      <c r="AB133" s="760"/>
      <c r="AC133" s="760"/>
      <c r="AD133" s="213" t="str">
        <f t="array" ref="AD133">IFERROR(INDEX('💻シート作成'!$D$6:$D205, MATCH(AE133, '💻シート作成'!$E$6:$E205, 0)), "")</f>
        <v/>
      </c>
      <c r="AE133" s="170"/>
      <c r="AF133" s="760"/>
      <c r="AG133" s="760"/>
      <c r="AH133" s="760"/>
    </row>
    <row r="134" ht="15.75" customHeight="1">
      <c r="A134" s="759"/>
      <c r="B134" s="760"/>
      <c r="C134" s="760"/>
      <c r="D134" s="760"/>
      <c r="E134" s="760"/>
      <c r="F134" s="760"/>
      <c r="G134" s="760"/>
      <c r="H134" s="760"/>
      <c r="I134" s="760"/>
      <c r="J134" s="760"/>
      <c r="K134" s="759"/>
      <c r="L134" s="760"/>
      <c r="M134" s="760"/>
      <c r="N134" s="760"/>
      <c r="O134" s="760"/>
      <c r="P134" s="760"/>
      <c r="Q134" s="760"/>
      <c r="R134" s="760"/>
      <c r="S134" s="760"/>
      <c r="T134" s="760"/>
      <c r="U134" s="760"/>
      <c r="V134" s="760"/>
      <c r="W134" s="760"/>
      <c r="X134" s="760"/>
      <c r="Y134" s="760"/>
      <c r="Z134" s="760"/>
      <c r="AA134" s="760"/>
      <c r="AB134" s="760"/>
      <c r="AC134" s="760"/>
      <c r="AD134" s="213" t="str">
        <f t="array" ref="AD134">IFERROR(INDEX('💻シート作成'!$D$6:$D205, MATCH(AE134, '💻シート作成'!$E$6:$E205, 0)), "")</f>
        <v/>
      </c>
      <c r="AE134" s="170"/>
      <c r="AF134" s="760"/>
      <c r="AG134" s="760"/>
      <c r="AH134" s="760"/>
    </row>
    <row r="135" ht="15.75" customHeight="1">
      <c r="A135" s="759"/>
      <c r="B135" s="760"/>
      <c r="C135" s="760"/>
      <c r="D135" s="760"/>
      <c r="E135" s="760"/>
      <c r="F135" s="760"/>
      <c r="G135" s="760"/>
      <c r="H135" s="760"/>
      <c r="I135" s="760"/>
      <c r="J135" s="760"/>
      <c r="K135" s="759"/>
      <c r="L135" s="760"/>
      <c r="M135" s="760"/>
      <c r="N135" s="760"/>
      <c r="O135" s="760"/>
      <c r="P135" s="760"/>
      <c r="Q135" s="760"/>
      <c r="R135" s="760"/>
      <c r="S135" s="760"/>
      <c r="T135" s="760"/>
      <c r="U135" s="760"/>
      <c r="V135" s="760"/>
      <c r="W135" s="760"/>
      <c r="X135" s="760"/>
      <c r="Y135" s="760"/>
      <c r="Z135" s="760"/>
      <c r="AA135" s="760"/>
      <c r="AB135" s="760"/>
      <c r="AC135" s="760"/>
      <c r="AD135" s="213" t="str">
        <f t="array" ref="AD135">IFERROR(INDEX('💻シート作成'!$D$6:$D205, MATCH(AE135, '💻シート作成'!$E$6:$E205, 0)), "")</f>
        <v/>
      </c>
      <c r="AE135" s="170"/>
      <c r="AF135" s="760"/>
      <c r="AG135" s="760"/>
      <c r="AH135" s="760"/>
    </row>
    <row r="136" ht="15.75" customHeight="1">
      <c r="A136" s="759"/>
      <c r="B136" s="760"/>
      <c r="C136" s="760"/>
      <c r="D136" s="760"/>
      <c r="E136" s="760"/>
      <c r="F136" s="760"/>
      <c r="G136" s="760"/>
      <c r="H136" s="760"/>
      <c r="I136" s="760"/>
      <c r="J136" s="760"/>
      <c r="K136" s="759"/>
      <c r="L136" s="760"/>
      <c r="M136" s="760"/>
      <c r="N136" s="760"/>
      <c r="O136" s="760"/>
      <c r="P136" s="760"/>
      <c r="Q136" s="760"/>
      <c r="R136" s="760"/>
      <c r="S136" s="760"/>
      <c r="T136" s="760"/>
      <c r="U136" s="760"/>
      <c r="V136" s="760"/>
      <c r="W136" s="760"/>
      <c r="X136" s="760"/>
      <c r="Y136" s="760"/>
      <c r="Z136" s="760"/>
      <c r="AA136" s="760"/>
      <c r="AB136" s="760"/>
      <c r="AC136" s="760"/>
      <c r="AD136" s="213" t="str">
        <f t="array" ref="AD136">IFERROR(INDEX('💻シート作成'!$D$6:$D205, MATCH(AE136, '💻シート作成'!$E$6:$E205, 0)), "")</f>
        <v/>
      </c>
      <c r="AE136" s="170"/>
      <c r="AF136" s="760"/>
      <c r="AG136" s="760"/>
      <c r="AH136" s="760"/>
    </row>
    <row r="137" ht="15.75" customHeight="1">
      <c r="A137" s="759"/>
      <c r="B137" s="760"/>
      <c r="C137" s="760"/>
      <c r="D137" s="760"/>
      <c r="E137" s="760"/>
      <c r="F137" s="760"/>
      <c r="G137" s="760"/>
      <c r="H137" s="760"/>
      <c r="I137" s="760"/>
      <c r="J137" s="760"/>
      <c r="K137" s="759"/>
      <c r="L137" s="760"/>
      <c r="M137" s="760"/>
      <c r="N137" s="760"/>
      <c r="O137" s="760"/>
      <c r="P137" s="760"/>
      <c r="Q137" s="760"/>
      <c r="R137" s="760"/>
      <c r="S137" s="760"/>
      <c r="T137" s="760"/>
      <c r="U137" s="760"/>
      <c r="V137" s="760"/>
      <c r="W137" s="760"/>
      <c r="X137" s="760"/>
      <c r="Y137" s="760"/>
      <c r="Z137" s="760"/>
      <c r="AA137" s="760"/>
      <c r="AB137" s="760"/>
      <c r="AC137" s="760"/>
      <c r="AD137" s="213" t="str">
        <f t="array" ref="AD137">IFERROR(INDEX('💻シート作成'!$D$6:$D205, MATCH(AE137, '💻シート作成'!$E$6:$E205, 0)), "")</f>
        <v/>
      </c>
      <c r="AE137" s="170"/>
      <c r="AF137" s="760"/>
      <c r="AG137" s="760"/>
      <c r="AH137" s="760"/>
    </row>
    <row r="138" ht="15.75" customHeight="1">
      <c r="A138" s="759"/>
      <c r="B138" s="760"/>
      <c r="C138" s="760"/>
      <c r="D138" s="760"/>
      <c r="E138" s="760"/>
      <c r="F138" s="760"/>
      <c r="G138" s="760"/>
      <c r="H138" s="760"/>
      <c r="I138" s="760"/>
      <c r="J138" s="760"/>
      <c r="K138" s="759"/>
      <c r="L138" s="760"/>
      <c r="M138" s="760"/>
      <c r="N138" s="760"/>
      <c r="O138" s="760"/>
      <c r="P138" s="760"/>
      <c r="Q138" s="760"/>
      <c r="R138" s="760"/>
      <c r="S138" s="760"/>
      <c r="T138" s="760"/>
      <c r="U138" s="760"/>
      <c r="V138" s="760"/>
      <c r="W138" s="760"/>
      <c r="X138" s="760"/>
      <c r="Y138" s="760"/>
      <c r="Z138" s="760"/>
      <c r="AA138" s="760"/>
      <c r="AB138" s="760"/>
      <c r="AC138" s="760"/>
      <c r="AD138" s="213" t="str">
        <f t="array" ref="AD138">IFERROR(INDEX('💻シート作成'!$D$6:$D205, MATCH(AE138, '💻シート作成'!$E$6:$E205, 0)), "")</f>
        <v/>
      </c>
      <c r="AE138" s="170"/>
      <c r="AF138" s="760"/>
      <c r="AG138" s="760"/>
      <c r="AH138" s="760"/>
    </row>
    <row r="139" ht="15.75" customHeight="1">
      <c r="A139" s="759"/>
      <c r="B139" s="760"/>
      <c r="C139" s="760"/>
      <c r="D139" s="760"/>
      <c r="E139" s="760"/>
      <c r="F139" s="760"/>
      <c r="G139" s="760"/>
      <c r="H139" s="760"/>
      <c r="I139" s="760"/>
      <c r="J139" s="760"/>
      <c r="K139" s="759"/>
      <c r="L139" s="760"/>
      <c r="M139" s="760"/>
      <c r="N139" s="760"/>
      <c r="O139" s="760"/>
      <c r="P139" s="760"/>
      <c r="Q139" s="760"/>
      <c r="R139" s="760"/>
      <c r="S139" s="760"/>
      <c r="T139" s="760"/>
      <c r="U139" s="760"/>
      <c r="V139" s="760"/>
      <c r="W139" s="760"/>
      <c r="X139" s="760"/>
      <c r="Y139" s="760"/>
      <c r="Z139" s="760"/>
      <c r="AA139" s="760"/>
      <c r="AB139" s="760"/>
      <c r="AC139" s="760"/>
      <c r="AD139" s="213" t="str">
        <f t="array" ref="AD139">IFERROR(INDEX('💻シート作成'!$D$6:$D205, MATCH(AE139, '💻シート作成'!$E$6:$E205, 0)), "")</f>
        <v/>
      </c>
      <c r="AE139" s="170"/>
      <c r="AF139" s="760"/>
      <c r="AG139" s="760"/>
      <c r="AH139" s="760"/>
    </row>
    <row r="140" ht="15.75" customHeight="1">
      <c r="A140" s="759"/>
      <c r="B140" s="760"/>
      <c r="C140" s="760"/>
      <c r="D140" s="760"/>
      <c r="E140" s="760"/>
      <c r="F140" s="760"/>
      <c r="G140" s="760"/>
      <c r="H140" s="760"/>
      <c r="I140" s="760"/>
      <c r="J140" s="760"/>
      <c r="K140" s="759"/>
      <c r="L140" s="760"/>
      <c r="M140" s="760"/>
      <c r="N140" s="760"/>
      <c r="O140" s="760"/>
      <c r="P140" s="760"/>
      <c r="Q140" s="760"/>
      <c r="R140" s="760"/>
      <c r="S140" s="760"/>
      <c r="T140" s="760"/>
      <c r="U140" s="760"/>
      <c r="V140" s="760"/>
      <c r="W140" s="760"/>
      <c r="X140" s="760"/>
      <c r="Y140" s="760"/>
      <c r="Z140" s="760"/>
      <c r="AA140" s="760"/>
      <c r="AB140" s="760"/>
      <c r="AC140" s="760"/>
      <c r="AD140" s="213" t="str">
        <f t="array" ref="AD140">IFERROR(INDEX('💻シート作成'!$D$6:$D205, MATCH(AE140, '💻シート作成'!$E$6:$E205, 0)), "")</f>
        <v/>
      </c>
      <c r="AE140" s="170"/>
      <c r="AF140" s="760"/>
      <c r="AG140" s="760"/>
      <c r="AH140" s="760"/>
    </row>
    <row r="141" ht="15.75" customHeight="1">
      <c r="A141" s="759"/>
      <c r="B141" s="760"/>
      <c r="C141" s="760"/>
      <c r="D141" s="760"/>
      <c r="E141" s="760"/>
      <c r="F141" s="760"/>
      <c r="G141" s="760"/>
      <c r="H141" s="760"/>
      <c r="I141" s="760"/>
      <c r="J141" s="760"/>
      <c r="K141" s="759"/>
      <c r="L141" s="760"/>
      <c r="M141" s="760"/>
      <c r="N141" s="760"/>
      <c r="O141" s="760"/>
      <c r="P141" s="760"/>
      <c r="Q141" s="760"/>
      <c r="R141" s="760"/>
      <c r="S141" s="760"/>
      <c r="T141" s="760"/>
      <c r="U141" s="760"/>
      <c r="V141" s="760"/>
      <c r="W141" s="760"/>
      <c r="X141" s="760"/>
      <c r="Y141" s="760"/>
      <c r="Z141" s="760"/>
      <c r="AA141" s="760"/>
      <c r="AB141" s="760"/>
      <c r="AC141" s="760"/>
      <c r="AD141" s="213" t="str">
        <f t="array" ref="AD141">IFERROR(INDEX('💻シート作成'!$D$6:$D205, MATCH(AE141, '💻シート作成'!$E$6:$E205, 0)), "")</f>
        <v/>
      </c>
      <c r="AE141" s="170"/>
      <c r="AF141" s="760"/>
      <c r="AG141" s="760"/>
      <c r="AH141" s="760"/>
    </row>
    <row r="142" ht="15.75" customHeight="1">
      <c r="A142" s="759"/>
      <c r="B142" s="760"/>
      <c r="C142" s="760"/>
      <c r="D142" s="760"/>
      <c r="E142" s="760"/>
      <c r="F142" s="760"/>
      <c r="G142" s="760"/>
      <c r="H142" s="760"/>
      <c r="I142" s="760"/>
      <c r="J142" s="760"/>
      <c r="K142" s="759"/>
      <c r="L142" s="760"/>
      <c r="M142" s="760"/>
      <c r="N142" s="760"/>
      <c r="O142" s="760"/>
      <c r="P142" s="760"/>
      <c r="Q142" s="760"/>
      <c r="R142" s="760"/>
      <c r="S142" s="760"/>
      <c r="T142" s="760"/>
      <c r="U142" s="760"/>
      <c r="V142" s="760"/>
      <c r="W142" s="760"/>
      <c r="X142" s="760"/>
      <c r="Y142" s="760"/>
      <c r="Z142" s="760"/>
      <c r="AA142" s="760"/>
      <c r="AB142" s="760"/>
      <c r="AC142" s="760"/>
      <c r="AD142" s="213" t="str">
        <f t="array" ref="AD142">IFERROR(INDEX('💻シート作成'!$D$6:$D205, MATCH(AE142, '💻シート作成'!$E$6:$E205, 0)), "")</f>
        <v/>
      </c>
      <c r="AE142" s="170"/>
      <c r="AF142" s="760"/>
      <c r="AG142" s="760"/>
      <c r="AH142" s="760"/>
    </row>
    <row r="143" ht="15.75" customHeight="1">
      <c r="A143" s="759"/>
      <c r="B143" s="760"/>
      <c r="C143" s="760"/>
      <c r="D143" s="760"/>
      <c r="E143" s="760"/>
      <c r="F143" s="760"/>
      <c r="G143" s="760"/>
      <c r="H143" s="760"/>
      <c r="I143" s="760"/>
      <c r="J143" s="760"/>
      <c r="K143" s="759"/>
      <c r="L143" s="760"/>
      <c r="M143" s="760"/>
      <c r="N143" s="760"/>
      <c r="O143" s="760"/>
      <c r="P143" s="760"/>
      <c r="Q143" s="760"/>
      <c r="R143" s="760"/>
      <c r="S143" s="760"/>
      <c r="T143" s="760"/>
      <c r="U143" s="760"/>
      <c r="V143" s="760"/>
      <c r="W143" s="760"/>
      <c r="X143" s="760"/>
      <c r="Y143" s="760"/>
      <c r="Z143" s="760"/>
      <c r="AA143" s="760"/>
      <c r="AB143" s="760"/>
      <c r="AC143" s="760"/>
      <c r="AD143" s="213" t="str">
        <f t="array" ref="AD143">IFERROR(INDEX('💻シート作成'!$D$6:$D205, MATCH(AE143, '💻シート作成'!$E$6:$E205, 0)), "")</f>
        <v/>
      </c>
      <c r="AE143" s="170"/>
      <c r="AF143" s="760"/>
      <c r="AG143" s="760"/>
      <c r="AH143" s="760"/>
    </row>
    <row r="144" ht="15.75" customHeight="1">
      <c r="A144" s="759"/>
      <c r="B144" s="760"/>
      <c r="C144" s="760"/>
      <c r="D144" s="760"/>
      <c r="E144" s="760"/>
      <c r="F144" s="760"/>
      <c r="G144" s="760"/>
      <c r="H144" s="760"/>
      <c r="I144" s="760"/>
      <c r="J144" s="760"/>
      <c r="K144" s="759"/>
      <c r="L144" s="760"/>
      <c r="M144" s="760"/>
      <c r="N144" s="760"/>
      <c r="O144" s="760"/>
      <c r="P144" s="760"/>
      <c r="Q144" s="760"/>
      <c r="R144" s="760"/>
      <c r="S144" s="760"/>
      <c r="T144" s="760"/>
      <c r="U144" s="760"/>
      <c r="V144" s="760"/>
      <c r="W144" s="760"/>
      <c r="X144" s="760"/>
      <c r="Y144" s="760"/>
      <c r="Z144" s="760"/>
      <c r="AA144" s="760"/>
      <c r="AB144" s="760"/>
      <c r="AC144" s="760"/>
      <c r="AD144" s="213" t="str">
        <f t="array" ref="AD144">IFERROR(INDEX('💻シート作成'!$D$6:$D205, MATCH(AE144, '💻シート作成'!$E$6:$E205, 0)), "")</f>
        <v/>
      </c>
      <c r="AE144" s="170"/>
      <c r="AF144" s="760"/>
      <c r="AG144" s="760"/>
      <c r="AH144" s="760"/>
    </row>
    <row r="145" ht="15.75" customHeight="1">
      <c r="A145" s="759"/>
      <c r="B145" s="760"/>
      <c r="C145" s="760"/>
      <c r="D145" s="760"/>
      <c r="E145" s="760"/>
      <c r="F145" s="760"/>
      <c r="G145" s="760"/>
      <c r="H145" s="760"/>
      <c r="I145" s="760"/>
      <c r="J145" s="760"/>
      <c r="K145" s="759"/>
      <c r="L145" s="760"/>
      <c r="M145" s="760"/>
      <c r="N145" s="760"/>
      <c r="O145" s="760"/>
      <c r="P145" s="760"/>
      <c r="Q145" s="760"/>
      <c r="R145" s="760"/>
      <c r="S145" s="760"/>
      <c r="T145" s="760"/>
      <c r="U145" s="760"/>
      <c r="V145" s="760"/>
      <c r="W145" s="760"/>
      <c r="X145" s="760"/>
      <c r="Y145" s="760"/>
      <c r="Z145" s="760"/>
      <c r="AA145" s="760"/>
      <c r="AB145" s="760"/>
      <c r="AC145" s="760"/>
      <c r="AD145" s="213" t="str">
        <f t="array" ref="AD145">IFERROR(INDEX('💻シート作成'!$D$6:$D205, MATCH(AE145, '💻シート作成'!$E$6:$E205, 0)), "")</f>
        <v/>
      </c>
      <c r="AE145" s="170"/>
      <c r="AF145" s="760"/>
      <c r="AG145" s="760"/>
      <c r="AH145" s="760"/>
    </row>
    <row r="146" ht="15.75" customHeight="1">
      <c r="A146" s="759"/>
      <c r="B146" s="760"/>
      <c r="C146" s="760"/>
      <c r="D146" s="760"/>
      <c r="E146" s="760"/>
      <c r="F146" s="760"/>
      <c r="G146" s="760"/>
      <c r="H146" s="760"/>
      <c r="I146" s="760"/>
      <c r="J146" s="760"/>
      <c r="K146" s="759"/>
      <c r="L146" s="760"/>
      <c r="M146" s="760"/>
      <c r="N146" s="760"/>
      <c r="O146" s="760"/>
      <c r="P146" s="760"/>
      <c r="Q146" s="760"/>
      <c r="R146" s="760"/>
      <c r="S146" s="760"/>
      <c r="T146" s="760"/>
      <c r="U146" s="760"/>
      <c r="V146" s="760"/>
      <c r="W146" s="760"/>
      <c r="X146" s="760"/>
      <c r="Y146" s="760"/>
      <c r="Z146" s="760"/>
      <c r="AA146" s="760"/>
      <c r="AB146" s="760"/>
      <c r="AC146" s="760"/>
      <c r="AD146" s="213" t="str">
        <f t="array" ref="AD146">IFERROR(INDEX('💻シート作成'!$D$6:$D205, MATCH(AE146, '💻シート作成'!$E$6:$E205, 0)), "")</f>
        <v/>
      </c>
      <c r="AE146" s="170"/>
      <c r="AF146" s="760"/>
      <c r="AG146" s="760"/>
      <c r="AH146" s="760"/>
    </row>
    <row r="147" ht="15.75" customHeight="1">
      <c r="A147" s="759"/>
      <c r="B147" s="760"/>
      <c r="C147" s="760"/>
      <c r="D147" s="760"/>
      <c r="E147" s="760"/>
      <c r="F147" s="760"/>
      <c r="G147" s="760"/>
      <c r="H147" s="760"/>
      <c r="I147" s="760"/>
      <c r="J147" s="760"/>
      <c r="K147" s="759"/>
      <c r="L147" s="760"/>
      <c r="M147" s="760"/>
      <c r="N147" s="760"/>
      <c r="O147" s="760"/>
      <c r="P147" s="760"/>
      <c r="Q147" s="760"/>
      <c r="R147" s="760"/>
      <c r="S147" s="760"/>
      <c r="T147" s="760"/>
      <c r="U147" s="760"/>
      <c r="V147" s="760"/>
      <c r="W147" s="760"/>
      <c r="X147" s="760"/>
      <c r="Y147" s="760"/>
      <c r="Z147" s="760"/>
      <c r="AA147" s="760"/>
      <c r="AB147" s="760"/>
      <c r="AC147" s="760"/>
      <c r="AD147" s="213" t="str">
        <f t="array" ref="AD147">IFERROR(INDEX('💻シート作成'!$D$6:$D205, MATCH(AE147, '💻シート作成'!$E$6:$E205, 0)), "")</f>
        <v/>
      </c>
      <c r="AE147" s="170"/>
      <c r="AF147" s="760"/>
      <c r="AG147" s="760"/>
      <c r="AH147" s="760"/>
    </row>
    <row r="148" ht="15.75" customHeight="1">
      <c r="A148" s="759"/>
      <c r="B148" s="760"/>
      <c r="C148" s="760"/>
      <c r="D148" s="760"/>
      <c r="E148" s="760"/>
      <c r="F148" s="760"/>
      <c r="G148" s="760"/>
      <c r="H148" s="760"/>
      <c r="I148" s="760"/>
      <c r="J148" s="760"/>
      <c r="K148" s="759"/>
      <c r="L148" s="760"/>
      <c r="M148" s="760"/>
      <c r="N148" s="760"/>
      <c r="O148" s="760"/>
      <c r="P148" s="760"/>
      <c r="Q148" s="760"/>
      <c r="R148" s="760"/>
      <c r="S148" s="760"/>
      <c r="T148" s="760"/>
      <c r="U148" s="760"/>
      <c r="V148" s="760"/>
      <c r="W148" s="760"/>
      <c r="X148" s="760"/>
      <c r="Y148" s="760"/>
      <c r="Z148" s="760"/>
      <c r="AA148" s="760"/>
      <c r="AB148" s="760"/>
      <c r="AC148" s="760"/>
      <c r="AD148" s="213" t="str">
        <f t="array" ref="AD148">IFERROR(INDEX('💻シート作成'!$D$6:$D205, MATCH(AE148, '💻シート作成'!$E$6:$E205, 0)), "")</f>
        <v/>
      </c>
      <c r="AE148" s="170"/>
      <c r="AF148" s="760"/>
      <c r="AG148" s="760"/>
      <c r="AH148" s="760"/>
    </row>
    <row r="149" ht="15.75" customHeight="1">
      <c r="A149" s="759"/>
      <c r="B149" s="760"/>
      <c r="C149" s="760"/>
      <c r="D149" s="760"/>
      <c r="E149" s="760"/>
      <c r="F149" s="760"/>
      <c r="G149" s="760"/>
      <c r="H149" s="760"/>
      <c r="I149" s="760"/>
      <c r="J149" s="760"/>
      <c r="K149" s="759"/>
      <c r="L149" s="760"/>
      <c r="M149" s="760"/>
      <c r="N149" s="760"/>
      <c r="O149" s="760"/>
      <c r="P149" s="760"/>
      <c r="Q149" s="760"/>
      <c r="R149" s="760"/>
      <c r="S149" s="760"/>
      <c r="T149" s="760"/>
      <c r="U149" s="760"/>
      <c r="V149" s="760"/>
      <c r="W149" s="760"/>
      <c r="X149" s="760"/>
      <c r="Y149" s="760"/>
      <c r="Z149" s="760"/>
      <c r="AA149" s="760"/>
      <c r="AB149" s="760"/>
      <c r="AC149" s="760"/>
      <c r="AD149" s="213" t="str">
        <f t="array" ref="AD149">IFERROR(INDEX('💻シート作成'!$D$6:$D205, MATCH(AE149, '💻シート作成'!$E$6:$E205, 0)), "")</f>
        <v/>
      </c>
      <c r="AE149" s="170"/>
      <c r="AF149" s="760"/>
      <c r="AG149" s="760"/>
      <c r="AH149" s="760"/>
    </row>
    <row r="150" ht="15.75" customHeight="1">
      <c r="A150" s="759"/>
      <c r="B150" s="760"/>
      <c r="C150" s="760"/>
      <c r="D150" s="760"/>
      <c r="E150" s="760"/>
      <c r="F150" s="760"/>
      <c r="G150" s="760"/>
      <c r="H150" s="760"/>
      <c r="I150" s="760"/>
      <c r="J150" s="760"/>
      <c r="K150" s="759"/>
      <c r="L150" s="760"/>
      <c r="M150" s="760"/>
      <c r="N150" s="760"/>
      <c r="O150" s="760"/>
      <c r="P150" s="760"/>
      <c r="Q150" s="760"/>
      <c r="R150" s="760"/>
      <c r="S150" s="760"/>
      <c r="T150" s="760"/>
      <c r="U150" s="760"/>
      <c r="V150" s="760"/>
      <c r="W150" s="760"/>
      <c r="X150" s="760"/>
      <c r="Y150" s="760"/>
      <c r="Z150" s="760"/>
      <c r="AA150" s="760"/>
      <c r="AB150" s="760"/>
      <c r="AC150" s="760"/>
      <c r="AD150" s="213" t="str">
        <f t="array" ref="AD150">IFERROR(INDEX('💻シート作成'!$D$6:$D205, MATCH(AE150, '💻シート作成'!$E$6:$E205, 0)), "")</f>
        <v/>
      </c>
      <c r="AE150" s="170"/>
      <c r="AF150" s="760"/>
      <c r="AG150" s="760"/>
      <c r="AH150" s="760"/>
    </row>
    <row r="151" ht="15.75" customHeight="1">
      <c r="A151" s="759"/>
      <c r="B151" s="760"/>
      <c r="C151" s="760"/>
      <c r="D151" s="760"/>
      <c r="E151" s="760"/>
      <c r="F151" s="760"/>
      <c r="G151" s="760"/>
      <c r="H151" s="760"/>
      <c r="I151" s="760"/>
      <c r="J151" s="760"/>
      <c r="K151" s="759"/>
      <c r="L151" s="760"/>
      <c r="M151" s="760"/>
      <c r="N151" s="760"/>
      <c r="O151" s="760"/>
      <c r="P151" s="760"/>
      <c r="Q151" s="760"/>
      <c r="R151" s="760"/>
      <c r="S151" s="760"/>
      <c r="T151" s="760"/>
      <c r="U151" s="760"/>
      <c r="V151" s="760"/>
      <c r="W151" s="760"/>
      <c r="X151" s="760"/>
      <c r="Y151" s="760"/>
      <c r="Z151" s="760"/>
      <c r="AA151" s="760"/>
      <c r="AB151" s="760"/>
      <c r="AC151" s="760"/>
      <c r="AD151" s="213" t="str">
        <f t="array" ref="AD151">IFERROR(INDEX('💻シート作成'!$D$6:$D205, MATCH(AE151, '💻シート作成'!$E$6:$E205, 0)), "")</f>
        <v/>
      </c>
      <c r="AE151" s="170"/>
      <c r="AF151" s="760"/>
      <c r="AG151" s="760"/>
      <c r="AH151" s="760"/>
    </row>
    <row r="152" ht="15.75" customHeight="1">
      <c r="A152" s="759"/>
      <c r="B152" s="760"/>
      <c r="C152" s="760"/>
      <c r="D152" s="760"/>
      <c r="E152" s="760"/>
      <c r="F152" s="760"/>
      <c r="G152" s="760"/>
      <c r="H152" s="760"/>
      <c r="I152" s="760"/>
      <c r="J152" s="760"/>
      <c r="K152" s="759"/>
      <c r="L152" s="760"/>
      <c r="M152" s="760"/>
      <c r="N152" s="760"/>
      <c r="O152" s="760"/>
      <c r="P152" s="760"/>
      <c r="Q152" s="760"/>
      <c r="R152" s="760"/>
      <c r="S152" s="760"/>
      <c r="T152" s="760"/>
      <c r="U152" s="760"/>
      <c r="V152" s="760"/>
      <c r="W152" s="760"/>
      <c r="X152" s="760"/>
      <c r="Y152" s="760"/>
      <c r="Z152" s="760"/>
      <c r="AA152" s="760"/>
      <c r="AB152" s="760"/>
      <c r="AC152" s="760"/>
      <c r="AD152" s="213" t="str">
        <f t="array" ref="AD152">IFERROR(INDEX('💻シート作成'!$D$6:$D205, MATCH(AE152, '💻シート作成'!$E$6:$E205, 0)), "")</f>
        <v/>
      </c>
      <c r="AE152" s="170"/>
      <c r="AF152" s="760"/>
      <c r="AG152" s="760"/>
      <c r="AH152" s="760"/>
    </row>
    <row r="153" ht="15.75" customHeight="1">
      <c r="A153" s="759"/>
      <c r="B153" s="760"/>
      <c r="C153" s="760"/>
      <c r="D153" s="760"/>
      <c r="E153" s="760"/>
      <c r="F153" s="760"/>
      <c r="G153" s="760"/>
      <c r="H153" s="760"/>
      <c r="I153" s="760"/>
      <c r="J153" s="760"/>
      <c r="K153" s="759"/>
      <c r="L153" s="760"/>
      <c r="M153" s="760"/>
      <c r="N153" s="760"/>
      <c r="O153" s="760"/>
      <c r="P153" s="760"/>
      <c r="Q153" s="760"/>
      <c r="R153" s="760"/>
      <c r="S153" s="760"/>
      <c r="T153" s="760"/>
      <c r="U153" s="760"/>
      <c r="V153" s="760"/>
      <c r="W153" s="760"/>
      <c r="X153" s="760"/>
      <c r="Y153" s="760"/>
      <c r="Z153" s="760"/>
      <c r="AA153" s="760"/>
      <c r="AB153" s="760"/>
      <c r="AC153" s="760"/>
      <c r="AD153" s="213" t="str">
        <f t="array" ref="AD153">IFERROR(INDEX('💻シート作成'!$D$6:$D205, MATCH(AE153, '💻シート作成'!$E$6:$E205, 0)), "")</f>
        <v/>
      </c>
      <c r="AE153" s="170"/>
      <c r="AF153" s="760"/>
      <c r="AG153" s="760"/>
      <c r="AH153" s="760"/>
    </row>
    <row r="154" ht="15.75" customHeight="1">
      <c r="A154" s="759"/>
      <c r="B154" s="760"/>
      <c r="C154" s="760"/>
      <c r="D154" s="760"/>
      <c r="E154" s="760"/>
      <c r="F154" s="760"/>
      <c r="G154" s="760"/>
      <c r="H154" s="760"/>
      <c r="I154" s="760"/>
      <c r="J154" s="760"/>
      <c r="K154" s="759"/>
      <c r="L154" s="760"/>
      <c r="M154" s="760"/>
      <c r="N154" s="760"/>
      <c r="O154" s="760"/>
      <c r="P154" s="760"/>
      <c r="Q154" s="760"/>
      <c r="R154" s="760"/>
      <c r="S154" s="760"/>
      <c r="T154" s="760"/>
      <c r="U154" s="760"/>
      <c r="V154" s="760"/>
      <c r="W154" s="760"/>
      <c r="X154" s="760"/>
      <c r="Y154" s="760"/>
      <c r="Z154" s="760"/>
      <c r="AA154" s="760"/>
      <c r="AB154" s="760"/>
      <c r="AC154" s="760"/>
      <c r="AD154" s="213" t="str">
        <f t="array" ref="AD154">IFERROR(INDEX('💻シート作成'!$D$6:$D205, MATCH(AE154, '💻シート作成'!$E$6:$E205, 0)), "")</f>
        <v/>
      </c>
      <c r="AE154" s="170"/>
      <c r="AF154" s="760"/>
      <c r="AG154" s="760"/>
      <c r="AH154" s="760"/>
    </row>
    <row r="155" ht="15.75" customHeight="1">
      <c r="A155" s="759"/>
      <c r="B155" s="760"/>
      <c r="C155" s="760"/>
      <c r="D155" s="760"/>
      <c r="E155" s="760"/>
      <c r="F155" s="760"/>
      <c r="G155" s="760"/>
      <c r="H155" s="760"/>
      <c r="I155" s="760"/>
      <c r="J155" s="760"/>
      <c r="K155" s="759"/>
      <c r="L155" s="760"/>
      <c r="M155" s="760"/>
      <c r="N155" s="760"/>
      <c r="O155" s="760"/>
      <c r="P155" s="760"/>
      <c r="Q155" s="760"/>
      <c r="R155" s="760"/>
      <c r="S155" s="760"/>
      <c r="T155" s="760"/>
      <c r="U155" s="760"/>
      <c r="V155" s="760"/>
      <c r="W155" s="760"/>
      <c r="X155" s="760"/>
      <c r="Y155" s="760"/>
      <c r="Z155" s="760"/>
      <c r="AA155" s="760"/>
      <c r="AB155" s="760"/>
      <c r="AC155" s="760"/>
      <c r="AD155" s="213" t="str">
        <f t="array" ref="AD155">IFERROR(INDEX('💻シート作成'!$D$6:$D205, MATCH(AE155, '💻シート作成'!$E$6:$E205, 0)), "")</f>
        <v/>
      </c>
      <c r="AE155" s="170"/>
      <c r="AF155" s="760"/>
      <c r="AG155" s="760"/>
      <c r="AH155" s="760"/>
    </row>
    <row r="156" ht="15.75" customHeight="1">
      <c r="A156" s="759"/>
      <c r="B156" s="760"/>
      <c r="C156" s="760"/>
      <c r="D156" s="760"/>
      <c r="E156" s="760"/>
      <c r="F156" s="760"/>
      <c r="G156" s="760"/>
      <c r="H156" s="760"/>
      <c r="I156" s="760"/>
      <c r="J156" s="760"/>
      <c r="K156" s="759"/>
      <c r="L156" s="760"/>
      <c r="M156" s="760"/>
      <c r="N156" s="760"/>
      <c r="O156" s="760"/>
      <c r="P156" s="760"/>
      <c r="Q156" s="760"/>
      <c r="R156" s="760"/>
      <c r="S156" s="760"/>
      <c r="T156" s="760"/>
      <c r="U156" s="760"/>
      <c r="V156" s="760"/>
      <c r="W156" s="760"/>
      <c r="X156" s="760"/>
      <c r="Y156" s="760"/>
      <c r="Z156" s="760"/>
      <c r="AA156" s="760"/>
      <c r="AB156" s="760"/>
      <c r="AC156" s="760"/>
      <c r="AD156" s="213" t="str">
        <f t="array" ref="AD156">IFERROR(INDEX('💻シート作成'!$D$6:$D205, MATCH(AE156, '💻シート作成'!$E$6:$E205, 0)), "")</f>
        <v/>
      </c>
      <c r="AE156" s="170"/>
      <c r="AF156" s="760"/>
      <c r="AG156" s="760"/>
      <c r="AH156" s="760"/>
    </row>
    <row r="157" ht="15.75" customHeight="1">
      <c r="A157" s="759"/>
      <c r="B157" s="760"/>
      <c r="C157" s="760"/>
      <c r="D157" s="760"/>
      <c r="E157" s="760"/>
      <c r="F157" s="760"/>
      <c r="G157" s="760"/>
      <c r="H157" s="760"/>
      <c r="I157" s="760"/>
      <c r="J157" s="760"/>
      <c r="K157" s="759"/>
      <c r="L157" s="760"/>
      <c r="M157" s="760"/>
      <c r="N157" s="760"/>
      <c r="O157" s="760"/>
      <c r="P157" s="760"/>
      <c r="Q157" s="760"/>
      <c r="R157" s="760"/>
      <c r="S157" s="760"/>
      <c r="T157" s="760"/>
      <c r="U157" s="760"/>
      <c r="V157" s="760"/>
      <c r="W157" s="760"/>
      <c r="X157" s="760"/>
      <c r="Y157" s="760"/>
      <c r="Z157" s="760"/>
      <c r="AA157" s="760"/>
      <c r="AB157" s="760"/>
      <c r="AC157" s="760"/>
      <c r="AD157" s="213" t="str">
        <f t="array" ref="AD157">IFERROR(INDEX('💻シート作成'!$D$6:$D205, MATCH(AE157, '💻シート作成'!$E$6:$E205, 0)), "")</f>
        <v/>
      </c>
      <c r="AE157" s="170"/>
      <c r="AF157" s="760"/>
      <c r="AG157" s="760"/>
      <c r="AH157" s="760"/>
    </row>
    <row r="158" ht="15.75" customHeight="1">
      <c r="A158" s="759"/>
      <c r="B158" s="760"/>
      <c r="C158" s="760"/>
      <c r="D158" s="760"/>
      <c r="E158" s="760"/>
      <c r="F158" s="760"/>
      <c r="G158" s="760"/>
      <c r="H158" s="760"/>
      <c r="I158" s="760"/>
      <c r="J158" s="760"/>
      <c r="K158" s="759"/>
      <c r="L158" s="760"/>
      <c r="M158" s="760"/>
      <c r="N158" s="760"/>
      <c r="O158" s="760"/>
      <c r="P158" s="760"/>
      <c r="Q158" s="760"/>
      <c r="R158" s="760"/>
      <c r="S158" s="760"/>
      <c r="T158" s="760"/>
      <c r="U158" s="760"/>
      <c r="V158" s="760"/>
      <c r="W158" s="760"/>
      <c r="X158" s="760"/>
      <c r="Y158" s="760"/>
      <c r="Z158" s="760"/>
      <c r="AA158" s="760"/>
      <c r="AB158" s="760"/>
      <c r="AC158" s="760"/>
      <c r="AD158" s="213" t="str">
        <f t="array" ref="AD158">IFERROR(INDEX('💻シート作成'!$D$6:$D205, MATCH(AE158, '💻シート作成'!$E$6:$E205, 0)), "")</f>
        <v/>
      </c>
      <c r="AE158" s="170"/>
      <c r="AF158" s="760"/>
      <c r="AG158" s="760"/>
      <c r="AH158" s="760"/>
    </row>
    <row r="159" ht="15.75" customHeight="1">
      <c r="A159" s="759"/>
      <c r="B159" s="760"/>
      <c r="C159" s="760"/>
      <c r="D159" s="760"/>
      <c r="E159" s="760"/>
      <c r="F159" s="760"/>
      <c r="G159" s="760"/>
      <c r="H159" s="760"/>
      <c r="I159" s="760"/>
      <c r="J159" s="760"/>
      <c r="K159" s="759"/>
      <c r="L159" s="760"/>
      <c r="M159" s="760"/>
      <c r="N159" s="760"/>
      <c r="O159" s="760"/>
      <c r="P159" s="760"/>
      <c r="Q159" s="760"/>
      <c r="R159" s="760"/>
      <c r="S159" s="760"/>
      <c r="T159" s="760"/>
      <c r="U159" s="760"/>
      <c r="V159" s="760"/>
      <c r="W159" s="760"/>
      <c r="X159" s="760"/>
      <c r="Y159" s="760"/>
      <c r="Z159" s="760"/>
      <c r="AA159" s="760"/>
      <c r="AB159" s="760"/>
      <c r="AC159" s="760"/>
      <c r="AD159" s="213" t="str">
        <f t="array" ref="AD159">IFERROR(INDEX('💻シート作成'!$D$6:$D205, MATCH(AE159, '💻シート作成'!$E$6:$E205, 0)), "")</f>
        <v/>
      </c>
      <c r="AE159" s="170"/>
      <c r="AF159" s="760"/>
      <c r="AG159" s="760"/>
      <c r="AH159" s="760"/>
    </row>
    <row r="160" ht="15.75" customHeight="1">
      <c r="A160" s="759"/>
      <c r="B160" s="760"/>
      <c r="C160" s="760"/>
      <c r="D160" s="760"/>
      <c r="E160" s="760"/>
      <c r="F160" s="760"/>
      <c r="G160" s="760"/>
      <c r="H160" s="760"/>
      <c r="I160" s="760"/>
      <c r="J160" s="760"/>
      <c r="K160" s="759"/>
      <c r="L160" s="760"/>
      <c r="M160" s="760"/>
      <c r="N160" s="760"/>
      <c r="O160" s="760"/>
      <c r="P160" s="760"/>
      <c r="Q160" s="760"/>
      <c r="R160" s="760"/>
      <c r="S160" s="760"/>
      <c r="T160" s="760"/>
      <c r="U160" s="760"/>
      <c r="V160" s="760"/>
      <c r="W160" s="760"/>
      <c r="X160" s="760"/>
      <c r="Y160" s="760"/>
      <c r="Z160" s="760"/>
      <c r="AA160" s="760"/>
      <c r="AB160" s="760"/>
      <c r="AC160" s="760"/>
      <c r="AD160" s="213" t="str">
        <f t="array" ref="AD160">IFERROR(INDEX('💻シート作成'!$D$6:$D205, MATCH(AE160, '💻シート作成'!$E$6:$E205, 0)), "")</f>
        <v/>
      </c>
      <c r="AE160" s="170"/>
      <c r="AF160" s="760"/>
      <c r="AG160" s="760"/>
      <c r="AH160" s="760"/>
    </row>
    <row r="161" ht="15.75" customHeight="1">
      <c r="A161" s="759"/>
      <c r="B161" s="760"/>
      <c r="C161" s="760"/>
      <c r="D161" s="760"/>
      <c r="E161" s="760"/>
      <c r="F161" s="760"/>
      <c r="G161" s="760"/>
      <c r="H161" s="760"/>
      <c r="I161" s="760"/>
      <c r="J161" s="760"/>
      <c r="K161" s="759"/>
      <c r="L161" s="760"/>
      <c r="M161" s="760"/>
      <c r="N161" s="760"/>
      <c r="O161" s="760"/>
      <c r="P161" s="760"/>
      <c r="Q161" s="760"/>
      <c r="R161" s="760"/>
      <c r="S161" s="760"/>
      <c r="T161" s="760"/>
      <c r="U161" s="760"/>
      <c r="V161" s="760"/>
      <c r="W161" s="760"/>
      <c r="X161" s="760"/>
      <c r="Y161" s="760"/>
      <c r="Z161" s="760"/>
      <c r="AA161" s="760"/>
      <c r="AB161" s="760"/>
      <c r="AC161" s="760"/>
      <c r="AD161" s="213" t="str">
        <f t="array" ref="AD161">IFERROR(INDEX('💻シート作成'!$D$6:$D205, MATCH(AE161, '💻シート作成'!$E$6:$E205, 0)), "")</f>
        <v/>
      </c>
      <c r="AE161" s="170"/>
      <c r="AF161" s="760"/>
      <c r="AG161" s="760"/>
      <c r="AH161" s="760"/>
    </row>
    <row r="162" ht="15.75" customHeight="1">
      <c r="A162" s="759"/>
      <c r="B162" s="760"/>
      <c r="C162" s="760"/>
      <c r="D162" s="760"/>
      <c r="E162" s="760"/>
      <c r="F162" s="760"/>
      <c r="G162" s="760"/>
      <c r="H162" s="760"/>
      <c r="I162" s="760"/>
      <c r="J162" s="760"/>
      <c r="K162" s="759"/>
      <c r="L162" s="760"/>
      <c r="M162" s="760"/>
      <c r="N162" s="760"/>
      <c r="O162" s="760"/>
      <c r="P162" s="760"/>
      <c r="Q162" s="760"/>
      <c r="R162" s="760"/>
      <c r="S162" s="760"/>
      <c r="T162" s="760"/>
      <c r="U162" s="760"/>
      <c r="V162" s="760"/>
      <c r="W162" s="760"/>
      <c r="X162" s="760"/>
      <c r="Y162" s="760"/>
      <c r="Z162" s="760"/>
      <c r="AA162" s="760"/>
      <c r="AB162" s="760"/>
      <c r="AC162" s="760"/>
      <c r="AD162" s="213" t="str">
        <f t="array" ref="AD162">IFERROR(INDEX('💻シート作成'!$D$6:$D205, MATCH(AE162, '💻シート作成'!$E$6:$E205, 0)), "")</f>
        <v/>
      </c>
      <c r="AE162" s="170"/>
      <c r="AF162" s="760"/>
      <c r="AG162" s="760"/>
      <c r="AH162" s="760"/>
    </row>
    <row r="163" ht="15.75" customHeight="1">
      <c r="A163" s="759"/>
      <c r="B163" s="760"/>
      <c r="C163" s="760"/>
      <c r="D163" s="760"/>
      <c r="E163" s="760"/>
      <c r="F163" s="760"/>
      <c r="G163" s="760"/>
      <c r="H163" s="760"/>
      <c r="I163" s="760"/>
      <c r="J163" s="760"/>
      <c r="K163" s="759"/>
      <c r="L163" s="760"/>
      <c r="M163" s="760"/>
      <c r="N163" s="760"/>
      <c r="O163" s="760"/>
      <c r="P163" s="760"/>
      <c r="Q163" s="760"/>
      <c r="R163" s="760"/>
      <c r="S163" s="760"/>
      <c r="T163" s="760"/>
      <c r="U163" s="760"/>
      <c r="V163" s="760"/>
      <c r="W163" s="760"/>
      <c r="X163" s="760"/>
      <c r="Y163" s="760"/>
      <c r="Z163" s="760"/>
      <c r="AA163" s="760"/>
      <c r="AB163" s="760"/>
      <c r="AC163" s="760"/>
      <c r="AD163" s="213" t="str">
        <f t="array" ref="AD163">IFERROR(INDEX('💻シート作成'!$D$6:$D205, MATCH(AE163, '💻シート作成'!$E$6:$E205, 0)), "")</f>
        <v/>
      </c>
      <c r="AE163" s="170"/>
      <c r="AF163" s="760"/>
      <c r="AG163" s="760"/>
      <c r="AH163" s="760"/>
    </row>
    <row r="164" ht="15.75" customHeight="1">
      <c r="A164" s="759"/>
      <c r="B164" s="760"/>
      <c r="C164" s="760"/>
      <c r="D164" s="760"/>
      <c r="E164" s="760"/>
      <c r="F164" s="760"/>
      <c r="G164" s="760"/>
      <c r="H164" s="760"/>
      <c r="I164" s="760"/>
      <c r="J164" s="760"/>
      <c r="K164" s="759"/>
      <c r="L164" s="760"/>
      <c r="M164" s="760"/>
      <c r="N164" s="760"/>
      <c r="O164" s="760"/>
      <c r="P164" s="760"/>
      <c r="Q164" s="760"/>
      <c r="R164" s="760"/>
      <c r="S164" s="760"/>
      <c r="T164" s="760"/>
      <c r="U164" s="760"/>
      <c r="V164" s="760"/>
      <c r="W164" s="760"/>
      <c r="X164" s="760"/>
      <c r="Y164" s="760"/>
      <c r="Z164" s="760"/>
      <c r="AA164" s="760"/>
      <c r="AB164" s="760"/>
      <c r="AC164" s="760"/>
      <c r="AD164" s="213" t="str">
        <f t="array" ref="AD164">IFERROR(INDEX('💻シート作成'!$D$6:$D205, MATCH(AE164, '💻シート作成'!$E$6:$E205, 0)), "")</f>
        <v/>
      </c>
      <c r="AE164" s="170"/>
      <c r="AF164" s="760"/>
      <c r="AG164" s="760"/>
      <c r="AH164" s="760"/>
    </row>
    <row r="165" ht="15.75" customHeight="1">
      <c r="A165" s="759"/>
      <c r="B165" s="760"/>
      <c r="C165" s="760"/>
      <c r="D165" s="760"/>
      <c r="E165" s="760"/>
      <c r="F165" s="760"/>
      <c r="G165" s="760"/>
      <c r="H165" s="760"/>
      <c r="I165" s="760"/>
      <c r="J165" s="760"/>
      <c r="K165" s="759"/>
      <c r="L165" s="760"/>
      <c r="M165" s="760"/>
      <c r="N165" s="760"/>
      <c r="O165" s="760"/>
      <c r="P165" s="760"/>
      <c r="Q165" s="760"/>
      <c r="R165" s="760"/>
      <c r="S165" s="760"/>
      <c r="T165" s="760"/>
      <c r="U165" s="760"/>
      <c r="V165" s="760"/>
      <c r="W165" s="760"/>
      <c r="X165" s="760"/>
      <c r="Y165" s="760"/>
      <c r="Z165" s="760"/>
      <c r="AA165" s="760"/>
      <c r="AB165" s="760"/>
      <c r="AC165" s="760"/>
      <c r="AD165" s="213" t="str">
        <f t="array" ref="AD165">IFERROR(INDEX('💻シート作成'!$D$6:$D205, MATCH(AE165, '💻シート作成'!$E$6:$E205, 0)), "")</f>
        <v/>
      </c>
      <c r="AE165" s="170"/>
      <c r="AF165" s="760"/>
      <c r="AG165" s="760"/>
      <c r="AH165" s="760"/>
    </row>
    <row r="166" ht="15.75" customHeight="1">
      <c r="A166" s="759"/>
      <c r="B166" s="760"/>
      <c r="C166" s="760"/>
      <c r="D166" s="760"/>
      <c r="E166" s="760"/>
      <c r="F166" s="760"/>
      <c r="G166" s="760"/>
      <c r="H166" s="760"/>
      <c r="I166" s="760"/>
      <c r="J166" s="760"/>
      <c r="K166" s="759"/>
      <c r="L166" s="760"/>
      <c r="M166" s="760"/>
      <c r="N166" s="760"/>
      <c r="O166" s="760"/>
      <c r="P166" s="760"/>
      <c r="Q166" s="760"/>
      <c r="R166" s="760"/>
      <c r="S166" s="760"/>
      <c r="T166" s="760"/>
      <c r="U166" s="760"/>
      <c r="V166" s="760"/>
      <c r="W166" s="760"/>
      <c r="X166" s="760"/>
      <c r="Y166" s="760"/>
      <c r="Z166" s="760"/>
      <c r="AA166" s="760"/>
      <c r="AB166" s="760"/>
      <c r="AC166" s="760"/>
      <c r="AD166" s="213" t="str">
        <f t="array" ref="AD166">IFERROR(INDEX('💻シート作成'!$D$6:$D205, MATCH(AE166, '💻シート作成'!$E$6:$E205, 0)), "")</f>
        <v/>
      </c>
      <c r="AE166" s="170"/>
      <c r="AF166" s="760"/>
      <c r="AG166" s="760"/>
      <c r="AH166" s="760"/>
    </row>
    <row r="167" ht="15.75" customHeight="1">
      <c r="A167" s="759"/>
      <c r="B167" s="760"/>
      <c r="C167" s="760"/>
      <c r="D167" s="760"/>
      <c r="E167" s="760"/>
      <c r="F167" s="760"/>
      <c r="G167" s="760"/>
      <c r="H167" s="760"/>
      <c r="I167" s="760"/>
      <c r="J167" s="760"/>
      <c r="K167" s="759"/>
      <c r="L167" s="760"/>
      <c r="M167" s="760"/>
      <c r="N167" s="760"/>
      <c r="O167" s="760"/>
      <c r="P167" s="760"/>
      <c r="Q167" s="760"/>
      <c r="R167" s="760"/>
      <c r="S167" s="760"/>
      <c r="T167" s="760"/>
      <c r="U167" s="760"/>
      <c r="V167" s="760"/>
      <c r="W167" s="760"/>
      <c r="X167" s="760"/>
      <c r="Y167" s="760"/>
      <c r="Z167" s="760"/>
      <c r="AA167" s="760"/>
      <c r="AB167" s="760"/>
      <c r="AC167" s="760"/>
      <c r="AD167" s="213" t="str">
        <f t="array" ref="AD167">IFERROR(INDEX('💻シート作成'!$D$6:$D205, MATCH(AE167, '💻シート作成'!$E$6:$E205, 0)), "")</f>
        <v/>
      </c>
      <c r="AE167" s="170"/>
      <c r="AF167" s="760"/>
      <c r="AG167" s="760"/>
      <c r="AH167" s="760"/>
    </row>
    <row r="168" ht="15.75" customHeight="1">
      <c r="A168" s="759"/>
      <c r="B168" s="760"/>
      <c r="C168" s="760"/>
      <c r="D168" s="760"/>
      <c r="E168" s="760"/>
      <c r="F168" s="760"/>
      <c r="G168" s="760"/>
      <c r="H168" s="760"/>
      <c r="I168" s="760"/>
      <c r="J168" s="760"/>
      <c r="K168" s="759"/>
      <c r="L168" s="760"/>
      <c r="M168" s="760"/>
      <c r="N168" s="760"/>
      <c r="O168" s="760"/>
      <c r="P168" s="760"/>
      <c r="Q168" s="760"/>
      <c r="R168" s="760"/>
      <c r="S168" s="760"/>
      <c r="T168" s="760"/>
      <c r="U168" s="760"/>
      <c r="V168" s="760"/>
      <c r="W168" s="760"/>
      <c r="X168" s="760"/>
      <c r="Y168" s="760"/>
      <c r="Z168" s="760"/>
      <c r="AA168" s="760"/>
      <c r="AB168" s="760"/>
      <c r="AC168" s="760"/>
      <c r="AD168" s="213" t="str">
        <f t="array" ref="AD168">IFERROR(INDEX('💻シート作成'!$D$6:$D205, MATCH(AE168, '💻シート作成'!$E$6:$E205, 0)), "")</f>
        <v/>
      </c>
      <c r="AE168" s="170"/>
      <c r="AF168" s="760"/>
      <c r="AG168" s="760"/>
      <c r="AH168" s="760"/>
    </row>
    <row r="169" ht="15.75" customHeight="1">
      <c r="A169" s="759"/>
      <c r="B169" s="760"/>
      <c r="C169" s="760"/>
      <c r="D169" s="760"/>
      <c r="E169" s="760"/>
      <c r="F169" s="760"/>
      <c r="G169" s="760"/>
      <c r="H169" s="760"/>
      <c r="I169" s="760"/>
      <c r="J169" s="760"/>
      <c r="K169" s="759"/>
      <c r="L169" s="760"/>
      <c r="M169" s="760"/>
      <c r="N169" s="760"/>
      <c r="O169" s="760"/>
      <c r="P169" s="760"/>
      <c r="Q169" s="760"/>
      <c r="R169" s="760"/>
      <c r="S169" s="760"/>
      <c r="T169" s="760"/>
      <c r="U169" s="760"/>
      <c r="V169" s="760"/>
      <c r="W169" s="760"/>
      <c r="X169" s="760"/>
      <c r="Y169" s="760"/>
      <c r="Z169" s="760"/>
      <c r="AA169" s="760"/>
      <c r="AB169" s="760"/>
      <c r="AC169" s="760"/>
      <c r="AD169" s="213" t="str">
        <f t="array" ref="AD169">IFERROR(INDEX('💻シート作成'!$D$6:$D205, MATCH(AE169, '💻シート作成'!$E$6:$E205, 0)), "")</f>
        <v/>
      </c>
      <c r="AE169" s="170"/>
      <c r="AF169" s="760"/>
      <c r="AG169" s="760"/>
      <c r="AH169" s="760"/>
    </row>
    <row r="170" ht="15.75" customHeight="1">
      <c r="A170" s="759"/>
      <c r="B170" s="760"/>
      <c r="C170" s="760"/>
      <c r="D170" s="760"/>
      <c r="E170" s="760"/>
      <c r="F170" s="760"/>
      <c r="G170" s="760"/>
      <c r="H170" s="760"/>
      <c r="I170" s="760"/>
      <c r="J170" s="760"/>
      <c r="K170" s="759"/>
      <c r="L170" s="760"/>
      <c r="M170" s="760"/>
      <c r="N170" s="760"/>
      <c r="O170" s="760"/>
      <c r="P170" s="760"/>
      <c r="Q170" s="760"/>
      <c r="R170" s="760"/>
      <c r="S170" s="760"/>
      <c r="T170" s="760"/>
      <c r="U170" s="760"/>
      <c r="V170" s="760"/>
      <c r="W170" s="760"/>
      <c r="X170" s="760"/>
      <c r="Y170" s="760"/>
      <c r="Z170" s="760"/>
      <c r="AA170" s="760"/>
      <c r="AB170" s="760"/>
      <c r="AC170" s="760"/>
      <c r="AD170" s="213" t="str">
        <f t="array" ref="AD170">IFERROR(INDEX('💻シート作成'!$D$6:$D205, MATCH(AE170, '💻シート作成'!$E$6:$E205, 0)), "")</f>
        <v/>
      </c>
      <c r="AE170" s="170"/>
      <c r="AF170" s="760"/>
      <c r="AG170" s="760"/>
      <c r="AH170" s="760"/>
    </row>
    <row r="171" ht="15.75" customHeight="1">
      <c r="A171" s="759"/>
      <c r="B171" s="760"/>
      <c r="C171" s="760"/>
      <c r="D171" s="760"/>
      <c r="E171" s="760"/>
      <c r="F171" s="760"/>
      <c r="G171" s="760"/>
      <c r="H171" s="760"/>
      <c r="I171" s="760"/>
      <c r="J171" s="760"/>
      <c r="K171" s="759"/>
      <c r="L171" s="760"/>
      <c r="M171" s="760"/>
      <c r="N171" s="760"/>
      <c r="O171" s="760"/>
      <c r="P171" s="760"/>
      <c r="Q171" s="760"/>
      <c r="R171" s="760"/>
      <c r="S171" s="760"/>
      <c r="T171" s="760"/>
      <c r="U171" s="760"/>
      <c r="V171" s="760"/>
      <c r="W171" s="760"/>
      <c r="X171" s="760"/>
      <c r="Y171" s="760"/>
      <c r="Z171" s="760"/>
      <c r="AA171" s="760"/>
      <c r="AB171" s="760"/>
      <c r="AC171" s="760"/>
      <c r="AD171" s="213" t="str">
        <f t="array" ref="AD171">IFERROR(INDEX('💻シート作成'!$D$6:$D205, MATCH(AE171, '💻シート作成'!$E$6:$E205, 0)), "")</f>
        <v/>
      </c>
      <c r="AE171" s="170"/>
      <c r="AF171" s="760"/>
      <c r="AG171" s="760"/>
      <c r="AH171" s="760"/>
    </row>
    <row r="172" ht="15.75" customHeight="1">
      <c r="A172" s="760"/>
      <c r="B172" s="760"/>
      <c r="C172" s="760"/>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760"/>
      <c r="AB172" s="760"/>
      <c r="AC172" s="760"/>
      <c r="AD172" s="213" t="str">
        <f t="array" ref="AD172">IFERROR(INDEX('💻シート作成'!$D$6:$D205, MATCH(AE172, '💻シート作成'!$E$6:$E205, 0)), "")</f>
        <v/>
      </c>
      <c r="AE172" s="170"/>
      <c r="AF172" s="760"/>
      <c r="AG172" s="760"/>
      <c r="AH172" s="760"/>
    </row>
    <row r="173" ht="15.75" customHeight="1">
      <c r="A173" s="760"/>
      <c r="B173" s="760"/>
      <c r="C173" s="760"/>
      <c r="D173" s="760"/>
      <c r="E173" s="760"/>
      <c r="F173" s="760"/>
      <c r="G173" s="760"/>
      <c r="H173" s="760"/>
      <c r="I173" s="760"/>
      <c r="J173" s="760"/>
      <c r="K173" s="760"/>
      <c r="L173" s="760"/>
      <c r="M173" s="760"/>
      <c r="N173" s="760"/>
      <c r="O173" s="760"/>
      <c r="P173" s="760"/>
      <c r="Q173" s="760"/>
      <c r="R173" s="760"/>
      <c r="S173" s="760"/>
      <c r="T173" s="760"/>
      <c r="U173" s="760"/>
      <c r="V173" s="760"/>
      <c r="W173" s="760"/>
      <c r="X173" s="760"/>
      <c r="Y173" s="760"/>
      <c r="Z173" s="760"/>
      <c r="AA173" s="760"/>
      <c r="AB173" s="760"/>
      <c r="AC173" s="760"/>
      <c r="AD173" s="213" t="str">
        <f t="array" ref="AD173">IFERROR(INDEX('💻シート作成'!$D$6:$D205, MATCH(AE173, '💻シート作成'!$E$6:$E205, 0)), "")</f>
        <v/>
      </c>
      <c r="AE173" s="170"/>
      <c r="AF173" s="760"/>
      <c r="AG173" s="760"/>
      <c r="AH173" s="760"/>
    </row>
    <row r="174" ht="15.75" customHeight="1">
      <c r="A174" s="760"/>
      <c r="B174" s="760"/>
      <c r="C174" s="760"/>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760"/>
      <c r="AB174" s="760"/>
      <c r="AC174" s="760"/>
      <c r="AD174" s="213" t="str">
        <f t="array" ref="AD174">IFERROR(INDEX('💻シート作成'!$D$6:$D205, MATCH(AE174, '💻シート作成'!$E$6:$E205, 0)), "")</f>
        <v/>
      </c>
      <c r="AE174" s="170"/>
      <c r="AF174" s="760"/>
      <c r="AG174" s="760"/>
      <c r="AH174" s="760"/>
    </row>
    <row r="175" ht="15.75" customHeight="1">
      <c r="A175" s="760"/>
      <c r="B175" s="760"/>
      <c r="C175" s="760"/>
      <c r="D175" s="760"/>
      <c r="E175" s="760"/>
      <c r="F175" s="760"/>
      <c r="G175" s="760"/>
      <c r="H175" s="760"/>
      <c r="I175" s="760"/>
      <c r="J175" s="760"/>
      <c r="K175" s="760"/>
      <c r="L175" s="760"/>
      <c r="M175" s="760"/>
      <c r="N175" s="760"/>
      <c r="O175" s="760"/>
      <c r="P175" s="760"/>
      <c r="Q175" s="760"/>
      <c r="R175" s="760"/>
      <c r="S175" s="760"/>
      <c r="T175" s="760"/>
      <c r="U175" s="760"/>
      <c r="V175" s="760"/>
      <c r="W175" s="760"/>
      <c r="X175" s="760"/>
      <c r="Y175" s="760"/>
      <c r="Z175" s="760"/>
      <c r="AA175" s="760"/>
      <c r="AB175" s="760"/>
      <c r="AC175" s="760"/>
      <c r="AD175" s="213" t="str">
        <f t="array" ref="AD175">IFERROR(INDEX('💻シート作成'!$D$6:$D205, MATCH(AE175, '💻シート作成'!$E$6:$E205, 0)), "")</f>
        <v/>
      </c>
      <c r="AE175" s="170"/>
      <c r="AF175" s="760"/>
      <c r="AG175" s="760"/>
      <c r="AH175" s="760"/>
    </row>
    <row r="176" ht="15.75" customHeight="1">
      <c r="A176" s="760"/>
      <c r="B176" s="760"/>
      <c r="C176" s="760"/>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760"/>
      <c r="AB176" s="760"/>
      <c r="AC176" s="760"/>
      <c r="AD176" s="213" t="str">
        <f t="array" ref="AD176">IFERROR(INDEX('💻シート作成'!$D$6:$D205, MATCH(AE176, '💻シート作成'!$E$6:$E205, 0)), "")</f>
        <v/>
      </c>
      <c r="AE176" s="170"/>
      <c r="AF176" s="760"/>
      <c r="AG176" s="760"/>
      <c r="AH176" s="760"/>
    </row>
    <row r="177" ht="15.75" customHeight="1">
      <c r="A177" s="760"/>
      <c r="B177" s="760"/>
      <c r="C177" s="760"/>
      <c r="D177" s="760"/>
      <c r="E177" s="760"/>
      <c r="F177" s="760"/>
      <c r="G177" s="760"/>
      <c r="H177" s="760"/>
      <c r="I177" s="760"/>
      <c r="J177" s="760"/>
      <c r="K177" s="760"/>
      <c r="L177" s="760"/>
      <c r="M177" s="760"/>
      <c r="N177" s="760"/>
      <c r="O177" s="760"/>
      <c r="P177" s="760"/>
      <c r="Q177" s="760"/>
      <c r="R177" s="760"/>
      <c r="S177" s="760"/>
      <c r="T177" s="760"/>
      <c r="U177" s="760"/>
      <c r="V177" s="760"/>
      <c r="W177" s="760"/>
      <c r="X177" s="760"/>
      <c r="Y177" s="760"/>
      <c r="Z177" s="760"/>
      <c r="AA177" s="760"/>
      <c r="AB177" s="760"/>
      <c r="AC177" s="760"/>
      <c r="AD177" s="213" t="str">
        <f t="array" ref="AD177">IFERROR(INDEX('💻シート作成'!$D$6:$D205, MATCH(AE177, '💻シート作成'!$E$6:$E205, 0)), "")</f>
        <v/>
      </c>
      <c r="AE177" s="170"/>
      <c r="AF177" s="760"/>
      <c r="AG177" s="760"/>
      <c r="AH177" s="760"/>
    </row>
    <row r="178" ht="15.75" customHeight="1">
      <c r="A178" s="760"/>
      <c r="B178" s="760"/>
      <c r="C178" s="760"/>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760"/>
      <c r="AB178" s="760"/>
      <c r="AC178" s="760"/>
      <c r="AD178" s="213" t="str">
        <f t="array" ref="AD178">IFERROR(INDEX('💻シート作成'!$D$6:$D205, MATCH(AE178, '💻シート作成'!$E$6:$E205, 0)), "")</f>
        <v/>
      </c>
      <c r="AE178" s="170"/>
      <c r="AF178" s="760"/>
      <c r="AG178" s="760"/>
      <c r="AH178" s="760"/>
    </row>
    <row r="179" ht="15.75" customHeight="1">
      <c r="A179" s="760"/>
      <c r="B179" s="760"/>
      <c r="C179" s="760"/>
      <c r="D179" s="760"/>
      <c r="E179" s="760"/>
      <c r="F179" s="760"/>
      <c r="G179" s="760"/>
      <c r="H179" s="760"/>
      <c r="I179" s="760"/>
      <c r="J179" s="760"/>
      <c r="K179" s="760"/>
      <c r="L179" s="760"/>
      <c r="M179" s="760"/>
      <c r="N179" s="760"/>
      <c r="O179" s="760"/>
      <c r="P179" s="760"/>
      <c r="Q179" s="760"/>
      <c r="R179" s="760"/>
      <c r="S179" s="760"/>
      <c r="T179" s="760"/>
      <c r="U179" s="760"/>
      <c r="V179" s="760"/>
      <c r="W179" s="760"/>
      <c r="X179" s="760"/>
      <c r="Y179" s="760"/>
      <c r="Z179" s="760"/>
      <c r="AA179" s="760"/>
      <c r="AB179" s="760"/>
      <c r="AC179" s="760"/>
      <c r="AD179" s="213" t="str">
        <f t="array" ref="AD179">IFERROR(INDEX('💻シート作成'!$D$6:$D205, MATCH(AE179, '💻シート作成'!$E$6:$E205, 0)), "")</f>
        <v/>
      </c>
      <c r="AE179" s="170"/>
      <c r="AF179" s="760"/>
      <c r="AG179" s="760"/>
      <c r="AH179" s="760"/>
    </row>
    <row r="180" ht="15.75" customHeight="1">
      <c r="A180" s="760"/>
      <c r="B180" s="760"/>
      <c r="C180" s="760"/>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760"/>
      <c r="AB180" s="760"/>
      <c r="AC180" s="760"/>
      <c r="AD180" s="213" t="str">
        <f t="array" ref="AD180">IFERROR(INDEX('💻シート作成'!$D$6:$D205, MATCH(AE180, '💻シート作成'!$E$6:$E205, 0)), "")</f>
        <v/>
      </c>
      <c r="AE180" s="170"/>
      <c r="AF180" s="760"/>
      <c r="AG180" s="760"/>
      <c r="AH180" s="760"/>
    </row>
    <row r="181" ht="15.75" customHeight="1">
      <c r="A181" s="760"/>
      <c r="B181" s="760"/>
      <c r="C181" s="760"/>
      <c r="D181" s="760"/>
      <c r="E181" s="760"/>
      <c r="F181" s="760"/>
      <c r="G181" s="760"/>
      <c r="H181" s="760"/>
      <c r="I181" s="760"/>
      <c r="J181" s="760"/>
      <c r="K181" s="760"/>
      <c r="L181" s="760"/>
      <c r="M181" s="760"/>
      <c r="N181" s="760"/>
      <c r="O181" s="760"/>
      <c r="P181" s="760"/>
      <c r="Q181" s="760"/>
      <c r="R181" s="760"/>
      <c r="S181" s="760"/>
      <c r="T181" s="760"/>
      <c r="U181" s="760"/>
      <c r="V181" s="760"/>
      <c r="W181" s="760"/>
      <c r="X181" s="760"/>
      <c r="Y181" s="760"/>
      <c r="Z181" s="760"/>
      <c r="AA181" s="760"/>
      <c r="AB181" s="760"/>
      <c r="AC181" s="760"/>
      <c r="AD181" s="213" t="str">
        <f t="array" ref="AD181">IFERROR(INDEX('💻シート作成'!$D$6:$D205, MATCH(AE181, '💻シート作成'!$E$6:$E205, 0)), "")</f>
        <v/>
      </c>
      <c r="AE181" s="170"/>
      <c r="AF181" s="760"/>
      <c r="AG181" s="760"/>
      <c r="AH181" s="760"/>
    </row>
    <row r="182" ht="15.75" customHeight="1">
      <c r="A182" s="760"/>
      <c r="B182" s="760"/>
      <c r="C182" s="760"/>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760"/>
      <c r="AB182" s="760"/>
      <c r="AC182" s="760"/>
      <c r="AD182" s="213" t="str">
        <f t="array" ref="AD182">IFERROR(INDEX('💻シート作成'!$D$6:$D205, MATCH(AE182, '💻シート作成'!$E$6:$E205, 0)), "")</f>
        <v/>
      </c>
      <c r="AE182" s="170"/>
      <c r="AF182" s="760"/>
      <c r="AG182" s="760"/>
      <c r="AH182" s="760"/>
    </row>
    <row r="183" ht="15.75" customHeight="1">
      <c r="A183" s="760"/>
      <c r="B183" s="760"/>
      <c r="C183" s="760"/>
      <c r="D183" s="760"/>
      <c r="E183" s="760"/>
      <c r="F183" s="760"/>
      <c r="G183" s="760"/>
      <c r="H183" s="760"/>
      <c r="I183" s="760"/>
      <c r="J183" s="760"/>
      <c r="K183" s="760"/>
      <c r="L183" s="760"/>
      <c r="M183" s="760"/>
      <c r="N183" s="760"/>
      <c r="O183" s="760"/>
      <c r="P183" s="760"/>
      <c r="Q183" s="760"/>
      <c r="R183" s="760"/>
      <c r="S183" s="760"/>
      <c r="T183" s="760"/>
      <c r="U183" s="760"/>
      <c r="V183" s="760"/>
      <c r="W183" s="760"/>
      <c r="X183" s="760"/>
      <c r="Y183" s="760"/>
      <c r="Z183" s="760"/>
      <c r="AA183" s="760"/>
      <c r="AB183" s="760"/>
      <c r="AC183" s="760"/>
      <c r="AD183" s="213" t="str">
        <f t="array" ref="AD183">IFERROR(INDEX('💻シート作成'!$D$6:$D205, MATCH(AE183, '💻シート作成'!$E$6:$E205, 0)), "")</f>
        <v/>
      </c>
      <c r="AE183" s="170"/>
      <c r="AF183" s="760"/>
      <c r="AG183" s="760"/>
      <c r="AH183" s="760"/>
    </row>
    <row r="184" ht="15.75" customHeight="1">
      <c r="A184" s="760"/>
      <c r="B184" s="760"/>
      <c r="C184" s="760"/>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760"/>
      <c r="AB184" s="760"/>
      <c r="AC184" s="760"/>
      <c r="AD184" s="213" t="str">
        <f t="array" ref="AD184">IFERROR(INDEX('💻シート作成'!$D$6:$D205, MATCH(AE184, '💻シート作成'!$E$6:$E205, 0)), "")</f>
        <v/>
      </c>
      <c r="AE184" s="170"/>
      <c r="AF184" s="760"/>
      <c r="AG184" s="760"/>
      <c r="AH184" s="760"/>
    </row>
    <row r="185" ht="15.75" customHeight="1">
      <c r="A185" s="760"/>
      <c r="B185" s="760"/>
      <c r="C185" s="760"/>
      <c r="D185" s="760"/>
      <c r="E185" s="760"/>
      <c r="F185" s="760"/>
      <c r="G185" s="760"/>
      <c r="H185" s="760"/>
      <c r="I185" s="760"/>
      <c r="J185" s="760"/>
      <c r="K185" s="760"/>
      <c r="L185" s="760"/>
      <c r="M185" s="760"/>
      <c r="N185" s="760"/>
      <c r="O185" s="760"/>
      <c r="P185" s="760"/>
      <c r="Q185" s="760"/>
      <c r="R185" s="760"/>
      <c r="S185" s="760"/>
      <c r="T185" s="760"/>
      <c r="U185" s="760"/>
      <c r="V185" s="760"/>
      <c r="W185" s="760"/>
      <c r="X185" s="760"/>
      <c r="Y185" s="760"/>
      <c r="Z185" s="760"/>
      <c r="AA185" s="760"/>
      <c r="AB185" s="760"/>
      <c r="AC185" s="760"/>
      <c r="AD185" s="213" t="str">
        <f t="array" ref="AD185">IFERROR(INDEX('💻シート作成'!$D$6:$D205, MATCH(AE185, '💻シート作成'!$E$6:$E205, 0)), "")</f>
        <v/>
      </c>
      <c r="AE185" s="170"/>
      <c r="AF185" s="760"/>
      <c r="AG185" s="760"/>
      <c r="AH185" s="760"/>
    </row>
    <row r="186" ht="15.75" customHeight="1">
      <c r="A186" s="760"/>
      <c r="B186" s="760"/>
      <c r="C186" s="760"/>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760"/>
      <c r="AB186" s="760"/>
      <c r="AC186" s="760"/>
      <c r="AD186" s="213" t="str">
        <f t="array" ref="AD186">IFERROR(INDEX('💻シート作成'!$D$6:$D205, MATCH(AE186, '💻シート作成'!$E$6:$E205, 0)), "")</f>
        <v/>
      </c>
      <c r="AE186" s="170"/>
      <c r="AF186" s="760"/>
      <c r="AG186" s="760"/>
      <c r="AH186" s="760"/>
    </row>
    <row r="187" ht="15.75" customHeight="1">
      <c r="A187" s="760"/>
      <c r="B187" s="760"/>
      <c r="C187" s="760"/>
      <c r="D187" s="760"/>
      <c r="E187" s="760"/>
      <c r="F187" s="760"/>
      <c r="G187" s="760"/>
      <c r="H187" s="760"/>
      <c r="I187" s="760"/>
      <c r="J187" s="760"/>
      <c r="K187" s="760"/>
      <c r="L187" s="760"/>
      <c r="M187" s="760"/>
      <c r="N187" s="760"/>
      <c r="O187" s="760"/>
      <c r="P187" s="760"/>
      <c r="Q187" s="760"/>
      <c r="R187" s="760"/>
      <c r="S187" s="760"/>
      <c r="T187" s="760"/>
      <c r="U187" s="760"/>
      <c r="V187" s="760"/>
      <c r="W187" s="760"/>
      <c r="X187" s="760"/>
      <c r="Y187" s="760"/>
      <c r="Z187" s="760"/>
      <c r="AA187" s="760"/>
      <c r="AB187" s="760"/>
      <c r="AC187" s="760"/>
      <c r="AD187" s="213" t="str">
        <f t="array" ref="AD187">IFERROR(INDEX('💻シート作成'!$D$6:$D205, MATCH(AE187, '💻シート作成'!$E$6:$E205, 0)), "")</f>
        <v/>
      </c>
      <c r="AE187" s="170"/>
      <c r="AF187" s="760"/>
      <c r="AG187" s="760"/>
      <c r="AH187" s="760"/>
    </row>
    <row r="188" ht="15.75" customHeight="1">
      <c r="A188" s="760"/>
      <c r="B188" s="760"/>
      <c r="C188" s="760"/>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760"/>
      <c r="AB188" s="760"/>
      <c r="AC188" s="760"/>
      <c r="AD188" s="213" t="str">
        <f t="array" ref="AD188">IFERROR(INDEX('💻シート作成'!$D$6:$D205, MATCH(AE188, '💻シート作成'!$E$6:$E205, 0)), "")</f>
        <v/>
      </c>
      <c r="AE188" s="170"/>
      <c r="AF188" s="760"/>
      <c r="AG188" s="760"/>
      <c r="AH188" s="760"/>
    </row>
    <row r="189" ht="15.75" customHeight="1">
      <c r="A189" s="760"/>
      <c r="B189" s="760"/>
      <c r="C189" s="760"/>
      <c r="D189" s="760"/>
      <c r="E189" s="760"/>
      <c r="F189" s="760"/>
      <c r="G189" s="760"/>
      <c r="H189" s="760"/>
      <c r="I189" s="760"/>
      <c r="J189" s="760"/>
      <c r="K189" s="760"/>
      <c r="L189" s="760"/>
      <c r="M189" s="760"/>
      <c r="N189" s="760"/>
      <c r="O189" s="760"/>
      <c r="P189" s="760"/>
      <c r="Q189" s="760"/>
      <c r="R189" s="760"/>
      <c r="S189" s="760"/>
      <c r="T189" s="760"/>
      <c r="U189" s="760"/>
      <c r="V189" s="760"/>
      <c r="W189" s="760"/>
      <c r="X189" s="760"/>
      <c r="Y189" s="760"/>
      <c r="Z189" s="760"/>
      <c r="AA189" s="760"/>
      <c r="AB189" s="760"/>
      <c r="AC189" s="760"/>
      <c r="AD189" s="213" t="str">
        <f t="array" ref="AD189">IFERROR(INDEX('💻シート作成'!$D$6:$D205, MATCH(AE189, '💻シート作成'!$E$6:$E205, 0)), "")</f>
        <v/>
      </c>
      <c r="AE189" s="170"/>
      <c r="AF189" s="760"/>
      <c r="AG189" s="760"/>
      <c r="AH189" s="760"/>
    </row>
    <row r="190" ht="15.75" customHeight="1">
      <c r="A190" s="760"/>
      <c r="B190" s="760"/>
      <c r="C190" s="760"/>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760"/>
      <c r="AB190" s="760"/>
      <c r="AC190" s="760"/>
      <c r="AD190" s="213" t="str">
        <f t="array" ref="AD190">IFERROR(INDEX('💻シート作成'!$D$6:$D205, MATCH(AE190, '💻シート作成'!$E$6:$E205, 0)), "")</f>
        <v/>
      </c>
      <c r="AE190" s="170"/>
      <c r="AF190" s="760"/>
      <c r="AG190" s="760"/>
      <c r="AH190" s="760"/>
    </row>
    <row r="191" ht="15.75" customHeight="1">
      <c r="A191" s="760"/>
      <c r="B191" s="760"/>
      <c r="C191" s="760"/>
      <c r="D191" s="760"/>
      <c r="E191" s="760"/>
      <c r="F191" s="760"/>
      <c r="G191" s="760"/>
      <c r="H191" s="760"/>
      <c r="I191" s="760"/>
      <c r="J191" s="760"/>
      <c r="K191" s="760"/>
      <c r="L191" s="760"/>
      <c r="M191" s="760"/>
      <c r="N191" s="760"/>
      <c r="O191" s="760"/>
      <c r="P191" s="760"/>
      <c r="Q191" s="760"/>
      <c r="R191" s="760"/>
      <c r="S191" s="760"/>
      <c r="T191" s="760"/>
      <c r="U191" s="760"/>
      <c r="V191" s="760"/>
      <c r="W191" s="760"/>
      <c r="X191" s="760"/>
      <c r="Y191" s="760"/>
      <c r="Z191" s="760"/>
      <c r="AA191" s="760"/>
      <c r="AB191" s="760"/>
      <c r="AC191" s="760"/>
      <c r="AD191" s="213" t="str">
        <f t="array" ref="AD191">IFERROR(INDEX('💻シート作成'!$D$6:$D205, MATCH(AE191, '💻シート作成'!$E$6:$E205, 0)), "")</f>
        <v/>
      </c>
      <c r="AE191" s="170"/>
      <c r="AF191" s="760"/>
      <c r="AG191" s="760"/>
      <c r="AH191" s="760"/>
    </row>
    <row r="192" ht="15.75" customHeight="1">
      <c r="A192" s="760"/>
      <c r="B192" s="760"/>
      <c r="C192" s="760"/>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760"/>
      <c r="AB192" s="760"/>
      <c r="AC192" s="760"/>
      <c r="AD192" s="213" t="str">
        <f t="array" ref="AD192">IFERROR(INDEX('💻シート作成'!$D$6:$D205, MATCH(AE192, '💻シート作成'!$E$6:$E205, 0)), "")</f>
        <v/>
      </c>
      <c r="AE192" s="170"/>
      <c r="AF192" s="760"/>
      <c r="AG192" s="760"/>
      <c r="AH192" s="760"/>
    </row>
    <row r="193" ht="15.75" customHeight="1">
      <c r="A193" s="760"/>
      <c r="B193" s="760"/>
      <c r="C193" s="760"/>
      <c r="D193" s="760"/>
      <c r="E193" s="760"/>
      <c r="F193" s="760"/>
      <c r="G193" s="760"/>
      <c r="H193" s="760"/>
      <c r="I193" s="760"/>
      <c r="J193" s="760"/>
      <c r="K193" s="760"/>
      <c r="L193" s="760"/>
      <c r="M193" s="760"/>
      <c r="N193" s="760"/>
      <c r="O193" s="760"/>
      <c r="P193" s="760"/>
      <c r="Q193" s="760"/>
      <c r="R193" s="760"/>
      <c r="S193" s="760"/>
      <c r="T193" s="760"/>
      <c r="U193" s="760"/>
      <c r="V193" s="760"/>
      <c r="W193" s="760"/>
      <c r="X193" s="760"/>
      <c r="Y193" s="760"/>
      <c r="Z193" s="760"/>
      <c r="AA193" s="760"/>
      <c r="AB193" s="760"/>
      <c r="AC193" s="760"/>
      <c r="AD193" s="213" t="str">
        <f t="array" ref="AD193">IFERROR(INDEX('💻シート作成'!$D$6:$D205, MATCH(AE193, '💻シート作成'!$E$6:$E205, 0)), "")</f>
        <v/>
      </c>
      <c r="AE193" s="170"/>
      <c r="AF193" s="760"/>
      <c r="AG193" s="760"/>
      <c r="AH193" s="760"/>
    </row>
    <row r="194" ht="15.75" customHeight="1">
      <c r="A194" s="760"/>
      <c r="B194" s="760"/>
      <c r="C194" s="760"/>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760"/>
      <c r="AB194" s="760"/>
      <c r="AC194" s="760"/>
      <c r="AD194" s="213" t="str">
        <f t="array" ref="AD194">IFERROR(INDEX('💻シート作成'!$D$6:$D205, MATCH(AE194, '💻シート作成'!$E$6:$E205, 0)), "")</f>
        <v/>
      </c>
      <c r="AE194" s="170"/>
      <c r="AF194" s="760"/>
      <c r="AG194" s="760"/>
      <c r="AH194" s="760"/>
    </row>
    <row r="195" ht="15.75" customHeight="1">
      <c r="A195" s="760"/>
      <c r="B195" s="760"/>
      <c r="C195" s="760"/>
      <c r="D195" s="760"/>
      <c r="E195" s="760"/>
      <c r="F195" s="760"/>
      <c r="G195" s="760"/>
      <c r="H195" s="760"/>
      <c r="I195" s="760"/>
      <c r="J195" s="760"/>
      <c r="K195" s="760"/>
      <c r="L195" s="760"/>
      <c r="M195" s="760"/>
      <c r="N195" s="760"/>
      <c r="O195" s="760"/>
      <c r="P195" s="760"/>
      <c r="Q195" s="760"/>
      <c r="R195" s="760"/>
      <c r="S195" s="760"/>
      <c r="T195" s="760"/>
      <c r="U195" s="760"/>
      <c r="V195" s="760"/>
      <c r="W195" s="760"/>
      <c r="X195" s="760"/>
      <c r="Y195" s="760"/>
      <c r="Z195" s="760"/>
      <c r="AA195" s="760"/>
      <c r="AB195" s="760"/>
      <c r="AC195" s="760"/>
      <c r="AD195" s="213" t="str">
        <f t="array" ref="AD195">IFERROR(INDEX('💻シート作成'!$D$6:$D205, MATCH(AE195, '💻シート作成'!$E$6:$E205, 0)), "")</f>
        <v/>
      </c>
      <c r="AE195" s="170"/>
      <c r="AF195" s="760"/>
      <c r="AG195" s="760"/>
      <c r="AH195" s="760"/>
    </row>
    <row r="196" ht="15.75" customHeight="1">
      <c r="A196" s="760"/>
      <c r="B196" s="760"/>
      <c r="C196" s="760"/>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760"/>
      <c r="AB196" s="760"/>
      <c r="AC196" s="760"/>
      <c r="AD196" s="213" t="str">
        <f t="array" ref="AD196">IFERROR(INDEX('💻シート作成'!$D$6:$D205, MATCH(AE196, '💻シート作成'!$E$6:$E205, 0)), "")</f>
        <v/>
      </c>
      <c r="AE196" s="170"/>
      <c r="AF196" s="760"/>
      <c r="AG196" s="760"/>
      <c r="AH196" s="760"/>
    </row>
    <row r="197" ht="15.75" customHeight="1">
      <c r="A197" s="760"/>
      <c r="B197" s="760"/>
      <c r="C197" s="760"/>
      <c r="D197" s="760"/>
      <c r="E197" s="760"/>
      <c r="F197" s="760"/>
      <c r="G197" s="760"/>
      <c r="H197" s="760"/>
      <c r="I197" s="760"/>
      <c r="J197" s="760"/>
      <c r="K197" s="760"/>
      <c r="L197" s="760"/>
      <c r="M197" s="760"/>
      <c r="N197" s="760"/>
      <c r="O197" s="760"/>
      <c r="P197" s="760"/>
      <c r="Q197" s="760"/>
      <c r="R197" s="760"/>
      <c r="S197" s="760"/>
      <c r="T197" s="760"/>
      <c r="U197" s="760"/>
      <c r="V197" s="760"/>
      <c r="W197" s="760"/>
      <c r="X197" s="760"/>
      <c r="Y197" s="760"/>
      <c r="Z197" s="760"/>
      <c r="AA197" s="760"/>
      <c r="AB197" s="760"/>
      <c r="AC197" s="760"/>
      <c r="AD197" s="213" t="str">
        <f t="array" ref="AD197">IFERROR(INDEX('💻シート作成'!$D$6:$D205, MATCH(AE197, '💻シート作成'!$E$6:$E205, 0)), "")</f>
        <v/>
      </c>
      <c r="AE197" s="170"/>
      <c r="AF197" s="760"/>
      <c r="AG197" s="760"/>
      <c r="AH197" s="760"/>
    </row>
    <row r="198" ht="15.75" customHeight="1">
      <c r="A198" s="760"/>
      <c r="B198" s="760"/>
      <c r="C198" s="760"/>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760"/>
      <c r="AB198" s="760"/>
      <c r="AC198" s="760"/>
      <c r="AD198" s="213" t="str">
        <f t="array" ref="AD198">IFERROR(INDEX('💻シート作成'!$D$6:$D205, MATCH(AE198, '💻シート作成'!$E$6:$E205, 0)), "")</f>
        <v/>
      </c>
      <c r="AE198" s="170"/>
      <c r="AF198" s="760"/>
      <c r="AG198" s="760"/>
      <c r="AH198" s="760"/>
    </row>
    <row r="199" ht="15.75" customHeight="1">
      <c r="A199" s="760"/>
      <c r="B199" s="760"/>
      <c r="C199" s="760"/>
      <c r="D199" s="760"/>
      <c r="E199" s="760"/>
      <c r="F199" s="760"/>
      <c r="G199" s="760"/>
      <c r="H199" s="760"/>
      <c r="I199" s="760"/>
      <c r="J199" s="760"/>
      <c r="K199" s="760"/>
      <c r="L199" s="760"/>
      <c r="M199" s="760"/>
      <c r="N199" s="760"/>
      <c r="O199" s="760"/>
      <c r="P199" s="760"/>
      <c r="Q199" s="760"/>
      <c r="R199" s="760"/>
      <c r="S199" s="760"/>
      <c r="T199" s="760"/>
      <c r="U199" s="760"/>
      <c r="V199" s="760"/>
      <c r="W199" s="760"/>
      <c r="X199" s="760"/>
      <c r="Y199" s="760"/>
      <c r="Z199" s="760"/>
      <c r="AA199" s="760"/>
      <c r="AB199" s="760"/>
      <c r="AC199" s="760"/>
      <c r="AD199" s="213" t="str">
        <f t="array" ref="AD199">IFERROR(INDEX('💻シート作成'!$D$6:$D205, MATCH(AE199, '💻シート作成'!$E$6:$E205, 0)), "")</f>
        <v/>
      </c>
      <c r="AE199" s="170"/>
      <c r="AF199" s="760"/>
      <c r="AG199" s="760"/>
      <c r="AH199" s="760"/>
    </row>
    <row r="200" ht="15.75" customHeight="1">
      <c r="A200" s="760"/>
      <c r="B200" s="760"/>
      <c r="C200" s="760"/>
      <c r="D200" s="760"/>
      <c r="E200" s="760"/>
      <c r="F200" s="760"/>
      <c r="G200" s="760"/>
      <c r="H200" s="760"/>
      <c r="I200" s="760"/>
      <c r="J200" s="760"/>
      <c r="K200" s="760"/>
      <c r="L200" s="760"/>
      <c r="M200" s="760"/>
      <c r="N200" s="760"/>
      <c r="O200" s="760"/>
      <c r="P200" s="760"/>
      <c r="Q200" s="760"/>
      <c r="R200" s="760"/>
      <c r="S200" s="760"/>
      <c r="T200" s="760"/>
      <c r="U200" s="760"/>
      <c r="V200" s="760"/>
      <c r="W200" s="760"/>
      <c r="X200" s="760"/>
      <c r="Y200" s="760"/>
      <c r="Z200" s="760"/>
      <c r="AA200" s="760"/>
      <c r="AB200" s="760"/>
      <c r="AC200" s="760"/>
      <c r="AD200" s="213" t="str">
        <f t="array" ref="AD200">IFERROR(INDEX('💻シート作成'!$D$6:$D205, MATCH(AE200, '💻シート作成'!$E$6:$E205, 0)), "")</f>
        <v/>
      </c>
      <c r="AE200" s="170"/>
      <c r="AF200" s="760"/>
      <c r="AG200" s="760"/>
      <c r="AH200" s="760"/>
    </row>
    <row r="201" ht="15.75" customHeight="1">
      <c r="A201" s="760"/>
      <c r="B201" s="760"/>
      <c r="C201" s="760"/>
      <c r="D201" s="760"/>
      <c r="E201" s="760"/>
      <c r="F201" s="760"/>
      <c r="G201" s="760"/>
      <c r="H201" s="760"/>
      <c r="I201" s="760"/>
      <c r="J201" s="760"/>
      <c r="K201" s="760"/>
      <c r="L201" s="760"/>
      <c r="M201" s="760"/>
      <c r="N201" s="760"/>
      <c r="O201" s="760"/>
      <c r="P201" s="760"/>
      <c r="Q201" s="760"/>
      <c r="R201" s="760"/>
      <c r="S201" s="760"/>
      <c r="T201" s="760"/>
      <c r="U201" s="760"/>
      <c r="V201" s="760"/>
      <c r="W201" s="760"/>
      <c r="X201" s="760"/>
      <c r="Y201" s="760"/>
      <c r="Z201" s="760"/>
      <c r="AA201" s="760"/>
      <c r="AB201" s="760"/>
      <c r="AC201" s="760"/>
      <c r="AD201" s="213" t="str">
        <f t="array" ref="AD201">IFERROR(INDEX('💻シート作成'!$D$6:$D205, MATCH(AE201, '💻シート作成'!$E$6:$E205, 0)), "")</f>
        <v/>
      </c>
      <c r="AE201" s="170"/>
      <c r="AF201" s="760"/>
      <c r="AG201" s="760"/>
      <c r="AH201" s="760"/>
    </row>
    <row r="202" ht="15.75" customHeight="1">
      <c r="A202" s="760"/>
      <c r="B202" s="760"/>
      <c r="C202" s="760"/>
      <c r="D202" s="760"/>
      <c r="E202" s="760"/>
      <c r="F202" s="760"/>
      <c r="G202" s="760"/>
      <c r="H202" s="760"/>
      <c r="I202" s="760"/>
      <c r="J202" s="760"/>
      <c r="K202" s="760"/>
      <c r="L202" s="760"/>
      <c r="M202" s="760"/>
      <c r="N202" s="760"/>
      <c r="O202" s="760"/>
      <c r="P202" s="760"/>
      <c r="Q202" s="760"/>
      <c r="R202" s="760"/>
      <c r="S202" s="760"/>
      <c r="T202" s="760"/>
      <c r="U202" s="760"/>
      <c r="V202" s="760"/>
      <c r="W202" s="760"/>
      <c r="X202" s="760"/>
      <c r="Y202" s="760"/>
      <c r="Z202" s="760"/>
      <c r="AA202" s="760"/>
      <c r="AB202" s="760"/>
      <c r="AC202" s="760"/>
      <c r="AD202" s="213" t="str">
        <f t="array" ref="AD202">IFERROR(INDEX('💻シート作成'!$D$6:$D205, MATCH(AE202, '💻シート作成'!$E$6:$E205, 0)), "")</f>
        <v/>
      </c>
      <c r="AE202" s="170"/>
      <c r="AF202" s="760"/>
      <c r="AG202" s="760"/>
      <c r="AH202" s="760"/>
    </row>
    <row r="203" ht="15.75" customHeight="1">
      <c r="A203" s="760"/>
      <c r="B203" s="760"/>
      <c r="C203" s="760"/>
      <c r="D203" s="760"/>
      <c r="E203" s="760"/>
      <c r="F203" s="760"/>
      <c r="G203" s="760"/>
      <c r="H203" s="760"/>
      <c r="I203" s="760"/>
      <c r="J203" s="760"/>
      <c r="K203" s="760"/>
      <c r="L203" s="760"/>
      <c r="M203" s="760"/>
      <c r="N203" s="760"/>
      <c r="O203" s="760"/>
      <c r="P203" s="760"/>
      <c r="Q203" s="760"/>
      <c r="R203" s="760"/>
      <c r="S203" s="760"/>
      <c r="T203" s="760"/>
      <c r="U203" s="760"/>
      <c r="V203" s="760"/>
      <c r="W203" s="760"/>
      <c r="X203" s="760"/>
      <c r="Y203" s="760"/>
      <c r="Z203" s="760"/>
      <c r="AA203" s="760"/>
      <c r="AB203" s="760"/>
      <c r="AC203" s="760"/>
      <c r="AD203" s="213" t="str">
        <f t="array" ref="AD203">IFERROR(INDEX('💻シート作成'!$D$6:$D205, MATCH(AE203, '💻シート作成'!$E$6:$E205, 0)), "")</f>
        <v/>
      </c>
      <c r="AE203" s="170"/>
      <c r="AF203" s="760"/>
      <c r="AG203" s="760"/>
      <c r="AH203" s="760"/>
    </row>
    <row r="204" ht="15.75" customHeight="1">
      <c r="A204" s="760"/>
      <c r="B204" s="760"/>
      <c r="C204" s="760"/>
      <c r="D204" s="760"/>
      <c r="E204" s="760"/>
      <c r="F204" s="760"/>
      <c r="G204" s="760"/>
      <c r="H204" s="760"/>
      <c r="I204" s="760"/>
      <c r="J204" s="760"/>
      <c r="K204" s="760"/>
      <c r="L204" s="760"/>
      <c r="M204" s="760"/>
      <c r="N204" s="760"/>
      <c r="O204" s="760"/>
      <c r="P204" s="760"/>
      <c r="Q204" s="760"/>
      <c r="R204" s="760"/>
      <c r="S204" s="760"/>
      <c r="T204" s="760"/>
      <c r="U204" s="760"/>
      <c r="V204" s="760"/>
      <c r="W204" s="760"/>
      <c r="X204" s="760"/>
      <c r="Y204" s="760"/>
      <c r="Z204" s="760"/>
      <c r="AA204" s="760"/>
      <c r="AB204" s="760"/>
      <c r="AC204" s="760"/>
      <c r="AD204" s="213" t="str">
        <f t="array" ref="AD204">IFERROR(INDEX('💻シート作成'!$D$6:$D205, MATCH(AE204, '💻シート作成'!$E$6:$E205, 0)), "")</f>
        <v/>
      </c>
      <c r="AE204" s="170"/>
      <c r="AF204" s="760"/>
      <c r="AG204" s="760"/>
      <c r="AH204" s="760"/>
    </row>
    <row r="205" ht="15.75" customHeight="1">
      <c r="A205" s="760"/>
      <c r="B205" s="760"/>
      <c r="C205" s="760"/>
      <c r="D205" s="760"/>
      <c r="E205" s="760"/>
      <c r="F205" s="760"/>
      <c r="G205" s="760"/>
      <c r="H205" s="760"/>
      <c r="I205" s="760"/>
      <c r="J205" s="760"/>
      <c r="K205" s="760"/>
      <c r="L205" s="760"/>
      <c r="M205" s="760"/>
      <c r="N205" s="760"/>
      <c r="O205" s="760"/>
      <c r="P205" s="760"/>
      <c r="Q205" s="760"/>
      <c r="R205" s="760"/>
      <c r="S205" s="760"/>
      <c r="T205" s="760"/>
      <c r="U205" s="760"/>
      <c r="V205" s="760"/>
      <c r="W205" s="760"/>
      <c r="X205" s="760"/>
      <c r="Y205" s="760"/>
      <c r="Z205" s="760"/>
      <c r="AA205" s="760"/>
      <c r="AB205" s="760"/>
      <c r="AC205" s="760"/>
      <c r="AD205" s="213" t="str">
        <f t="array" ref="AD205">IFERROR(INDEX('💻シート作成'!$D$6:$D205, MATCH(AE205, '💻シート作成'!$E$6:$E205, 0)), "")</f>
        <v/>
      </c>
      <c r="AE205" s="170"/>
      <c r="AF205" s="760"/>
      <c r="AG205" s="760"/>
      <c r="AH205" s="76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734</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735</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302</v>
      </c>
      <c r="C6" s="1107">
        <f t="shared" ref="C6:N6" si="1">iferror(indirect(C3&amp;"!G8"),"")</f>
        <v>0.6594567404</v>
      </c>
      <c r="D6" s="1107">
        <f t="shared" si="1"/>
        <v>0.6646978646</v>
      </c>
      <c r="E6" s="1107">
        <f t="shared" si="1"/>
        <v>0.7861378799</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0.7034308283</v>
      </c>
      <c r="P6" s="1090"/>
      <c r="Q6" s="1090"/>
      <c r="R6" s="1090"/>
      <c r="S6" s="1090"/>
      <c r="T6" s="1090"/>
      <c r="U6" s="1090"/>
      <c r="V6" s="1099">
        <v>13.0</v>
      </c>
      <c r="W6" s="1092"/>
    </row>
    <row r="7">
      <c r="A7" s="1100"/>
      <c r="B7" s="1106" t="s">
        <v>303</v>
      </c>
      <c r="C7" s="1108">
        <f t="shared" ref="C7:N7" si="2">iferror(indirect(C3&amp;"!H8"),"")</f>
        <v>2655760</v>
      </c>
      <c r="D7" s="1108">
        <f t="shared" si="2"/>
        <v>2954380</v>
      </c>
      <c r="E7" s="1108">
        <f t="shared" si="2"/>
        <v>2151780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7761920</v>
      </c>
      <c r="P7" s="1091"/>
      <c r="Q7" s="1090"/>
      <c r="R7" s="1090"/>
      <c r="S7" s="1090"/>
      <c r="T7" s="1090"/>
      <c r="U7" s="1090"/>
      <c r="V7" s="1099">
        <v>4.0</v>
      </c>
      <c r="W7" s="1092"/>
    </row>
    <row r="8">
      <c r="A8" s="1100"/>
      <c r="B8" s="1106" t="s">
        <v>736</v>
      </c>
      <c r="C8" s="1109">
        <f t="shared" ref="C8:N8" si="3">iferror(indirect(C3&amp;"!AZ20"),"")</f>
        <v>435560</v>
      </c>
      <c r="D8" s="1109">
        <f t="shared" si="3"/>
        <v>462514.5455</v>
      </c>
      <c r="E8" s="1109">
        <f t="shared" si="3"/>
        <v>304153.1515</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1202227.697</v>
      </c>
      <c r="P8" s="1091"/>
      <c r="Q8" s="1090"/>
      <c r="R8" s="1090"/>
      <c r="S8" s="1090"/>
      <c r="T8" s="1090"/>
      <c r="U8" s="1090"/>
      <c r="V8" s="1099">
        <v>5.0</v>
      </c>
      <c r="W8" s="1092"/>
    </row>
    <row r="9">
      <c r="A9" s="1100"/>
      <c r="B9" s="1106" t="s">
        <v>640</v>
      </c>
      <c r="C9" s="1109">
        <f t="shared" ref="C9:N9" si="5">iferror(indirect(C3&amp;"!BG23")-indirect(C3&amp;"!BE24"),"")</f>
        <v>1444829</v>
      </c>
      <c r="D9" s="1109">
        <f t="shared" si="5"/>
        <v>1625675</v>
      </c>
      <c r="E9" s="1109">
        <f t="shared" si="5"/>
        <v>1137073</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4207577</v>
      </c>
      <c r="P9" s="1090"/>
      <c r="Q9" s="1091"/>
      <c r="R9" s="1090"/>
      <c r="S9" s="1090"/>
      <c r="T9" s="1090"/>
      <c r="U9" s="1090"/>
      <c r="V9" s="1099">
        <v>6.0</v>
      </c>
      <c r="W9" s="1092"/>
    </row>
    <row r="10">
      <c r="A10" s="1100"/>
      <c r="B10" s="1106" t="s">
        <v>711</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304</v>
      </c>
      <c r="C11" s="1108">
        <f t="shared" ref="C11:N11" si="7">iferror(indirect(C3&amp;"!I8"),"")</f>
        <v>65436.375</v>
      </c>
      <c r="D11" s="1108">
        <f t="shared" si="7"/>
        <v>69701.93182</v>
      </c>
      <c r="E11" s="1108">
        <f t="shared" si="7"/>
        <v>45921.27273</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181059.5795</v>
      </c>
      <c r="P11" s="1090"/>
      <c r="Q11" s="1090"/>
      <c r="R11" s="1090"/>
      <c r="S11" s="1090"/>
      <c r="T11" s="1090"/>
      <c r="U11" s="1090"/>
      <c r="V11" s="1099">
        <v>8.0</v>
      </c>
      <c r="W11" s="1092"/>
    </row>
    <row r="12">
      <c r="A12" s="1100"/>
      <c r="B12" s="1106" t="s">
        <v>305</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308</v>
      </c>
      <c r="C13" s="1108">
        <f t="shared" ref="C13:N13" si="9">iferror(indirect(C3&amp;"!M8"),"")</f>
        <v>709934.625</v>
      </c>
      <c r="D13" s="1108">
        <f t="shared" si="9"/>
        <v>796488.5227</v>
      </c>
      <c r="E13" s="1108">
        <f t="shared" si="9"/>
        <v>664632.5758</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2171055.723</v>
      </c>
      <c r="P13" s="1090"/>
      <c r="Q13" s="1090"/>
      <c r="R13" s="1090"/>
      <c r="S13" s="1090"/>
      <c r="T13" s="1090"/>
      <c r="U13" s="1090"/>
      <c r="V13" s="1099">
        <v>10.0</v>
      </c>
      <c r="W13" s="1092"/>
    </row>
    <row r="14">
      <c r="A14" s="1100"/>
      <c r="B14" s="1106" t="s">
        <v>629</v>
      </c>
      <c r="C14" s="1107">
        <f t="shared" ref="C14:N14" si="10">iferror(indirect(C3&amp;"!E8"),"")</f>
        <v>0.5440359822</v>
      </c>
      <c r="D14" s="1107">
        <f t="shared" si="10"/>
        <v>0.5502592761</v>
      </c>
      <c r="E14" s="1107">
        <f t="shared" si="10"/>
        <v>0.5284336689</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0.5420794082</v>
      </c>
      <c r="P14" s="1090"/>
      <c r="Q14" s="1090"/>
      <c r="R14" s="1090"/>
      <c r="S14" s="1090"/>
      <c r="T14" s="1090"/>
      <c r="U14" s="1090"/>
      <c r="V14" s="1099">
        <v>11.0</v>
      </c>
      <c r="W14" s="1092"/>
    </row>
    <row r="15">
      <c r="A15" s="1100"/>
      <c r="B15" s="1106" t="s">
        <v>300</v>
      </c>
      <c r="C15" s="1107">
        <f t="shared" ref="C15:N15" si="11">iferror(indirect(C3&amp;"!C8"),"")</f>
        <v>0.2673188183</v>
      </c>
      <c r="D15" s="1107">
        <f t="shared" si="11"/>
        <v>0.2695958281</v>
      </c>
      <c r="E15" s="1107">
        <f t="shared" si="11"/>
        <v>0.3088757102</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0.2797060165</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737</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737</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303</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736</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640</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711</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738</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305</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308</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629</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300</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739</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740</v>
      </c>
      <c r="C3" s="1124"/>
      <c r="D3" s="1124"/>
      <c r="E3" s="1124"/>
      <c r="F3" s="1124"/>
      <c r="G3" s="360"/>
      <c r="H3" s="1125" t="s">
        <v>741</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453</v>
      </c>
      <c r="E4" s="1129" t="s">
        <v>34</v>
      </c>
      <c r="F4" s="1128" t="s">
        <v>742</v>
      </c>
      <c r="G4" s="1128" t="s">
        <v>743</v>
      </c>
      <c r="H4" s="1130"/>
      <c r="I4" s="1131" t="s">
        <v>226</v>
      </c>
      <c r="J4" s="1131" t="s">
        <v>453</v>
      </c>
      <c r="K4" s="1132" t="s">
        <v>34</v>
      </c>
      <c r="L4" s="1131" t="s">
        <v>742</v>
      </c>
      <c r="M4" s="1133" t="s">
        <v>743</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2</v>
      </c>
      <c r="M6" s="1143">
        <f t="shared" si="1"/>
        <v>0.000558347292</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2607</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744</v>
      </c>
      <c r="C17" s="1158">
        <f t="shared" ref="C17:D17" si="3">SUM(C4:C16)</f>
        <v>42456</v>
      </c>
      <c r="D17" s="1158">
        <f t="shared" si="3"/>
        <v>3</v>
      </c>
      <c r="E17" s="1159">
        <f>D17/C17</f>
        <v>0.00007066139062</v>
      </c>
      <c r="F17" s="1158">
        <f>SUM(F5:F16)</f>
        <v>0.018</v>
      </c>
      <c r="G17" s="1160">
        <f>F17/C17</f>
        <v>0.0000004239683437</v>
      </c>
      <c r="H17" s="1161" t="s">
        <v>744</v>
      </c>
      <c r="I17" s="1162">
        <f t="shared" ref="I17:J17" si="4">SUM(I5:I16)</f>
        <v>9476</v>
      </c>
      <c r="J17" s="1162">
        <f t="shared" si="4"/>
        <v>0</v>
      </c>
      <c r="K17" s="1163">
        <f>J17/I17</f>
        <v>0</v>
      </c>
      <c r="L17" s="1162">
        <f>SUM(L5:L16)</f>
        <v>5</v>
      </c>
      <c r="M17" s="1164">
        <f>L17/I17</f>
        <v>0.000527648797</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IFERROR(__xludf.DUMMYFUNCTION("""COMPUTED_VALUE"""),1.0)</f>
        <v>1</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IFERROR(__xludf.DUMMYFUNCTION("""COMPUTED_VALUE"""),1.0)</f>
        <v>1</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IFERROR(__xludf.DUMMYFUNCTION("""COMPUTED_VALUE"""),2.0)</f>
        <v>2</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IFERROR(__xludf.DUMMYFUNCTION("""COMPUTED_VALUE"""),5.0)</f>
        <v>5</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706</v>
      </c>
      <c r="K33" s="17"/>
      <c r="L33" s="17"/>
    </row>
    <row r="34">
      <c r="B34" s="1184" t="s">
        <v>745</v>
      </c>
      <c r="C34" s="1118"/>
      <c r="D34" s="1118"/>
      <c r="E34" s="1118"/>
      <c r="F34" s="1118"/>
      <c r="G34" s="1118"/>
      <c r="H34" s="1118"/>
      <c r="I34" s="1118"/>
      <c r="J34" s="1118"/>
      <c r="K34" s="1118"/>
      <c r="L34" s="1118"/>
      <c r="M34" s="1119"/>
      <c r="O34" s="1010"/>
      <c r="P34" s="1010"/>
      <c r="Q34" s="1010"/>
      <c r="S34" s="1010"/>
      <c r="T34" s="1010"/>
      <c r="U34" s="1010"/>
    </row>
    <row r="35">
      <c r="B35" s="1185" t="s">
        <v>746</v>
      </c>
      <c r="D35" s="1186"/>
      <c r="M35" s="1187"/>
      <c r="O35" s="1010"/>
      <c r="P35" s="1010"/>
      <c r="Q35" s="1010"/>
      <c r="S35" s="1010"/>
      <c r="T35" s="1010"/>
      <c r="U35" s="1010"/>
    </row>
    <row r="36">
      <c r="B36" s="1188" t="s">
        <v>747</v>
      </c>
      <c r="C36" s="1119"/>
      <c r="D36" s="1188" t="s">
        <v>748</v>
      </c>
      <c r="E36" s="1119"/>
      <c r="F36" s="1188" t="s">
        <v>749</v>
      </c>
      <c r="G36" s="1118"/>
      <c r="H36" s="1188" t="s">
        <v>750</v>
      </c>
      <c r="I36" s="1118"/>
      <c r="J36" s="1119"/>
      <c r="K36" s="1188" t="s">
        <v>751</v>
      </c>
      <c r="L36" s="1118"/>
      <c r="M36" s="1119"/>
      <c r="O36" s="1010" t="s">
        <v>80</v>
      </c>
      <c r="P36" s="1010" t="s">
        <v>81</v>
      </c>
      <c r="Q36" s="1010" t="s">
        <v>752</v>
      </c>
      <c r="S36" s="1010" t="s">
        <v>88</v>
      </c>
      <c r="T36" s="1010" t="s">
        <v>89</v>
      </c>
      <c r="U36" s="1010" t="s">
        <v>91</v>
      </c>
      <c r="W36" s="1010" t="s">
        <v>80</v>
      </c>
      <c r="X36" s="1010" t="s">
        <v>81</v>
      </c>
      <c r="Y36" s="1010" t="s">
        <v>752</v>
      </c>
      <c r="AA36" s="1010" t="s">
        <v>88</v>
      </c>
      <c r="AB36" s="1010" t="s">
        <v>89</v>
      </c>
      <c r="AC36" s="1010" t="s">
        <v>91</v>
      </c>
    </row>
    <row r="37">
      <c r="B37" s="1189"/>
      <c r="C37" s="1190"/>
      <c r="D37" s="1189"/>
      <c r="E37" s="1190"/>
      <c r="F37" s="1189"/>
      <c r="G37" s="1191"/>
      <c r="H37" s="1189"/>
      <c r="I37" s="1191"/>
      <c r="J37" s="1190"/>
      <c r="K37" s="1189"/>
      <c r="L37" s="1191"/>
      <c r="M37" s="1190"/>
      <c r="N37" s="1010" t="s">
        <v>753</v>
      </c>
      <c r="O37" s="1192" t="s">
        <v>52</v>
      </c>
      <c r="P37" s="1192" t="s">
        <v>754</v>
      </c>
      <c r="Q37" s="1192" t="s">
        <v>38</v>
      </c>
      <c r="R37" s="1193"/>
      <c r="S37" s="1192" t="s">
        <v>755</v>
      </c>
      <c r="T37" s="1192" t="s">
        <v>756</v>
      </c>
      <c r="U37" s="1194" t="s">
        <v>757</v>
      </c>
      <c r="V37" s="1010" t="s">
        <v>746</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20" t="str">
        <f>IFERROR(__xludf.DUMMYFUNCTION("{""全員"";
  SORT(
    UNIQUE(
      FILTER(
        {
          IF($D$93=""R7"", $S$37:$S1038, $AA$37:$AA1038);
          IF($D$93=""R7"", $T$37:$T1038, $AB$37:$AB1038)
        },
        {
          IF($D$93=""R7"", $S$37:$S1038&lt;&gt;"""", $AA$37:$AA1038&lt;&gt;"""&amp;""");
          IF($D$93=""R7"", $T$37:$T1038&lt;&gt;"""", $AB$37:$AB1038&lt;&gt;"""")
        }
      )
    )
  )
}"),"全員")</f>
        <v>全員</v>
      </c>
    </row>
    <row r="38">
      <c r="B38" s="1196" t="s">
        <v>89</v>
      </c>
      <c r="C38" s="1197" t="s">
        <v>758</v>
      </c>
      <c r="D38" s="1197" t="s">
        <v>88</v>
      </c>
      <c r="E38" s="1197" t="s">
        <v>758</v>
      </c>
      <c r="F38" s="1198" t="s">
        <v>752</v>
      </c>
      <c r="G38" s="1198" t="s">
        <v>758</v>
      </c>
      <c r="H38" s="1197" t="s">
        <v>752</v>
      </c>
      <c r="I38" s="1199" t="s">
        <v>758</v>
      </c>
      <c r="J38" s="1200" t="s">
        <v>759</v>
      </c>
      <c r="K38" s="1201"/>
      <c r="L38" s="1202" t="s">
        <v>758</v>
      </c>
      <c r="M38" s="1203" t="s">
        <v>759</v>
      </c>
      <c r="O38" s="1192" t="s">
        <v>54</v>
      </c>
      <c r="P38" s="1192" t="s">
        <v>760</v>
      </c>
      <c r="Q38" s="1192" t="s">
        <v>39</v>
      </c>
      <c r="R38" s="1193"/>
      <c r="S38" s="1192" t="s">
        <v>761</v>
      </c>
      <c r="T38" s="1192" t="s">
        <v>761</v>
      </c>
      <c r="U38" s="1194" t="s">
        <v>762</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20"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763</v>
      </c>
      <c r="Q39" s="1192" t="s">
        <v>30</v>
      </c>
      <c r="R39" s="1193"/>
      <c r="S39" s="1192" t="s">
        <v>755</v>
      </c>
      <c r="T39" s="1192" t="s">
        <v>268</v>
      </c>
      <c r="U39" s="1194" t="s">
        <v>764</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20"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706</v>
      </c>
      <c r="K40" s="1213" t="s">
        <v>38</v>
      </c>
      <c r="L40" s="1214">
        <f t="shared" si="5"/>
        <v>0</v>
      </c>
      <c r="M40" s="1215">
        <f t="shared" si="6"/>
        <v>0</v>
      </c>
      <c r="O40" s="1192" t="s">
        <v>62</v>
      </c>
      <c r="P40" s="1192" t="s">
        <v>97</v>
      </c>
      <c r="Q40" s="1192" t="s">
        <v>28</v>
      </c>
      <c r="R40" s="1193"/>
      <c r="S40" s="1192" t="s">
        <v>311</v>
      </c>
      <c r="T40" s="1192" t="s">
        <v>311</v>
      </c>
      <c r="U40" s="1194" t="s">
        <v>765</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706</v>
      </c>
      <c r="K41" s="1213" t="s">
        <v>37</v>
      </c>
      <c r="L41" s="1214">
        <f t="shared" si="5"/>
        <v>1</v>
      </c>
      <c r="M41" s="1215">
        <f t="shared" si="6"/>
        <v>0.2</v>
      </c>
      <c r="O41" s="1192" t="s">
        <v>62</v>
      </c>
      <c r="P41" s="1192" t="s">
        <v>763</v>
      </c>
      <c r="Q41" s="1192" t="s">
        <v>28</v>
      </c>
      <c r="R41" s="1193"/>
      <c r="S41" s="1192" t="s">
        <v>311</v>
      </c>
      <c r="T41" s="1192" t="s">
        <v>311</v>
      </c>
      <c r="U41" s="1194" t="s">
        <v>766</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706</v>
      </c>
      <c r="K42" s="1213" t="s">
        <v>40</v>
      </c>
      <c r="L42" s="1214">
        <f t="shared" si="5"/>
        <v>1</v>
      </c>
      <c r="M42" s="1215">
        <f t="shared" si="6"/>
        <v>0.2</v>
      </c>
      <c r="O42" s="1192" t="s">
        <v>66</v>
      </c>
      <c r="P42" s="1192" t="s">
        <v>767</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706</v>
      </c>
      <c r="K43" s="1213" t="s">
        <v>42</v>
      </c>
      <c r="L43" s="1214">
        <f t="shared" si="5"/>
        <v>0</v>
      </c>
      <c r="M43" s="1215">
        <f t="shared" si="6"/>
        <v>0</v>
      </c>
      <c r="O43" s="1192" t="s">
        <v>68</v>
      </c>
      <c r="P43" s="1192" t="s">
        <v>768</v>
      </c>
      <c r="Q43" s="1192" t="s">
        <v>28</v>
      </c>
      <c r="R43" s="1193"/>
      <c r="S43" s="1192"/>
      <c r="T43" s="1192"/>
      <c r="U43" s="1194" t="s">
        <v>769</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706</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706</v>
      </c>
      <c r="K45" s="1213" t="s">
        <v>770</v>
      </c>
      <c r="L45" s="1214">
        <f t="shared" si="5"/>
        <v>2</v>
      </c>
      <c r="M45" s="1215">
        <f t="shared" si="6"/>
        <v>0.4</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706</v>
      </c>
      <c r="K46" s="1213" t="s">
        <v>771</v>
      </c>
      <c r="L46" s="1214">
        <f t="shared" si="5"/>
        <v>1</v>
      </c>
      <c r="M46" s="1215">
        <f t="shared" si="6"/>
        <v>0.2</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706</v>
      </c>
      <c r="K47" s="1213" t="s">
        <v>772</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706</v>
      </c>
      <c r="K48" s="1213" t="s">
        <v>773</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706</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706</v>
      </c>
      <c r="K50" s="1226" t="s">
        <v>180</v>
      </c>
      <c r="L50" s="1227">
        <f t="shared" si="5"/>
        <v>5</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706</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706</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706</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706</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706</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706</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706</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706</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706</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706</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706</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706</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706</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706</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706</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706</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706</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706</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706</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706</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706</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706</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706</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706</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706</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706</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706</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706</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706</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706</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706</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706</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706</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706</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706</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706</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706</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706</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706</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706</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706</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774</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775</v>
      </c>
      <c r="C93" s="232"/>
      <c r="D93" s="1239" t="s">
        <v>746</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4"/>
      <c r="F301" s="17"/>
      <c r="G301" s="17"/>
      <c r="H301" s="17"/>
      <c r="I301" s="17"/>
      <c r="J301" s="17" t="s">
        <v>706</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4"/>
      <c r="F302" s="17"/>
      <c r="G302" s="17"/>
      <c r="H302" s="17"/>
      <c r="I302" s="17"/>
      <c r="J302" s="17" t="s">
        <v>706</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4"/>
      <c r="F303" s="17"/>
      <c r="G303" s="17"/>
      <c r="H303" s="17"/>
      <c r="I303" s="17"/>
      <c r="J303" s="17" t="s">
        <v>706</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4"/>
      <c r="F304" s="17"/>
      <c r="G304" s="17"/>
      <c r="H304" s="17"/>
      <c r="I304" s="17"/>
      <c r="J304" s="17" t="s">
        <v>706</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4"/>
      <c r="F305" s="17"/>
      <c r="G305" s="17"/>
      <c r="H305" s="17"/>
      <c r="I305" s="17"/>
      <c r="J305" s="17" t="s">
        <v>706</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4"/>
      <c r="F306" s="17"/>
      <c r="G306" s="17"/>
      <c r="H306" s="17"/>
      <c r="I306" s="17"/>
      <c r="J306" s="17" t="s">
        <v>706</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4"/>
      <c r="F307" s="17"/>
      <c r="G307" s="17"/>
      <c r="H307" s="17"/>
      <c r="I307" s="17"/>
      <c r="J307" s="17" t="s">
        <v>706</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4"/>
      <c r="F308" s="17"/>
      <c r="G308" s="17"/>
      <c r="H308" s="17"/>
      <c r="I308" s="17"/>
      <c r="J308" s="17" t="s">
        <v>706</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4"/>
      <c r="F309" s="17"/>
      <c r="G309" s="17"/>
      <c r="H309" s="17"/>
      <c r="I309" s="17"/>
      <c r="J309" s="17" t="s">
        <v>706</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4"/>
      <c r="F310" s="17"/>
      <c r="G310" s="17"/>
      <c r="H310" s="17"/>
      <c r="I310" s="17"/>
      <c r="J310" s="17" t="s">
        <v>706</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4"/>
      <c r="F311" s="17"/>
      <c r="G311" s="17"/>
      <c r="H311" s="17"/>
      <c r="I311" s="17"/>
      <c r="J311" s="17" t="s">
        <v>706</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4"/>
      <c r="F312" s="17"/>
      <c r="G312" s="17"/>
      <c r="H312" s="17"/>
      <c r="I312" s="17"/>
      <c r="J312" s="17" t="s">
        <v>706</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4"/>
      <c r="F313" s="17"/>
      <c r="G313" s="17"/>
      <c r="H313" s="17"/>
      <c r="I313" s="17"/>
      <c r="J313" s="17" t="s">
        <v>706</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4"/>
      <c r="F314" s="17"/>
      <c r="G314" s="17"/>
      <c r="H314" s="17"/>
      <c r="I314" s="17"/>
      <c r="J314" s="17" t="s">
        <v>706</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4"/>
      <c r="F315" s="17"/>
      <c r="G315" s="17"/>
      <c r="H315" s="17"/>
      <c r="I315" s="17"/>
      <c r="J315" s="17" t="s">
        <v>706</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4"/>
      <c r="F316" s="17"/>
      <c r="G316" s="17"/>
      <c r="H316" s="17"/>
      <c r="I316" s="17"/>
      <c r="J316" s="17" t="s">
        <v>706</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4"/>
      <c r="F317" s="17"/>
      <c r="G317" s="17"/>
      <c r="H317" s="17"/>
      <c r="I317" s="17"/>
      <c r="J317" s="17" t="s">
        <v>706</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4"/>
      <c r="F318" s="17"/>
      <c r="G318" s="17"/>
      <c r="H318" s="17"/>
      <c r="I318" s="17"/>
      <c r="J318" s="17" t="s">
        <v>706</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4"/>
      <c r="F319" s="17"/>
      <c r="G319" s="17"/>
      <c r="H319" s="17"/>
      <c r="I319" s="17"/>
      <c r="J319" s="17" t="s">
        <v>706</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4"/>
      <c r="F320" s="17"/>
      <c r="G320" s="17"/>
      <c r="H320" s="17"/>
      <c r="I320" s="17"/>
      <c r="J320" s="17" t="s">
        <v>706</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4"/>
      <c r="F321" s="17"/>
      <c r="G321" s="17"/>
      <c r="H321" s="17"/>
      <c r="I321" s="17"/>
      <c r="J321" s="17" t="s">
        <v>706</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4"/>
      <c r="F322" s="17"/>
      <c r="G322" s="17"/>
      <c r="H322" s="17"/>
      <c r="I322" s="17"/>
      <c r="J322" s="17" t="s">
        <v>706</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4"/>
      <c r="F323" s="17"/>
      <c r="G323" s="17"/>
      <c r="H323" s="17"/>
      <c r="I323" s="17"/>
      <c r="J323" s="17" t="s">
        <v>706</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4"/>
      <c r="F324" s="17"/>
      <c r="G324" s="17"/>
      <c r="H324" s="17"/>
      <c r="I324" s="17"/>
      <c r="J324" s="17" t="s">
        <v>706</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4"/>
      <c r="F325" s="17"/>
      <c r="G325" s="17"/>
      <c r="H325" s="17"/>
      <c r="I325" s="17"/>
      <c r="J325" s="17" t="s">
        <v>706</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4"/>
      <c r="F326" s="17"/>
      <c r="G326" s="17"/>
      <c r="H326" s="17"/>
      <c r="I326" s="17"/>
      <c r="J326" s="17" t="s">
        <v>706</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4"/>
      <c r="F327" s="17"/>
      <c r="G327" s="17"/>
      <c r="H327" s="17"/>
      <c r="I327" s="17"/>
      <c r="J327" s="17" t="s">
        <v>706</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4"/>
      <c r="F328" s="17"/>
      <c r="G328" s="17"/>
      <c r="H328" s="17"/>
      <c r="I328" s="17"/>
      <c r="J328" s="17" t="s">
        <v>706</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4"/>
      <c r="F329" s="17"/>
      <c r="G329" s="17"/>
      <c r="H329" s="17"/>
      <c r="I329" s="17"/>
      <c r="J329" s="17" t="s">
        <v>706</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4"/>
      <c r="F330" s="17"/>
      <c r="G330" s="17"/>
      <c r="H330" s="17"/>
      <c r="I330" s="17"/>
      <c r="J330" s="17" t="s">
        <v>706</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4"/>
      <c r="F331" s="17"/>
      <c r="G331" s="17"/>
      <c r="H331" s="17"/>
      <c r="I331" s="17"/>
      <c r="J331" s="17" t="s">
        <v>706</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4"/>
      <c r="F332" s="17"/>
      <c r="G332" s="17"/>
      <c r="H332" s="17"/>
      <c r="I332" s="17"/>
      <c r="J332" s="17" t="s">
        <v>706</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4"/>
      <c r="F333" s="17"/>
      <c r="G333" s="17"/>
      <c r="H333" s="17"/>
      <c r="I333" s="17"/>
      <c r="J333" s="17" t="s">
        <v>706</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4"/>
      <c r="F334" s="17"/>
      <c r="G334" s="17"/>
      <c r="H334" s="17"/>
      <c r="I334" s="17"/>
      <c r="J334" s="17" t="s">
        <v>706</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4"/>
      <c r="F335" s="17"/>
      <c r="G335" s="17"/>
      <c r="H335" s="17"/>
      <c r="I335" s="17"/>
      <c r="J335" s="17" t="s">
        <v>706</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4"/>
      <c r="F336" s="17"/>
      <c r="G336" s="17"/>
      <c r="H336" s="17"/>
      <c r="I336" s="17"/>
      <c r="J336" s="17" t="s">
        <v>706</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4"/>
      <c r="F337" s="17"/>
      <c r="G337" s="17"/>
      <c r="H337" s="17"/>
      <c r="I337" s="17"/>
      <c r="J337" s="17" t="s">
        <v>706</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4"/>
      <c r="F338" s="17"/>
      <c r="G338" s="17"/>
      <c r="H338" s="17"/>
      <c r="I338" s="17"/>
      <c r="J338" s="17" t="s">
        <v>706</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4"/>
      <c r="F339" s="17"/>
      <c r="G339" s="17"/>
      <c r="H339" s="17"/>
      <c r="I339" s="17"/>
      <c r="J339" s="17" t="s">
        <v>706</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4"/>
      <c r="F340" s="17"/>
      <c r="G340" s="17"/>
      <c r="H340" s="17"/>
      <c r="I340" s="17"/>
      <c r="J340" s="17" t="s">
        <v>706</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4"/>
      <c r="F341" s="17"/>
      <c r="G341" s="17"/>
      <c r="H341" s="17"/>
      <c r="I341" s="17"/>
      <c r="J341" s="17" t="s">
        <v>706</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4"/>
      <c r="F342" s="17"/>
      <c r="G342" s="17"/>
      <c r="H342" s="17"/>
      <c r="I342" s="17"/>
      <c r="J342" s="17" t="s">
        <v>706</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4"/>
      <c r="F343" s="17"/>
      <c r="G343" s="17"/>
      <c r="H343" s="17"/>
      <c r="I343" s="17"/>
      <c r="J343" s="17" t="s">
        <v>706</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4"/>
      <c r="F344" s="17"/>
      <c r="G344" s="17"/>
      <c r="H344" s="17"/>
      <c r="I344" s="17"/>
      <c r="J344" s="17" t="s">
        <v>706</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4"/>
      <c r="F345" s="17"/>
      <c r="G345" s="17"/>
      <c r="H345" s="17"/>
      <c r="I345" s="17"/>
      <c r="J345" s="17" t="s">
        <v>706</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4"/>
      <c r="F346" s="17"/>
      <c r="G346" s="17"/>
      <c r="H346" s="17"/>
      <c r="I346" s="17"/>
      <c r="J346" s="17" t="s">
        <v>706</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4"/>
      <c r="F347" s="17"/>
      <c r="G347" s="17"/>
      <c r="H347" s="17"/>
      <c r="I347" s="17"/>
      <c r="J347" s="17" t="s">
        <v>706</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4"/>
      <c r="F348" s="17"/>
      <c r="G348" s="17"/>
      <c r="H348" s="17"/>
      <c r="I348" s="17"/>
      <c r="J348" s="17" t="s">
        <v>706</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4"/>
      <c r="F349" s="17"/>
      <c r="G349" s="17"/>
      <c r="H349" s="17"/>
      <c r="I349" s="17"/>
      <c r="J349" s="17" t="s">
        <v>706</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4"/>
      <c r="F350" s="17"/>
      <c r="G350" s="17"/>
      <c r="H350" s="17"/>
      <c r="I350" s="17"/>
      <c r="J350" s="17" t="s">
        <v>706</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4"/>
      <c r="F351" s="17"/>
      <c r="G351" s="17"/>
      <c r="H351" s="17"/>
      <c r="I351" s="17"/>
      <c r="J351" s="17" t="s">
        <v>706</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4"/>
      <c r="F352" s="17"/>
      <c r="G352" s="17"/>
      <c r="H352" s="17"/>
      <c r="I352" s="17"/>
      <c r="J352" s="17" t="s">
        <v>706</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4"/>
      <c r="F353" s="17"/>
      <c r="G353" s="17"/>
      <c r="H353" s="17"/>
      <c r="I353" s="17"/>
      <c r="J353" s="17" t="s">
        <v>706</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4"/>
      <c r="F354" s="17"/>
      <c r="G354" s="17"/>
      <c r="H354" s="17"/>
      <c r="I354" s="17"/>
      <c r="J354" s="17" t="s">
        <v>706</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4"/>
      <c r="F355" s="17"/>
      <c r="G355" s="17"/>
      <c r="H355" s="17"/>
      <c r="I355" s="17"/>
      <c r="J355" s="17" t="s">
        <v>706</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4"/>
      <c r="F356" s="17"/>
      <c r="G356" s="17"/>
      <c r="H356" s="17"/>
      <c r="I356" s="17"/>
      <c r="J356" s="17" t="s">
        <v>706</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4"/>
      <c r="F357" s="17"/>
      <c r="G357" s="17"/>
      <c r="H357" s="17"/>
      <c r="I357" s="17"/>
      <c r="J357" s="17" t="s">
        <v>706</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4"/>
      <c r="F358" s="17"/>
      <c r="G358" s="17"/>
      <c r="H358" s="17"/>
      <c r="I358" s="17"/>
      <c r="J358" s="17" t="s">
        <v>706</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4"/>
      <c r="F359" s="17"/>
      <c r="G359" s="17"/>
      <c r="H359" s="17"/>
      <c r="I359" s="17"/>
      <c r="J359" s="17" t="s">
        <v>706</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4"/>
      <c r="F360" s="17"/>
      <c r="G360" s="17"/>
      <c r="H360" s="17"/>
      <c r="I360" s="17"/>
      <c r="J360" s="17" t="s">
        <v>706</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4"/>
      <c r="F361" s="17"/>
      <c r="G361" s="17"/>
      <c r="H361" s="17"/>
      <c r="I361" s="17"/>
      <c r="J361" s="17" t="s">
        <v>706</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4"/>
      <c r="F362" s="17"/>
      <c r="G362" s="17"/>
      <c r="H362" s="17"/>
      <c r="I362" s="17"/>
      <c r="J362" s="17" t="s">
        <v>706</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4"/>
      <c r="F363" s="17"/>
      <c r="G363" s="17"/>
      <c r="H363" s="17"/>
      <c r="I363" s="17"/>
      <c r="J363" s="17" t="s">
        <v>706</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4"/>
      <c r="F364" s="17"/>
      <c r="G364" s="17"/>
      <c r="H364" s="17"/>
      <c r="I364" s="17"/>
      <c r="J364" s="17" t="s">
        <v>706</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4"/>
      <c r="F365" s="17"/>
      <c r="G365" s="17"/>
      <c r="H365" s="17"/>
      <c r="I365" s="17"/>
      <c r="J365" s="17" t="s">
        <v>706</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4"/>
      <c r="F366" s="17"/>
      <c r="G366" s="17"/>
      <c r="H366" s="17"/>
      <c r="I366" s="17"/>
      <c r="J366" s="17" t="s">
        <v>706</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4"/>
      <c r="F367" s="17"/>
      <c r="G367" s="17"/>
      <c r="H367" s="17"/>
      <c r="I367" s="17"/>
      <c r="J367" s="17" t="s">
        <v>706</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4"/>
      <c r="F368" s="17"/>
      <c r="G368" s="17"/>
      <c r="H368" s="17"/>
      <c r="I368" s="17"/>
      <c r="J368" s="17" t="s">
        <v>706</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4"/>
      <c r="F369" s="17"/>
      <c r="G369" s="17"/>
      <c r="H369" s="17"/>
      <c r="I369" s="17"/>
      <c r="J369" s="17" t="s">
        <v>706</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4"/>
      <c r="F370" s="17"/>
      <c r="G370" s="17"/>
      <c r="H370" s="17"/>
      <c r="I370" s="17"/>
      <c r="J370" s="17" t="s">
        <v>706</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4"/>
      <c r="F371" s="17"/>
      <c r="G371" s="17"/>
      <c r="H371" s="17"/>
      <c r="I371" s="17"/>
      <c r="J371" s="17" t="s">
        <v>706</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4"/>
      <c r="F372" s="17"/>
      <c r="G372" s="17"/>
      <c r="H372" s="17"/>
      <c r="I372" s="17"/>
      <c r="J372" s="17" t="s">
        <v>706</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4"/>
      <c r="F373" s="17"/>
      <c r="G373" s="17"/>
      <c r="H373" s="17"/>
      <c r="I373" s="17"/>
      <c r="J373" s="17" t="s">
        <v>706</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4"/>
      <c r="F374" s="17"/>
      <c r="G374" s="17"/>
      <c r="H374" s="17"/>
      <c r="I374" s="17"/>
      <c r="J374" s="17" t="s">
        <v>706</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4"/>
      <c r="F375" s="17"/>
      <c r="G375" s="17"/>
      <c r="H375" s="17"/>
      <c r="I375" s="17"/>
      <c r="J375" s="17" t="s">
        <v>706</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4"/>
      <c r="F376" s="17"/>
      <c r="G376" s="17"/>
      <c r="H376" s="17"/>
      <c r="I376" s="17"/>
      <c r="J376" s="17" t="s">
        <v>706</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4"/>
      <c r="F377" s="17"/>
      <c r="G377" s="17"/>
      <c r="H377" s="17"/>
      <c r="I377" s="17"/>
      <c r="J377" s="17" t="s">
        <v>706</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4"/>
      <c r="F378" s="17"/>
      <c r="G378" s="17"/>
      <c r="H378" s="17"/>
      <c r="I378" s="17"/>
      <c r="J378" s="17" t="s">
        <v>706</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4"/>
      <c r="F379" s="17"/>
      <c r="G379" s="17"/>
      <c r="H379" s="17"/>
      <c r="I379" s="17"/>
      <c r="J379" s="17" t="s">
        <v>706</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4"/>
      <c r="F380" s="17"/>
      <c r="G380" s="17"/>
      <c r="H380" s="17"/>
      <c r="I380" s="17"/>
      <c r="J380" s="17" t="s">
        <v>706</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4"/>
      <c r="F381" s="17"/>
      <c r="G381" s="17"/>
      <c r="H381" s="17"/>
      <c r="I381" s="17"/>
      <c r="J381" s="17" t="s">
        <v>706</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4"/>
      <c r="F382" s="17"/>
      <c r="G382" s="17"/>
      <c r="H382" s="17"/>
      <c r="I382" s="17"/>
      <c r="J382" s="17" t="s">
        <v>706</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4"/>
      <c r="F383" s="17"/>
      <c r="G383" s="17"/>
      <c r="H383" s="17"/>
      <c r="I383" s="17"/>
      <c r="J383" s="17" t="s">
        <v>706</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4"/>
      <c r="F384" s="17"/>
      <c r="G384" s="17"/>
      <c r="H384" s="17"/>
      <c r="I384" s="17"/>
      <c r="J384" s="17" t="s">
        <v>706</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4"/>
      <c r="F385" s="17"/>
      <c r="G385" s="17"/>
      <c r="H385" s="17"/>
      <c r="I385" s="17"/>
      <c r="J385" s="17" t="s">
        <v>706</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4"/>
      <c r="F386" s="17"/>
      <c r="G386" s="17"/>
      <c r="H386" s="17"/>
      <c r="I386" s="17"/>
      <c r="J386" s="17" t="s">
        <v>706</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4"/>
      <c r="F387" s="17"/>
      <c r="G387" s="17"/>
      <c r="H387" s="17"/>
      <c r="I387" s="17"/>
      <c r="J387" s="17" t="s">
        <v>706</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4"/>
      <c r="F388" s="17"/>
      <c r="G388" s="17"/>
      <c r="H388" s="17"/>
      <c r="I388" s="17"/>
      <c r="J388" s="17" t="s">
        <v>706</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4"/>
      <c r="F389" s="17"/>
      <c r="G389" s="17"/>
      <c r="H389" s="17"/>
      <c r="I389" s="17"/>
      <c r="J389" s="17" t="s">
        <v>706</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4"/>
      <c r="F390" s="17"/>
      <c r="G390" s="17"/>
      <c r="H390" s="17"/>
      <c r="I390" s="17"/>
      <c r="J390" s="17" t="s">
        <v>706</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4"/>
      <c r="F391" s="17"/>
      <c r="G391" s="17"/>
      <c r="H391" s="17"/>
      <c r="I391" s="17"/>
      <c r="J391" s="17" t="s">
        <v>706</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4"/>
      <c r="F392" s="17"/>
      <c r="G392" s="17"/>
      <c r="H392" s="17"/>
      <c r="I392" s="17"/>
      <c r="J392" s="17" t="s">
        <v>706</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4"/>
      <c r="F393" s="17"/>
      <c r="G393" s="17"/>
      <c r="H393" s="17"/>
      <c r="I393" s="17"/>
      <c r="J393" s="17" t="s">
        <v>706</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4"/>
      <c r="F394" s="17"/>
      <c r="G394" s="17"/>
      <c r="H394" s="17"/>
      <c r="I394" s="17"/>
      <c r="J394" s="17" t="s">
        <v>706</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4"/>
      <c r="F395" s="17"/>
      <c r="G395" s="17"/>
      <c r="H395" s="17"/>
      <c r="I395" s="17"/>
      <c r="J395" s="17" t="s">
        <v>706</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4"/>
      <c r="F396" s="17"/>
      <c r="G396" s="17"/>
      <c r="H396" s="17"/>
      <c r="I396" s="17"/>
      <c r="J396" s="17" t="s">
        <v>706</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4"/>
      <c r="F397" s="17"/>
      <c r="G397" s="17"/>
      <c r="H397" s="17"/>
      <c r="I397" s="17"/>
      <c r="J397" s="17" t="s">
        <v>706</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4"/>
      <c r="F398" s="17"/>
      <c r="G398" s="17"/>
      <c r="H398" s="17"/>
      <c r="I398" s="17"/>
      <c r="J398" s="17" t="s">
        <v>706</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4"/>
      <c r="F399" s="17"/>
      <c r="G399" s="17"/>
      <c r="H399" s="17"/>
      <c r="I399" s="17"/>
      <c r="J399" s="17" t="s">
        <v>706</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4"/>
      <c r="F400" s="17"/>
      <c r="G400" s="17"/>
      <c r="H400" s="17"/>
      <c r="I400" s="17"/>
      <c r="J400" s="17" t="s">
        <v>706</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4"/>
      <c r="F401" s="17"/>
      <c r="G401" s="17"/>
      <c r="H401" s="17"/>
      <c r="I401" s="17"/>
      <c r="J401" s="17" t="s">
        <v>706</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4"/>
      <c r="F402" s="17"/>
      <c r="G402" s="17"/>
      <c r="H402" s="17"/>
      <c r="I402" s="17"/>
      <c r="J402" s="17" t="s">
        <v>706</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4"/>
      <c r="F403" s="17"/>
      <c r="G403" s="17"/>
      <c r="H403" s="17"/>
      <c r="I403" s="17"/>
      <c r="J403" s="17" t="s">
        <v>706</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4"/>
      <c r="F404" s="17"/>
      <c r="G404" s="17"/>
      <c r="H404" s="17"/>
      <c r="I404" s="17"/>
      <c r="J404" s="17" t="s">
        <v>706</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4"/>
      <c r="F405" s="17"/>
      <c r="G405" s="17"/>
      <c r="H405" s="17"/>
      <c r="I405" s="17"/>
      <c r="J405" s="17" t="s">
        <v>706</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4"/>
      <c r="F406" s="17"/>
      <c r="G406" s="17"/>
      <c r="H406" s="17"/>
      <c r="I406" s="17"/>
      <c r="J406" s="17" t="s">
        <v>706</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4"/>
      <c r="F407" s="17"/>
      <c r="G407" s="17"/>
      <c r="H407" s="17"/>
      <c r="I407" s="17"/>
      <c r="J407" s="17" t="s">
        <v>706</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4"/>
      <c r="F408" s="17"/>
      <c r="G408" s="17"/>
      <c r="H408" s="17"/>
      <c r="I408" s="17"/>
      <c r="J408" s="17" t="s">
        <v>706</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4"/>
      <c r="F409" s="17"/>
      <c r="G409" s="17"/>
      <c r="H409" s="17"/>
      <c r="I409" s="17"/>
      <c r="J409" s="17" t="s">
        <v>706</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4"/>
      <c r="F410" s="17"/>
      <c r="G410" s="17"/>
      <c r="H410" s="17"/>
      <c r="I410" s="17"/>
      <c r="J410" s="17" t="s">
        <v>706</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4"/>
      <c r="F411" s="17"/>
      <c r="G411" s="17"/>
      <c r="H411" s="17"/>
      <c r="I411" s="17"/>
      <c r="J411" s="17" t="s">
        <v>706</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4"/>
      <c r="F412" s="17"/>
      <c r="G412" s="17"/>
      <c r="H412" s="17"/>
      <c r="I412" s="17"/>
      <c r="J412" s="17" t="s">
        <v>706</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4"/>
      <c r="F413" s="17"/>
      <c r="G413" s="17"/>
      <c r="H413" s="17"/>
      <c r="I413" s="17"/>
      <c r="J413" s="17" t="s">
        <v>706</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4"/>
      <c r="F414" s="17"/>
      <c r="G414" s="17"/>
      <c r="H414" s="17"/>
      <c r="I414" s="17"/>
      <c r="J414" s="17" t="s">
        <v>706</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4"/>
      <c r="F415" s="17"/>
      <c r="G415" s="17"/>
      <c r="H415" s="17"/>
      <c r="I415" s="17"/>
      <c r="J415" s="17" t="s">
        <v>706</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4"/>
      <c r="F416" s="17"/>
      <c r="G416" s="17"/>
      <c r="H416" s="17"/>
      <c r="I416" s="17"/>
      <c r="J416" s="17" t="s">
        <v>706</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4"/>
      <c r="F417" s="17"/>
      <c r="G417" s="17"/>
      <c r="H417" s="17"/>
      <c r="I417" s="17"/>
      <c r="J417" s="17" t="s">
        <v>706</v>
      </c>
      <c r="K417" s="17"/>
      <c r="L417" s="17"/>
      <c r="AC417" s="1257"/>
    </row>
    <row r="418">
      <c r="B418" s="17"/>
      <c r="C418" s="17"/>
      <c r="D418" s="17"/>
      <c r="E418" s="444"/>
      <c r="F418" s="17"/>
      <c r="G418" s="17"/>
      <c r="H418" s="17"/>
      <c r="I418" s="17"/>
      <c r="J418" s="17" t="s">
        <v>706</v>
      </c>
      <c r="K418" s="17"/>
      <c r="L418" s="17"/>
      <c r="AC418" s="1257"/>
    </row>
    <row r="419">
      <c r="B419" s="17"/>
      <c r="C419" s="17"/>
      <c r="D419" s="17"/>
      <c r="E419" s="444"/>
      <c r="F419" s="17"/>
      <c r="G419" s="17"/>
      <c r="H419" s="17"/>
      <c r="I419" s="17"/>
      <c r="J419" s="17" t="s">
        <v>706</v>
      </c>
      <c r="K419" s="17"/>
      <c r="L419" s="17"/>
      <c r="AC419" s="1257"/>
    </row>
    <row r="420">
      <c r="B420" s="17"/>
      <c r="C420" s="17"/>
      <c r="D420" s="17"/>
      <c r="E420" s="444"/>
      <c r="F420" s="17"/>
      <c r="G420" s="17"/>
      <c r="H420" s="17"/>
      <c r="I420" s="17"/>
      <c r="J420" s="17" t="s">
        <v>706</v>
      </c>
      <c r="K420" s="17"/>
      <c r="L420" s="17"/>
      <c r="AC420" s="1257"/>
    </row>
    <row r="421">
      <c r="B421" s="17"/>
      <c r="C421" s="17"/>
      <c r="D421" s="17"/>
      <c r="E421" s="444"/>
      <c r="F421" s="17"/>
      <c r="G421" s="17"/>
      <c r="H421" s="17"/>
      <c r="I421" s="17"/>
      <c r="J421" s="17" t="s">
        <v>706</v>
      </c>
      <c r="K421" s="17"/>
      <c r="L421" s="17"/>
      <c r="AC421" s="1257"/>
    </row>
    <row r="422">
      <c r="B422" s="17"/>
      <c r="C422" s="17"/>
      <c r="D422" s="17"/>
      <c r="E422" s="444"/>
      <c r="F422" s="17"/>
      <c r="G422" s="17"/>
      <c r="H422" s="17"/>
      <c r="I422" s="17"/>
      <c r="J422" s="17" t="s">
        <v>706</v>
      </c>
      <c r="K422" s="17"/>
      <c r="L422" s="17"/>
      <c r="AC422" s="1257"/>
    </row>
    <row r="423">
      <c r="B423" s="17"/>
      <c r="C423" s="17"/>
      <c r="D423" s="17"/>
      <c r="E423" s="444"/>
      <c r="F423" s="17"/>
      <c r="G423" s="17"/>
      <c r="H423" s="17"/>
      <c r="I423" s="17"/>
      <c r="J423" s="17" t="s">
        <v>706</v>
      </c>
      <c r="K423" s="17"/>
      <c r="L423" s="17"/>
      <c r="AC423" s="1257"/>
    </row>
    <row r="424">
      <c r="B424" s="17"/>
      <c r="C424" s="17"/>
      <c r="D424" s="17"/>
      <c r="E424" s="444"/>
      <c r="F424" s="17"/>
      <c r="G424" s="17"/>
      <c r="H424" s="17"/>
      <c r="I424" s="17"/>
      <c r="J424" s="17" t="s">
        <v>706</v>
      </c>
      <c r="K424" s="17"/>
      <c r="L424" s="17"/>
      <c r="AC424" s="1257"/>
    </row>
    <row r="425">
      <c r="B425" s="17"/>
      <c r="C425" s="17"/>
      <c r="D425" s="17"/>
      <c r="E425" s="444"/>
      <c r="F425" s="17"/>
      <c r="G425" s="17"/>
      <c r="H425" s="17"/>
      <c r="I425" s="17"/>
      <c r="J425" s="17" t="s">
        <v>706</v>
      </c>
      <c r="K425" s="17"/>
      <c r="L425" s="17"/>
      <c r="AC425" s="1257"/>
    </row>
    <row r="426">
      <c r="B426" s="17"/>
      <c r="C426" s="17"/>
      <c r="D426" s="17"/>
      <c r="E426" s="444"/>
      <c r="F426" s="17"/>
      <c r="G426" s="17"/>
      <c r="H426" s="17"/>
      <c r="I426" s="17"/>
      <c r="J426" s="17" t="s">
        <v>706</v>
      </c>
      <c r="K426" s="17"/>
      <c r="L426" s="17"/>
      <c r="AC426" s="1257"/>
    </row>
    <row r="427">
      <c r="B427" s="17"/>
      <c r="C427" s="17"/>
      <c r="D427" s="17"/>
      <c r="E427" s="444"/>
      <c r="F427" s="17"/>
      <c r="G427" s="17"/>
      <c r="H427" s="17"/>
      <c r="I427" s="17"/>
      <c r="J427" s="17" t="s">
        <v>706</v>
      </c>
      <c r="K427" s="17"/>
      <c r="L427" s="17"/>
      <c r="AC427" s="1257"/>
    </row>
    <row r="428">
      <c r="B428" s="17"/>
      <c r="C428" s="17"/>
      <c r="D428" s="17"/>
      <c r="E428" s="444"/>
      <c r="F428" s="17"/>
      <c r="G428" s="17"/>
      <c r="H428" s="17"/>
      <c r="I428" s="17"/>
      <c r="J428" s="17" t="s">
        <v>706</v>
      </c>
      <c r="K428" s="17"/>
      <c r="L428" s="17"/>
      <c r="AC428" s="1257"/>
    </row>
    <row r="429">
      <c r="B429" s="17"/>
      <c r="C429" s="17"/>
      <c r="D429" s="17"/>
      <c r="E429" s="444"/>
      <c r="F429" s="17"/>
      <c r="G429" s="17"/>
      <c r="H429" s="17"/>
      <c r="I429" s="17"/>
      <c r="J429" s="17" t="s">
        <v>706</v>
      </c>
      <c r="K429" s="17"/>
      <c r="L429" s="17"/>
      <c r="AC429" s="1257"/>
    </row>
    <row r="430">
      <c r="B430" s="17"/>
      <c r="C430" s="17"/>
      <c r="D430" s="17"/>
      <c r="E430" s="444"/>
      <c r="F430" s="17"/>
      <c r="G430" s="17"/>
      <c r="H430" s="17"/>
      <c r="I430" s="17"/>
      <c r="J430" s="17" t="s">
        <v>706</v>
      </c>
      <c r="K430" s="17"/>
      <c r="L430" s="17"/>
      <c r="AC430" s="1257"/>
    </row>
    <row r="431">
      <c r="B431" s="17"/>
      <c r="C431" s="17"/>
      <c r="D431" s="17"/>
      <c r="E431" s="444"/>
      <c r="F431" s="17"/>
      <c r="G431" s="17"/>
      <c r="H431" s="17"/>
      <c r="I431" s="17"/>
      <c r="J431" s="17" t="s">
        <v>706</v>
      </c>
      <c r="K431" s="17"/>
      <c r="L431" s="17"/>
      <c r="AC431" s="1257"/>
    </row>
    <row r="432">
      <c r="B432" s="17"/>
      <c r="C432" s="17"/>
      <c r="D432" s="17"/>
      <c r="E432" s="444"/>
      <c r="F432" s="17"/>
      <c r="G432" s="17"/>
      <c r="H432" s="17"/>
      <c r="I432" s="17"/>
      <c r="J432" s="17" t="s">
        <v>706</v>
      </c>
      <c r="K432" s="17"/>
      <c r="L432" s="17"/>
      <c r="AC432" s="1257"/>
    </row>
    <row r="433">
      <c r="B433" s="17"/>
      <c r="C433" s="17"/>
      <c r="D433" s="17"/>
      <c r="E433" s="444"/>
      <c r="F433" s="17"/>
      <c r="G433" s="17"/>
      <c r="H433" s="17"/>
      <c r="I433" s="17"/>
      <c r="J433" s="17" t="s">
        <v>706</v>
      </c>
      <c r="K433" s="17"/>
      <c r="L433" s="17"/>
      <c r="AC433" s="1257"/>
    </row>
    <row r="434">
      <c r="B434" s="17"/>
      <c r="C434" s="17"/>
      <c r="D434" s="17"/>
      <c r="E434" s="444"/>
      <c r="F434" s="17"/>
      <c r="G434" s="17"/>
      <c r="H434" s="17"/>
      <c r="I434" s="17"/>
      <c r="J434" s="17" t="s">
        <v>706</v>
      </c>
      <c r="K434" s="17"/>
      <c r="L434" s="17"/>
      <c r="AC434" s="1257"/>
    </row>
    <row r="435">
      <c r="B435" s="17"/>
      <c r="C435" s="17"/>
      <c r="D435" s="17"/>
      <c r="E435" s="444"/>
      <c r="F435" s="17"/>
      <c r="G435" s="17"/>
      <c r="H435" s="17"/>
      <c r="I435" s="17"/>
      <c r="J435" s="17" t="s">
        <v>706</v>
      </c>
      <c r="K435" s="17"/>
      <c r="L435" s="17"/>
      <c r="AC435" s="1257"/>
    </row>
    <row r="436">
      <c r="B436" s="17"/>
      <c r="C436" s="17"/>
      <c r="D436" s="17"/>
      <c r="E436" s="444"/>
      <c r="F436" s="17"/>
      <c r="G436" s="17"/>
      <c r="H436" s="17"/>
      <c r="I436" s="17"/>
      <c r="J436" s="17" t="s">
        <v>706</v>
      </c>
      <c r="K436" s="17"/>
      <c r="L436" s="17"/>
      <c r="AC436" s="1257"/>
    </row>
    <row r="437">
      <c r="B437" s="17"/>
      <c r="C437" s="17"/>
      <c r="D437" s="17"/>
      <c r="E437" s="444"/>
      <c r="F437" s="17"/>
      <c r="G437" s="17"/>
      <c r="H437" s="17"/>
      <c r="I437" s="17"/>
      <c r="J437" s="17" t="s">
        <v>706</v>
      </c>
      <c r="K437" s="17"/>
      <c r="L437" s="17"/>
      <c r="AC437" s="1257"/>
    </row>
    <row r="438">
      <c r="B438" s="17"/>
      <c r="C438" s="17"/>
      <c r="D438" s="17"/>
      <c r="E438" s="444"/>
      <c r="F438" s="17"/>
      <c r="G438" s="17"/>
      <c r="H438" s="17"/>
      <c r="I438" s="17"/>
      <c r="J438" s="17" t="s">
        <v>706</v>
      </c>
      <c r="K438" s="17"/>
      <c r="L438" s="17"/>
      <c r="AC438" s="1257"/>
    </row>
    <row r="439">
      <c r="B439" s="17"/>
      <c r="C439" s="17"/>
      <c r="D439" s="17"/>
      <c r="E439" s="444"/>
      <c r="F439" s="17"/>
      <c r="G439" s="17"/>
      <c r="H439" s="17"/>
      <c r="I439" s="17"/>
      <c r="J439" s="17" t="s">
        <v>706</v>
      </c>
      <c r="K439" s="17"/>
      <c r="L439" s="17"/>
      <c r="AC439" s="1257"/>
    </row>
    <row r="440">
      <c r="B440" s="17"/>
      <c r="C440" s="17"/>
      <c r="D440" s="17"/>
      <c r="E440" s="444"/>
      <c r="F440" s="17"/>
      <c r="G440" s="17"/>
      <c r="H440" s="17"/>
      <c r="I440" s="17"/>
      <c r="J440" s="17" t="s">
        <v>706</v>
      </c>
      <c r="K440" s="17"/>
      <c r="L440" s="17"/>
      <c r="AC440" s="1257"/>
    </row>
    <row r="441">
      <c r="B441" s="17"/>
      <c r="C441" s="17"/>
      <c r="D441" s="17"/>
      <c r="E441" s="444"/>
      <c r="F441" s="17"/>
      <c r="G441" s="17"/>
      <c r="H441" s="17"/>
      <c r="I441" s="17"/>
      <c r="J441" s="17" t="s">
        <v>706</v>
      </c>
      <c r="K441" s="17"/>
      <c r="L441" s="17"/>
      <c r="AC441" s="1257"/>
    </row>
    <row r="442">
      <c r="B442" s="17"/>
      <c r="C442" s="17"/>
      <c r="D442" s="17"/>
      <c r="E442" s="444"/>
      <c r="F442" s="17"/>
      <c r="G442" s="17"/>
      <c r="H442" s="17"/>
      <c r="I442" s="17"/>
      <c r="J442" s="17" t="s">
        <v>706</v>
      </c>
      <c r="K442" s="17"/>
      <c r="L442" s="17"/>
      <c r="AC442" s="1257"/>
    </row>
    <row r="443">
      <c r="B443" s="17"/>
      <c r="C443" s="17"/>
      <c r="D443" s="17"/>
      <c r="E443" s="444"/>
      <c r="F443" s="17"/>
      <c r="G443" s="17"/>
      <c r="H443" s="17"/>
      <c r="I443" s="17"/>
      <c r="J443" s="17" t="s">
        <v>706</v>
      </c>
      <c r="K443" s="17"/>
      <c r="L443" s="17"/>
      <c r="AC443" s="1257"/>
    </row>
    <row r="444">
      <c r="B444" s="17"/>
      <c r="C444" s="17"/>
      <c r="D444" s="17"/>
      <c r="E444" s="444"/>
      <c r="F444" s="17"/>
      <c r="G444" s="17"/>
      <c r="H444" s="17"/>
      <c r="I444" s="17"/>
      <c r="J444" s="17" t="s">
        <v>706</v>
      </c>
      <c r="K444" s="17"/>
      <c r="L444" s="17"/>
      <c r="AC444" s="1257"/>
    </row>
    <row r="445">
      <c r="B445" s="17"/>
      <c r="C445" s="17"/>
      <c r="D445" s="17"/>
      <c r="E445" s="444"/>
      <c r="F445" s="17"/>
      <c r="G445" s="17"/>
      <c r="H445" s="17"/>
      <c r="I445" s="17"/>
      <c r="J445" s="17" t="s">
        <v>706</v>
      </c>
      <c r="K445" s="17"/>
      <c r="L445" s="17"/>
      <c r="AC445" s="1257"/>
    </row>
    <row r="446">
      <c r="B446" s="17"/>
      <c r="C446" s="17"/>
      <c r="D446" s="17"/>
      <c r="E446" s="444"/>
      <c r="F446" s="17"/>
      <c r="G446" s="17"/>
      <c r="H446" s="17"/>
      <c r="I446" s="17"/>
      <c r="J446" s="17" t="s">
        <v>706</v>
      </c>
      <c r="K446" s="17"/>
      <c r="L446" s="17"/>
      <c r="AC446" s="1257"/>
    </row>
    <row r="447">
      <c r="B447" s="17"/>
      <c r="C447" s="17"/>
      <c r="D447" s="17"/>
      <c r="E447" s="444"/>
      <c r="F447" s="17"/>
      <c r="G447" s="17"/>
      <c r="H447" s="17"/>
      <c r="I447" s="17"/>
      <c r="J447" s="17" t="s">
        <v>706</v>
      </c>
      <c r="K447" s="17"/>
      <c r="L447" s="17"/>
      <c r="AC447" s="1257"/>
    </row>
    <row r="448">
      <c r="B448" s="17"/>
      <c r="C448" s="17"/>
      <c r="D448" s="17"/>
      <c r="E448" s="444"/>
      <c r="F448" s="17"/>
      <c r="G448" s="17"/>
      <c r="H448" s="17"/>
      <c r="I448" s="17"/>
      <c r="J448" s="17" t="s">
        <v>706</v>
      </c>
      <c r="K448" s="17"/>
      <c r="L448" s="17"/>
      <c r="AC448" s="1257"/>
    </row>
    <row r="449">
      <c r="B449" s="17"/>
      <c r="C449" s="17"/>
      <c r="D449" s="17"/>
      <c r="E449" s="444"/>
      <c r="F449" s="17"/>
      <c r="G449" s="17"/>
      <c r="H449" s="17"/>
      <c r="I449" s="17"/>
      <c r="J449" s="17" t="s">
        <v>706</v>
      </c>
      <c r="K449" s="17"/>
      <c r="L449" s="17"/>
      <c r="AC449" s="1257"/>
    </row>
    <row r="450">
      <c r="B450" s="17"/>
      <c r="C450" s="17"/>
      <c r="D450" s="17"/>
      <c r="E450" s="444"/>
      <c r="F450" s="17"/>
      <c r="G450" s="17"/>
      <c r="H450" s="17"/>
      <c r="I450" s="17"/>
      <c r="J450" s="17" t="s">
        <v>706</v>
      </c>
      <c r="K450" s="17"/>
      <c r="L450" s="17"/>
      <c r="AC450" s="1257"/>
    </row>
    <row r="451">
      <c r="B451" s="17"/>
      <c r="C451" s="17"/>
      <c r="D451" s="17"/>
      <c r="E451" s="444"/>
      <c r="F451" s="17"/>
      <c r="G451" s="17"/>
      <c r="H451" s="17"/>
      <c r="I451" s="17"/>
      <c r="J451" s="17" t="s">
        <v>706</v>
      </c>
      <c r="K451" s="17"/>
      <c r="L451" s="17"/>
      <c r="AC451" s="1257"/>
    </row>
    <row r="452">
      <c r="B452" s="17"/>
      <c r="C452" s="17"/>
      <c r="D452" s="17"/>
      <c r="E452" s="444"/>
      <c r="F452" s="17"/>
      <c r="G452" s="17"/>
      <c r="H452" s="17"/>
      <c r="I452" s="17"/>
      <c r="J452" s="17" t="s">
        <v>706</v>
      </c>
      <c r="K452" s="17"/>
      <c r="L452" s="17"/>
      <c r="AC452" s="1257"/>
    </row>
    <row r="453">
      <c r="B453" s="17"/>
      <c r="C453" s="17"/>
      <c r="D453" s="17"/>
      <c r="E453" s="444"/>
      <c r="F453" s="17"/>
      <c r="G453" s="17"/>
      <c r="H453" s="17"/>
      <c r="I453" s="17"/>
      <c r="J453" s="17" t="s">
        <v>706</v>
      </c>
      <c r="K453" s="17"/>
      <c r="L453" s="17"/>
      <c r="AC453" s="1257"/>
    </row>
    <row r="454">
      <c r="B454" s="17"/>
      <c r="C454" s="17"/>
      <c r="D454" s="17"/>
      <c r="E454" s="444"/>
      <c r="F454" s="17"/>
      <c r="G454" s="17"/>
      <c r="H454" s="17"/>
      <c r="I454" s="17"/>
      <c r="J454" s="17" t="s">
        <v>706</v>
      </c>
      <c r="K454" s="17"/>
      <c r="L454" s="17"/>
      <c r="AC454" s="1257"/>
    </row>
    <row r="455">
      <c r="B455" s="17"/>
      <c r="C455" s="17"/>
      <c r="D455" s="17"/>
      <c r="E455" s="444"/>
      <c r="F455" s="17"/>
      <c r="G455" s="17"/>
      <c r="H455" s="17"/>
      <c r="I455" s="17"/>
      <c r="J455" s="17" t="s">
        <v>706</v>
      </c>
      <c r="K455" s="17"/>
      <c r="L455" s="17"/>
      <c r="AC455" s="1257"/>
    </row>
    <row r="456">
      <c r="B456" s="17"/>
      <c r="C456" s="17"/>
      <c r="D456" s="17"/>
      <c r="E456" s="444"/>
      <c r="F456" s="17"/>
      <c r="G456" s="17"/>
      <c r="H456" s="17"/>
      <c r="I456" s="17"/>
      <c r="J456" s="17" t="s">
        <v>706</v>
      </c>
      <c r="K456" s="17"/>
      <c r="L456" s="17"/>
      <c r="AC456" s="1257"/>
    </row>
    <row r="457">
      <c r="B457" s="17"/>
      <c r="C457" s="17"/>
      <c r="D457" s="17"/>
      <c r="E457" s="444"/>
      <c r="F457" s="17"/>
      <c r="G457" s="17"/>
      <c r="H457" s="17"/>
      <c r="I457" s="17"/>
      <c r="J457" s="17" t="s">
        <v>706</v>
      </c>
      <c r="K457" s="17"/>
      <c r="L457" s="17"/>
      <c r="AC457" s="1257"/>
    </row>
    <row r="458">
      <c r="B458" s="17"/>
      <c r="C458" s="17"/>
      <c r="D458" s="17"/>
      <c r="E458" s="444"/>
      <c r="F458" s="17"/>
      <c r="G458" s="17"/>
      <c r="H458" s="17"/>
      <c r="I458" s="17"/>
      <c r="J458" s="17" t="s">
        <v>706</v>
      </c>
      <c r="K458" s="17"/>
      <c r="L458" s="17"/>
      <c r="AC458" s="1257"/>
    </row>
    <row r="459">
      <c r="B459" s="17"/>
      <c r="C459" s="17"/>
      <c r="D459" s="17"/>
      <c r="E459" s="444"/>
      <c r="F459" s="17"/>
      <c r="G459" s="17"/>
      <c r="H459" s="17"/>
      <c r="I459" s="17"/>
      <c r="J459" s="17" t="s">
        <v>706</v>
      </c>
      <c r="K459" s="17"/>
      <c r="L459" s="17"/>
      <c r="AC459" s="1257"/>
    </row>
    <row r="460">
      <c r="B460" s="17"/>
      <c r="C460" s="17"/>
      <c r="D460" s="17"/>
      <c r="E460" s="444"/>
      <c r="F460" s="17"/>
      <c r="G460" s="17"/>
      <c r="H460" s="17"/>
      <c r="I460" s="17"/>
      <c r="J460" s="17" t="s">
        <v>706</v>
      </c>
      <c r="K460" s="17"/>
      <c r="L460" s="17"/>
      <c r="AC460" s="1257"/>
    </row>
    <row r="461">
      <c r="B461" s="17"/>
      <c r="C461" s="17"/>
      <c r="D461" s="17"/>
      <c r="E461" s="444"/>
      <c r="F461" s="17"/>
      <c r="G461" s="17"/>
      <c r="H461" s="17"/>
      <c r="I461" s="17"/>
      <c r="J461" s="17" t="s">
        <v>706</v>
      </c>
      <c r="K461" s="17"/>
      <c r="L461" s="17"/>
      <c r="AC461" s="1257"/>
    </row>
    <row r="462">
      <c r="B462" s="17"/>
      <c r="C462" s="17"/>
      <c r="D462" s="17"/>
      <c r="E462" s="444"/>
      <c r="F462" s="17"/>
      <c r="G462" s="17"/>
      <c r="H462" s="17"/>
      <c r="I462" s="17"/>
      <c r="J462" s="17" t="s">
        <v>706</v>
      </c>
      <c r="K462" s="17"/>
      <c r="L462" s="17"/>
      <c r="AC462" s="1257"/>
    </row>
    <row r="463">
      <c r="B463" s="17"/>
      <c r="C463" s="17"/>
      <c r="D463" s="17"/>
      <c r="E463" s="444"/>
      <c r="F463" s="17"/>
      <c r="G463" s="17"/>
      <c r="H463" s="17"/>
      <c r="I463" s="17"/>
      <c r="J463" s="17" t="s">
        <v>706</v>
      </c>
      <c r="K463" s="17"/>
      <c r="L463" s="17"/>
      <c r="AC463" s="1257"/>
    </row>
    <row r="464">
      <c r="B464" s="17"/>
      <c r="C464" s="17"/>
      <c r="D464" s="17"/>
      <c r="E464" s="444"/>
      <c r="F464" s="17"/>
      <c r="G464" s="17"/>
      <c r="H464" s="17"/>
      <c r="I464" s="17"/>
      <c r="J464" s="17" t="s">
        <v>706</v>
      </c>
      <c r="K464" s="17"/>
      <c r="L464" s="17"/>
      <c r="AC464" s="1257"/>
    </row>
    <row r="465">
      <c r="B465" s="17"/>
      <c r="C465" s="17"/>
      <c r="D465" s="17"/>
      <c r="E465" s="444"/>
      <c r="F465" s="17"/>
      <c r="G465" s="17"/>
      <c r="H465" s="17"/>
      <c r="I465" s="17"/>
      <c r="J465" s="17" t="s">
        <v>706</v>
      </c>
      <c r="K465" s="17"/>
      <c r="L465" s="17"/>
      <c r="AC465" s="1257"/>
    </row>
    <row r="466">
      <c r="B466" s="17"/>
      <c r="C466" s="17"/>
      <c r="D466" s="17"/>
      <c r="E466" s="444"/>
      <c r="F466" s="17"/>
      <c r="G466" s="17"/>
      <c r="H466" s="17"/>
      <c r="I466" s="17"/>
      <c r="J466" s="17" t="s">
        <v>706</v>
      </c>
      <c r="K466" s="17"/>
      <c r="L466" s="17"/>
      <c r="AC466" s="1257"/>
    </row>
    <row r="467">
      <c r="B467" s="17"/>
      <c r="C467" s="17"/>
      <c r="D467" s="17"/>
      <c r="E467" s="444"/>
      <c r="F467" s="17"/>
      <c r="G467" s="17"/>
      <c r="H467" s="17"/>
      <c r="I467" s="17"/>
      <c r="J467" s="17" t="s">
        <v>706</v>
      </c>
      <c r="K467" s="17"/>
      <c r="L467" s="17"/>
      <c r="AC467" s="1257"/>
    </row>
    <row r="468">
      <c r="B468" s="17"/>
      <c r="C468" s="17"/>
      <c r="D468" s="17"/>
      <c r="E468" s="444"/>
      <c r="F468" s="17"/>
      <c r="G468" s="17"/>
      <c r="H468" s="17"/>
      <c r="I468" s="17"/>
      <c r="J468" s="17" t="s">
        <v>706</v>
      </c>
      <c r="K468" s="17"/>
      <c r="L468" s="17"/>
      <c r="AC468" s="1257"/>
    </row>
    <row r="469">
      <c r="B469" s="17"/>
      <c r="C469" s="17"/>
      <c r="D469" s="17"/>
      <c r="E469" s="444"/>
      <c r="F469" s="17"/>
      <c r="G469" s="17"/>
      <c r="H469" s="17"/>
      <c r="I469" s="17"/>
      <c r="J469" s="17" t="s">
        <v>706</v>
      </c>
      <c r="K469" s="17"/>
      <c r="L469" s="17"/>
      <c r="AC469" s="1257"/>
    </row>
    <row r="470">
      <c r="B470" s="17"/>
      <c r="C470" s="17"/>
      <c r="D470" s="17"/>
      <c r="E470" s="444"/>
      <c r="F470" s="17"/>
      <c r="G470" s="17"/>
      <c r="H470" s="17"/>
      <c r="I470" s="17"/>
      <c r="J470" s="17" t="s">
        <v>706</v>
      </c>
      <c r="K470" s="17"/>
      <c r="L470" s="17"/>
      <c r="AC470" s="1257"/>
    </row>
    <row r="471">
      <c r="B471" s="17"/>
      <c r="C471" s="17"/>
      <c r="D471" s="17"/>
      <c r="E471" s="444"/>
      <c r="F471" s="17"/>
      <c r="G471" s="17"/>
      <c r="H471" s="17"/>
      <c r="I471" s="17"/>
      <c r="J471" s="17" t="s">
        <v>706</v>
      </c>
      <c r="K471" s="17"/>
      <c r="L471" s="17"/>
      <c r="AC471" s="1257"/>
    </row>
    <row r="472">
      <c r="B472" s="17"/>
      <c r="C472" s="17"/>
      <c r="D472" s="17"/>
      <c r="E472" s="444"/>
      <c r="F472" s="17"/>
      <c r="G472" s="17"/>
      <c r="H472" s="17"/>
      <c r="I472" s="17"/>
      <c r="J472" s="17" t="s">
        <v>706</v>
      </c>
      <c r="K472" s="17"/>
      <c r="L472" s="17"/>
      <c r="AC472" s="1257"/>
    </row>
    <row r="473">
      <c r="B473" s="17"/>
      <c r="C473" s="17"/>
      <c r="D473" s="17"/>
      <c r="E473" s="444"/>
      <c r="F473" s="17"/>
      <c r="G473" s="17"/>
      <c r="H473" s="17"/>
      <c r="I473" s="17"/>
      <c r="J473" s="17" t="s">
        <v>706</v>
      </c>
      <c r="K473" s="17"/>
      <c r="L473" s="17"/>
      <c r="AC473" s="1257"/>
    </row>
    <row r="474">
      <c r="B474" s="17"/>
      <c r="C474" s="17"/>
      <c r="D474" s="17"/>
      <c r="E474" s="444"/>
      <c r="F474" s="17"/>
      <c r="G474" s="17"/>
      <c r="H474" s="17"/>
      <c r="I474" s="17"/>
      <c r="J474" s="17" t="s">
        <v>706</v>
      </c>
      <c r="K474" s="17"/>
      <c r="L474" s="17"/>
      <c r="AC474" s="1257"/>
    </row>
    <row r="475">
      <c r="B475" s="17"/>
      <c r="C475" s="17"/>
      <c r="D475" s="17"/>
      <c r="E475" s="444"/>
      <c r="F475" s="17"/>
      <c r="G475" s="17"/>
      <c r="H475" s="17"/>
      <c r="I475" s="17"/>
      <c r="J475" s="17" t="s">
        <v>706</v>
      </c>
      <c r="K475" s="17"/>
      <c r="L475" s="17"/>
      <c r="AC475" s="1257"/>
    </row>
    <row r="476">
      <c r="B476" s="17"/>
      <c r="C476" s="17"/>
      <c r="D476" s="17"/>
      <c r="E476" s="444"/>
      <c r="F476" s="17"/>
      <c r="G476" s="17"/>
      <c r="H476" s="17"/>
      <c r="I476" s="17"/>
      <c r="J476" s="17" t="s">
        <v>706</v>
      </c>
      <c r="K476" s="17"/>
      <c r="L476" s="17"/>
      <c r="AC476" s="1257"/>
    </row>
    <row r="477">
      <c r="B477" s="17"/>
      <c r="C477" s="17"/>
      <c r="D477" s="17"/>
      <c r="E477" s="444"/>
      <c r="F477" s="17"/>
      <c r="G477" s="17"/>
      <c r="H477" s="17"/>
      <c r="I477" s="17"/>
      <c r="J477" s="17" t="s">
        <v>706</v>
      </c>
      <c r="K477" s="17"/>
      <c r="L477" s="17"/>
      <c r="AC477" s="1257"/>
    </row>
    <row r="478">
      <c r="B478" s="17"/>
      <c r="C478" s="17"/>
      <c r="D478" s="17"/>
      <c r="E478" s="444"/>
      <c r="F478" s="17"/>
      <c r="G478" s="17"/>
      <c r="H478" s="17"/>
      <c r="I478" s="17"/>
      <c r="J478" s="17" t="s">
        <v>706</v>
      </c>
      <c r="K478" s="17"/>
      <c r="L478" s="17"/>
      <c r="AC478" s="1257"/>
    </row>
    <row r="479">
      <c r="B479" s="17"/>
      <c r="C479" s="17"/>
      <c r="D479" s="17"/>
      <c r="E479" s="444"/>
      <c r="F479" s="17"/>
      <c r="G479" s="17"/>
      <c r="H479" s="17"/>
      <c r="I479" s="17"/>
      <c r="J479" s="17" t="s">
        <v>706</v>
      </c>
      <c r="K479" s="17"/>
      <c r="L479" s="17"/>
      <c r="AC479" s="1257"/>
    </row>
    <row r="480">
      <c r="B480" s="17"/>
      <c r="C480" s="17"/>
      <c r="D480" s="17"/>
      <c r="E480" s="444"/>
      <c r="F480" s="17"/>
      <c r="G480" s="17"/>
      <c r="H480" s="17"/>
      <c r="I480" s="17"/>
      <c r="J480" s="17" t="s">
        <v>706</v>
      </c>
      <c r="K480" s="17"/>
      <c r="L480" s="17"/>
      <c r="AC480" s="1257"/>
    </row>
    <row r="481">
      <c r="B481" s="17"/>
      <c r="C481" s="17"/>
      <c r="D481" s="17"/>
      <c r="E481" s="444"/>
      <c r="F481" s="17"/>
      <c r="G481" s="17"/>
      <c r="H481" s="17"/>
      <c r="I481" s="17"/>
      <c r="J481" s="17" t="s">
        <v>706</v>
      </c>
      <c r="K481" s="17"/>
      <c r="L481" s="17"/>
      <c r="AC481" s="1257"/>
    </row>
    <row r="482">
      <c r="B482" s="17"/>
      <c r="C482" s="17"/>
      <c r="D482" s="17"/>
      <c r="E482" s="444"/>
      <c r="F482" s="17"/>
      <c r="G482" s="17"/>
      <c r="H482" s="17"/>
      <c r="I482" s="17"/>
      <c r="J482" s="17" t="s">
        <v>706</v>
      </c>
      <c r="K482" s="17"/>
      <c r="L482" s="17"/>
      <c r="AC482" s="1257"/>
    </row>
    <row r="483">
      <c r="B483" s="17"/>
      <c r="C483" s="17"/>
      <c r="D483" s="17"/>
      <c r="E483" s="444"/>
      <c r="F483" s="17"/>
      <c r="G483" s="17"/>
      <c r="H483" s="17"/>
      <c r="I483" s="17"/>
      <c r="J483" s="17" t="s">
        <v>706</v>
      </c>
      <c r="K483" s="17"/>
      <c r="L483" s="17"/>
      <c r="AC483" s="1257"/>
    </row>
    <row r="484">
      <c r="B484" s="17"/>
      <c r="C484" s="17"/>
      <c r="D484" s="17"/>
      <c r="E484" s="444"/>
      <c r="F484" s="17"/>
      <c r="G484" s="17"/>
      <c r="H484" s="17"/>
      <c r="I484" s="17"/>
      <c r="J484" s="17" t="s">
        <v>706</v>
      </c>
      <c r="K484" s="17"/>
      <c r="L484" s="17"/>
      <c r="AC484" s="1257"/>
    </row>
    <row r="485">
      <c r="B485" s="17"/>
      <c r="C485" s="17"/>
      <c r="D485" s="17"/>
      <c r="E485" s="444"/>
      <c r="F485" s="17"/>
      <c r="G485" s="17"/>
      <c r="H485" s="17"/>
      <c r="I485" s="17"/>
      <c r="J485" s="17" t="s">
        <v>706</v>
      </c>
      <c r="K485" s="17"/>
      <c r="L485" s="17"/>
      <c r="AC485" s="1257"/>
    </row>
    <row r="486">
      <c r="B486" s="17"/>
      <c r="C486" s="17"/>
      <c r="D486" s="17"/>
      <c r="E486" s="444"/>
      <c r="F486" s="17"/>
      <c r="G486" s="17"/>
      <c r="H486" s="17"/>
      <c r="I486" s="17"/>
      <c r="J486" s="17" t="s">
        <v>706</v>
      </c>
      <c r="K486" s="17"/>
      <c r="L486" s="17"/>
      <c r="AC486" s="1257"/>
    </row>
    <row r="487">
      <c r="B487" s="17"/>
      <c r="C487" s="17"/>
      <c r="D487" s="17"/>
      <c r="E487" s="444"/>
      <c r="F487" s="17"/>
      <c r="G487" s="17"/>
      <c r="H487" s="17"/>
      <c r="I487" s="17"/>
      <c r="J487" s="17" t="s">
        <v>706</v>
      </c>
      <c r="K487" s="17"/>
      <c r="L487" s="17"/>
      <c r="AC487" s="1257"/>
    </row>
    <row r="488">
      <c r="B488" s="17"/>
      <c r="C488" s="17"/>
      <c r="D488" s="17"/>
      <c r="E488" s="444"/>
      <c r="F488" s="17"/>
      <c r="G488" s="17"/>
      <c r="H488" s="17"/>
      <c r="I488" s="17"/>
      <c r="J488" s="17" t="s">
        <v>706</v>
      </c>
      <c r="K488" s="17"/>
      <c r="L488" s="17"/>
      <c r="AC488" s="1257"/>
    </row>
    <row r="489">
      <c r="B489" s="17"/>
      <c r="C489" s="17"/>
      <c r="D489" s="17"/>
      <c r="E489" s="444"/>
      <c r="F489" s="17"/>
      <c r="G489" s="17"/>
      <c r="H489" s="17"/>
      <c r="I489" s="17"/>
      <c r="J489" s="17" t="s">
        <v>706</v>
      </c>
      <c r="K489" s="17"/>
      <c r="L489" s="17"/>
      <c r="AC489" s="1257"/>
    </row>
    <row r="490">
      <c r="B490" s="17"/>
      <c r="C490" s="17"/>
      <c r="D490" s="17"/>
      <c r="E490" s="444"/>
      <c r="F490" s="17"/>
      <c r="G490" s="17"/>
      <c r="H490" s="17"/>
      <c r="I490" s="17"/>
      <c r="J490" s="17" t="s">
        <v>706</v>
      </c>
      <c r="K490" s="17"/>
      <c r="L490" s="17"/>
      <c r="AC490" s="1257"/>
    </row>
    <row r="491">
      <c r="B491" s="17"/>
      <c r="C491" s="17"/>
      <c r="D491" s="17"/>
      <c r="E491" s="444"/>
      <c r="F491" s="17"/>
      <c r="G491" s="17"/>
      <c r="H491" s="17"/>
      <c r="I491" s="17"/>
      <c r="J491" s="17" t="s">
        <v>706</v>
      </c>
      <c r="K491" s="17"/>
      <c r="L491" s="17"/>
      <c r="AC491" s="1257"/>
    </row>
    <row r="492">
      <c r="B492" s="17"/>
      <c r="C492" s="17"/>
      <c r="D492" s="17"/>
      <c r="E492" s="444"/>
      <c r="F492" s="17"/>
      <c r="G492" s="17"/>
      <c r="H492" s="17"/>
      <c r="I492" s="17"/>
      <c r="J492" s="17" t="s">
        <v>706</v>
      </c>
      <c r="K492" s="17"/>
      <c r="L492" s="17"/>
      <c r="AC492" s="1257"/>
    </row>
    <row r="493">
      <c r="B493" s="17"/>
      <c r="C493" s="17"/>
      <c r="D493" s="17"/>
      <c r="E493" s="444"/>
      <c r="F493" s="17"/>
      <c r="G493" s="17"/>
      <c r="H493" s="17"/>
      <c r="I493" s="17"/>
      <c r="J493" s="17" t="s">
        <v>706</v>
      </c>
      <c r="K493" s="17"/>
      <c r="L493" s="17"/>
      <c r="AC493" s="1257"/>
    </row>
    <row r="494">
      <c r="B494" s="17"/>
      <c r="C494" s="17"/>
      <c r="D494" s="17"/>
      <c r="E494" s="444"/>
      <c r="F494" s="17"/>
      <c r="G494" s="17"/>
      <c r="H494" s="17"/>
      <c r="I494" s="17"/>
      <c r="J494" s="17" t="s">
        <v>706</v>
      </c>
      <c r="K494" s="17"/>
      <c r="L494" s="17"/>
      <c r="AC494" s="1257"/>
    </row>
    <row r="495">
      <c r="B495" s="17"/>
      <c r="C495" s="17"/>
      <c r="D495" s="17"/>
      <c r="E495" s="444"/>
      <c r="F495" s="17"/>
      <c r="G495" s="17"/>
      <c r="H495" s="17"/>
      <c r="I495" s="17"/>
      <c r="J495" s="17" t="s">
        <v>706</v>
      </c>
      <c r="K495" s="17"/>
      <c r="L495" s="17"/>
      <c r="AC495" s="1257"/>
    </row>
    <row r="496">
      <c r="B496" s="17"/>
      <c r="C496" s="17"/>
      <c r="D496" s="17"/>
      <c r="E496" s="444"/>
      <c r="F496" s="17"/>
      <c r="G496" s="17"/>
      <c r="H496" s="17"/>
      <c r="I496" s="17"/>
      <c r="J496" s="17" t="s">
        <v>706</v>
      </c>
      <c r="K496" s="17"/>
      <c r="L496" s="17"/>
      <c r="AC496" s="1257"/>
    </row>
    <row r="497">
      <c r="B497" s="17"/>
      <c r="C497" s="17"/>
      <c r="D497" s="17"/>
      <c r="E497" s="444"/>
      <c r="F497" s="17"/>
      <c r="G497" s="17"/>
      <c r="H497" s="17"/>
      <c r="I497" s="17"/>
      <c r="J497" s="17" t="s">
        <v>706</v>
      </c>
      <c r="K497" s="17"/>
      <c r="L497" s="17"/>
      <c r="AC497" s="1257"/>
    </row>
    <row r="498">
      <c r="B498" s="17"/>
      <c r="C498" s="17"/>
      <c r="D498" s="17"/>
      <c r="E498" s="444"/>
      <c r="F498" s="17"/>
      <c r="G498" s="17"/>
      <c r="H498" s="17"/>
      <c r="I498" s="17"/>
      <c r="J498" s="17" t="s">
        <v>706</v>
      </c>
      <c r="K498" s="17"/>
      <c r="L498" s="17"/>
      <c r="AC498" s="1257"/>
    </row>
    <row r="499">
      <c r="B499" s="17"/>
      <c r="C499" s="17"/>
      <c r="D499" s="17"/>
      <c r="E499" s="444"/>
      <c r="F499" s="17"/>
      <c r="G499" s="17"/>
      <c r="H499" s="17"/>
      <c r="I499" s="17"/>
      <c r="J499" s="17" t="s">
        <v>706</v>
      </c>
      <c r="K499" s="17"/>
      <c r="L499" s="17"/>
      <c r="AC499" s="1257"/>
    </row>
    <row r="500">
      <c r="B500" s="17"/>
      <c r="C500" s="17"/>
      <c r="D500" s="17"/>
      <c r="E500" s="444"/>
      <c r="F500" s="17"/>
      <c r="G500" s="17"/>
      <c r="H500" s="17"/>
      <c r="I500" s="17"/>
      <c r="J500" s="17" t="s">
        <v>706</v>
      </c>
      <c r="K500" s="17"/>
      <c r="L500" s="17"/>
      <c r="AC500" s="1257"/>
    </row>
    <row r="501">
      <c r="B501" s="17"/>
      <c r="C501" s="17"/>
      <c r="D501" s="17"/>
      <c r="E501" s="444"/>
      <c r="F501" s="17"/>
      <c r="G501" s="17"/>
      <c r="H501" s="17"/>
      <c r="I501" s="17"/>
      <c r="J501" s="17" t="s">
        <v>706</v>
      </c>
      <c r="K501" s="17"/>
      <c r="L501" s="17"/>
      <c r="AC501" s="1257"/>
    </row>
    <row r="502">
      <c r="B502" s="17"/>
      <c r="C502" s="17"/>
      <c r="D502" s="17"/>
      <c r="E502" s="444"/>
      <c r="F502" s="17"/>
      <c r="G502" s="17"/>
      <c r="H502" s="17"/>
      <c r="I502" s="17"/>
      <c r="J502" s="17" t="s">
        <v>706</v>
      </c>
      <c r="K502" s="17"/>
      <c r="L502" s="17"/>
      <c r="AC502" s="1257"/>
    </row>
    <row r="503">
      <c r="B503" s="17"/>
      <c r="C503" s="17"/>
      <c r="D503" s="17"/>
      <c r="E503" s="444"/>
      <c r="F503" s="17"/>
      <c r="G503" s="17"/>
      <c r="H503" s="17"/>
      <c r="I503" s="17"/>
      <c r="J503" s="17" t="s">
        <v>706</v>
      </c>
      <c r="K503" s="17"/>
      <c r="L503" s="17"/>
      <c r="AC503" s="1257"/>
    </row>
    <row r="504">
      <c r="B504" s="17"/>
      <c r="C504" s="17"/>
      <c r="D504" s="17"/>
      <c r="E504" s="444"/>
      <c r="F504" s="17"/>
      <c r="G504" s="17"/>
      <c r="H504" s="17"/>
      <c r="I504" s="17"/>
      <c r="J504" s="17" t="s">
        <v>706</v>
      </c>
      <c r="K504" s="17"/>
      <c r="L504" s="17"/>
      <c r="AC504" s="1257"/>
    </row>
    <row r="505">
      <c r="B505" s="17"/>
      <c r="C505" s="17"/>
      <c r="D505" s="17"/>
      <c r="E505" s="444"/>
      <c r="F505" s="17"/>
      <c r="G505" s="17"/>
      <c r="H505" s="17"/>
      <c r="I505" s="17"/>
      <c r="J505" s="17" t="s">
        <v>706</v>
      </c>
      <c r="K505" s="17"/>
      <c r="L505" s="17"/>
      <c r="AC505" s="1257"/>
    </row>
    <row r="506">
      <c r="B506" s="17"/>
      <c r="C506" s="17"/>
      <c r="D506" s="17"/>
      <c r="E506" s="444"/>
      <c r="F506" s="17"/>
      <c r="G506" s="17"/>
      <c r="H506" s="17"/>
      <c r="I506" s="17"/>
      <c r="J506" s="17" t="s">
        <v>706</v>
      </c>
      <c r="K506" s="17"/>
      <c r="L506" s="17"/>
      <c r="AC506" s="1257"/>
    </row>
    <row r="507">
      <c r="B507" s="17"/>
      <c r="C507" s="17"/>
      <c r="D507" s="17"/>
      <c r="E507" s="444"/>
      <c r="F507" s="17"/>
      <c r="G507" s="17"/>
      <c r="H507" s="17"/>
      <c r="I507" s="17"/>
      <c r="J507" s="17" t="s">
        <v>706</v>
      </c>
      <c r="K507" s="17"/>
      <c r="L507" s="17"/>
      <c r="AC507" s="1257"/>
    </row>
    <row r="508">
      <c r="B508" s="17"/>
      <c r="C508" s="17"/>
      <c r="D508" s="17"/>
      <c r="E508" s="444"/>
      <c r="F508" s="17"/>
      <c r="G508" s="17"/>
      <c r="H508" s="17"/>
      <c r="I508" s="17"/>
      <c r="J508" s="17" t="s">
        <v>706</v>
      </c>
      <c r="K508" s="17"/>
      <c r="L508" s="17"/>
      <c r="AC508" s="1257"/>
    </row>
    <row r="509">
      <c r="B509" s="17"/>
      <c r="C509" s="17"/>
      <c r="D509" s="17"/>
      <c r="E509" s="444"/>
      <c r="F509" s="17"/>
      <c r="G509" s="17"/>
      <c r="H509" s="17"/>
      <c r="I509" s="17"/>
      <c r="J509" s="17" t="s">
        <v>706</v>
      </c>
      <c r="K509" s="17"/>
      <c r="L509" s="17"/>
      <c r="AC509" s="1257"/>
    </row>
    <row r="510">
      <c r="B510" s="17"/>
      <c r="C510" s="17"/>
      <c r="D510" s="17"/>
      <c r="E510" s="444"/>
      <c r="F510" s="17"/>
      <c r="G510" s="17"/>
      <c r="H510" s="17"/>
      <c r="I510" s="17"/>
      <c r="J510" s="17" t="s">
        <v>706</v>
      </c>
      <c r="K510" s="17"/>
      <c r="L510" s="17"/>
      <c r="AC510" s="1257"/>
    </row>
    <row r="511">
      <c r="B511" s="17"/>
      <c r="C511" s="17"/>
      <c r="D511" s="17"/>
      <c r="E511" s="444"/>
      <c r="F511" s="17"/>
      <c r="G511" s="17"/>
      <c r="H511" s="17"/>
      <c r="I511" s="17"/>
      <c r="J511" s="17" t="s">
        <v>706</v>
      </c>
      <c r="K511" s="17"/>
      <c r="L511" s="17"/>
      <c r="AC511" s="1257"/>
    </row>
    <row r="512">
      <c r="B512" s="17"/>
      <c r="C512" s="17"/>
      <c r="D512" s="17"/>
      <c r="E512" s="444"/>
      <c r="F512" s="17"/>
      <c r="G512" s="17"/>
      <c r="H512" s="17"/>
      <c r="I512" s="17"/>
      <c r="J512" s="17" t="s">
        <v>706</v>
      </c>
      <c r="K512" s="17"/>
      <c r="L512" s="17"/>
      <c r="AC512" s="1257"/>
    </row>
    <row r="513">
      <c r="B513" s="17"/>
      <c r="C513" s="17"/>
      <c r="D513" s="17"/>
      <c r="E513" s="444"/>
      <c r="F513" s="17"/>
      <c r="G513" s="17"/>
      <c r="H513" s="17"/>
      <c r="I513" s="17"/>
      <c r="J513" s="17" t="s">
        <v>706</v>
      </c>
      <c r="K513" s="17"/>
      <c r="L513" s="17"/>
      <c r="AC513" s="1257"/>
    </row>
    <row r="514">
      <c r="B514" s="17"/>
      <c r="C514" s="17"/>
      <c r="D514" s="17"/>
      <c r="E514" s="444"/>
      <c r="F514" s="17"/>
      <c r="G514" s="17"/>
      <c r="H514" s="17"/>
      <c r="I514" s="17"/>
      <c r="J514" s="17" t="s">
        <v>706</v>
      </c>
      <c r="K514" s="17"/>
      <c r="L514" s="17"/>
      <c r="AC514" s="1257"/>
    </row>
    <row r="515">
      <c r="B515" s="17"/>
      <c r="C515" s="17"/>
      <c r="D515" s="17"/>
      <c r="E515" s="444"/>
      <c r="F515" s="17"/>
      <c r="G515" s="17"/>
      <c r="H515" s="17"/>
      <c r="I515" s="17"/>
      <c r="J515" s="17" t="s">
        <v>706</v>
      </c>
      <c r="K515" s="17"/>
      <c r="L515" s="17"/>
      <c r="AC515" s="1257"/>
    </row>
    <row r="516">
      <c r="B516" s="17"/>
      <c r="C516" s="17"/>
      <c r="D516" s="17"/>
      <c r="E516" s="444"/>
      <c r="F516" s="17"/>
      <c r="G516" s="17"/>
      <c r="H516" s="17"/>
      <c r="I516" s="17"/>
      <c r="J516" s="17" t="s">
        <v>706</v>
      </c>
      <c r="K516" s="17"/>
      <c r="L516" s="17"/>
      <c r="AC516" s="1257"/>
    </row>
    <row r="517">
      <c r="B517" s="17"/>
      <c r="C517" s="17"/>
      <c r="D517" s="17"/>
      <c r="E517" s="444"/>
      <c r="F517" s="17"/>
      <c r="G517" s="17"/>
      <c r="H517" s="17"/>
      <c r="I517" s="17"/>
      <c r="J517" s="17" t="s">
        <v>706</v>
      </c>
      <c r="K517" s="17"/>
      <c r="L517" s="17"/>
      <c r="AC517" s="1257"/>
    </row>
    <row r="518">
      <c r="B518" s="17"/>
      <c r="C518" s="17"/>
      <c r="D518" s="17"/>
      <c r="E518" s="444"/>
      <c r="F518" s="17"/>
      <c r="G518" s="17"/>
      <c r="H518" s="17"/>
      <c r="I518" s="17"/>
      <c r="J518" s="17" t="s">
        <v>706</v>
      </c>
      <c r="K518" s="17"/>
      <c r="L518" s="17"/>
      <c r="AC518" s="1257"/>
    </row>
    <row r="519">
      <c r="B519" s="17"/>
      <c r="C519" s="17"/>
      <c r="D519" s="17"/>
      <c r="E519" s="444"/>
      <c r="F519" s="17"/>
      <c r="G519" s="17"/>
      <c r="H519" s="17"/>
      <c r="I519" s="17"/>
      <c r="J519" s="17" t="s">
        <v>706</v>
      </c>
      <c r="K519" s="17"/>
      <c r="L519" s="17"/>
      <c r="AC519" s="1257"/>
    </row>
    <row r="520">
      <c r="B520" s="17"/>
      <c r="C520" s="17"/>
      <c r="D520" s="17"/>
      <c r="E520" s="444"/>
      <c r="F520" s="17"/>
      <c r="G520" s="17"/>
      <c r="H520" s="17"/>
      <c r="I520" s="17"/>
      <c r="J520" s="17" t="s">
        <v>706</v>
      </c>
      <c r="K520" s="17"/>
      <c r="L520" s="17"/>
      <c r="AC520" s="1257"/>
    </row>
    <row r="521">
      <c r="B521" s="17"/>
      <c r="C521" s="17"/>
      <c r="D521" s="17"/>
      <c r="E521" s="444"/>
      <c r="F521" s="17"/>
      <c r="G521" s="17"/>
      <c r="H521" s="17"/>
      <c r="I521" s="17"/>
      <c r="J521" s="17" t="s">
        <v>706</v>
      </c>
      <c r="K521" s="17"/>
      <c r="L521" s="17"/>
      <c r="AC521" s="1257"/>
    </row>
    <row r="522">
      <c r="B522" s="17"/>
      <c r="C522" s="17"/>
      <c r="D522" s="17"/>
      <c r="E522" s="444"/>
      <c r="F522" s="17"/>
      <c r="G522" s="17"/>
      <c r="H522" s="17"/>
      <c r="I522" s="17"/>
      <c r="J522" s="17" t="s">
        <v>706</v>
      </c>
      <c r="K522" s="17"/>
      <c r="L522" s="17"/>
      <c r="AC522" s="1257"/>
    </row>
    <row r="523">
      <c r="B523" s="17"/>
      <c r="C523" s="17"/>
      <c r="D523" s="17"/>
      <c r="E523" s="444"/>
      <c r="F523" s="17"/>
      <c r="G523" s="17"/>
      <c r="H523" s="17"/>
      <c r="I523" s="17"/>
      <c r="J523" s="17" t="s">
        <v>706</v>
      </c>
      <c r="K523" s="17"/>
      <c r="L523" s="17"/>
      <c r="AC523" s="1257"/>
    </row>
    <row r="524">
      <c r="B524" s="17"/>
      <c r="C524" s="17"/>
      <c r="D524" s="17"/>
      <c r="E524" s="444"/>
      <c r="F524" s="17"/>
      <c r="G524" s="17"/>
      <c r="H524" s="17"/>
      <c r="I524" s="17"/>
      <c r="J524" s="17" t="s">
        <v>706</v>
      </c>
      <c r="K524" s="17"/>
      <c r="L524" s="17"/>
      <c r="AC524" s="1257"/>
    </row>
    <row r="525">
      <c r="B525" s="17"/>
      <c r="C525" s="17"/>
      <c r="D525" s="17"/>
      <c r="E525" s="444"/>
      <c r="F525" s="17"/>
      <c r="G525" s="17"/>
      <c r="H525" s="17"/>
      <c r="I525" s="17"/>
      <c r="J525" s="17" t="s">
        <v>706</v>
      </c>
      <c r="K525" s="17"/>
      <c r="L525" s="17"/>
      <c r="AC525" s="1257"/>
    </row>
    <row r="526">
      <c r="B526" s="17"/>
      <c r="C526" s="17"/>
      <c r="D526" s="17"/>
      <c r="E526" s="444"/>
      <c r="F526" s="17"/>
      <c r="G526" s="17"/>
      <c r="H526" s="17"/>
      <c r="I526" s="17"/>
      <c r="J526" s="17" t="s">
        <v>706</v>
      </c>
      <c r="K526" s="17"/>
      <c r="L526" s="17"/>
      <c r="AC526" s="1257"/>
    </row>
    <row r="527">
      <c r="B527" s="17"/>
      <c r="C527" s="17"/>
      <c r="D527" s="17"/>
      <c r="E527" s="444"/>
      <c r="F527" s="17"/>
      <c r="G527" s="17"/>
      <c r="H527" s="17"/>
      <c r="I527" s="17"/>
      <c r="J527" s="17" t="s">
        <v>706</v>
      </c>
      <c r="K527" s="17"/>
      <c r="L527" s="17"/>
      <c r="AC527" s="1257"/>
    </row>
    <row r="528">
      <c r="B528" s="17"/>
      <c r="C528" s="17"/>
      <c r="D528" s="17"/>
      <c r="E528" s="444"/>
      <c r="F528" s="17"/>
      <c r="G528" s="17"/>
      <c r="H528" s="17"/>
      <c r="I528" s="17"/>
      <c r="J528" s="17" t="s">
        <v>706</v>
      </c>
      <c r="K528" s="17"/>
      <c r="L528" s="17"/>
      <c r="AC528" s="1257"/>
    </row>
    <row r="529">
      <c r="B529" s="17"/>
      <c r="C529" s="17"/>
      <c r="D529" s="17"/>
      <c r="E529" s="444"/>
      <c r="F529" s="17"/>
      <c r="G529" s="17"/>
      <c r="H529" s="17"/>
      <c r="I529" s="17"/>
      <c r="J529" s="17" t="s">
        <v>706</v>
      </c>
      <c r="K529" s="17"/>
      <c r="L529" s="17"/>
      <c r="AC529" s="1257"/>
    </row>
    <row r="530">
      <c r="B530" s="17"/>
      <c r="C530" s="17"/>
      <c r="D530" s="17"/>
      <c r="E530" s="444"/>
      <c r="F530" s="17"/>
      <c r="G530" s="17"/>
      <c r="H530" s="17"/>
      <c r="I530" s="17"/>
      <c r="J530" s="17" t="s">
        <v>706</v>
      </c>
      <c r="K530" s="17"/>
      <c r="L530" s="17"/>
      <c r="AC530" s="1257"/>
    </row>
    <row r="531">
      <c r="B531" s="17"/>
      <c r="C531" s="17"/>
      <c r="D531" s="17"/>
      <c r="E531" s="444"/>
      <c r="F531" s="17"/>
      <c r="G531" s="17"/>
      <c r="H531" s="17"/>
      <c r="I531" s="17"/>
      <c r="J531" s="17" t="s">
        <v>706</v>
      </c>
      <c r="K531" s="17"/>
      <c r="L531" s="17"/>
      <c r="AC531" s="1257"/>
    </row>
    <row r="532">
      <c r="B532" s="17"/>
      <c r="C532" s="17"/>
      <c r="D532" s="17"/>
      <c r="E532" s="444"/>
      <c r="F532" s="17"/>
      <c r="G532" s="17"/>
      <c r="H532" s="17"/>
      <c r="I532" s="17"/>
      <c r="J532" s="17" t="s">
        <v>706</v>
      </c>
      <c r="K532" s="17"/>
      <c r="L532" s="17"/>
      <c r="AC532" s="1257"/>
    </row>
    <row r="533">
      <c r="B533" s="17"/>
      <c r="C533" s="17"/>
      <c r="D533" s="17"/>
      <c r="E533" s="444"/>
      <c r="F533" s="17"/>
      <c r="G533" s="17"/>
      <c r="H533" s="17"/>
      <c r="I533" s="17"/>
      <c r="J533" s="17" t="s">
        <v>706</v>
      </c>
      <c r="K533" s="17"/>
      <c r="L533" s="17"/>
      <c r="AC533" s="1257"/>
    </row>
    <row r="534">
      <c r="B534" s="17"/>
      <c r="C534" s="17"/>
      <c r="D534" s="17"/>
      <c r="E534" s="444"/>
      <c r="F534" s="17"/>
      <c r="G534" s="17"/>
      <c r="H534" s="17"/>
      <c r="I534" s="17"/>
      <c r="J534" s="17" t="s">
        <v>706</v>
      </c>
      <c r="K534" s="17"/>
      <c r="L534" s="17"/>
      <c r="AC534" s="1257"/>
    </row>
    <row r="535">
      <c r="B535" s="17"/>
      <c r="C535" s="17"/>
      <c r="D535" s="17"/>
      <c r="E535" s="444"/>
      <c r="F535" s="17"/>
      <c r="G535" s="17"/>
      <c r="H535" s="17"/>
      <c r="I535" s="17"/>
      <c r="J535" s="17" t="s">
        <v>706</v>
      </c>
      <c r="K535" s="17"/>
      <c r="L535" s="17"/>
      <c r="AC535" s="1257"/>
    </row>
    <row r="536">
      <c r="B536" s="17"/>
      <c r="C536" s="17"/>
      <c r="D536" s="17"/>
      <c r="E536" s="444"/>
      <c r="F536" s="17"/>
      <c r="G536" s="17"/>
      <c r="H536" s="17"/>
      <c r="I536" s="17"/>
      <c r="J536" s="17" t="s">
        <v>706</v>
      </c>
      <c r="K536" s="17"/>
      <c r="L536" s="17"/>
      <c r="AC536" s="1257"/>
    </row>
    <row r="537">
      <c r="B537" s="17"/>
      <c r="C537" s="17"/>
      <c r="D537" s="17"/>
      <c r="E537" s="444"/>
      <c r="F537" s="17"/>
      <c r="G537" s="17"/>
      <c r="H537" s="17"/>
      <c r="I537" s="17"/>
      <c r="J537" s="17" t="s">
        <v>706</v>
      </c>
      <c r="K537" s="17"/>
      <c r="L537" s="17"/>
      <c r="AC537" s="1257"/>
    </row>
    <row r="538">
      <c r="B538" s="17"/>
      <c r="C538" s="17"/>
      <c r="D538" s="17"/>
      <c r="E538" s="444"/>
      <c r="F538" s="17"/>
      <c r="G538" s="17"/>
      <c r="H538" s="17"/>
      <c r="I538" s="17"/>
      <c r="J538" s="17" t="s">
        <v>706</v>
      </c>
      <c r="K538" s="17"/>
      <c r="L538" s="17"/>
      <c r="AC538" s="1257"/>
    </row>
    <row r="539">
      <c r="B539" s="17"/>
      <c r="C539" s="17"/>
      <c r="D539" s="17"/>
      <c r="E539" s="444"/>
      <c r="F539" s="17"/>
      <c r="G539" s="17"/>
      <c r="H539" s="17"/>
      <c r="I539" s="17"/>
      <c r="J539" s="17" t="s">
        <v>706</v>
      </c>
      <c r="K539" s="17"/>
      <c r="L539" s="17"/>
      <c r="AC539" s="1257"/>
    </row>
    <row r="540">
      <c r="B540" s="17"/>
      <c r="C540" s="17"/>
      <c r="D540" s="17"/>
      <c r="E540" s="444"/>
      <c r="F540" s="17"/>
      <c r="G540" s="17"/>
      <c r="H540" s="17"/>
      <c r="I540" s="17"/>
      <c r="J540" s="17" t="s">
        <v>706</v>
      </c>
      <c r="K540" s="17"/>
      <c r="L540" s="17"/>
      <c r="AC540" s="1257"/>
    </row>
    <row r="541">
      <c r="B541" s="17"/>
      <c r="C541" s="17"/>
      <c r="D541" s="17"/>
      <c r="E541" s="444"/>
      <c r="F541" s="17"/>
      <c r="G541" s="17"/>
      <c r="H541" s="17"/>
      <c r="I541" s="17"/>
      <c r="J541" s="17" t="s">
        <v>706</v>
      </c>
      <c r="K541" s="17"/>
      <c r="L541" s="17"/>
      <c r="AC541" s="1257"/>
    </row>
    <row r="542">
      <c r="B542" s="17"/>
      <c r="C542" s="17"/>
      <c r="D542" s="17"/>
      <c r="E542" s="444"/>
      <c r="F542" s="17"/>
      <c r="G542" s="17"/>
      <c r="H542" s="17"/>
      <c r="I542" s="17"/>
      <c r="J542" s="17" t="s">
        <v>706</v>
      </c>
      <c r="K542" s="17"/>
      <c r="L542" s="17"/>
      <c r="AC542" s="1257"/>
    </row>
    <row r="543">
      <c r="B543" s="17"/>
      <c r="C543" s="17"/>
      <c r="D543" s="17"/>
      <c r="E543" s="444"/>
      <c r="F543" s="17"/>
      <c r="G543" s="17"/>
      <c r="H543" s="17"/>
      <c r="I543" s="17"/>
      <c r="J543" s="17" t="s">
        <v>706</v>
      </c>
      <c r="K543" s="17"/>
      <c r="L543" s="17"/>
      <c r="AC543" s="1257"/>
    </row>
    <row r="544">
      <c r="B544" s="17"/>
      <c r="C544" s="17"/>
      <c r="D544" s="17"/>
      <c r="E544" s="444"/>
      <c r="F544" s="17"/>
      <c r="G544" s="17"/>
      <c r="H544" s="17"/>
      <c r="I544" s="17"/>
      <c r="J544" s="17" t="s">
        <v>706</v>
      </c>
      <c r="K544" s="17"/>
      <c r="L544" s="17"/>
      <c r="AC544" s="1257"/>
    </row>
    <row r="545">
      <c r="B545" s="17"/>
      <c r="C545" s="17"/>
      <c r="D545" s="17"/>
      <c r="E545" s="444"/>
      <c r="F545" s="17"/>
      <c r="G545" s="17"/>
      <c r="H545" s="17"/>
      <c r="I545" s="17"/>
      <c r="J545" s="17" t="s">
        <v>706</v>
      </c>
      <c r="K545" s="17"/>
      <c r="L545" s="17"/>
      <c r="AC545" s="1257"/>
    </row>
    <row r="546">
      <c r="B546" s="17"/>
      <c r="C546" s="17"/>
      <c r="D546" s="17"/>
      <c r="E546" s="444"/>
      <c r="F546" s="17"/>
      <c r="G546" s="17"/>
      <c r="H546" s="17"/>
      <c r="I546" s="17"/>
      <c r="J546" s="17" t="s">
        <v>706</v>
      </c>
      <c r="K546" s="17"/>
      <c r="L546" s="17"/>
      <c r="AC546" s="1257"/>
    </row>
    <row r="547">
      <c r="B547" s="17"/>
      <c r="C547" s="17"/>
      <c r="D547" s="17"/>
      <c r="E547" s="444"/>
      <c r="F547" s="17"/>
      <c r="G547" s="17"/>
      <c r="H547" s="17"/>
      <c r="I547" s="17"/>
      <c r="J547" s="17" t="s">
        <v>706</v>
      </c>
      <c r="K547" s="17"/>
      <c r="L547" s="17"/>
      <c r="AC547" s="1257"/>
    </row>
    <row r="548">
      <c r="B548" s="17"/>
      <c r="C548" s="17"/>
      <c r="D548" s="17"/>
      <c r="E548" s="444"/>
      <c r="F548" s="17"/>
      <c r="G548" s="17"/>
      <c r="H548" s="17"/>
      <c r="I548" s="17"/>
      <c r="J548" s="17" t="s">
        <v>706</v>
      </c>
      <c r="K548" s="17"/>
      <c r="L548" s="17"/>
      <c r="AC548" s="1257"/>
    </row>
    <row r="549">
      <c r="B549" s="17"/>
      <c r="C549" s="17"/>
      <c r="D549" s="17"/>
      <c r="E549" s="444"/>
      <c r="F549" s="17"/>
      <c r="G549" s="17"/>
      <c r="H549" s="17"/>
      <c r="I549" s="17"/>
      <c r="J549" s="17" t="s">
        <v>706</v>
      </c>
      <c r="K549" s="17"/>
      <c r="L549" s="17"/>
      <c r="AC549" s="1257"/>
    </row>
    <row r="550">
      <c r="B550" s="17"/>
      <c r="C550" s="17"/>
      <c r="D550" s="17"/>
      <c r="E550" s="444"/>
      <c r="F550" s="17"/>
      <c r="G550" s="17"/>
      <c r="H550" s="17"/>
      <c r="I550" s="17"/>
      <c r="J550" s="17" t="s">
        <v>706</v>
      </c>
      <c r="K550" s="17"/>
      <c r="L550" s="17"/>
      <c r="AC550" s="1257"/>
    </row>
    <row r="551">
      <c r="B551" s="17"/>
      <c r="C551" s="17"/>
      <c r="D551" s="17"/>
      <c r="E551" s="444"/>
      <c r="F551" s="17"/>
      <c r="G551" s="17"/>
      <c r="H551" s="17"/>
      <c r="I551" s="17"/>
      <c r="J551" s="17" t="s">
        <v>706</v>
      </c>
      <c r="K551" s="17"/>
      <c r="L551" s="17"/>
      <c r="AC551" s="1257"/>
    </row>
    <row r="552">
      <c r="B552" s="17"/>
      <c r="C552" s="17"/>
      <c r="D552" s="17"/>
      <c r="E552" s="444"/>
      <c r="F552" s="17"/>
      <c r="G552" s="17"/>
      <c r="H552" s="17"/>
      <c r="I552" s="17"/>
      <c r="J552" s="17" t="s">
        <v>706</v>
      </c>
      <c r="K552" s="17"/>
      <c r="L552" s="17"/>
      <c r="AC552" s="1257"/>
    </row>
    <row r="553">
      <c r="B553" s="17"/>
      <c r="C553" s="17"/>
      <c r="D553" s="17"/>
      <c r="E553" s="444"/>
      <c r="F553" s="17"/>
      <c r="G553" s="17"/>
      <c r="H553" s="17"/>
      <c r="I553" s="17"/>
      <c r="J553" s="17" t="s">
        <v>706</v>
      </c>
      <c r="K553" s="17"/>
      <c r="L553" s="17"/>
      <c r="AC553" s="1257"/>
    </row>
    <row r="554">
      <c r="B554" s="17"/>
      <c r="C554" s="17"/>
      <c r="D554" s="17"/>
      <c r="E554" s="444"/>
      <c r="F554" s="17"/>
      <c r="G554" s="17"/>
      <c r="H554" s="17"/>
      <c r="I554" s="17"/>
      <c r="J554" s="17" t="s">
        <v>706</v>
      </c>
      <c r="K554" s="17"/>
      <c r="L554" s="17"/>
      <c r="AC554" s="1257"/>
    </row>
    <row r="555">
      <c r="B555" s="17"/>
      <c r="C555" s="17"/>
      <c r="D555" s="17"/>
      <c r="E555" s="444"/>
      <c r="F555" s="17"/>
      <c r="G555" s="17"/>
      <c r="H555" s="17"/>
      <c r="I555" s="17"/>
      <c r="J555" s="17" t="s">
        <v>706</v>
      </c>
      <c r="K555" s="17"/>
      <c r="L555" s="17"/>
      <c r="AC555" s="1257"/>
    </row>
    <row r="556">
      <c r="B556" s="17"/>
      <c r="C556" s="17"/>
      <c r="D556" s="17"/>
      <c r="E556" s="444"/>
      <c r="F556" s="17"/>
      <c r="G556" s="17"/>
      <c r="H556" s="17"/>
      <c r="I556" s="17"/>
      <c r="J556" s="17" t="s">
        <v>706</v>
      </c>
      <c r="K556" s="17"/>
      <c r="L556" s="17"/>
      <c r="AC556" s="1257"/>
    </row>
    <row r="557">
      <c r="B557" s="17"/>
      <c r="C557" s="17"/>
      <c r="D557" s="17"/>
      <c r="E557" s="444"/>
      <c r="F557" s="17"/>
      <c r="G557" s="17"/>
      <c r="H557" s="17"/>
      <c r="I557" s="17"/>
      <c r="J557" s="17" t="s">
        <v>706</v>
      </c>
      <c r="K557" s="17"/>
      <c r="L557" s="17"/>
      <c r="AC557" s="1257"/>
    </row>
    <row r="558">
      <c r="B558" s="17"/>
      <c r="C558" s="17"/>
      <c r="D558" s="17"/>
      <c r="E558" s="444"/>
      <c r="F558" s="17"/>
      <c r="G558" s="17"/>
      <c r="H558" s="17"/>
      <c r="I558" s="17"/>
      <c r="J558" s="17" t="s">
        <v>706</v>
      </c>
      <c r="K558" s="17"/>
      <c r="L558" s="17"/>
      <c r="AC558" s="1257"/>
    </row>
    <row r="559">
      <c r="B559" s="17"/>
      <c r="C559" s="17"/>
      <c r="D559" s="17"/>
      <c r="E559" s="444"/>
      <c r="F559" s="17"/>
      <c r="G559" s="17"/>
      <c r="H559" s="17"/>
      <c r="I559" s="17"/>
      <c r="J559" s="17" t="s">
        <v>706</v>
      </c>
      <c r="K559" s="17"/>
      <c r="L559" s="17"/>
      <c r="AC559" s="1257"/>
    </row>
    <row r="560">
      <c r="B560" s="17"/>
      <c r="C560" s="17"/>
      <c r="D560" s="17"/>
      <c r="E560" s="444"/>
      <c r="F560" s="17"/>
      <c r="G560" s="17"/>
      <c r="H560" s="17"/>
      <c r="I560" s="17"/>
      <c r="J560" s="17" t="s">
        <v>706</v>
      </c>
      <c r="K560" s="17"/>
      <c r="L560" s="17"/>
      <c r="AC560" s="1257"/>
    </row>
    <row r="561">
      <c r="B561" s="17"/>
      <c r="C561" s="17"/>
      <c r="D561" s="17"/>
      <c r="E561" s="444"/>
      <c r="F561" s="17"/>
      <c r="G561" s="17"/>
      <c r="H561" s="17"/>
      <c r="I561" s="17"/>
      <c r="J561" s="17" t="s">
        <v>706</v>
      </c>
      <c r="K561" s="17"/>
      <c r="L561" s="17"/>
      <c r="AC561" s="1257"/>
    </row>
    <row r="562">
      <c r="B562" s="17"/>
      <c r="C562" s="17"/>
      <c r="D562" s="17"/>
      <c r="E562" s="444"/>
      <c r="F562" s="17"/>
      <c r="G562" s="17"/>
      <c r="H562" s="17"/>
      <c r="I562" s="17"/>
      <c r="J562" s="17" t="s">
        <v>706</v>
      </c>
      <c r="K562" s="17"/>
      <c r="L562" s="17"/>
      <c r="AC562" s="1257"/>
    </row>
    <row r="563">
      <c r="B563" s="17"/>
      <c r="C563" s="17"/>
      <c r="D563" s="17"/>
      <c r="E563" s="444"/>
      <c r="F563" s="17"/>
      <c r="G563" s="17"/>
      <c r="H563" s="17"/>
      <c r="I563" s="17"/>
      <c r="J563" s="17" t="s">
        <v>706</v>
      </c>
      <c r="K563" s="17"/>
      <c r="L563" s="17"/>
      <c r="AC563" s="1257"/>
    </row>
    <row r="564">
      <c r="B564" s="17"/>
      <c r="C564" s="17"/>
      <c r="D564" s="17"/>
      <c r="E564" s="444"/>
      <c r="F564" s="17"/>
      <c r="G564" s="17"/>
      <c r="H564" s="17"/>
      <c r="I564" s="17"/>
      <c r="J564" s="17" t="s">
        <v>706</v>
      </c>
      <c r="K564" s="17"/>
      <c r="L564" s="17"/>
      <c r="AC564" s="1257"/>
    </row>
    <row r="565">
      <c r="B565" s="17"/>
      <c r="C565" s="17"/>
      <c r="D565" s="17"/>
      <c r="E565" s="444"/>
      <c r="F565" s="17"/>
      <c r="G565" s="17"/>
      <c r="H565" s="17"/>
      <c r="I565" s="17"/>
      <c r="J565" s="17" t="s">
        <v>706</v>
      </c>
      <c r="K565" s="17"/>
      <c r="L565" s="17"/>
      <c r="AC565" s="1257"/>
    </row>
    <row r="566">
      <c r="B566" s="17"/>
      <c r="C566" s="17"/>
      <c r="D566" s="17"/>
      <c r="E566" s="444"/>
      <c r="F566" s="17"/>
      <c r="G566" s="17"/>
      <c r="H566" s="17"/>
      <c r="I566" s="17"/>
      <c r="J566" s="17" t="s">
        <v>706</v>
      </c>
      <c r="K566" s="17"/>
      <c r="L566" s="17"/>
      <c r="AC566" s="1257"/>
    </row>
    <row r="567">
      <c r="B567" s="17"/>
      <c r="C567" s="17"/>
      <c r="D567" s="17"/>
      <c r="E567" s="444"/>
      <c r="F567" s="17"/>
      <c r="G567" s="17"/>
      <c r="H567" s="17"/>
      <c r="I567" s="17"/>
      <c r="J567" s="17" t="s">
        <v>706</v>
      </c>
      <c r="K567" s="17"/>
      <c r="L567" s="17"/>
      <c r="AC567" s="1257"/>
    </row>
    <row r="568">
      <c r="B568" s="17"/>
      <c r="C568" s="17"/>
      <c r="D568" s="17"/>
      <c r="E568" s="444"/>
      <c r="F568" s="17"/>
      <c r="G568" s="17"/>
      <c r="H568" s="17"/>
      <c r="I568" s="17"/>
      <c r="J568" s="17" t="s">
        <v>706</v>
      </c>
      <c r="K568" s="17"/>
      <c r="L568" s="17"/>
      <c r="AC568" s="1257"/>
    </row>
    <row r="569">
      <c r="B569" s="17"/>
      <c r="C569" s="17"/>
      <c r="D569" s="17"/>
      <c r="E569" s="444"/>
      <c r="F569" s="17"/>
      <c r="G569" s="17"/>
      <c r="H569" s="17"/>
      <c r="I569" s="17"/>
      <c r="J569" s="17" t="s">
        <v>706</v>
      </c>
      <c r="K569" s="17"/>
      <c r="L569" s="17"/>
      <c r="AC569" s="1257"/>
    </row>
    <row r="570">
      <c r="B570" s="17"/>
      <c r="C570" s="17"/>
      <c r="D570" s="17"/>
      <c r="E570" s="444"/>
      <c r="F570" s="17"/>
      <c r="G570" s="17"/>
      <c r="H570" s="17"/>
      <c r="I570" s="17"/>
      <c r="J570" s="17" t="s">
        <v>706</v>
      </c>
      <c r="K570" s="17"/>
      <c r="L570" s="17"/>
      <c r="AC570" s="1257"/>
    </row>
    <row r="571">
      <c r="B571" s="17"/>
      <c r="C571" s="17"/>
      <c r="D571" s="17"/>
      <c r="E571" s="444"/>
      <c r="F571" s="17"/>
      <c r="G571" s="17"/>
      <c r="H571" s="17"/>
      <c r="I571" s="17"/>
      <c r="J571" s="17" t="s">
        <v>706</v>
      </c>
      <c r="K571" s="17"/>
      <c r="L571" s="17"/>
      <c r="AC571" s="1257"/>
    </row>
    <row r="572">
      <c r="B572" s="17"/>
      <c r="C572" s="17"/>
      <c r="D572" s="17"/>
      <c r="E572" s="444"/>
      <c r="F572" s="17"/>
      <c r="G572" s="17"/>
      <c r="H572" s="17"/>
      <c r="I572" s="17"/>
      <c r="J572" s="17" t="s">
        <v>706</v>
      </c>
      <c r="K572" s="17"/>
      <c r="L572" s="17"/>
      <c r="AC572" s="1257"/>
    </row>
    <row r="573">
      <c r="B573" s="17"/>
      <c r="C573" s="17"/>
      <c r="D573" s="17"/>
      <c r="E573" s="444"/>
      <c r="F573" s="17"/>
      <c r="G573" s="17"/>
      <c r="H573" s="17"/>
      <c r="I573" s="17"/>
      <c r="J573" s="17" t="s">
        <v>706</v>
      </c>
      <c r="K573" s="17"/>
      <c r="L573" s="17"/>
      <c r="AC573" s="1257"/>
    </row>
    <row r="574">
      <c r="B574" s="17"/>
      <c r="C574" s="17"/>
      <c r="D574" s="17"/>
      <c r="E574" s="444"/>
      <c r="F574" s="17"/>
      <c r="G574" s="17"/>
      <c r="H574" s="17"/>
      <c r="I574" s="17"/>
      <c r="J574" s="17" t="s">
        <v>706</v>
      </c>
      <c r="K574" s="17"/>
      <c r="L574" s="17"/>
      <c r="AC574" s="1257"/>
    </row>
    <row r="575">
      <c r="B575" s="17"/>
      <c r="C575" s="17"/>
      <c r="D575" s="17"/>
      <c r="E575" s="444"/>
      <c r="F575" s="17"/>
      <c r="G575" s="17"/>
      <c r="H575" s="17"/>
      <c r="I575" s="17"/>
      <c r="J575" s="17" t="s">
        <v>706</v>
      </c>
      <c r="K575" s="17"/>
      <c r="L575" s="17"/>
      <c r="AC575" s="1257"/>
    </row>
    <row r="576">
      <c r="B576" s="17"/>
      <c r="C576" s="17"/>
      <c r="D576" s="17"/>
      <c r="E576" s="444"/>
      <c r="F576" s="17"/>
      <c r="G576" s="17"/>
      <c r="H576" s="17"/>
      <c r="I576" s="17"/>
      <c r="J576" s="17" t="s">
        <v>706</v>
      </c>
      <c r="K576" s="17"/>
      <c r="L576" s="17"/>
      <c r="AC576" s="1257"/>
    </row>
    <row r="577">
      <c r="B577" s="17"/>
      <c r="C577" s="17"/>
      <c r="D577" s="17"/>
      <c r="E577" s="444"/>
      <c r="F577" s="17"/>
      <c r="G577" s="17"/>
      <c r="H577" s="17"/>
      <c r="I577" s="17"/>
      <c r="J577" s="17" t="s">
        <v>706</v>
      </c>
      <c r="K577" s="17"/>
      <c r="L577" s="17"/>
      <c r="AC577" s="1257"/>
    </row>
    <row r="578">
      <c r="B578" s="17"/>
      <c r="C578" s="17"/>
      <c r="D578" s="17"/>
      <c r="E578" s="444"/>
      <c r="F578" s="17"/>
      <c r="G578" s="17"/>
      <c r="H578" s="17"/>
      <c r="I578" s="17"/>
      <c r="J578" s="17" t="s">
        <v>706</v>
      </c>
      <c r="K578" s="17"/>
      <c r="L578" s="17"/>
      <c r="AC578" s="1257"/>
    </row>
    <row r="579">
      <c r="B579" s="17"/>
      <c r="C579" s="17"/>
      <c r="D579" s="17"/>
      <c r="E579" s="444"/>
      <c r="F579" s="17"/>
      <c r="G579" s="17"/>
      <c r="H579" s="17"/>
      <c r="I579" s="17"/>
      <c r="J579" s="17" t="s">
        <v>706</v>
      </c>
      <c r="K579" s="17"/>
      <c r="L579" s="17"/>
      <c r="AC579" s="1257"/>
    </row>
    <row r="580">
      <c r="B580" s="17"/>
      <c r="C580" s="17"/>
      <c r="D580" s="17"/>
      <c r="E580" s="444"/>
      <c r="F580" s="17"/>
      <c r="G580" s="17"/>
      <c r="H580" s="17"/>
      <c r="I580" s="17"/>
      <c r="J580" s="17" t="s">
        <v>706</v>
      </c>
      <c r="K580" s="17"/>
      <c r="L580" s="17"/>
      <c r="AC580" s="1257"/>
    </row>
    <row r="581">
      <c r="B581" s="17"/>
      <c r="C581" s="17"/>
      <c r="D581" s="17"/>
      <c r="E581" s="444"/>
      <c r="F581" s="17"/>
      <c r="G581" s="17"/>
      <c r="H581" s="17"/>
      <c r="I581" s="17"/>
      <c r="J581" s="17" t="s">
        <v>706</v>
      </c>
      <c r="K581" s="17"/>
      <c r="L581" s="17"/>
      <c r="AC581" s="1257"/>
    </row>
    <row r="582">
      <c r="B582" s="17"/>
      <c r="C582" s="17"/>
      <c r="D582" s="17"/>
      <c r="E582" s="444"/>
      <c r="F582" s="17"/>
      <c r="G582" s="17"/>
      <c r="H582" s="17"/>
      <c r="I582" s="17"/>
      <c r="J582" s="17" t="s">
        <v>706</v>
      </c>
      <c r="K582" s="17"/>
      <c r="L582" s="17"/>
      <c r="AC582" s="1257"/>
    </row>
    <row r="583">
      <c r="B583" s="17"/>
      <c r="C583" s="17"/>
      <c r="D583" s="17"/>
      <c r="E583" s="444"/>
      <c r="F583" s="17"/>
      <c r="G583" s="17"/>
      <c r="H583" s="17"/>
      <c r="I583" s="17"/>
      <c r="J583" s="17" t="s">
        <v>706</v>
      </c>
      <c r="K583" s="17"/>
      <c r="L583" s="17"/>
      <c r="AC583" s="1257"/>
    </row>
    <row r="584">
      <c r="B584" s="17"/>
      <c r="C584" s="17"/>
      <c r="D584" s="17"/>
      <c r="E584" s="444"/>
      <c r="F584" s="17"/>
      <c r="G584" s="17"/>
      <c r="H584" s="17"/>
      <c r="I584" s="17"/>
      <c r="J584" s="17" t="s">
        <v>706</v>
      </c>
      <c r="K584" s="17"/>
      <c r="L584" s="17"/>
      <c r="AC584" s="1257"/>
    </row>
    <row r="585">
      <c r="B585" s="17"/>
      <c r="C585" s="17"/>
      <c r="D585" s="17"/>
      <c r="E585" s="444"/>
      <c r="F585" s="17"/>
      <c r="G585" s="17"/>
      <c r="H585" s="17"/>
      <c r="I585" s="17"/>
      <c r="J585" s="17" t="s">
        <v>706</v>
      </c>
      <c r="K585" s="17"/>
      <c r="L585" s="17"/>
      <c r="AC585" s="1257"/>
    </row>
    <row r="586">
      <c r="B586" s="17"/>
      <c r="C586" s="17"/>
      <c r="D586" s="17"/>
      <c r="E586" s="444"/>
      <c r="F586" s="17"/>
      <c r="G586" s="17"/>
      <c r="H586" s="17"/>
      <c r="I586" s="17"/>
      <c r="J586" s="17" t="s">
        <v>706</v>
      </c>
      <c r="K586" s="17"/>
      <c r="L586" s="17"/>
      <c r="AC586" s="1257"/>
    </row>
    <row r="587">
      <c r="B587" s="17"/>
      <c r="C587" s="17"/>
      <c r="D587" s="17"/>
      <c r="E587" s="444"/>
      <c r="F587" s="17"/>
      <c r="G587" s="17"/>
      <c r="H587" s="17"/>
      <c r="I587" s="17"/>
      <c r="J587" s="17" t="s">
        <v>706</v>
      </c>
      <c r="K587" s="17"/>
      <c r="L587" s="17"/>
      <c r="AC587" s="1257"/>
    </row>
    <row r="588">
      <c r="B588" s="17"/>
      <c r="C588" s="17"/>
      <c r="D588" s="17"/>
      <c r="E588" s="444"/>
      <c r="F588" s="17"/>
      <c r="G588" s="17"/>
      <c r="H588" s="17"/>
      <c r="I588" s="17"/>
      <c r="J588" s="17" t="s">
        <v>706</v>
      </c>
      <c r="K588" s="17"/>
      <c r="L588" s="17"/>
      <c r="AC588" s="1257"/>
    </row>
    <row r="589">
      <c r="B589" s="17"/>
      <c r="C589" s="17"/>
      <c r="D589" s="17"/>
      <c r="E589" s="444"/>
      <c r="F589" s="17"/>
      <c r="G589" s="17"/>
      <c r="H589" s="17"/>
      <c r="I589" s="17"/>
      <c r="J589" s="17" t="s">
        <v>706</v>
      </c>
      <c r="K589" s="17"/>
      <c r="L589" s="17"/>
      <c r="AC589" s="1257"/>
    </row>
    <row r="590">
      <c r="B590" s="17"/>
      <c r="C590" s="17"/>
      <c r="D590" s="17"/>
      <c r="E590" s="444"/>
      <c r="F590" s="17"/>
      <c r="G590" s="17"/>
      <c r="H590" s="17"/>
      <c r="I590" s="17"/>
      <c r="J590" s="17" t="s">
        <v>706</v>
      </c>
      <c r="K590" s="17"/>
      <c r="L590" s="17"/>
      <c r="AC590" s="1257"/>
    </row>
    <row r="591">
      <c r="B591" s="17"/>
      <c r="C591" s="17"/>
      <c r="D591" s="17"/>
      <c r="E591" s="444"/>
      <c r="F591" s="17"/>
      <c r="G591" s="17"/>
      <c r="H591" s="17"/>
      <c r="I591" s="17"/>
      <c r="J591" s="17" t="s">
        <v>706</v>
      </c>
      <c r="K591" s="17"/>
      <c r="L591" s="17"/>
      <c r="AC591" s="1257"/>
    </row>
    <row r="592">
      <c r="B592" s="17"/>
      <c r="C592" s="17"/>
      <c r="D592" s="17"/>
      <c r="E592" s="444"/>
      <c r="F592" s="17"/>
      <c r="G592" s="17"/>
      <c r="H592" s="17"/>
      <c r="I592" s="17"/>
      <c r="J592" s="17" t="s">
        <v>706</v>
      </c>
      <c r="K592" s="17"/>
      <c r="L592" s="17"/>
      <c r="AC592" s="1257"/>
    </row>
    <row r="593">
      <c r="B593" s="17"/>
      <c r="C593" s="17"/>
      <c r="D593" s="17"/>
      <c r="E593" s="444"/>
      <c r="F593" s="17"/>
      <c r="G593" s="17"/>
      <c r="H593" s="17"/>
      <c r="I593" s="17"/>
      <c r="J593" s="17" t="s">
        <v>706</v>
      </c>
      <c r="K593" s="17"/>
      <c r="L593" s="17"/>
      <c r="AC593" s="1257"/>
    </row>
    <row r="594">
      <c r="B594" s="17"/>
      <c r="C594" s="17"/>
      <c r="D594" s="17"/>
      <c r="E594" s="444"/>
      <c r="F594" s="17"/>
      <c r="G594" s="17"/>
      <c r="H594" s="17"/>
      <c r="I594" s="17"/>
      <c r="J594" s="17" t="s">
        <v>706</v>
      </c>
      <c r="K594" s="17"/>
      <c r="L594" s="17"/>
      <c r="AC594" s="1257"/>
    </row>
    <row r="595">
      <c r="B595" s="17"/>
      <c r="C595" s="17"/>
      <c r="D595" s="17"/>
      <c r="E595" s="444"/>
      <c r="F595" s="17"/>
      <c r="G595" s="17"/>
      <c r="H595" s="17"/>
      <c r="I595" s="17"/>
      <c r="J595" s="17" t="s">
        <v>706</v>
      </c>
      <c r="K595" s="17"/>
      <c r="L595" s="17"/>
      <c r="AC595" s="1257"/>
    </row>
    <row r="596">
      <c r="B596" s="17"/>
      <c r="C596" s="17"/>
      <c r="D596" s="17"/>
      <c r="E596" s="444"/>
      <c r="F596" s="17"/>
      <c r="G596" s="17"/>
      <c r="H596" s="17"/>
      <c r="I596" s="17"/>
      <c r="J596" s="17" t="s">
        <v>706</v>
      </c>
      <c r="K596" s="17"/>
      <c r="L596" s="17"/>
      <c r="AC596" s="1257"/>
    </row>
    <row r="597">
      <c r="B597" s="17"/>
      <c r="C597" s="17"/>
      <c r="D597" s="17"/>
      <c r="E597" s="444"/>
      <c r="F597" s="17"/>
      <c r="G597" s="17"/>
      <c r="H597" s="17"/>
      <c r="I597" s="17"/>
      <c r="J597" s="17" t="s">
        <v>706</v>
      </c>
      <c r="K597" s="17"/>
      <c r="L597" s="17"/>
      <c r="AC597" s="1257"/>
    </row>
    <row r="598">
      <c r="B598" s="17"/>
      <c r="C598" s="17"/>
      <c r="D598" s="17"/>
      <c r="E598" s="444"/>
      <c r="F598" s="17"/>
      <c r="G598" s="17"/>
      <c r="H598" s="17"/>
      <c r="I598" s="17"/>
      <c r="J598" s="17" t="s">
        <v>706</v>
      </c>
      <c r="K598" s="17"/>
      <c r="L598" s="17"/>
      <c r="AC598" s="1257"/>
    </row>
    <row r="599">
      <c r="B599" s="17"/>
      <c r="C599" s="17"/>
      <c r="D599" s="17"/>
      <c r="E599" s="444"/>
      <c r="F599" s="17"/>
      <c r="G599" s="17"/>
      <c r="H599" s="17"/>
      <c r="I599" s="17"/>
      <c r="J599" s="17" t="s">
        <v>706</v>
      </c>
      <c r="K599" s="17"/>
      <c r="L599" s="17"/>
      <c r="AC599" s="1257"/>
    </row>
    <row r="600">
      <c r="B600" s="17"/>
      <c r="C600" s="17"/>
      <c r="D600" s="17"/>
      <c r="E600" s="444"/>
      <c r="F600" s="17"/>
      <c r="G600" s="17"/>
      <c r="H600" s="17"/>
      <c r="I600" s="17"/>
      <c r="J600" s="17" t="s">
        <v>706</v>
      </c>
      <c r="K600" s="17"/>
      <c r="L600" s="17"/>
      <c r="AC600" s="1257"/>
    </row>
    <row r="601">
      <c r="B601" s="17"/>
      <c r="C601" s="17"/>
      <c r="D601" s="17"/>
      <c r="E601" s="444"/>
      <c r="F601" s="17"/>
      <c r="G601" s="17"/>
      <c r="H601" s="17"/>
      <c r="I601" s="17"/>
      <c r="J601" s="17" t="s">
        <v>706</v>
      </c>
      <c r="K601" s="17"/>
      <c r="L601" s="17"/>
      <c r="AC601" s="1257"/>
    </row>
    <row r="602">
      <c r="B602" s="17"/>
      <c r="C602" s="17"/>
      <c r="D602" s="17"/>
      <c r="E602" s="444"/>
      <c r="F602" s="17"/>
      <c r="G602" s="17"/>
      <c r="H602" s="17"/>
      <c r="I602" s="17"/>
      <c r="J602" s="17" t="s">
        <v>706</v>
      </c>
      <c r="K602" s="17"/>
      <c r="L602" s="17"/>
      <c r="AC602" s="1257"/>
    </row>
    <row r="603">
      <c r="B603" s="17"/>
      <c r="C603" s="17"/>
      <c r="D603" s="17"/>
      <c r="E603" s="444"/>
      <c r="F603" s="17"/>
      <c r="G603" s="17"/>
      <c r="H603" s="17"/>
      <c r="I603" s="17"/>
      <c r="J603" s="17" t="s">
        <v>706</v>
      </c>
      <c r="K603" s="17"/>
      <c r="L603" s="17"/>
      <c r="AC603" s="1257"/>
    </row>
    <row r="604">
      <c r="B604" s="17"/>
      <c r="C604" s="17"/>
      <c r="D604" s="17"/>
      <c r="E604" s="444"/>
      <c r="F604" s="17"/>
      <c r="G604" s="17"/>
      <c r="H604" s="17"/>
      <c r="I604" s="17"/>
      <c r="J604" s="17" t="s">
        <v>706</v>
      </c>
      <c r="K604" s="17"/>
      <c r="L604" s="17"/>
      <c r="AC604" s="1257"/>
    </row>
    <row r="605">
      <c r="B605" s="17"/>
      <c r="C605" s="17"/>
      <c r="D605" s="17"/>
      <c r="E605" s="444"/>
      <c r="F605" s="17"/>
      <c r="G605" s="17"/>
      <c r="H605" s="17"/>
      <c r="I605" s="17"/>
      <c r="J605" s="17" t="s">
        <v>706</v>
      </c>
      <c r="K605" s="17"/>
      <c r="L605" s="17"/>
      <c r="AC605" s="1257"/>
    </row>
    <row r="606">
      <c r="B606" s="17"/>
      <c r="C606" s="17"/>
      <c r="D606" s="17"/>
      <c r="E606" s="444"/>
      <c r="F606" s="17"/>
      <c r="G606" s="17"/>
      <c r="H606" s="17"/>
      <c r="I606" s="17"/>
      <c r="J606" s="17" t="s">
        <v>706</v>
      </c>
      <c r="K606" s="17"/>
      <c r="L606" s="17"/>
      <c r="AC606" s="1257"/>
    </row>
    <row r="607">
      <c r="B607" s="17"/>
      <c r="C607" s="17"/>
      <c r="D607" s="17"/>
      <c r="E607" s="444"/>
      <c r="F607" s="17"/>
      <c r="G607" s="17"/>
      <c r="H607" s="17"/>
      <c r="I607" s="17"/>
      <c r="J607" s="17" t="s">
        <v>706</v>
      </c>
      <c r="K607" s="17"/>
      <c r="L607" s="17"/>
      <c r="AC607" s="1257"/>
    </row>
    <row r="608">
      <c r="B608" s="17"/>
      <c r="C608" s="17"/>
      <c r="D608" s="17"/>
      <c r="E608" s="444"/>
      <c r="F608" s="17"/>
      <c r="G608" s="17"/>
      <c r="H608" s="17"/>
      <c r="I608" s="17"/>
      <c r="J608" s="17" t="s">
        <v>706</v>
      </c>
      <c r="K608" s="17"/>
      <c r="L608" s="17"/>
      <c r="AC608" s="1257"/>
    </row>
    <row r="609">
      <c r="B609" s="17"/>
      <c r="C609" s="17"/>
      <c r="D609" s="17"/>
      <c r="E609" s="444"/>
      <c r="F609" s="17"/>
      <c r="G609" s="17"/>
      <c r="H609" s="17"/>
      <c r="I609" s="17"/>
      <c r="J609" s="17" t="s">
        <v>706</v>
      </c>
      <c r="K609" s="17"/>
      <c r="L609" s="17"/>
      <c r="AC609" s="1257"/>
    </row>
    <row r="610">
      <c r="B610" s="17"/>
      <c r="C610" s="17"/>
      <c r="D610" s="17"/>
      <c r="E610" s="444"/>
      <c r="F610" s="17"/>
      <c r="G610" s="17"/>
      <c r="H610" s="17"/>
      <c r="I610" s="17"/>
      <c r="J610" s="17" t="s">
        <v>706</v>
      </c>
      <c r="K610" s="17"/>
      <c r="L610" s="17"/>
      <c r="AC610" s="1257"/>
    </row>
    <row r="611">
      <c r="B611" s="17"/>
      <c r="C611" s="17"/>
      <c r="D611" s="17"/>
      <c r="E611" s="444"/>
      <c r="F611" s="17"/>
      <c r="G611" s="17"/>
      <c r="H611" s="17"/>
      <c r="I611" s="17"/>
      <c r="J611" s="17" t="s">
        <v>706</v>
      </c>
      <c r="K611" s="17"/>
      <c r="L611" s="17"/>
      <c r="AC611" s="1257"/>
    </row>
    <row r="612">
      <c r="B612" s="17"/>
      <c r="C612" s="17"/>
      <c r="D612" s="17"/>
      <c r="E612" s="444"/>
      <c r="F612" s="17"/>
      <c r="G612" s="17"/>
      <c r="H612" s="17"/>
      <c r="I612" s="17"/>
      <c r="J612" s="17" t="s">
        <v>706</v>
      </c>
      <c r="K612" s="17"/>
      <c r="L612" s="17"/>
      <c r="AC612" s="1257"/>
    </row>
    <row r="613">
      <c r="B613" s="17"/>
      <c r="C613" s="17"/>
      <c r="D613" s="17"/>
      <c r="E613" s="444"/>
      <c r="F613" s="17"/>
      <c r="G613" s="17"/>
      <c r="H613" s="17"/>
      <c r="I613" s="17"/>
      <c r="J613" s="17" t="s">
        <v>706</v>
      </c>
      <c r="K613" s="17"/>
      <c r="L613" s="17"/>
      <c r="AC613" s="1257"/>
    </row>
    <row r="614">
      <c r="B614" s="17"/>
      <c r="C614" s="17"/>
      <c r="D614" s="17"/>
      <c r="E614" s="444"/>
      <c r="F614" s="17"/>
      <c r="G614" s="17"/>
      <c r="H614" s="17"/>
      <c r="I614" s="17"/>
      <c r="J614" s="17" t="s">
        <v>706</v>
      </c>
      <c r="K614" s="17"/>
      <c r="L614" s="17"/>
      <c r="AC614" s="1257"/>
    </row>
    <row r="615">
      <c r="B615" s="17"/>
      <c r="C615" s="17"/>
      <c r="D615" s="17"/>
      <c r="E615" s="444"/>
      <c r="F615" s="17"/>
      <c r="G615" s="17"/>
      <c r="H615" s="17"/>
      <c r="I615" s="17"/>
      <c r="J615" s="17" t="s">
        <v>706</v>
      </c>
      <c r="K615" s="17"/>
      <c r="L615" s="17"/>
      <c r="AC615" s="1257"/>
    </row>
    <row r="616">
      <c r="B616" s="17"/>
      <c r="C616" s="17"/>
      <c r="D616" s="17"/>
      <c r="E616" s="444"/>
      <c r="F616" s="17"/>
      <c r="G616" s="17"/>
      <c r="H616" s="17"/>
      <c r="I616" s="17"/>
      <c r="J616" s="17" t="s">
        <v>706</v>
      </c>
      <c r="K616" s="17"/>
      <c r="L616" s="17"/>
      <c r="AC616" s="1257"/>
    </row>
    <row r="617">
      <c r="B617" s="17"/>
      <c r="C617" s="17"/>
      <c r="D617" s="17"/>
      <c r="E617" s="444"/>
      <c r="F617" s="17"/>
      <c r="G617" s="17"/>
      <c r="H617" s="17"/>
      <c r="I617" s="17"/>
      <c r="J617" s="17" t="s">
        <v>706</v>
      </c>
      <c r="K617" s="17"/>
      <c r="L617" s="17"/>
      <c r="AC617" s="1257"/>
    </row>
    <row r="618">
      <c r="B618" s="17"/>
      <c r="C618" s="17"/>
      <c r="D618" s="17"/>
      <c r="E618" s="444"/>
      <c r="F618" s="17"/>
      <c r="G618" s="17"/>
      <c r="H618" s="17"/>
      <c r="I618" s="17"/>
      <c r="J618" s="17" t="s">
        <v>706</v>
      </c>
      <c r="K618" s="17"/>
      <c r="L618" s="17"/>
      <c r="AC618" s="1257"/>
    </row>
    <row r="619">
      <c r="B619" s="17"/>
      <c r="C619" s="17"/>
      <c r="D619" s="17"/>
      <c r="E619" s="444"/>
      <c r="F619" s="17"/>
      <c r="G619" s="17"/>
      <c r="H619" s="17"/>
      <c r="I619" s="17"/>
      <c r="J619" s="17" t="s">
        <v>706</v>
      </c>
      <c r="K619" s="17"/>
      <c r="L619" s="17"/>
      <c r="AC619" s="1257"/>
    </row>
    <row r="620">
      <c r="B620" s="17"/>
      <c r="C620" s="17"/>
      <c r="D620" s="17"/>
      <c r="E620" s="444"/>
      <c r="F620" s="17"/>
      <c r="G620" s="17"/>
      <c r="H620" s="17"/>
      <c r="I620" s="17"/>
      <c r="J620" s="17" t="s">
        <v>706</v>
      </c>
      <c r="K620" s="17"/>
      <c r="L620" s="17"/>
      <c r="AC620" s="1257"/>
    </row>
    <row r="621">
      <c r="B621" s="17"/>
      <c r="C621" s="17"/>
      <c r="D621" s="17"/>
      <c r="E621" s="444"/>
      <c r="F621" s="17"/>
      <c r="G621" s="17"/>
      <c r="H621" s="17"/>
      <c r="I621" s="17"/>
      <c r="J621" s="17" t="s">
        <v>706</v>
      </c>
      <c r="K621" s="17"/>
      <c r="L621" s="17"/>
      <c r="AC621" s="1257"/>
    </row>
    <row r="622">
      <c r="B622" s="17"/>
      <c r="C622" s="17"/>
      <c r="D622" s="17"/>
      <c r="E622" s="444"/>
      <c r="F622" s="17"/>
      <c r="G622" s="17"/>
      <c r="H622" s="17"/>
      <c r="I622" s="17"/>
      <c r="J622" s="17" t="s">
        <v>706</v>
      </c>
      <c r="K622" s="17"/>
      <c r="L622" s="17"/>
      <c r="AC622" s="1257"/>
    </row>
    <row r="623">
      <c r="B623" s="17"/>
      <c r="C623" s="17"/>
      <c r="D623" s="17"/>
      <c r="E623" s="444"/>
      <c r="F623" s="17"/>
      <c r="G623" s="17"/>
      <c r="H623" s="17"/>
      <c r="I623" s="17"/>
      <c r="J623" s="17" t="s">
        <v>706</v>
      </c>
      <c r="K623" s="17"/>
      <c r="L623" s="17"/>
      <c r="AC623" s="1257"/>
    </row>
    <row r="624">
      <c r="B624" s="17"/>
      <c r="C624" s="17"/>
      <c r="D624" s="17"/>
      <c r="E624" s="444"/>
      <c r="F624" s="17"/>
      <c r="G624" s="17"/>
      <c r="H624" s="17"/>
      <c r="I624" s="17"/>
      <c r="J624" s="17" t="s">
        <v>706</v>
      </c>
      <c r="K624" s="17"/>
      <c r="L624" s="17"/>
      <c r="AC624" s="1257"/>
    </row>
    <row r="625">
      <c r="B625" s="17"/>
      <c r="C625" s="17"/>
      <c r="D625" s="17"/>
      <c r="E625" s="444"/>
      <c r="F625" s="17"/>
      <c r="G625" s="17"/>
      <c r="H625" s="17"/>
      <c r="I625" s="17"/>
      <c r="J625" s="17" t="s">
        <v>706</v>
      </c>
      <c r="K625" s="17"/>
      <c r="L625" s="17"/>
      <c r="AC625" s="1257"/>
    </row>
    <row r="626">
      <c r="B626" s="17"/>
      <c r="C626" s="17"/>
      <c r="D626" s="17"/>
      <c r="E626" s="444"/>
      <c r="F626" s="17"/>
      <c r="G626" s="17"/>
      <c r="H626" s="17"/>
      <c r="I626" s="17"/>
      <c r="J626" s="17" t="s">
        <v>706</v>
      </c>
      <c r="K626" s="17"/>
      <c r="L626" s="17"/>
      <c r="AC626" s="1257"/>
    </row>
    <row r="627">
      <c r="B627" s="17"/>
      <c r="C627" s="17"/>
      <c r="D627" s="17"/>
      <c r="E627" s="444"/>
      <c r="F627" s="17"/>
      <c r="G627" s="17"/>
      <c r="H627" s="17"/>
      <c r="I627" s="17"/>
      <c r="J627" s="17" t="s">
        <v>706</v>
      </c>
      <c r="K627" s="17"/>
      <c r="L627" s="17"/>
      <c r="AC627" s="1257"/>
    </row>
    <row r="628">
      <c r="B628" s="17"/>
      <c r="C628" s="17"/>
      <c r="D628" s="17"/>
      <c r="E628" s="444"/>
      <c r="F628" s="17"/>
      <c r="G628" s="17"/>
      <c r="H628" s="17"/>
      <c r="I628" s="17"/>
      <c r="J628" s="17" t="s">
        <v>706</v>
      </c>
      <c r="K628" s="17"/>
      <c r="L628" s="17"/>
      <c r="AC628" s="1257"/>
    </row>
    <row r="629">
      <c r="B629" s="17"/>
      <c r="C629" s="17"/>
      <c r="D629" s="17"/>
      <c r="E629" s="444"/>
      <c r="F629" s="17"/>
      <c r="G629" s="17"/>
      <c r="H629" s="17"/>
      <c r="I629" s="17"/>
      <c r="J629" s="17" t="s">
        <v>706</v>
      </c>
      <c r="K629" s="17"/>
      <c r="L629" s="17"/>
      <c r="AC629" s="1257"/>
    </row>
    <row r="630">
      <c r="B630" s="17"/>
      <c r="C630" s="17"/>
      <c r="D630" s="17"/>
      <c r="E630" s="444"/>
      <c r="F630" s="17"/>
      <c r="G630" s="17"/>
      <c r="H630" s="17"/>
      <c r="I630" s="17"/>
      <c r="J630" s="17" t="s">
        <v>706</v>
      </c>
      <c r="K630" s="17"/>
      <c r="L630" s="17"/>
      <c r="AC630" s="1257"/>
    </row>
    <row r="631">
      <c r="B631" s="17"/>
      <c r="C631" s="17"/>
      <c r="D631" s="17"/>
      <c r="E631" s="444"/>
      <c r="F631" s="17"/>
      <c r="G631" s="17"/>
      <c r="H631" s="17"/>
      <c r="I631" s="17"/>
      <c r="J631" s="17" t="s">
        <v>706</v>
      </c>
      <c r="K631" s="17"/>
      <c r="L631" s="17"/>
      <c r="AC631" s="1257"/>
    </row>
    <row r="632">
      <c r="B632" s="17"/>
      <c r="C632" s="17"/>
      <c r="D632" s="17"/>
      <c r="E632" s="444"/>
      <c r="F632" s="17"/>
      <c r="G632" s="17"/>
      <c r="H632" s="17"/>
      <c r="I632" s="17"/>
      <c r="J632" s="17" t="s">
        <v>706</v>
      </c>
      <c r="K632" s="17"/>
      <c r="L632" s="17"/>
      <c r="AC632" s="1257"/>
    </row>
    <row r="633">
      <c r="B633" s="17"/>
      <c r="C633" s="17"/>
      <c r="D633" s="17"/>
      <c r="E633" s="444"/>
      <c r="F633" s="17"/>
      <c r="G633" s="17"/>
      <c r="H633" s="17"/>
      <c r="I633" s="17"/>
      <c r="J633" s="17" t="s">
        <v>706</v>
      </c>
      <c r="K633" s="17"/>
      <c r="L633" s="17"/>
      <c r="AC633" s="1257"/>
    </row>
    <row r="634">
      <c r="B634" s="17"/>
      <c r="C634" s="17"/>
      <c r="D634" s="17"/>
      <c r="E634" s="444"/>
      <c r="F634" s="17"/>
      <c r="G634" s="17"/>
      <c r="H634" s="17"/>
      <c r="I634" s="17"/>
      <c r="J634" s="17" t="s">
        <v>706</v>
      </c>
      <c r="K634" s="17"/>
      <c r="L634" s="17"/>
      <c r="AC634" s="1257"/>
    </row>
    <row r="635">
      <c r="B635" s="17"/>
      <c r="C635" s="17"/>
      <c r="D635" s="17"/>
      <c r="E635" s="444"/>
      <c r="F635" s="17"/>
      <c r="G635" s="17"/>
      <c r="H635" s="17"/>
      <c r="I635" s="17"/>
      <c r="J635" s="17" t="s">
        <v>706</v>
      </c>
      <c r="K635" s="17"/>
      <c r="L635" s="17"/>
      <c r="AC635" s="1257"/>
    </row>
    <row r="636">
      <c r="B636" s="17"/>
      <c r="C636" s="17"/>
      <c r="D636" s="17"/>
      <c r="E636" s="444"/>
      <c r="F636" s="17"/>
      <c r="G636" s="17"/>
      <c r="H636" s="17"/>
      <c r="I636" s="17"/>
      <c r="J636" s="17" t="s">
        <v>706</v>
      </c>
      <c r="K636" s="17"/>
      <c r="L636" s="17"/>
      <c r="AC636" s="1257"/>
    </row>
    <row r="637">
      <c r="B637" s="17"/>
      <c r="C637" s="17"/>
      <c r="D637" s="17"/>
      <c r="E637" s="444"/>
      <c r="F637" s="17"/>
      <c r="G637" s="17"/>
      <c r="H637" s="17"/>
      <c r="I637" s="17"/>
      <c r="J637" s="17" t="s">
        <v>706</v>
      </c>
      <c r="K637" s="17"/>
      <c r="L637" s="17"/>
      <c r="AC637" s="1257"/>
    </row>
    <row r="638">
      <c r="B638" s="17"/>
      <c r="C638" s="17"/>
      <c r="D638" s="17"/>
      <c r="E638" s="444"/>
      <c r="F638" s="17"/>
      <c r="G638" s="17"/>
      <c r="H638" s="17"/>
      <c r="I638" s="17"/>
      <c r="J638" s="17" t="s">
        <v>706</v>
      </c>
      <c r="K638" s="17"/>
      <c r="L638" s="17"/>
      <c r="AC638" s="1257"/>
    </row>
    <row r="639">
      <c r="B639" s="17"/>
      <c r="C639" s="17"/>
      <c r="D639" s="17"/>
      <c r="E639" s="444"/>
      <c r="F639" s="17"/>
      <c r="G639" s="17"/>
      <c r="H639" s="17"/>
      <c r="I639" s="17"/>
      <c r="J639" s="17" t="s">
        <v>706</v>
      </c>
      <c r="K639" s="17"/>
      <c r="L639" s="17"/>
      <c r="AC639" s="1257"/>
    </row>
    <row r="640">
      <c r="B640" s="17"/>
      <c r="C640" s="17"/>
      <c r="D640" s="17"/>
      <c r="E640" s="444"/>
      <c r="F640" s="17"/>
      <c r="G640" s="17"/>
      <c r="H640" s="17"/>
      <c r="I640" s="17"/>
      <c r="J640" s="17" t="s">
        <v>706</v>
      </c>
      <c r="K640" s="17"/>
      <c r="L640" s="17"/>
      <c r="AC640" s="1257"/>
    </row>
    <row r="641">
      <c r="B641" s="17"/>
      <c r="C641" s="17"/>
      <c r="D641" s="17"/>
      <c r="E641" s="444"/>
      <c r="F641" s="17"/>
      <c r="G641" s="17"/>
      <c r="H641" s="17"/>
      <c r="I641" s="17"/>
      <c r="J641" s="17" t="s">
        <v>706</v>
      </c>
      <c r="K641" s="17"/>
      <c r="L641" s="17"/>
      <c r="AC641" s="1257"/>
    </row>
    <row r="642">
      <c r="B642" s="17"/>
      <c r="C642" s="17"/>
      <c r="D642" s="17"/>
      <c r="E642" s="444"/>
      <c r="F642" s="17"/>
      <c r="G642" s="17"/>
      <c r="H642" s="17"/>
      <c r="I642" s="17"/>
      <c r="J642" s="17" t="s">
        <v>706</v>
      </c>
      <c r="K642" s="17"/>
      <c r="L642" s="17"/>
      <c r="AC642" s="1257"/>
    </row>
    <row r="643">
      <c r="B643" s="17"/>
      <c r="C643" s="17"/>
      <c r="D643" s="17"/>
      <c r="E643" s="444"/>
      <c r="F643" s="17"/>
      <c r="G643" s="17"/>
      <c r="H643" s="17"/>
      <c r="I643" s="17"/>
      <c r="J643" s="17" t="s">
        <v>706</v>
      </c>
      <c r="K643" s="17"/>
      <c r="L643" s="17"/>
      <c r="AC643" s="1257"/>
    </row>
    <row r="644">
      <c r="B644" s="17"/>
      <c r="C644" s="17"/>
      <c r="D644" s="17"/>
      <c r="E644" s="444"/>
      <c r="F644" s="17"/>
      <c r="G644" s="17"/>
      <c r="H644" s="17"/>
      <c r="I644" s="17"/>
      <c r="J644" s="17" t="s">
        <v>706</v>
      </c>
      <c r="K644" s="17"/>
      <c r="L644" s="17"/>
      <c r="AC644" s="1257"/>
    </row>
    <row r="645">
      <c r="B645" s="17"/>
      <c r="C645" s="17"/>
      <c r="D645" s="17"/>
      <c r="E645" s="444"/>
      <c r="F645" s="17"/>
      <c r="G645" s="17"/>
      <c r="H645" s="17"/>
      <c r="I645" s="17"/>
      <c r="J645" s="17" t="s">
        <v>706</v>
      </c>
      <c r="K645" s="17"/>
      <c r="L645" s="17"/>
      <c r="AC645" s="1257"/>
    </row>
    <row r="646">
      <c r="B646" s="17"/>
      <c r="C646" s="17"/>
      <c r="D646" s="17"/>
      <c r="E646" s="444"/>
      <c r="F646" s="17"/>
      <c r="G646" s="17"/>
      <c r="H646" s="17"/>
      <c r="I646" s="17"/>
      <c r="J646" s="17" t="s">
        <v>706</v>
      </c>
      <c r="K646" s="17"/>
      <c r="L646" s="17"/>
      <c r="AC646" s="1257"/>
    </row>
    <row r="647">
      <c r="B647" s="17"/>
      <c r="C647" s="17"/>
      <c r="D647" s="17"/>
      <c r="E647" s="444"/>
      <c r="F647" s="17"/>
      <c r="G647" s="17"/>
      <c r="H647" s="17"/>
      <c r="I647" s="17"/>
      <c r="J647" s="17" t="s">
        <v>706</v>
      </c>
      <c r="K647" s="17"/>
      <c r="L647" s="17"/>
      <c r="AC647" s="1257"/>
    </row>
    <row r="648">
      <c r="B648" s="17"/>
      <c r="C648" s="17"/>
      <c r="D648" s="17"/>
      <c r="E648" s="444"/>
      <c r="F648" s="17"/>
      <c r="G648" s="17"/>
      <c r="H648" s="17"/>
      <c r="I648" s="17"/>
      <c r="J648" s="17" t="s">
        <v>706</v>
      </c>
      <c r="K648" s="17"/>
      <c r="L648" s="17"/>
      <c r="AC648" s="1257"/>
    </row>
    <row r="649">
      <c r="B649" s="17"/>
      <c r="C649" s="17"/>
      <c r="D649" s="17"/>
      <c r="E649" s="444"/>
      <c r="F649" s="17"/>
      <c r="G649" s="17"/>
      <c r="H649" s="17"/>
      <c r="I649" s="17"/>
      <c r="J649" s="17" t="s">
        <v>706</v>
      </c>
      <c r="K649" s="17"/>
      <c r="L649" s="17"/>
      <c r="AC649" s="1257"/>
    </row>
    <row r="650">
      <c r="B650" s="17"/>
      <c r="C650" s="17"/>
      <c r="D650" s="17"/>
      <c r="E650" s="444"/>
      <c r="F650" s="17"/>
      <c r="G650" s="17"/>
      <c r="H650" s="17"/>
      <c r="I650" s="17"/>
      <c r="J650" s="17" t="s">
        <v>706</v>
      </c>
      <c r="K650" s="17"/>
      <c r="L650" s="17"/>
      <c r="AC650" s="1257"/>
    </row>
    <row r="651">
      <c r="B651" s="17"/>
      <c r="C651" s="17"/>
      <c r="D651" s="17"/>
      <c r="E651" s="444"/>
      <c r="F651" s="17"/>
      <c r="G651" s="17"/>
      <c r="H651" s="17"/>
      <c r="I651" s="17"/>
      <c r="J651" s="17" t="s">
        <v>706</v>
      </c>
      <c r="K651" s="17"/>
      <c r="L651" s="17"/>
      <c r="AC651" s="1257"/>
    </row>
    <row r="652">
      <c r="B652" s="17"/>
      <c r="C652" s="17"/>
      <c r="D652" s="17"/>
      <c r="E652" s="444"/>
      <c r="F652" s="17"/>
      <c r="G652" s="17"/>
      <c r="H652" s="17"/>
      <c r="I652" s="17"/>
      <c r="J652" s="17" t="s">
        <v>706</v>
      </c>
      <c r="K652" s="17"/>
      <c r="L652" s="17"/>
      <c r="AC652" s="1257"/>
    </row>
    <row r="653">
      <c r="B653" s="17"/>
      <c r="C653" s="17"/>
      <c r="D653" s="17"/>
      <c r="E653" s="444"/>
      <c r="F653" s="17"/>
      <c r="G653" s="17"/>
      <c r="H653" s="17"/>
      <c r="I653" s="17"/>
      <c r="J653" s="17" t="s">
        <v>706</v>
      </c>
      <c r="K653" s="17"/>
      <c r="L653" s="17"/>
      <c r="AC653" s="1257"/>
    </row>
    <row r="654">
      <c r="B654" s="17"/>
      <c r="C654" s="17"/>
      <c r="D654" s="17"/>
      <c r="E654" s="444"/>
      <c r="F654" s="17"/>
      <c r="G654" s="17"/>
      <c r="H654" s="17"/>
      <c r="I654" s="17"/>
      <c r="J654" s="17" t="s">
        <v>706</v>
      </c>
      <c r="K654" s="17"/>
      <c r="L654" s="17"/>
      <c r="AC654" s="1257"/>
    </row>
    <row r="655">
      <c r="B655" s="17"/>
      <c r="C655" s="17"/>
      <c r="D655" s="17"/>
      <c r="E655" s="444"/>
      <c r="F655" s="17"/>
      <c r="G655" s="17"/>
      <c r="H655" s="17"/>
      <c r="I655" s="17"/>
      <c r="J655" s="17" t="s">
        <v>706</v>
      </c>
      <c r="K655" s="17"/>
      <c r="L655" s="17"/>
      <c r="AC655" s="1257"/>
    </row>
    <row r="656">
      <c r="B656" s="17"/>
      <c r="C656" s="17"/>
      <c r="D656" s="17"/>
      <c r="E656" s="444"/>
      <c r="F656" s="17"/>
      <c r="G656" s="17"/>
      <c r="H656" s="17"/>
      <c r="I656" s="17"/>
      <c r="J656" s="17" t="s">
        <v>706</v>
      </c>
      <c r="K656" s="17"/>
      <c r="L656" s="17"/>
      <c r="AC656" s="1257"/>
    </row>
    <row r="657">
      <c r="B657" s="17"/>
      <c r="C657" s="17"/>
      <c r="D657" s="17"/>
      <c r="E657" s="444"/>
      <c r="F657" s="17"/>
      <c r="G657" s="17"/>
      <c r="H657" s="17"/>
      <c r="I657" s="17"/>
      <c r="J657" s="17" t="s">
        <v>706</v>
      </c>
      <c r="K657" s="17"/>
      <c r="L657" s="17"/>
      <c r="AC657" s="1257"/>
    </row>
    <row r="658">
      <c r="B658" s="17"/>
      <c r="C658" s="17"/>
      <c r="D658" s="17"/>
      <c r="E658" s="444"/>
      <c r="F658" s="17"/>
      <c r="G658" s="17"/>
      <c r="H658" s="17"/>
      <c r="I658" s="17"/>
      <c r="J658" s="17" t="s">
        <v>706</v>
      </c>
      <c r="K658" s="17"/>
      <c r="L658" s="17"/>
      <c r="AC658" s="1257"/>
    </row>
    <row r="659">
      <c r="B659" s="17"/>
      <c r="C659" s="17"/>
      <c r="D659" s="17"/>
      <c r="E659" s="444"/>
      <c r="F659" s="17"/>
      <c r="G659" s="17"/>
      <c r="H659" s="17"/>
      <c r="I659" s="17"/>
      <c r="J659" s="17" t="s">
        <v>706</v>
      </c>
      <c r="K659" s="17"/>
      <c r="L659" s="17"/>
      <c r="AC659" s="1257"/>
    </row>
    <row r="660">
      <c r="B660" s="17"/>
      <c r="C660" s="17"/>
      <c r="D660" s="17"/>
      <c r="E660" s="444"/>
      <c r="F660" s="17"/>
      <c r="G660" s="17"/>
      <c r="H660" s="17"/>
      <c r="I660" s="17"/>
      <c r="J660" s="17" t="s">
        <v>706</v>
      </c>
      <c r="K660" s="17"/>
      <c r="L660" s="17"/>
      <c r="AC660" s="1257"/>
    </row>
    <row r="661">
      <c r="B661" s="17"/>
      <c r="C661" s="17"/>
      <c r="D661" s="17"/>
      <c r="E661" s="444"/>
      <c r="F661" s="17"/>
      <c r="G661" s="17"/>
      <c r="H661" s="17"/>
      <c r="I661" s="17"/>
      <c r="J661" s="17" t="s">
        <v>706</v>
      </c>
      <c r="K661" s="17"/>
      <c r="L661" s="17"/>
      <c r="AC661" s="1257"/>
    </row>
    <row r="662">
      <c r="B662" s="17"/>
      <c r="C662" s="17"/>
      <c r="D662" s="17"/>
      <c r="E662" s="444"/>
      <c r="F662" s="17"/>
      <c r="G662" s="17"/>
      <c r="H662" s="17"/>
      <c r="I662" s="17"/>
      <c r="J662" s="17" t="s">
        <v>706</v>
      </c>
      <c r="K662" s="17"/>
      <c r="L662" s="17"/>
      <c r="AC662" s="1257"/>
    </row>
    <row r="663">
      <c r="B663" s="17"/>
      <c r="C663" s="17"/>
      <c r="D663" s="17"/>
      <c r="E663" s="444"/>
      <c r="F663" s="17"/>
      <c r="G663" s="17"/>
      <c r="H663" s="17"/>
      <c r="I663" s="17"/>
      <c r="J663" s="17" t="s">
        <v>706</v>
      </c>
      <c r="K663" s="17"/>
      <c r="L663" s="17"/>
      <c r="AC663" s="1257"/>
    </row>
    <row r="664">
      <c r="B664" s="17"/>
      <c r="C664" s="17"/>
      <c r="D664" s="17"/>
      <c r="E664" s="444"/>
      <c r="F664" s="17"/>
      <c r="G664" s="17"/>
      <c r="H664" s="17"/>
      <c r="I664" s="17"/>
      <c r="J664" s="17" t="s">
        <v>706</v>
      </c>
      <c r="K664" s="17"/>
      <c r="L664" s="17"/>
      <c r="AC664" s="1257"/>
    </row>
    <row r="665">
      <c r="B665" s="17"/>
      <c r="C665" s="17"/>
      <c r="D665" s="17"/>
      <c r="E665" s="444"/>
      <c r="F665" s="17"/>
      <c r="G665" s="17"/>
      <c r="H665" s="17"/>
      <c r="I665" s="17"/>
      <c r="J665" s="17" t="s">
        <v>706</v>
      </c>
      <c r="K665" s="17"/>
      <c r="L665" s="17"/>
      <c r="AC665" s="1257"/>
    </row>
    <row r="666">
      <c r="B666" s="17"/>
      <c r="C666" s="17"/>
      <c r="D666" s="17"/>
      <c r="E666" s="444"/>
      <c r="F666" s="17"/>
      <c r="G666" s="17"/>
      <c r="H666" s="17"/>
      <c r="I666" s="17"/>
      <c r="J666" s="17" t="s">
        <v>706</v>
      </c>
      <c r="K666" s="17"/>
      <c r="L666" s="17"/>
      <c r="AC666" s="1257"/>
    </row>
    <row r="667">
      <c r="B667" s="17"/>
      <c r="C667" s="17"/>
      <c r="D667" s="17"/>
      <c r="E667" s="444"/>
      <c r="F667" s="17"/>
      <c r="G667" s="17"/>
      <c r="H667" s="17"/>
      <c r="I667" s="17"/>
      <c r="J667" s="17" t="s">
        <v>706</v>
      </c>
      <c r="K667" s="17"/>
      <c r="L667" s="17"/>
      <c r="AC667" s="1257"/>
    </row>
    <row r="668">
      <c r="B668" s="17"/>
      <c r="C668" s="17"/>
      <c r="D668" s="17"/>
      <c r="E668" s="444"/>
      <c r="F668" s="17"/>
      <c r="G668" s="17"/>
      <c r="H668" s="17"/>
      <c r="I668" s="17"/>
      <c r="J668" s="17" t="s">
        <v>706</v>
      </c>
      <c r="K668" s="17"/>
      <c r="L668" s="17"/>
      <c r="AC668" s="1257"/>
    </row>
    <row r="669">
      <c r="B669" s="17"/>
      <c r="C669" s="17"/>
      <c r="D669" s="17"/>
      <c r="E669" s="444"/>
      <c r="F669" s="17"/>
      <c r="G669" s="17"/>
      <c r="H669" s="17"/>
      <c r="I669" s="17"/>
      <c r="J669" s="17" t="s">
        <v>706</v>
      </c>
      <c r="K669" s="17"/>
      <c r="L669" s="17"/>
      <c r="AC669" s="1257"/>
    </row>
    <row r="670">
      <c r="B670" s="17"/>
      <c r="C670" s="17"/>
      <c r="D670" s="17"/>
      <c r="E670" s="444"/>
      <c r="F670" s="17"/>
      <c r="G670" s="17"/>
      <c r="H670" s="17"/>
      <c r="I670" s="17"/>
      <c r="J670" s="17" t="s">
        <v>706</v>
      </c>
      <c r="K670" s="17"/>
      <c r="L670" s="17"/>
      <c r="AC670" s="1257"/>
    </row>
    <row r="671">
      <c r="B671" s="17"/>
      <c r="C671" s="17"/>
      <c r="D671" s="17"/>
      <c r="E671" s="444"/>
      <c r="F671" s="17"/>
      <c r="G671" s="17"/>
      <c r="H671" s="17"/>
      <c r="I671" s="17"/>
      <c r="J671" s="17" t="s">
        <v>706</v>
      </c>
      <c r="K671" s="17"/>
      <c r="L671" s="17"/>
      <c r="AC671" s="1257"/>
    </row>
    <row r="672">
      <c r="B672" s="17"/>
      <c r="C672" s="17"/>
      <c r="D672" s="17"/>
      <c r="E672" s="444"/>
      <c r="F672" s="17"/>
      <c r="G672" s="17"/>
      <c r="H672" s="17"/>
      <c r="I672" s="17"/>
      <c r="J672" s="17" t="s">
        <v>706</v>
      </c>
      <c r="K672" s="17"/>
      <c r="L672" s="17"/>
      <c r="AC672" s="1257"/>
    </row>
    <row r="673">
      <c r="B673" s="17"/>
      <c r="C673" s="17"/>
      <c r="D673" s="17"/>
      <c r="E673" s="444"/>
      <c r="F673" s="17"/>
      <c r="G673" s="17"/>
      <c r="H673" s="17"/>
      <c r="I673" s="17"/>
      <c r="J673" s="17" t="s">
        <v>706</v>
      </c>
      <c r="K673" s="17"/>
      <c r="L673" s="17"/>
      <c r="AC673" s="1257"/>
    </row>
    <row r="674">
      <c r="B674" s="17"/>
      <c r="C674" s="17"/>
      <c r="D674" s="17"/>
      <c r="E674" s="444"/>
      <c r="F674" s="17"/>
      <c r="G674" s="17"/>
      <c r="H674" s="17"/>
      <c r="I674" s="17"/>
      <c r="J674" s="17" t="s">
        <v>706</v>
      </c>
      <c r="K674" s="17"/>
      <c r="L674" s="17"/>
      <c r="AC674" s="1257"/>
    </row>
    <row r="675">
      <c r="B675" s="17"/>
      <c r="C675" s="17"/>
      <c r="D675" s="17"/>
      <c r="E675" s="444"/>
      <c r="F675" s="17"/>
      <c r="G675" s="17"/>
      <c r="H675" s="17"/>
      <c r="I675" s="17"/>
      <c r="J675" s="17" t="s">
        <v>706</v>
      </c>
      <c r="K675" s="17"/>
      <c r="L675" s="17"/>
      <c r="AC675" s="1257"/>
    </row>
    <row r="676">
      <c r="B676" s="17"/>
      <c r="C676" s="17"/>
      <c r="D676" s="17"/>
      <c r="E676" s="444"/>
      <c r="F676" s="17"/>
      <c r="G676" s="17"/>
      <c r="H676" s="17"/>
      <c r="I676" s="17"/>
      <c r="J676" s="17" t="s">
        <v>706</v>
      </c>
      <c r="K676" s="17"/>
      <c r="L676" s="17"/>
      <c r="AC676" s="1257"/>
    </row>
    <row r="677">
      <c r="B677" s="17"/>
      <c r="C677" s="17"/>
      <c r="D677" s="17"/>
      <c r="E677" s="444"/>
      <c r="F677" s="17"/>
      <c r="G677" s="17"/>
      <c r="H677" s="17"/>
      <c r="I677" s="17"/>
      <c r="J677" s="17" t="s">
        <v>706</v>
      </c>
      <c r="K677" s="17"/>
      <c r="L677" s="17"/>
      <c r="AC677" s="1257"/>
    </row>
    <row r="678">
      <c r="B678" s="17"/>
      <c r="C678" s="17"/>
      <c r="D678" s="17"/>
      <c r="E678" s="444"/>
      <c r="F678" s="17"/>
      <c r="G678" s="17"/>
      <c r="H678" s="17"/>
      <c r="I678" s="17"/>
      <c r="J678" s="17" t="s">
        <v>706</v>
      </c>
      <c r="K678" s="17"/>
      <c r="L678" s="17"/>
      <c r="AC678" s="1257"/>
    </row>
    <row r="679">
      <c r="B679" s="17"/>
      <c r="C679" s="17"/>
      <c r="D679" s="17"/>
      <c r="E679" s="444"/>
      <c r="F679" s="17"/>
      <c r="G679" s="17"/>
      <c r="H679" s="17"/>
      <c r="I679" s="17"/>
      <c r="J679" s="17" t="s">
        <v>706</v>
      </c>
      <c r="K679" s="17"/>
      <c r="L679" s="17"/>
      <c r="AC679" s="1257"/>
    </row>
    <row r="680">
      <c r="B680" s="17"/>
      <c r="C680" s="17"/>
      <c r="D680" s="17"/>
      <c r="E680" s="444"/>
      <c r="F680" s="17"/>
      <c r="G680" s="17"/>
      <c r="H680" s="17"/>
      <c r="I680" s="17"/>
      <c r="J680" s="17" t="s">
        <v>706</v>
      </c>
      <c r="K680" s="17"/>
      <c r="L680" s="17"/>
      <c r="AC680" s="1257"/>
    </row>
    <row r="681">
      <c r="B681" s="17"/>
      <c r="C681" s="17"/>
      <c r="D681" s="17"/>
      <c r="E681" s="444"/>
      <c r="F681" s="17"/>
      <c r="G681" s="17"/>
      <c r="H681" s="17"/>
      <c r="I681" s="17"/>
      <c r="J681" s="17" t="s">
        <v>706</v>
      </c>
      <c r="K681" s="17"/>
      <c r="L681" s="17"/>
      <c r="AC681" s="1257"/>
    </row>
    <row r="682">
      <c r="B682" s="17"/>
      <c r="C682" s="17"/>
      <c r="D682" s="17"/>
      <c r="E682" s="444"/>
      <c r="F682" s="17"/>
      <c r="G682" s="17"/>
      <c r="H682" s="17"/>
      <c r="I682" s="17"/>
      <c r="J682" s="17" t="s">
        <v>706</v>
      </c>
      <c r="K682" s="17"/>
      <c r="L682" s="17"/>
      <c r="AC682" s="1257"/>
    </row>
    <row r="683">
      <c r="B683" s="17"/>
      <c r="C683" s="17"/>
      <c r="D683" s="17"/>
      <c r="E683" s="444"/>
      <c r="F683" s="17"/>
      <c r="G683" s="17"/>
      <c r="H683" s="17"/>
      <c r="I683" s="17"/>
      <c r="J683" s="17" t="s">
        <v>706</v>
      </c>
      <c r="K683" s="17"/>
      <c r="L683" s="17"/>
      <c r="AC683" s="1257"/>
    </row>
    <row r="684">
      <c r="B684" s="17"/>
      <c r="C684" s="17"/>
      <c r="D684" s="17"/>
      <c r="E684" s="444"/>
      <c r="F684" s="17"/>
      <c r="G684" s="17"/>
      <c r="H684" s="17"/>
      <c r="I684" s="17"/>
      <c r="J684" s="17" t="s">
        <v>706</v>
      </c>
      <c r="K684" s="17"/>
      <c r="L684" s="17"/>
      <c r="AC684" s="1257"/>
    </row>
    <row r="685">
      <c r="B685" s="17"/>
      <c r="C685" s="17"/>
      <c r="D685" s="17"/>
      <c r="E685" s="444"/>
      <c r="F685" s="17"/>
      <c r="G685" s="17"/>
      <c r="H685" s="17"/>
      <c r="I685" s="17"/>
      <c r="J685" s="17" t="s">
        <v>706</v>
      </c>
      <c r="K685" s="17"/>
      <c r="L685" s="17"/>
      <c r="AC685" s="1257"/>
    </row>
    <row r="686">
      <c r="B686" s="17"/>
      <c r="C686" s="17"/>
      <c r="D686" s="17"/>
      <c r="E686" s="444"/>
      <c r="F686" s="17"/>
      <c r="G686" s="17"/>
      <c r="H686" s="17"/>
      <c r="I686" s="17"/>
      <c r="J686" s="17" t="s">
        <v>706</v>
      </c>
      <c r="K686" s="17"/>
      <c r="L686" s="17"/>
      <c r="AC686" s="1257"/>
    </row>
    <row r="687">
      <c r="B687" s="17"/>
      <c r="C687" s="17"/>
      <c r="D687" s="17"/>
      <c r="E687" s="444"/>
      <c r="F687" s="17"/>
      <c r="G687" s="17"/>
      <c r="H687" s="17"/>
      <c r="I687" s="17"/>
      <c r="J687" s="17" t="s">
        <v>706</v>
      </c>
      <c r="K687" s="17"/>
      <c r="L687" s="17"/>
      <c r="AC687" s="1257"/>
    </row>
    <row r="688">
      <c r="B688" s="17"/>
      <c r="C688" s="17"/>
      <c r="D688" s="17"/>
      <c r="E688" s="444"/>
      <c r="F688" s="17"/>
      <c r="G688" s="17"/>
      <c r="H688" s="17"/>
      <c r="I688" s="17"/>
      <c r="J688" s="17" t="s">
        <v>706</v>
      </c>
      <c r="K688" s="17"/>
      <c r="L688" s="17"/>
      <c r="AC688" s="1257"/>
    </row>
    <row r="689">
      <c r="B689" s="17"/>
      <c r="C689" s="17"/>
      <c r="D689" s="17"/>
      <c r="E689" s="444"/>
      <c r="F689" s="17"/>
      <c r="G689" s="17"/>
      <c r="H689" s="17"/>
      <c r="I689" s="17"/>
      <c r="J689" s="17" t="s">
        <v>706</v>
      </c>
      <c r="K689" s="17"/>
      <c r="L689" s="17"/>
      <c r="AC689" s="1257"/>
    </row>
    <row r="690">
      <c r="B690" s="17"/>
      <c r="C690" s="17"/>
      <c r="D690" s="17"/>
      <c r="E690" s="444"/>
      <c r="F690" s="17"/>
      <c r="G690" s="17"/>
      <c r="H690" s="17"/>
      <c r="I690" s="17"/>
      <c r="J690" s="17" t="s">
        <v>706</v>
      </c>
      <c r="K690" s="17"/>
      <c r="L690" s="17"/>
      <c r="AC690" s="1257"/>
    </row>
    <row r="691">
      <c r="B691" s="17"/>
      <c r="C691" s="17"/>
      <c r="D691" s="17"/>
      <c r="E691" s="444"/>
      <c r="F691" s="17"/>
      <c r="G691" s="17"/>
      <c r="H691" s="17"/>
      <c r="I691" s="17"/>
      <c r="J691" s="17" t="s">
        <v>706</v>
      </c>
      <c r="K691" s="17"/>
      <c r="L691" s="17"/>
      <c r="AC691" s="1257"/>
    </row>
    <row r="692">
      <c r="B692" s="17"/>
      <c r="C692" s="17"/>
      <c r="D692" s="17"/>
      <c r="E692" s="444"/>
      <c r="F692" s="17"/>
      <c r="G692" s="17"/>
      <c r="H692" s="17"/>
      <c r="I692" s="17"/>
      <c r="J692" s="17" t="s">
        <v>706</v>
      </c>
      <c r="K692" s="17"/>
      <c r="L692" s="17"/>
      <c r="AC692" s="1257"/>
    </row>
    <row r="693">
      <c r="B693" s="17"/>
      <c r="C693" s="17"/>
      <c r="D693" s="17"/>
      <c r="E693" s="444"/>
      <c r="F693" s="17"/>
      <c r="G693" s="17"/>
      <c r="H693" s="17"/>
      <c r="I693" s="17"/>
      <c r="J693" s="17" t="s">
        <v>706</v>
      </c>
      <c r="K693" s="17"/>
      <c r="L693" s="17"/>
      <c r="AC693" s="1257"/>
    </row>
    <row r="694">
      <c r="B694" s="17"/>
      <c r="C694" s="17"/>
      <c r="D694" s="17"/>
      <c r="E694" s="444"/>
      <c r="F694" s="17"/>
      <c r="G694" s="17"/>
      <c r="H694" s="17"/>
      <c r="I694" s="17"/>
      <c r="J694" s="17" t="s">
        <v>706</v>
      </c>
      <c r="K694" s="17"/>
      <c r="L694" s="17"/>
      <c r="AC694" s="1257"/>
    </row>
    <row r="695">
      <c r="B695" s="17"/>
      <c r="C695" s="17"/>
      <c r="D695" s="17"/>
      <c r="E695" s="444"/>
      <c r="F695" s="17"/>
      <c r="G695" s="17"/>
      <c r="H695" s="17"/>
      <c r="I695" s="17"/>
      <c r="J695" s="17" t="s">
        <v>706</v>
      </c>
      <c r="K695" s="17"/>
      <c r="L695" s="17"/>
      <c r="AC695" s="1257"/>
    </row>
    <row r="696">
      <c r="B696" s="17"/>
      <c r="C696" s="17"/>
      <c r="D696" s="17"/>
      <c r="E696" s="444"/>
      <c r="F696" s="17"/>
      <c r="G696" s="17"/>
      <c r="H696" s="17"/>
      <c r="I696" s="17"/>
      <c r="J696" s="17" t="s">
        <v>706</v>
      </c>
      <c r="K696" s="17"/>
      <c r="L696" s="17"/>
      <c r="AC696" s="1257"/>
    </row>
    <row r="697">
      <c r="B697" s="17"/>
      <c r="C697" s="17"/>
      <c r="D697" s="17"/>
      <c r="E697" s="444"/>
      <c r="F697" s="17"/>
      <c r="G697" s="17"/>
      <c r="H697" s="17"/>
      <c r="I697" s="17"/>
      <c r="J697" s="17" t="s">
        <v>706</v>
      </c>
      <c r="K697" s="17"/>
      <c r="L697" s="17"/>
      <c r="AC697" s="1257"/>
    </row>
    <row r="698">
      <c r="B698" s="17"/>
      <c r="C698" s="17"/>
      <c r="D698" s="17"/>
      <c r="E698" s="444"/>
      <c r="F698" s="17"/>
      <c r="G698" s="17"/>
      <c r="H698" s="17"/>
      <c r="I698" s="17"/>
      <c r="J698" s="17" t="s">
        <v>706</v>
      </c>
      <c r="K698" s="17"/>
      <c r="L698" s="17"/>
      <c r="AC698" s="1257"/>
    </row>
    <row r="699">
      <c r="B699" s="17"/>
      <c r="C699" s="17"/>
      <c r="D699" s="17"/>
      <c r="E699" s="444"/>
      <c r="F699" s="17"/>
      <c r="G699" s="17"/>
      <c r="H699" s="17"/>
      <c r="I699" s="17"/>
      <c r="J699" s="17" t="s">
        <v>706</v>
      </c>
      <c r="K699" s="17"/>
      <c r="L699" s="17"/>
      <c r="AC699" s="1257"/>
    </row>
    <row r="700">
      <c r="B700" s="17"/>
      <c r="C700" s="17"/>
      <c r="D700" s="17"/>
      <c r="E700" s="444"/>
      <c r="F700" s="17"/>
      <c r="G700" s="17"/>
      <c r="H700" s="17"/>
      <c r="I700" s="17"/>
      <c r="J700" s="17" t="s">
        <v>706</v>
      </c>
      <c r="K700" s="17"/>
      <c r="L700" s="17"/>
      <c r="AC700" s="1257"/>
    </row>
    <row r="701">
      <c r="B701" s="17"/>
      <c r="C701" s="17"/>
      <c r="D701" s="17"/>
      <c r="E701" s="444"/>
      <c r="F701" s="17"/>
      <c r="G701" s="17"/>
      <c r="H701" s="17"/>
      <c r="I701" s="17"/>
      <c r="J701" s="17" t="s">
        <v>706</v>
      </c>
      <c r="K701" s="17"/>
      <c r="L701" s="17"/>
      <c r="AC701" s="1257"/>
    </row>
    <row r="702">
      <c r="B702" s="17"/>
      <c r="C702" s="17"/>
      <c r="D702" s="17"/>
      <c r="E702" s="444"/>
      <c r="F702" s="17"/>
      <c r="G702" s="17"/>
      <c r="H702" s="17"/>
      <c r="I702" s="17"/>
      <c r="J702" s="17" t="s">
        <v>706</v>
      </c>
      <c r="K702" s="17"/>
      <c r="L702" s="17"/>
      <c r="AC702" s="1257"/>
    </row>
    <row r="703">
      <c r="B703" s="17"/>
      <c r="C703" s="17"/>
      <c r="D703" s="17"/>
      <c r="E703" s="444"/>
      <c r="F703" s="17"/>
      <c r="G703" s="17"/>
      <c r="H703" s="17"/>
      <c r="I703" s="17"/>
      <c r="J703" s="17" t="s">
        <v>706</v>
      </c>
      <c r="K703" s="17"/>
      <c r="L703" s="17"/>
      <c r="AC703" s="1257"/>
    </row>
    <row r="704">
      <c r="B704" s="17"/>
      <c r="C704" s="17"/>
      <c r="D704" s="17"/>
      <c r="E704" s="444"/>
      <c r="F704" s="17"/>
      <c r="G704" s="17"/>
      <c r="H704" s="17"/>
      <c r="I704" s="17"/>
      <c r="J704" s="17" t="s">
        <v>706</v>
      </c>
      <c r="K704" s="17"/>
      <c r="L704" s="17"/>
      <c r="AC704" s="1257"/>
    </row>
    <row r="705">
      <c r="B705" s="17"/>
      <c r="C705" s="17"/>
      <c r="D705" s="17"/>
      <c r="E705" s="444"/>
      <c r="F705" s="17"/>
      <c r="G705" s="17"/>
      <c r="H705" s="17"/>
      <c r="I705" s="17"/>
      <c r="J705" s="17" t="s">
        <v>706</v>
      </c>
      <c r="K705" s="17"/>
      <c r="L705" s="17"/>
      <c r="AC705" s="1257"/>
    </row>
    <row r="706">
      <c r="B706" s="17"/>
      <c r="C706" s="17"/>
      <c r="D706" s="17"/>
      <c r="E706" s="444"/>
      <c r="F706" s="17"/>
      <c r="G706" s="17"/>
      <c r="H706" s="17"/>
      <c r="I706" s="17"/>
      <c r="J706" s="17" t="s">
        <v>706</v>
      </c>
      <c r="K706" s="17"/>
      <c r="L706" s="17"/>
      <c r="AC706" s="1257"/>
    </row>
    <row r="707">
      <c r="B707" s="17"/>
      <c r="C707" s="17"/>
      <c r="D707" s="17"/>
      <c r="E707" s="444"/>
      <c r="F707" s="17"/>
      <c r="G707" s="17"/>
      <c r="H707" s="17"/>
      <c r="I707" s="17"/>
      <c r="J707" s="17" t="s">
        <v>706</v>
      </c>
      <c r="K707" s="17"/>
      <c r="L707" s="17"/>
      <c r="AC707" s="1257"/>
    </row>
    <row r="708">
      <c r="B708" s="17"/>
      <c r="C708" s="17"/>
      <c r="D708" s="17"/>
      <c r="E708" s="444"/>
      <c r="F708" s="17"/>
      <c r="G708" s="17"/>
      <c r="H708" s="17"/>
      <c r="I708" s="17"/>
      <c r="J708" s="17" t="s">
        <v>706</v>
      </c>
      <c r="K708" s="17"/>
      <c r="L708" s="17"/>
      <c r="AC708" s="1257"/>
    </row>
    <row r="709">
      <c r="B709" s="17"/>
      <c r="C709" s="17"/>
      <c r="D709" s="17"/>
      <c r="E709" s="444"/>
      <c r="F709" s="17"/>
      <c r="G709" s="17"/>
      <c r="H709" s="17"/>
      <c r="I709" s="17"/>
      <c r="J709" s="17" t="s">
        <v>706</v>
      </c>
      <c r="K709" s="17"/>
      <c r="L709" s="17"/>
      <c r="AC709" s="1257"/>
    </row>
    <row r="710">
      <c r="B710" s="17"/>
      <c r="C710" s="17"/>
      <c r="D710" s="17"/>
      <c r="E710" s="444"/>
      <c r="F710" s="17"/>
      <c r="G710" s="17"/>
      <c r="H710" s="17"/>
      <c r="I710" s="17"/>
      <c r="J710" s="17" t="s">
        <v>706</v>
      </c>
      <c r="K710" s="17"/>
      <c r="L710" s="17"/>
      <c r="AC710" s="1257"/>
    </row>
    <row r="711">
      <c r="B711" s="17"/>
      <c r="C711" s="17"/>
      <c r="D711" s="17"/>
      <c r="E711" s="444"/>
      <c r="F711" s="17"/>
      <c r="G711" s="17"/>
      <c r="H711" s="17"/>
      <c r="I711" s="17"/>
      <c r="J711" s="17" t="s">
        <v>706</v>
      </c>
      <c r="K711" s="17"/>
      <c r="L711" s="17"/>
      <c r="AC711" s="1257"/>
    </row>
    <row r="712">
      <c r="B712" s="17"/>
      <c r="C712" s="17"/>
      <c r="D712" s="17"/>
      <c r="E712" s="444"/>
      <c r="F712" s="17"/>
      <c r="G712" s="17"/>
      <c r="H712" s="17"/>
      <c r="I712" s="17"/>
      <c r="J712" s="17" t="s">
        <v>706</v>
      </c>
      <c r="K712" s="17"/>
      <c r="L712" s="17"/>
      <c r="AC712" s="1257"/>
    </row>
    <row r="713">
      <c r="B713" s="17"/>
      <c r="C713" s="17"/>
      <c r="D713" s="17"/>
      <c r="E713" s="444"/>
      <c r="F713" s="17"/>
      <c r="G713" s="17"/>
      <c r="H713" s="17"/>
      <c r="I713" s="17"/>
      <c r="J713" s="17" t="s">
        <v>706</v>
      </c>
      <c r="K713" s="17"/>
      <c r="L713" s="17"/>
      <c r="AC713" s="1257"/>
    </row>
    <row r="714">
      <c r="B714" s="17"/>
      <c r="C714" s="17"/>
      <c r="D714" s="17"/>
      <c r="E714" s="444"/>
      <c r="F714" s="17"/>
      <c r="G714" s="17"/>
      <c r="H714" s="17"/>
      <c r="I714" s="17"/>
      <c r="J714" s="17" t="s">
        <v>706</v>
      </c>
      <c r="K714" s="17"/>
      <c r="L714" s="17"/>
      <c r="AC714" s="1257"/>
    </row>
    <row r="715">
      <c r="B715" s="17"/>
      <c r="C715" s="17"/>
      <c r="D715" s="17"/>
      <c r="E715" s="444"/>
      <c r="F715" s="17"/>
      <c r="G715" s="17"/>
      <c r="H715" s="17"/>
      <c r="I715" s="17"/>
      <c r="J715" s="17" t="s">
        <v>706</v>
      </c>
      <c r="K715" s="17"/>
      <c r="L715" s="17"/>
      <c r="AC715" s="1257"/>
    </row>
    <row r="716">
      <c r="B716" s="17"/>
      <c r="C716" s="17"/>
      <c r="D716" s="17"/>
      <c r="E716" s="444"/>
      <c r="F716" s="17"/>
      <c r="G716" s="17"/>
      <c r="H716" s="17"/>
      <c r="I716" s="17"/>
      <c r="J716" s="17" t="s">
        <v>706</v>
      </c>
      <c r="K716" s="17"/>
      <c r="L716" s="17"/>
      <c r="AC716" s="1257"/>
    </row>
    <row r="717">
      <c r="B717" s="17"/>
      <c r="C717" s="17"/>
      <c r="D717" s="17"/>
      <c r="E717" s="444"/>
      <c r="F717" s="17"/>
      <c r="G717" s="17"/>
      <c r="H717" s="17"/>
      <c r="I717" s="17"/>
      <c r="J717" s="17" t="s">
        <v>706</v>
      </c>
      <c r="K717" s="17"/>
      <c r="L717" s="17"/>
      <c r="AC717" s="1257"/>
    </row>
    <row r="718">
      <c r="B718" s="17"/>
      <c r="C718" s="17"/>
      <c r="D718" s="17"/>
      <c r="E718" s="444"/>
      <c r="F718" s="17"/>
      <c r="G718" s="17"/>
      <c r="H718" s="17"/>
      <c r="I718" s="17"/>
      <c r="J718" s="17" t="s">
        <v>706</v>
      </c>
      <c r="K718" s="17"/>
      <c r="L718" s="17"/>
      <c r="AC718" s="1257"/>
    </row>
    <row r="719">
      <c r="B719" s="17"/>
      <c r="C719" s="17"/>
      <c r="D719" s="17"/>
      <c r="E719" s="444"/>
      <c r="F719" s="17"/>
      <c r="G719" s="17"/>
      <c r="H719" s="17"/>
      <c r="I719" s="17"/>
      <c r="J719" s="17" t="s">
        <v>706</v>
      </c>
      <c r="K719" s="17"/>
      <c r="L719" s="17"/>
      <c r="AC719" s="1257"/>
    </row>
    <row r="720">
      <c r="B720" s="17"/>
      <c r="C720" s="17"/>
      <c r="D720" s="17"/>
      <c r="E720" s="444"/>
      <c r="F720" s="17"/>
      <c r="G720" s="17"/>
      <c r="H720" s="17"/>
      <c r="I720" s="17"/>
      <c r="J720" s="17" t="s">
        <v>706</v>
      </c>
      <c r="K720" s="17"/>
      <c r="L720" s="17"/>
      <c r="AC720" s="1257"/>
    </row>
    <row r="721">
      <c r="B721" s="17"/>
      <c r="C721" s="17"/>
      <c r="D721" s="17"/>
      <c r="E721" s="444"/>
      <c r="F721" s="17"/>
      <c r="G721" s="17"/>
      <c r="H721" s="17"/>
      <c r="I721" s="17"/>
      <c r="J721" s="17" t="s">
        <v>706</v>
      </c>
      <c r="K721" s="17"/>
      <c r="L721" s="17"/>
      <c r="AC721" s="1257"/>
    </row>
    <row r="722">
      <c r="B722" s="17"/>
      <c r="C722" s="17"/>
      <c r="D722" s="17"/>
      <c r="E722" s="444"/>
      <c r="F722" s="17"/>
      <c r="G722" s="17"/>
      <c r="H722" s="17"/>
      <c r="I722" s="17"/>
      <c r="J722" s="17" t="s">
        <v>706</v>
      </c>
      <c r="K722" s="17"/>
      <c r="L722" s="17"/>
      <c r="AC722" s="1257"/>
    </row>
    <row r="723">
      <c r="B723" s="17"/>
      <c r="C723" s="17"/>
      <c r="D723" s="17"/>
      <c r="E723" s="444"/>
      <c r="F723" s="17"/>
      <c r="G723" s="17"/>
      <c r="H723" s="17"/>
      <c r="I723" s="17"/>
      <c r="J723" s="17" t="s">
        <v>706</v>
      </c>
      <c r="K723" s="17"/>
      <c r="L723" s="17"/>
      <c r="AC723" s="1257"/>
    </row>
    <row r="724">
      <c r="B724" s="17"/>
      <c r="C724" s="17"/>
      <c r="D724" s="17"/>
      <c r="E724" s="444"/>
      <c r="F724" s="17"/>
      <c r="G724" s="17"/>
      <c r="H724" s="17"/>
      <c r="I724" s="17"/>
      <c r="J724" s="17" t="s">
        <v>706</v>
      </c>
      <c r="K724" s="17"/>
      <c r="L724" s="17"/>
      <c r="AC724" s="1257"/>
    </row>
    <row r="725">
      <c r="B725" s="17"/>
      <c r="C725" s="17"/>
      <c r="D725" s="17"/>
      <c r="E725" s="444"/>
      <c r="F725" s="17"/>
      <c r="G725" s="17"/>
      <c r="H725" s="17"/>
      <c r="I725" s="17"/>
      <c r="J725" s="17" t="s">
        <v>706</v>
      </c>
      <c r="K725" s="17"/>
      <c r="L725" s="17"/>
      <c r="AC725" s="1257"/>
    </row>
    <row r="726">
      <c r="B726" s="17"/>
      <c r="C726" s="17"/>
      <c r="D726" s="17"/>
      <c r="E726" s="444"/>
      <c r="F726" s="17"/>
      <c r="G726" s="17"/>
      <c r="H726" s="17"/>
      <c r="I726" s="17"/>
      <c r="J726" s="17" t="s">
        <v>706</v>
      </c>
      <c r="K726" s="17"/>
      <c r="L726" s="17"/>
      <c r="AC726" s="1257"/>
    </row>
    <row r="727">
      <c r="B727" s="17"/>
      <c r="C727" s="17"/>
      <c r="D727" s="17"/>
      <c r="E727" s="444"/>
      <c r="F727" s="17"/>
      <c r="G727" s="17"/>
      <c r="H727" s="17"/>
      <c r="I727" s="17"/>
      <c r="J727" s="17" t="s">
        <v>706</v>
      </c>
      <c r="K727" s="17"/>
      <c r="L727" s="17"/>
      <c r="AC727" s="1257"/>
    </row>
    <row r="728">
      <c r="B728" s="17"/>
      <c r="C728" s="17"/>
      <c r="D728" s="17"/>
      <c r="E728" s="444"/>
      <c r="F728" s="17"/>
      <c r="G728" s="17"/>
      <c r="H728" s="17"/>
      <c r="I728" s="17"/>
      <c r="J728" s="17" t="s">
        <v>706</v>
      </c>
      <c r="K728" s="17"/>
      <c r="L728" s="17"/>
      <c r="AC728" s="1257"/>
    </row>
    <row r="729">
      <c r="B729" s="17"/>
      <c r="C729" s="17"/>
      <c r="D729" s="17"/>
      <c r="E729" s="444"/>
      <c r="F729" s="17"/>
      <c r="G729" s="17"/>
      <c r="H729" s="17"/>
      <c r="I729" s="17"/>
      <c r="J729" s="17" t="s">
        <v>706</v>
      </c>
      <c r="K729" s="17"/>
      <c r="L729" s="17"/>
      <c r="AC729" s="1257"/>
    </row>
    <row r="730">
      <c r="B730" s="17"/>
      <c r="C730" s="17"/>
      <c r="D730" s="17"/>
      <c r="E730" s="444"/>
      <c r="F730" s="17"/>
      <c r="G730" s="17"/>
      <c r="H730" s="17"/>
      <c r="I730" s="17"/>
      <c r="J730" s="17" t="s">
        <v>706</v>
      </c>
      <c r="K730" s="17"/>
      <c r="L730" s="17"/>
      <c r="AC730" s="1257"/>
    </row>
    <row r="731">
      <c r="B731" s="17"/>
      <c r="C731" s="17"/>
      <c r="D731" s="17"/>
      <c r="E731" s="444"/>
      <c r="F731" s="17"/>
      <c r="G731" s="17"/>
      <c r="H731" s="17"/>
      <c r="I731" s="17"/>
      <c r="J731" s="17" t="s">
        <v>706</v>
      </c>
      <c r="K731" s="17"/>
      <c r="L731" s="17"/>
      <c r="AC731" s="1257"/>
    </row>
    <row r="732">
      <c r="B732" s="17"/>
      <c r="C732" s="17"/>
      <c r="D732" s="17"/>
      <c r="E732" s="444"/>
      <c r="F732" s="17"/>
      <c r="G732" s="17"/>
      <c r="H732" s="17"/>
      <c r="I732" s="17"/>
      <c r="J732" s="17" t="s">
        <v>706</v>
      </c>
      <c r="K732" s="17"/>
      <c r="L732" s="17"/>
      <c r="AC732" s="1257"/>
    </row>
    <row r="733">
      <c r="B733" s="17"/>
      <c r="C733" s="17"/>
      <c r="D733" s="17"/>
      <c r="E733" s="444"/>
      <c r="F733" s="17"/>
      <c r="G733" s="17"/>
      <c r="H733" s="17"/>
      <c r="I733" s="17"/>
      <c r="J733" s="17" t="s">
        <v>706</v>
      </c>
      <c r="K733" s="17"/>
      <c r="L733" s="17"/>
      <c r="AC733" s="1257"/>
    </row>
    <row r="734">
      <c r="B734" s="17"/>
      <c r="C734" s="17"/>
      <c r="D734" s="17"/>
      <c r="E734" s="444"/>
      <c r="F734" s="17"/>
      <c r="G734" s="17"/>
      <c r="H734" s="17"/>
      <c r="I734" s="17"/>
      <c r="J734" s="17" t="s">
        <v>706</v>
      </c>
      <c r="K734" s="17"/>
      <c r="L734" s="17"/>
      <c r="AC734" s="1257"/>
    </row>
    <row r="735">
      <c r="B735" s="17"/>
      <c r="C735" s="17"/>
      <c r="D735" s="17"/>
      <c r="E735" s="444"/>
      <c r="F735" s="17"/>
      <c r="G735" s="17"/>
      <c r="H735" s="17"/>
      <c r="I735" s="17"/>
      <c r="J735" s="17" t="s">
        <v>706</v>
      </c>
      <c r="K735" s="17"/>
      <c r="L735" s="17"/>
      <c r="AC735" s="1257"/>
    </row>
    <row r="736">
      <c r="B736" s="17"/>
      <c r="C736" s="17"/>
      <c r="D736" s="17"/>
      <c r="E736" s="444"/>
      <c r="F736" s="17"/>
      <c r="G736" s="17"/>
      <c r="H736" s="17"/>
      <c r="I736" s="17"/>
      <c r="J736" s="17" t="s">
        <v>706</v>
      </c>
      <c r="K736" s="17"/>
      <c r="L736" s="17"/>
      <c r="AC736" s="1257"/>
    </row>
    <row r="737">
      <c r="B737" s="17"/>
      <c r="C737" s="17"/>
      <c r="D737" s="17"/>
      <c r="E737" s="444"/>
      <c r="F737" s="17"/>
      <c r="G737" s="17"/>
      <c r="H737" s="17"/>
      <c r="I737" s="17"/>
      <c r="J737" s="17" t="s">
        <v>706</v>
      </c>
      <c r="K737" s="17"/>
      <c r="L737" s="17"/>
      <c r="AC737" s="1257"/>
    </row>
    <row r="738">
      <c r="B738" s="17"/>
      <c r="C738" s="17"/>
      <c r="D738" s="17"/>
      <c r="E738" s="444"/>
      <c r="F738" s="17"/>
      <c r="G738" s="17"/>
      <c r="H738" s="17"/>
      <c r="I738" s="17"/>
      <c r="J738" s="17" t="s">
        <v>706</v>
      </c>
      <c r="K738" s="17"/>
      <c r="L738" s="17"/>
      <c r="AC738" s="1257"/>
    </row>
    <row r="739">
      <c r="B739" s="17"/>
      <c r="C739" s="17"/>
      <c r="D739" s="17"/>
      <c r="E739" s="444"/>
      <c r="F739" s="17"/>
      <c r="G739" s="17"/>
      <c r="H739" s="17"/>
      <c r="I739" s="17"/>
      <c r="J739" s="17" t="s">
        <v>706</v>
      </c>
      <c r="K739" s="17"/>
      <c r="L739" s="17"/>
      <c r="AC739" s="1257"/>
    </row>
    <row r="740">
      <c r="B740" s="17"/>
      <c r="C740" s="17"/>
      <c r="D740" s="17"/>
      <c r="E740" s="444"/>
      <c r="F740" s="17"/>
      <c r="G740" s="17"/>
      <c r="H740" s="17"/>
      <c r="I740" s="17"/>
      <c r="J740" s="17" t="s">
        <v>706</v>
      </c>
      <c r="K740" s="17"/>
      <c r="L740" s="17"/>
      <c r="AC740" s="1257"/>
    </row>
    <row r="741">
      <c r="B741" s="17"/>
      <c r="C741" s="17"/>
      <c r="D741" s="17"/>
      <c r="E741" s="444"/>
      <c r="F741" s="17"/>
      <c r="G741" s="17"/>
      <c r="H741" s="17"/>
      <c r="I741" s="17"/>
      <c r="J741" s="17" t="s">
        <v>706</v>
      </c>
      <c r="K741" s="17"/>
      <c r="L741" s="17"/>
      <c r="AC741" s="1257"/>
    </row>
    <row r="742">
      <c r="B742" s="17"/>
      <c r="C742" s="17"/>
      <c r="D742" s="17"/>
      <c r="E742" s="444"/>
      <c r="F742" s="17"/>
      <c r="G742" s="17"/>
      <c r="H742" s="17"/>
      <c r="I742" s="17"/>
      <c r="J742" s="17" t="s">
        <v>706</v>
      </c>
      <c r="K742" s="17"/>
      <c r="L742" s="17"/>
      <c r="AC742" s="1257"/>
    </row>
    <row r="743">
      <c r="B743" s="17"/>
      <c r="C743" s="17"/>
      <c r="D743" s="17"/>
      <c r="E743" s="444"/>
      <c r="F743" s="17"/>
      <c r="G743" s="17"/>
      <c r="H743" s="17"/>
      <c r="I743" s="17"/>
      <c r="J743" s="17" t="s">
        <v>706</v>
      </c>
      <c r="K743" s="17"/>
      <c r="L743" s="17"/>
      <c r="AC743" s="1257"/>
    </row>
    <row r="744">
      <c r="B744" s="17"/>
      <c r="C744" s="17"/>
      <c r="D744" s="17"/>
      <c r="E744" s="444"/>
      <c r="F744" s="17"/>
      <c r="G744" s="17"/>
      <c r="H744" s="17"/>
      <c r="I744" s="17"/>
      <c r="J744" s="17" t="s">
        <v>706</v>
      </c>
      <c r="K744" s="17"/>
      <c r="L744" s="17"/>
      <c r="AC744" s="1257"/>
    </row>
    <row r="745">
      <c r="B745" s="17"/>
      <c r="C745" s="17"/>
      <c r="D745" s="17"/>
      <c r="E745" s="444"/>
      <c r="F745" s="17"/>
      <c r="G745" s="17"/>
      <c r="H745" s="17"/>
      <c r="I745" s="17"/>
      <c r="J745" s="17" t="s">
        <v>706</v>
      </c>
      <c r="K745" s="17"/>
      <c r="L745" s="17"/>
      <c r="AC745" s="1257"/>
    </row>
    <row r="746">
      <c r="B746" s="17"/>
      <c r="C746" s="17"/>
      <c r="D746" s="17"/>
      <c r="E746" s="444"/>
      <c r="F746" s="17"/>
      <c r="G746" s="17"/>
      <c r="H746" s="17"/>
      <c r="I746" s="17"/>
      <c r="J746" s="17" t="s">
        <v>706</v>
      </c>
      <c r="K746" s="17"/>
      <c r="L746" s="17"/>
      <c r="AC746" s="1257"/>
    </row>
    <row r="747">
      <c r="B747" s="17"/>
      <c r="C747" s="17"/>
      <c r="D747" s="17"/>
      <c r="E747" s="444"/>
      <c r="F747" s="17"/>
      <c r="G747" s="17"/>
      <c r="H747" s="17"/>
      <c r="I747" s="17"/>
      <c r="J747" s="17" t="s">
        <v>706</v>
      </c>
      <c r="K747" s="17"/>
      <c r="L747" s="17"/>
      <c r="AC747" s="1257"/>
    </row>
    <row r="748">
      <c r="B748" s="17"/>
      <c r="C748" s="17"/>
      <c r="D748" s="17"/>
      <c r="E748" s="444"/>
      <c r="F748" s="17"/>
      <c r="G748" s="17"/>
      <c r="H748" s="17"/>
      <c r="I748" s="17"/>
      <c r="J748" s="17" t="s">
        <v>706</v>
      </c>
      <c r="K748" s="17"/>
      <c r="L748" s="17"/>
      <c r="AC748" s="1257"/>
    </row>
    <row r="749">
      <c r="B749" s="17"/>
      <c r="C749" s="17"/>
      <c r="D749" s="17"/>
      <c r="E749" s="444"/>
      <c r="F749" s="17"/>
      <c r="G749" s="17"/>
      <c r="H749" s="17"/>
      <c r="I749" s="17"/>
      <c r="J749" s="17" t="s">
        <v>706</v>
      </c>
      <c r="K749" s="17"/>
      <c r="L749" s="17"/>
      <c r="AC749" s="1257"/>
    </row>
    <row r="750">
      <c r="B750" s="17"/>
      <c r="C750" s="17"/>
      <c r="D750" s="17"/>
      <c r="E750" s="444"/>
      <c r="F750" s="17"/>
      <c r="G750" s="17"/>
      <c r="H750" s="17"/>
      <c r="I750" s="17"/>
      <c r="J750" s="17" t="s">
        <v>706</v>
      </c>
      <c r="K750" s="17"/>
      <c r="L750" s="17"/>
      <c r="AC750" s="1257"/>
    </row>
    <row r="751">
      <c r="B751" s="17"/>
      <c r="C751" s="17"/>
      <c r="D751" s="17"/>
      <c r="E751" s="444"/>
      <c r="F751" s="17"/>
      <c r="G751" s="17"/>
      <c r="H751" s="17"/>
      <c r="I751" s="17"/>
      <c r="J751" s="17" t="s">
        <v>706</v>
      </c>
      <c r="K751" s="17"/>
      <c r="L751" s="17"/>
      <c r="AC751" s="1257"/>
    </row>
    <row r="752">
      <c r="B752" s="17"/>
      <c r="C752" s="17"/>
      <c r="D752" s="17"/>
      <c r="E752" s="444"/>
      <c r="F752" s="17"/>
      <c r="G752" s="17"/>
      <c r="H752" s="17"/>
      <c r="I752" s="17"/>
      <c r="J752" s="17" t="s">
        <v>706</v>
      </c>
      <c r="K752" s="17"/>
      <c r="L752" s="17"/>
      <c r="AC752" s="1257"/>
    </row>
    <row r="753">
      <c r="B753" s="17"/>
      <c r="C753" s="17"/>
      <c r="D753" s="17"/>
      <c r="E753" s="444"/>
      <c r="F753" s="17"/>
      <c r="G753" s="17"/>
      <c r="H753" s="17"/>
      <c r="I753" s="17"/>
      <c r="J753" s="17" t="s">
        <v>706</v>
      </c>
      <c r="K753" s="17"/>
      <c r="L753" s="17"/>
      <c r="AC753" s="1257"/>
    </row>
    <row r="754">
      <c r="B754" s="17"/>
      <c r="C754" s="17"/>
      <c r="D754" s="17"/>
      <c r="E754" s="444"/>
      <c r="F754" s="17"/>
      <c r="G754" s="17"/>
      <c r="H754" s="17"/>
      <c r="I754" s="17"/>
      <c r="J754" s="17" t="s">
        <v>706</v>
      </c>
      <c r="K754" s="17"/>
      <c r="L754" s="17"/>
      <c r="AC754" s="1257"/>
    </row>
    <row r="755">
      <c r="B755" s="17"/>
      <c r="C755" s="17"/>
      <c r="D755" s="17"/>
      <c r="E755" s="444"/>
      <c r="F755" s="17"/>
      <c r="G755" s="17"/>
      <c r="H755" s="17"/>
      <c r="I755" s="17"/>
      <c r="J755" s="17" t="s">
        <v>706</v>
      </c>
      <c r="K755" s="17"/>
      <c r="L755" s="17"/>
      <c r="AC755" s="1257"/>
    </row>
    <row r="756">
      <c r="B756" s="17"/>
      <c r="C756" s="17"/>
      <c r="D756" s="17"/>
      <c r="E756" s="444"/>
      <c r="F756" s="17"/>
      <c r="G756" s="17"/>
      <c r="H756" s="17"/>
      <c r="I756" s="17"/>
      <c r="J756" s="17" t="s">
        <v>706</v>
      </c>
      <c r="K756" s="17"/>
      <c r="L756" s="17"/>
      <c r="AC756" s="1257"/>
    </row>
    <row r="757">
      <c r="B757" s="17"/>
      <c r="C757" s="17"/>
      <c r="D757" s="17"/>
      <c r="E757" s="444"/>
      <c r="F757" s="17"/>
      <c r="G757" s="17"/>
      <c r="H757" s="17"/>
      <c r="I757" s="17"/>
      <c r="J757" s="17" t="s">
        <v>706</v>
      </c>
      <c r="K757" s="17"/>
      <c r="L757" s="17"/>
      <c r="AC757" s="1257"/>
    </row>
    <row r="758">
      <c r="B758" s="17"/>
      <c r="C758" s="17"/>
      <c r="D758" s="17"/>
      <c r="E758" s="444"/>
      <c r="F758" s="17"/>
      <c r="G758" s="17"/>
      <c r="H758" s="17"/>
      <c r="I758" s="17"/>
      <c r="J758" s="17" t="s">
        <v>706</v>
      </c>
      <c r="K758" s="17"/>
      <c r="L758" s="17"/>
      <c r="AC758" s="1257"/>
    </row>
    <row r="759">
      <c r="B759" s="17"/>
      <c r="C759" s="17"/>
      <c r="D759" s="17"/>
      <c r="E759" s="444"/>
      <c r="F759" s="17"/>
      <c r="G759" s="17"/>
      <c r="H759" s="17"/>
      <c r="I759" s="17"/>
      <c r="J759" s="17" t="s">
        <v>706</v>
      </c>
      <c r="K759" s="17"/>
      <c r="L759" s="17"/>
      <c r="AC759" s="1257"/>
    </row>
    <row r="760">
      <c r="B760" s="17"/>
      <c r="C760" s="17"/>
      <c r="D760" s="17"/>
      <c r="E760" s="444"/>
      <c r="F760" s="17"/>
      <c r="G760" s="17"/>
      <c r="H760" s="17"/>
      <c r="I760" s="17"/>
      <c r="J760" s="17" t="s">
        <v>706</v>
      </c>
      <c r="K760" s="17"/>
      <c r="L760" s="17"/>
      <c r="AC760" s="1257"/>
    </row>
    <row r="761">
      <c r="B761" s="17"/>
      <c r="C761" s="17"/>
      <c r="D761" s="17"/>
      <c r="E761" s="444"/>
      <c r="F761" s="17"/>
      <c r="G761" s="17"/>
      <c r="H761" s="17"/>
      <c r="I761" s="17"/>
      <c r="J761" s="17" t="s">
        <v>706</v>
      </c>
      <c r="K761" s="17"/>
      <c r="L761" s="17"/>
      <c r="AC761" s="1257"/>
    </row>
    <row r="762">
      <c r="B762" s="17"/>
      <c r="C762" s="17"/>
      <c r="D762" s="17"/>
      <c r="E762" s="444"/>
      <c r="F762" s="17"/>
      <c r="G762" s="17"/>
      <c r="H762" s="17"/>
      <c r="I762" s="17"/>
      <c r="J762" s="17" t="s">
        <v>706</v>
      </c>
      <c r="K762" s="17"/>
      <c r="L762" s="17"/>
      <c r="AC762" s="1257"/>
    </row>
    <row r="763">
      <c r="B763" s="17"/>
      <c r="C763" s="17"/>
      <c r="D763" s="17"/>
      <c r="E763" s="444"/>
      <c r="F763" s="17"/>
      <c r="G763" s="17"/>
      <c r="H763" s="17"/>
      <c r="I763" s="17"/>
      <c r="J763" s="17" t="s">
        <v>706</v>
      </c>
      <c r="K763" s="17"/>
      <c r="L763" s="17"/>
      <c r="AC763" s="1257"/>
    </row>
    <row r="764">
      <c r="B764" s="17"/>
      <c r="C764" s="17"/>
      <c r="D764" s="17"/>
      <c r="E764" s="444"/>
      <c r="F764" s="17"/>
      <c r="G764" s="17"/>
      <c r="H764" s="17"/>
      <c r="I764" s="17"/>
      <c r="J764" s="17" t="s">
        <v>706</v>
      </c>
      <c r="K764" s="17"/>
      <c r="L764" s="17"/>
      <c r="AC764" s="1257"/>
    </row>
    <row r="765">
      <c r="B765" s="17"/>
      <c r="C765" s="17"/>
      <c r="D765" s="17"/>
      <c r="E765" s="444"/>
      <c r="F765" s="17"/>
      <c r="G765" s="17"/>
      <c r="H765" s="17"/>
      <c r="I765" s="17"/>
      <c r="J765" s="17" t="s">
        <v>706</v>
      </c>
      <c r="K765" s="17"/>
      <c r="L765" s="17"/>
      <c r="AC765" s="1257"/>
    </row>
    <row r="766">
      <c r="B766" s="17"/>
      <c r="C766" s="17"/>
      <c r="D766" s="17"/>
      <c r="E766" s="444"/>
      <c r="F766" s="17"/>
      <c r="G766" s="17"/>
      <c r="H766" s="17"/>
      <c r="I766" s="17"/>
      <c r="J766" s="17" t="s">
        <v>706</v>
      </c>
      <c r="K766" s="17"/>
      <c r="L766" s="17"/>
      <c r="AC766" s="1257"/>
    </row>
    <row r="767">
      <c r="B767" s="17"/>
      <c r="C767" s="17"/>
      <c r="D767" s="17"/>
      <c r="E767" s="444"/>
      <c r="F767" s="17"/>
      <c r="G767" s="17"/>
      <c r="H767" s="17"/>
      <c r="I767" s="17"/>
      <c r="J767" s="17" t="s">
        <v>706</v>
      </c>
      <c r="K767" s="17"/>
      <c r="L767" s="17"/>
      <c r="AC767" s="1257"/>
    </row>
    <row r="768">
      <c r="B768" s="17"/>
      <c r="C768" s="17"/>
      <c r="D768" s="17"/>
      <c r="E768" s="444"/>
      <c r="F768" s="17"/>
      <c r="G768" s="17"/>
      <c r="H768" s="17"/>
      <c r="I768" s="17"/>
      <c r="J768" s="17" t="s">
        <v>706</v>
      </c>
      <c r="K768" s="17"/>
      <c r="L768" s="17"/>
      <c r="AC768" s="1257"/>
    </row>
    <row r="769">
      <c r="B769" s="17"/>
      <c r="C769" s="17"/>
      <c r="D769" s="17"/>
      <c r="E769" s="444"/>
      <c r="F769" s="17"/>
      <c r="G769" s="17"/>
      <c r="H769" s="17"/>
      <c r="I769" s="17"/>
      <c r="J769" s="17" t="s">
        <v>706</v>
      </c>
      <c r="K769" s="17"/>
      <c r="L769" s="17"/>
      <c r="AC769" s="1257"/>
    </row>
    <row r="770">
      <c r="B770" s="17"/>
      <c r="C770" s="17"/>
      <c r="D770" s="17"/>
      <c r="E770" s="444"/>
      <c r="F770" s="17"/>
      <c r="G770" s="17"/>
      <c r="H770" s="17"/>
      <c r="I770" s="17"/>
      <c r="J770" s="17" t="s">
        <v>706</v>
      </c>
      <c r="K770" s="17"/>
      <c r="L770" s="17"/>
      <c r="AC770" s="1257"/>
    </row>
    <row r="771">
      <c r="B771" s="17"/>
      <c r="C771" s="17"/>
      <c r="D771" s="17"/>
      <c r="E771" s="444"/>
      <c r="F771" s="17"/>
      <c r="G771" s="17"/>
      <c r="H771" s="17"/>
      <c r="I771" s="17"/>
      <c r="J771" s="17" t="s">
        <v>706</v>
      </c>
      <c r="K771" s="17"/>
      <c r="L771" s="17"/>
      <c r="AC771" s="1257"/>
    </row>
    <row r="772">
      <c r="B772" s="17"/>
      <c r="C772" s="17"/>
      <c r="D772" s="17"/>
      <c r="E772" s="444"/>
      <c r="F772" s="17"/>
      <c r="G772" s="17"/>
      <c r="H772" s="17"/>
      <c r="I772" s="17"/>
      <c r="J772" s="17" t="s">
        <v>706</v>
      </c>
      <c r="K772" s="17"/>
      <c r="L772" s="17"/>
      <c r="AC772" s="1257"/>
    </row>
    <row r="773">
      <c r="B773" s="17"/>
      <c r="C773" s="17"/>
      <c r="D773" s="17"/>
      <c r="E773" s="444"/>
      <c r="F773" s="17"/>
      <c r="G773" s="17"/>
      <c r="H773" s="17"/>
      <c r="I773" s="17"/>
      <c r="J773" s="17" t="s">
        <v>706</v>
      </c>
      <c r="K773" s="17"/>
      <c r="L773" s="17"/>
      <c r="AC773" s="1257"/>
    </row>
    <row r="774">
      <c r="B774" s="17"/>
      <c r="C774" s="17"/>
      <c r="D774" s="17"/>
      <c r="E774" s="444"/>
      <c r="F774" s="17"/>
      <c r="G774" s="17"/>
      <c r="H774" s="17"/>
      <c r="I774" s="17"/>
      <c r="J774" s="17" t="s">
        <v>706</v>
      </c>
      <c r="K774" s="17"/>
      <c r="L774" s="17"/>
      <c r="AC774" s="1257"/>
    </row>
    <row r="775">
      <c r="B775" s="17"/>
      <c r="C775" s="17"/>
      <c r="D775" s="17"/>
      <c r="E775" s="444"/>
      <c r="F775" s="17"/>
      <c r="G775" s="17"/>
      <c r="H775" s="17"/>
      <c r="I775" s="17"/>
      <c r="J775" s="17" t="s">
        <v>706</v>
      </c>
      <c r="K775" s="17"/>
      <c r="L775" s="17"/>
      <c r="AC775" s="1257"/>
    </row>
    <row r="776">
      <c r="B776" s="17"/>
      <c r="C776" s="17"/>
      <c r="D776" s="17"/>
      <c r="E776" s="444"/>
      <c r="F776" s="17"/>
      <c r="G776" s="17"/>
      <c r="H776" s="17"/>
      <c r="I776" s="17"/>
      <c r="J776" s="17" t="s">
        <v>706</v>
      </c>
      <c r="K776" s="17"/>
      <c r="L776" s="17"/>
      <c r="AC776" s="1257"/>
    </row>
    <row r="777">
      <c r="B777" s="17"/>
      <c r="C777" s="17"/>
      <c r="D777" s="17"/>
      <c r="E777" s="444"/>
      <c r="F777" s="17"/>
      <c r="G777" s="17"/>
      <c r="H777" s="17"/>
      <c r="I777" s="17"/>
      <c r="J777" s="17" t="s">
        <v>706</v>
      </c>
      <c r="K777" s="17"/>
      <c r="L777" s="17"/>
      <c r="AC777" s="1257"/>
    </row>
    <row r="778">
      <c r="B778" s="17"/>
      <c r="C778" s="17"/>
      <c r="D778" s="17"/>
      <c r="E778" s="444"/>
      <c r="F778" s="17"/>
      <c r="G778" s="17"/>
      <c r="H778" s="17"/>
      <c r="I778" s="17"/>
      <c r="J778" s="17" t="s">
        <v>706</v>
      </c>
      <c r="K778" s="17"/>
      <c r="L778" s="17"/>
      <c r="AC778" s="1257"/>
    </row>
    <row r="779">
      <c r="B779" s="17"/>
      <c r="C779" s="17"/>
      <c r="D779" s="17"/>
      <c r="E779" s="444"/>
      <c r="F779" s="17"/>
      <c r="G779" s="17"/>
      <c r="H779" s="17"/>
      <c r="I779" s="17"/>
      <c r="J779" s="17" t="s">
        <v>706</v>
      </c>
      <c r="K779" s="17"/>
      <c r="L779" s="17"/>
      <c r="AC779" s="1257"/>
    </row>
    <row r="780">
      <c r="B780" s="17"/>
      <c r="C780" s="17"/>
      <c r="D780" s="17"/>
      <c r="E780" s="444"/>
      <c r="F780" s="17"/>
      <c r="G780" s="17"/>
      <c r="H780" s="17"/>
      <c r="I780" s="17"/>
      <c r="J780" s="17" t="s">
        <v>706</v>
      </c>
      <c r="K780" s="17"/>
      <c r="L780" s="17"/>
      <c r="AC780" s="1257"/>
    </row>
    <row r="781">
      <c r="B781" s="17"/>
      <c r="C781" s="17"/>
      <c r="D781" s="17"/>
      <c r="E781" s="444"/>
      <c r="F781" s="17"/>
      <c r="G781" s="17"/>
      <c r="H781" s="17"/>
      <c r="I781" s="17"/>
      <c r="J781" s="17" t="s">
        <v>706</v>
      </c>
      <c r="K781" s="17"/>
      <c r="L781" s="17"/>
      <c r="AC781" s="1257"/>
    </row>
    <row r="782">
      <c r="B782" s="17"/>
      <c r="C782" s="17"/>
      <c r="D782" s="17"/>
      <c r="E782" s="444"/>
      <c r="F782" s="17"/>
      <c r="G782" s="17"/>
      <c r="H782" s="17"/>
      <c r="I782" s="17"/>
      <c r="J782" s="17" t="s">
        <v>706</v>
      </c>
      <c r="K782" s="17"/>
      <c r="L782" s="17"/>
      <c r="AC782" s="1257"/>
    </row>
    <row r="783">
      <c r="B783" s="17"/>
      <c r="C783" s="17"/>
      <c r="D783" s="17"/>
      <c r="E783" s="444"/>
      <c r="F783" s="17"/>
      <c r="G783" s="17"/>
      <c r="H783" s="17"/>
      <c r="I783" s="17"/>
      <c r="J783" s="17" t="s">
        <v>706</v>
      </c>
      <c r="K783" s="17"/>
      <c r="L783" s="17"/>
      <c r="AC783" s="1257"/>
    </row>
    <row r="784">
      <c r="B784" s="17"/>
      <c r="C784" s="17"/>
      <c r="D784" s="17"/>
      <c r="E784" s="444"/>
      <c r="F784" s="17"/>
      <c r="G784" s="17"/>
      <c r="H784" s="17"/>
      <c r="I784" s="17"/>
      <c r="J784" s="17" t="s">
        <v>706</v>
      </c>
      <c r="K784" s="17"/>
      <c r="L784" s="17"/>
      <c r="AC784" s="1257"/>
    </row>
    <row r="785">
      <c r="B785" s="17"/>
      <c r="C785" s="17"/>
      <c r="D785" s="17"/>
      <c r="E785" s="444"/>
      <c r="F785" s="17"/>
      <c r="G785" s="17"/>
      <c r="H785" s="17"/>
      <c r="I785" s="17"/>
      <c r="J785" s="17" t="s">
        <v>706</v>
      </c>
      <c r="K785" s="17"/>
      <c r="L785" s="17"/>
      <c r="AC785" s="1257"/>
    </row>
    <row r="786">
      <c r="B786" s="17"/>
      <c r="C786" s="17"/>
      <c r="D786" s="17"/>
      <c r="E786" s="444"/>
      <c r="F786" s="17"/>
      <c r="G786" s="17"/>
      <c r="H786" s="17"/>
      <c r="I786" s="17"/>
      <c r="J786" s="17" t="s">
        <v>706</v>
      </c>
      <c r="K786" s="17"/>
      <c r="L786" s="17"/>
      <c r="AC786" s="1257"/>
    </row>
    <row r="787">
      <c r="B787" s="17"/>
      <c r="C787" s="17"/>
      <c r="D787" s="17"/>
      <c r="E787" s="444"/>
      <c r="F787" s="17"/>
      <c r="G787" s="17"/>
      <c r="H787" s="17"/>
      <c r="I787" s="17"/>
      <c r="J787" s="17" t="s">
        <v>706</v>
      </c>
      <c r="K787" s="17"/>
      <c r="L787" s="17"/>
      <c r="AC787" s="1257"/>
    </row>
    <row r="788">
      <c r="B788" s="17"/>
      <c r="C788" s="17"/>
      <c r="D788" s="17"/>
      <c r="E788" s="444"/>
      <c r="F788" s="17"/>
      <c r="G788" s="17"/>
      <c r="H788" s="17"/>
      <c r="I788" s="17"/>
      <c r="J788" s="17" t="s">
        <v>706</v>
      </c>
      <c r="K788" s="17"/>
      <c r="L788" s="17"/>
      <c r="AC788" s="1257"/>
    </row>
    <row r="789">
      <c r="B789" s="17"/>
      <c r="C789" s="17"/>
      <c r="D789" s="17"/>
      <c r="E789" s="444"/>
      <c r="F789" s="17"/>
      <c r="G789" s="17"/>
      <c r="H789" s="17"/>
      <c r="I789" s="17"/>
      <c r="J789" s="17" t="s">
        <v>706</v>
      </c>
      <c r="K789" s="17"/>
      <c r="L789" s="17"/>
      <c r="AC789" s="1257"/>
    </row>
    <row r="790">
      <c r="B790" s="17"/>
      <c r="C790" s="17"/>
      <c r="D790" s="17"/>
      <c r="E790" s="444"/>
      <c r="F790" s="17"/>
      <c r="G790" s="17"/>
      <c r="H790" s="17"/>
      <c r="I790" s="17"/>
      <c r="J790" s="17" t="s">
        <v>706</v>
      </c>
      <c r="K790" s="17"/>
      <c r="L790" s="17"/>
      <c r="AC790" s="1257"/>
    </row>
    <row r="791">
      <c r="B791" s="17"/>
      <c r="C791" s="17"/>
      <c r="D791" s="17"/>
      <c r="E791" s="444"/>
      <c r="F791" s="17"/>
      <c r="G791" s="17"/>
      <c r="H791" s="17"/>
      <c r="I791" s="17"/>
      <c r="J791" s="17" t="s">
        <v>706</v>
      </c>
      <c r="K791" s="17"/>
      <c r="L791" s="17"/>
      <c r="AC791" s="1257"/>
    </row>
    <row r="792">
      <c r="B792" s="17"/>
      <c r="C792" s="17"/>
      <c r="D792" s="17"/>
      <c r="E792" s="444"/>
      <c r="F792" s="17"/>
      <c r="G792" s="17"/>
      <c r="H792" s="17"/>
      <c r="I792" s="17"/>
      <c r="J792" s="17" t="s">
        <v>706</v>
      </c>
      <c r="K792" s="17"/>
      <c r="L792" s="17"/>
      <c r="AC792" s="1257"/>
    </row>
    <row r="793">
      <c r="B793" s="17"/>
      <c r="C793" s="17"/>
      <c r="D793" s="17"/>
      <c r="E793" s="444"/>
      <c r="F793" s="17"/>
      <c r="G793" s="17"/>
      <c r="H793" s="17"/>
      <c r="I793" s="17"/>
      <c r="J793" s="17" t="s">
        <v>706</v>
      </c>
      <c r="K793" s="17"/>
      <c r="L793" s="17"/>
      <c r="AC793" s="1257"/>
    </row>
    <row r="794">
      <c r="B794" s="17"/>
      <c r="C794" s="17"/>
      <c r="D794" s="17"/>
      <c r="E794" s="444"/>
      <c r="F794" s="17"/>
      <c r="G794" s="17"/>
      <c r="H794" s="17"/>
      <c r="I794" s="17"/>
      <c r="J794" s="17" t="s">
        <v>706</v>
      </c>
      <c r="K794" s="17"/>
      <c r="L794" s="17"/>
      <c r="AC794" s="1257"/>
    </row>
    <row r="795">
      <c r="B795" s="17"/>
      <c r="C795" s="17"/>
      <c r="D795" s="17"/>
      <c r="E795" s="444"/>
      <c r="F795" s="17"/>
      <c r="G795" s="17"/>
      <c r="H795" s="17"/>
      <c r="I795" s="17"/>
      <c r="J795" s="17" t="s">
        <v>706</v>
      </c>
      <c r="K795" s="17"/>
      <c r="L795" s="17"/>
      <c r="AC795" s="1257"/>
    </row>
    <row r="796">
      <c r="B796" s="17"/>
      <c r="C796" s="17"/>
      <c r="D796" s="17"/>
      <c r="E796" s="444"/>
      <c r="F796" s="17"/>
      <c r="G796" s="17"/>
      <c r="H796" s="17"/>
      <c r="I796" s="17"/>
      <c r="J796" s="17" t="s">
        <v>706</v>
      </c>
      <c r="K796" s="17"/>
      <c r="L796" s="17"/>
      <c r="AC796" s="1257"/>
    </row>
    <row r="797">
      <c r="B797" s="17"/>
      <c r="C797" s="17"/>
      <c r="D797" s="17"/>
      <c r="E797" s="444"/>
      <c r="F797" s="17"/>
      <c r="G797" s="17"/>
      <c r="H797" s="17"/>
      <c r="I797" s="17"/>
      <c r="J797" s="17" t="s">
        <v>706</v>
      </c>
      <c r="K797" s="17"/>
      <c r="L797" s="17"/>
      <c r="AC797" s="1257"/>
    </row>
    <row r="798">
      <c r="B798" s="17"/>
      <c r="C798" s="17"/>
      <c r="D798" s="17"/>
      <c r="E798" s="444"/>
      <c r="F798" s="17"/>
      <c r="G798" s="17"/>
      <c r="H798" s="17"/>
      <c r="I798" s="17"/>
      <c r="J798" s="17" t="s">
        <v>706</v>
      </c>
      <c r="K798" s="17"/>
      <c r="L798" s="17"/>
      <c r="AC798" s="1257"/>
    </row>
    <row r="799">
      <c r="B799" s="17"/>
      <c r="C799" s="17"/>
      <c r="D799" s="17"/>
      <c r="E799" s="444"/>
      <c r="F799" s="17"/>
      <c r="G799" s="17"/>
      <c r="H799" s="17"/>
      <c r="I799" s="17"/>
      <c r="J799" s="17" t="s">
        <v>706</v>
      </c>
      <c r="K799" s="17"/>
      <c r="L799" s="17"/>
      <c r="AC799" s="1257"/>
    </row>
    <row r="800">
      <c r="B800" s="17"/>
      <c r="C800" s="17"/>
      <c r="D800" s="17"/>
      <c r="E800" s="444"/>
      <c r="F800" s="17"/>
      <c r="G800" s="17"/>
      <c r="H800" s="17"/>
      <c r="I800" s="17"/>
      <c r="J800" s="17" t="s">
        <v>706</v>
      </c>
      <c r="K800" s="17"/>
      <c r="L800" s="17"/>
      <c r="AC800" s="1257"/>
    </row>
    <row r="801">
      <c r="B801" s="17"/>
      <c r="C801" s="17"/>
      <c r="D801" s="17"/>
      <c r="E801" s="444"/>
      <c r="F801" s="17"/>
      <c r="G801" s="17"/>
      <c r="H801" s="17"/>
      <c r="I801" s="17"/>
      <c r="J801" s="17" t="s">
        <v>706</v>
      </c>
      <c r="K801" s="17"/>
      <c r="L801" s="17"/>
      <c r="AC801" s="1257"/>
    </row>
    <row r="802">
      <c r="B802" s="17"/>
      <c r="C802" s="17"/>
      <c r="D802" s="17"/>
      <c r="E802" s="444"/>
      <c r="F802" s="17"/>
      <c r="G802" s="17"/>
      <c r="H802" s="17"/>
      <c r="I802" s="17"/>
      <c r="J802" s="17" t="s">
        <v>706</v>
      </c>
      <c r="K802" s="17"/>
      <c r="L802" s="17"/>
      <c r="AC802" s="1257"/>
    </row>
    <row r="803">
      <c r="B803" s="17"/>
      <c r="C803" s="17"/>
      <c r="D803" s="17"/>
      <c r="E803" s="444"/>
      <c r="F803" s="17"/>
      <c r="G803" s="17"/>
      <c r="H803" s="17"/>
      <c r="I803" s="17"/>
      <c r="J803" s="17" t="s">
        <v>706</v>
      </c>
      <c r="K803" s="17"/>
      <c r="L803" s="17"/>
      <c r="AC803" s="1257"/>
    </row>
    <row r="804">
      <c r="B804" s="17"/>
      <c r="C804" s="17"/>
      <c r="D804" s="17"/>
      <c r="E804" s="444"/>
      <c r="F804" s="17"/>
      <c r="G804" s="17"/>
      <c r="H804" s="17"/>
      <c r="I804" s="17"/>
      <c r="J804" s="17" t="s">
        <v>706</v>
      </c>
      <c r="K804" s="17"/>
      <c r="L804" s="17"/>
      <c r="AC804" s="1257"/>
    </row>
    <row r="805">
      <c r="B805" s="17"/>
      <c r="C805" s="17"/>
      <c r="D805" s="17"/>
      <c r="E805" s="444"/>
      <c r="F805" s="17"/>
      <c r="G805" s="17"/>
      <c r="H805" s="17"/>
      <c r="I805" s="17"/>
      <c r="J805" s="17" t="s">
        <v>706</v>
      </c>
      <c r="K805" s="17"/>
      <c r="L805" s="17"/>
      <c r="AC805" s="1257"/>
    </row>
    <row r="806">
      <c r="B806" s="17"/>
      <c r="C806" s="17"/>
      <c r="D806" s="17"/>
      <c r="E806" s="444"/>
      <c r="F806" s="17"/>
      <c r="G806" s="17"/>
      <c r="H806" s="17"/>
      <c r="I806" s="17"/>
      <c r="J806" s="17" t="s">
        <v>706</v>
      </c>
      <c r="K806" s="17"/>
      <c r="L806" s="17"/>
      <c r="AC806" s="1257"/>
    </row>
    <row r="807">
      <c r="B807" s="17"/>
      <c r="C807" s="17"/>
      <c r="D807" s="17"/>
      <c r="E807" s="444"/>
      <c r="F807" s="17"/>
      <c r="G807" s="17"/>
      <c r="H807" s="17"/>
      <c r="I807" s="17"/>
      <c r="J807" s="17" t="s">
        <v>706</v>
      </c>
      <c r="K807" s="17"/>
      <c r="L807" s="17"/>
      <c r="AC807" s="1257"/>
    </row>
    <row r="808">
      <c r="B808" s="17"/>
      <c r="C808" s="17"/>
      <c r="D808" s="17"/>
      <c r="E808" s="444"/>
      <c r="F808" s="17"/>
      <c r="G808" s="17"/>
      <c r="H808" s="17"/>
      <c r="I808" s="17"/>
      <c r="J808" s="17" t="s">
        <v>706</v>
      </c>
      <c r="K808" s="17"/>
      <c r="L808" s="17"/>
      <c r="AC808" s="1257"/>
    </row>
    <row r="809">
      <c r="B809" s="17"/>
      <c r="C809" s="17"/>
      <c r="D809" s="17"/>
      <c r="E809" s="444"/>
      <c r="F809" s="17"/>
      <c r="G809" s="17"/>
      <c r="H809" s="17"/>
      <c r="I809" s="17"/>
      <c r="J809" s="17" t="s">
        <v>706</v>
      </c>
      <c r="K809" s="17"/>
      <c r="L809" s="17"/>
      <c r="AC809" s="1257"/>
    </row>
    <row r="810">
      <c r="B810" s="17"/>
      <c r="C810" s="17"/>
      <c r="D810" s="17"/>
      <c r="E810" s="444"/>
      <c r="F810" s="17"/>
      <c r="G810" s="17"/>
      <c r="H810" s="17"/>
      <c r="I810" s="17"/>
      <c r="J810" s="17" t="s">
        <v>706</v>
      </c>
      <c r="K810" s="17"/>
      <c r="L810" s="17"/>
      <c r="AC810" s="1257"/>
    </row>
    <row r="811">
      <c r="B811" s="17"/>
      <c r="C811" s="17"/>
      <c r="D811" s="17"/>
      <c r="E811" s="444"/>
      <c r="F811" s="17"/>
      <c r="G811" s="17"/>
      <c r="H811" s="17"/>
      <c r="I811" s="17"/>
      <c r="J811" s="17" t="s">
        <v>706</v>
      </c>
      <c r="K811" s="17"/>
      <c r="L811" s="17"/>
      <c r="AC811" s="1257"/>
    </row>
    <row r="812">
      <c r="B812" s="17"/>
      <c r="C812" s="17"/>
      <c r="D812" s="17"/>
      <c r="E812" s="444"/>
      <c r="F812" s="17"/>
      <c r="G812" s="17"/>
      <c r="H812" s="17"/>
      <c r="I812" s="17"/>
      <c r="J812" s="17" t="s">
        <v>706</v>
      </c>
      <c r="K812" s="17"/>
      <c r="L812" s="17"/>
      <c r="AC812" s="1257"/>
    </row>
    <row r="813">
      <c r="B813" s="17"/>
      <c r="C813" s="17"/>
      <c r="D813" s="17"/>
      <c r="E813" s="444"/>
      <c r="F813" s="17"/>
      <c r="G813" s="17"/>
      <c r="H813" s="17"/>
      <c r="I813" s="17"/>
      <c r="J813" s="17" t="s">
        <v>706</v>
      </c>
      <c r="K813" s="17"/>
      <c r="L813" s="17"/>
      <c r="AC813" s="1257"/>
    </row>
    <row r="814">
      <c r="B814" s="17"/>
      <c r="C814" s="17"/>
      <c r="D814" s="17"/>
      <c r="E814" s="444"/>
      <c r="F814" s="17"/>
      <c r="G814" s="17"/>
      <c r="H814" s="17"/>
      <c r="I814" s="17"/>
      <c r="J814" s="17" t="s">
        <v>706</v>
      </c>
      <c r="K814" s="17"/>
      <c r="L814" s="17"/>
      <c r="AC814" s="1257"/>
    </row>
    <row r="815">
      <c r="B815" s="17"/>
      <c r="C815" s="17"/>
      <c r="D815" s="17"/>
      <c r="E815" s="444"/>
      <c r="F815" s="17"/>
      <c r="G815" s="17"/>
      <c r="H815" s="17"/>
      <c r="I815" s="17"/>
      <c r="J815" s="17" t="s">
        <v>706</v>
      </c>
      <c r="K815" s="17"/>
      <c r="L815" s="17"/>
      <c r="AC815" s="1257"/>
    </row>
    <row r="816">
      <c r="B816" s="17"/>
      <c r="C816" s="17"/>
      <c r="D816" s="17"/>
      <c r="E816" s="444"/>
      <c r="F816" s="17"/>
      <c r="G816" s="17"/>
      <c r="H816" s="17"/>
      <c r="I816" s="17"/>
      <c r="J816" s="17" t="s">
        <v>706</v>
      </c>
      <c r="K816" s="17"/>
      <c r="L816" s="17"/>
      <c r="AC816" s="1257"/>
    </row>
    <row r="817">
      <c r="B817" s="17"/>
      <c r="C817" s="17"/>
      <c r="D817" s="17"/>
      <c r="E817" s="444"/>
      <c r="F817" s="17"/>
      <c r="G817" s="17"/>
      <c r="H817" s="17"/>
      <c r="I817" s="17"/>
      <c r="J817" s="17" t="s">
        <v>706</v>
      </c>
      <c r="K817" s="17"/>
      <c r="L817" s="17"/>
      <c r="AC817" s="1257"/>
    </row>
    <row r="818">
      <c r="B818" s="17"/>
      <c r="C818" s="17"/>
      <c r="D818" s="17"/>
      <c r="E818" s="444"/>
      <c r="F818" s="17"/>
      <c r="G818" s="17"/>
      <c r="H818" s="17"/>
      <c r="I818" s="17"/>
      <c r="J818" s="17" t="s">
        <v>706</v>
      </c>
      <c r="K818" s="17"/>
      <c r="L818" s="17"/>
      <c r="AC818" s="1257"/>
    </row>
    <row r="819">
      <c r="B819" s="17"/>
      <c r="C819" s="17"/>
      <c r="D819" s="17"/>
      <c r="E819" s="444"/>
      <c r="F819" s="17"/>
      <c r="G819" s="17"/>
      <c r="H819" s="17"/>
      <c r="I819" s="17"/>
      <c r="J819" s="17" t="s">
        <v>706</v>
      </c>
      <c r="K819" s="17"/>
      <c r="L819" s="17"/>
      <c r="AC819" s="1257"/>
    </row>
    <row r="820">
      <c r="B820" s="17"/>
      <c r="C820" s="17"/>
      <c r="D820" s="17"/>
      <c r="E820" s="444"/>
      <c r="F820" s="17"/>
      <c r="G820" s="17"/>
      <c r="H820" s="17"/>
      <c r="I820" s="17"/>
      <c r="J820" s="17" t="s">
        <v>706</v>
      </c>
      <c r="K820" s="17"/>
      <c r="L820" s="17"/>
      <c r="AC820" s="1257"/>
    </row>
    <row r="821">
      <c r="B821" s="17"/>
      <c r="C821" s="17"/>
      <c r="D821" s="17"/>
      <c r="E821" s="444"/>
      <c r="F821" s="17"/>
      <c r="G821" s="17"/>
      <c r="H821" s="17"/>
      <c r="I821" s="17"/>
      <c r="J821" s="17" t="s">
        <v>706</v>
      </c>
      <c r="K821" s="17"/>
      <c r="L821" s="17"/>
      <c r="AC821" s="1257"/>
    </row>
    <row r="822">
      <c r="B822" s="17"/>
      <c r="C822" s="17"/>
      <c r="D822" s="17"/>
      <c r="E822" s="444"/>
      <c r="F822" s="17"/>
      <c r="G822" s="17"/>
      <c r="H822" s="17"/>
      <c r="I822" s="17"/>
      <c r="J822" s="17" t="s">
        <v>706</v>
      </c>
      <c r="K822" s="17"/>
      <c r="L822" s="17"/>
      <c r="AC822" s="1257"/>
    </row>
    <row r="823">
      <c r="B823" s="17"/>
      <c r="C823" s="17"/>
      <c r="D823" s="17"/>
      <c r="E823" s="444"/>
      <c r="F823" s="17"/>
      <c r="G823" s="17"/>
      <c r="H823" s="17"/>
      <c r="I823" s="17"/>
      <c r="J823" s="17" t="s">
        <v>706</v>
      </c>
      <c r="K823" s="17"/>
      <c r="L823" s="17"/>
      <c r="AC823" s="1257"/>
    </row>
    <row r="824">
      <c r="B824" s="17"/>
      <c r="C824" s="17"/>
      <c r="D824" s="17"/>
      <c r="E824" s="444"/>
      <c r="F824" s="17"/>
      <c r="G824" s="17"/>
      <c r="H824" s="17"/>
      <c r="I824" s="17"/>
      <c r="J824" s="17" t="s">
        <v>706</v>
      </c>
      <c r="K824" s="17"/>
      <c r="L824" s="17"/>
      <c r="AC824" s="1257"/>
    </row>
    <row r="825">
      <c r="B825" s="17"/>
      <c r="C825" s="17"/>
      <c r="D825" s="17"/>
      <c r="E825" s="444"/>
      <c r="F825" s="17"/>
      <c r="G825" s="17"/>
      <c r="H825" s="17"/>
      <c r="I825" s="17"/>
      <c r="J825" s="17" t="s">
        <v>706</v>
      </c>
      <c r="K825" s="17"/>
      <c r="L825" s="17"/>
      <c r="AC825" s="1257"/>
    </row>
    <row r="826">
      <c r="B826" s="17"/>
      <c r="C826" s="17"/>
      <c r="D826" s="17"/>
      <c r="E826" s="444"/>
      <c r="F826" s="17"/>
      <c r="G826" s="17"/>
      <c r="H826" s="17"/>
      <c r="I826" s="17"/>
      <c r="J826" s="17" t="s">
        <v>706</v>
      </c>
      <c r="K826" s="17"/>
      <c r="L826" s="17"/>
      <c r="AC826" s="1257"/>
    </row>
    <row r="827">
      <c r="B827" s="17"/>
      <c r="C827" s="17"/>
      <c r="D827" s="17"/>
      <c r="E827" s="444"/>
      <c r="F827" s="17"/>
      <c r="G827" s="17"/>
      <c r="H827" s="17"/>
      <c r="I827" s="17"/>
      <c r="J827" s="17" t="s">
        <v>706</v>
      </c>
      <c r="K827" s="17"/>
      <c r="L827" s="17"/>
      <c r="AC827" s="1257"/>
    </row>
    <row r="828">
      <c r="B828" s="17"/>
      <c r="C828" s="17"/>
      <c r="D828" s="17"/>
      <c r="E828" s="444"/>
      <c r="F828" s="17"/>
      <c r="G828" s="17"/>
      <c r="H828" s="17"/>
      <c r="I828" s="17"/>
      <c r="J828" s="17" t="s">
        <v>706</v>
      </c>
      <c r="K828" s="17"/>
      <c r="L828" s="17"/>
      <c r="AC828" s="1257"/>
    </row>
    <row r="829">
      <c r="B829" s="17"/>
      <c r="C829" s="17"/>
      <c r="D829" s="17"/>
      <c r="E829" s="444"/>
      <c r="F829" s="17"/>
      <c r="G829" s="17"/>
      <c r="H829" s="17"/>
      <c r="I829" s="17"/>
      <c r="J829" s="17" t="s">
        <v>706</v>
      </c>
      <c r="K829" s="17"/>
      <c r="L829" s="17"/>
      <c r="AC829" s="1257"/>
    </row>
    <row r="830">
      <c r="B830" s="17"/>
      <c r="C830" s="17"/>
      <c r="D830" s="17"/>
      <c r="E830" s="444"/>
      <c r="F830" s="17"/>
      <c r="G830" s="17"/>
      <c r="H830" s="17"/>
      <c r="I830" s="17"/>
      <c r="J830" s="17" t="s">
        <v>706</v>
      </c>
      <c r="K830" s="17"/>
      <c r="L830" s="17"/>
      <c r="AC830" s="1257"/>
    </row>
    <row r="831">
      <c r="B831" s="17"/>
      <c r="C831" s="17"/>
      <c r="D831" s="17"/>
      <c r="E831" s="444"/>
      <c r="F831" s="17"/>
      <c r="G831" s="17"/>
      <c r="H831" s="17"/>
      <c r="I831" s="17"/>
      <c r="J831" s="17" t="s">
        <v>706</v>
      </c>
      <c r="K831" s="17"/>
      <c r="L831" s="17"/>
      <c r="AC831" s="1257"/>
    </row>
    <row r="832">
      <c r="B832" s="17"/>
      <c r="C832" s="17"/>
      <c r="D832" s="17"/>
      <c r="E832" s="444"/>
      <c r="F832" s="17"/>
      <c r="G832" s="17"/>
      <c r="H832" s="17"/>
      <c r="I832" s="17"/>
      <c r="J832" s="17" t="s">
        <v>706</v>
      </c>
      <c r="K832" s="17"/>
      <c r="L832" s="17"/>
      <c r="AC832" s="1257"/>
    </row>
    <row r="833">
      <c r="B833" s="17"/>
      <c r="C833" s="17"/>
      <c r="D833" s="17"/>
      <c r="E833" s="444"/>
      <c r="F833" s="17"/>
      <c r="G833" s="17"/>
      <c r="H833" s="17"/>
      <c r="I833" s="17"/>
      <c r="J833" s="17" t="s">
        <v>706</v>
      </c>
      <c r="K833" s="17"/>
      <c r="L833" s="17"/>
      <c r="AC833" s="1257"/>
    </row>
    <row r="834">
      <c r="B834" s="17"/>
      <c r="C834" s="17"/>
      <c r="D834" s="17"/>
      <c r="E834" s="444"/>
      <c r="F834" s="17"/>
      <c r="G834" s="17"/>
      <c r="H834" s="17"/>
      <c r="I834" s="17"/>
      <c r="J834" s="17" t="s">
        <v>706</v>
      </c>
      <c r="K834" s="17"/>
      <c r="L834" s="17"/>
      <c r="AC834" s="1257"/>
    </row>
    <row r="835">
      <c r="B835" s="17"/>
      <c r="C835" s="17"/>
      <c r="D835" s="17"/>
      <c r="E835" s="444"/>
      <c r="F835" s="17"/>
      <c r="G835" s="17"/>
      <c r="H835" s="17"/>
      <c r="I835" s="17"/>
      <c r="J835" s="17" t="s">
        <v>706</v>
      </c>
      <c r="K835" s="17"/>
      <c r="L835" s="17"/>
      <c r="AC835" s="1257"/>
    </row>
    <row r="836">
      <c r="B836" s="17"/>
      <c r="C836" s="17"/>
      <c r="D836" s="17"/>
      <c r="E836" s="444"/>
      <c r="F836" s="17"/>
      <c r="G836" s="17"/>
      <c r="H836" s="17"/>
      <c r="I836" s="17"/>
      <c r="J836" s="17" t="s">
        <v>706</v>
      </c>
      <c r="K836" s="17"/>
      <c r="L836" s="17"/>
      <c r="AC836" s="1257"/>
    </row>
    <row r="837">
      <c r="B837" s="17"/>
      <c r="C837" s="17"/>
      <c r="D837" s="17"/>
      <c r="E837" s="444"/>
      <c r="F837" s="17"/>
      <c r="G837" s="17"/>
      <c r="H837" s="17"/>
      <c r="I837" s="17"/>
      <c r="J837" s="17" t="s">
        <v>706</v>
      </c>
      <c r="K837" s="17"/>
      <c r="L837" s="17"/>
      <c r="AC837" s="1257"/>
    </row>
    <row r="838">
      <c r="B838" s="17"/>
      <c r="C838" s="17"/>
      <c r="D838" s="17"/>
      <c r="E838" s="444"/>
      <c r="F838" s="17"/>
      <c r="G838" s="17"/>
      <c r="H838" s="17"/>
      <c r="I838" s="17"/>
      <c r="J838" s="17" t="s">
        <v>706</v>
      </c>
      <c r="K838" s="17"/>
      <c r="L838" s="17"/>
      <c r="AC838" s="1257"/>
    </row>
    <row r="839">
      <c r="B839" s="17"/>
      <c r="C839" s="17"/>
      <c r="D839" s="17"/>
      <c r="E839" s="444"/>
      <c r="F839" s="17"/>
      <c r="G839" s="17"/>
      <c r="H839" s="17"/>
      <c r="I839" s="17"/>
      <c r="J839" s="17" t="s">
        <v>706</v>
      </c>
      <c r="K839" s="17"/>
      <c r="L839" s="17"/>
      <c r="AC839" s="1257"/>
    </row>
    <row r="840">
      <c r="B840" s="17"/>
      <c r="C840" s="17"/>
      <c r="D840" s="17"/>
      <c r="E840" s="444"/>
      <c r="F840" s="17"/>
      <c r="G840" s="17"/>
      <c r="H840" s="17"/>
      <c r="I840" s="17"/>
      <c r="J840" s="17" t="s">
        <v>706</v>
      </c>
      <c r="K840" s="17"/>
      <c r="L840" s="17"/>
      <c r="AC840" s="1257"/>
    </row>
    <row r="841">
      <c r="B841" s="17"/>
      <c r="C841" s="17"/>
      <c r="D841" s="17"/>
      <c r="E841" s="444"/>
      <c r="F841" s="17"/>
      <c r="G841" s="17"/>
      <c r="H841" s="17"/>
      <c r="I841" s="17"/>
      <c r="J841" s="17" t="s">
        <v>706</v>
      </c>
      <c r="K841" s="17"/>
      <c r="L841" s="17"/>
      <c r="AC841" s="1257"/>
    </row>
    <row r="842">
      <c r="B842" s="17"/>
      <c r="C842" s="17"/>
      <c r="D842" s="17"/>
      <c r="E842" s="444"/>
      <c r="F842" s="17"/>
      <c r="G842" s="17"/>
      <c r="H842" s="17"/>
      <c r="I842" s="17"/>
      <c r="J842" s="17" t="s">
        <v>706</v>
      </c>
      <c r="K842" s="17"/>
      <c r="L842" s="17"/>
      <c r="AC842" s="1257"/>
    </row>
    <row r="843">
      <c r="B843" s="17"/>
      <c r="C843" s="17"/>
      <c r="D843" s="17"/>
      <c r="E843" s="444"/>
      <c r="F843" s="17"/>
      <c r="G843" s="17"/>
      <c r="H843" s="17"/>
      <c r="I843" s="17"/>
      <c r="J843" s="17" t="s">
        <v>706</v>
      </c>
      <c r="K843" s="17"/>
      <c r="L843" s="17"/>
      <c r="AC843" s="1257"/>
    </row>
    <row r="844">
      <c r="B844" s="17"/>
      <c r="C844" s="17"/>
      <c r="D844" s="17"/>
      <c r="E844" s="444"/>
      <c r="F844" s="17"/>
      <c r="G844" s="17"/>
      <c r="H844" s="17"/>
      <c r="I844" s="17"/>
      <c r="J844" s="17" t="s">
        <v>706</v>
      </c>
      <c r="K844" s="17"/>
      <c r="L844" s="17"/>
      <c r="AC844" s="1257"/>
    </row>
    <row r="845">
      <c r="B845" s="17"/>
      <c r="C845" s="17"/>
      <c r="D845" s="17"/>
      <c r="E845" s="444"/>
      <c r="F845" s="17"/>
      <c r="G845" s="17"/>
      <c r="H845" s="17"/>
      <c r="I845" s="17"/>
      <c r="J845" s="17" t="s">
        <v>706</v>
      </c>
      <c r="K845" s="17"/>
      <c r="L845" s="17"/>
      <c r="AC845" s="1257"/>
    </row>
    <row r="846">
      <c r="B846" s="17"/>
      <c r="C846" s="17"/>
      <c r="D846" s="17"/>
      <c r="E846" s="444"/>
      <c r="F846" s="17"/>
      <c r="G846" s="17"/>
      <c r="H846" s="17"/>
      <c r="I846" s="17"/>
      <c r="J846" s="17" t="s">
        <v>706</v>
      </c>
      <c r="K846" s="17"/>
      <c r="L846" s="17"/>
      <c r="AC846" s="1257"/>
    </row>
    <row r="847">
      <c r="B847" s="17"/>
      <c r="C847" s="17"/>
      <c r="D847" s="17"/>
      <c r="E847" s="444"/>
      <c r="F847" s="17"/>
      <c r="G847" s="17"/>
      <c r="H847" s="17"/>
      <c r="I847" s="17"/>
      <c r="J847" s="17" t="s">
        <v>706</v>
      </c>
      <c r="K847" s="17"/>
      <c r="L847" s="17"/>
      <c r="AC847" s="1257"/>
    </row>
    <row r="848">
      <c r="B848" s="17"/>
      <c r="C848" s="17"/>
      <c r="D848" s="17"/>
      <c r="E848" s="444"/>
      <c r="F848" s="17"/>
      <c r="G848" s="17"/>
      <c r="H848" s="17"/>
      <c r="I848" s="17"/>
      <c r="J848" s="17" t="s">
        <v>706</v>
      </c>
      <c r="K848" s="17"/>
      <c r="L848" s="17"/>
      <c r="AC848" s="1257"/>
    </row>
    <row r="849">
      <c r="B849" s="17"/>
      <c r="C849" s="17"/>
      <c r="D849" s="17"/>
      <c r="E849" s="444"/>
      <c r="F849" s="17"/>
      <c r="G849" s="17"/>
      <c r="H849" s="17"/>
      <c r="I849" s="17"/>
      <c r="J849" s="17" t="s">
        <v>706</v>
      </c>
      <c r="K849" s="17"/>
      <c r="L849" s="17"/>
      <c r="AC849" s="1257"/>
    </row>
    <row r="850">
      <c r="B850" s="17"/>
      <c r="C850" s="17"/>
      <c r="D850" s="17"/>
      <c r="E850" s="444"/>
      <c r="F850" s="17"/>
      <c r="G850" s="17"/>
      <c r="H850" s="17"/>
      <c r="I850" s="17"/>
      <c r="J850" s="17" t="s">
        <v>706</v>
      </c>
      <c r="K850" s="17"/>
      <c r="L850" s="17"/>
      <c r="AC850" s="1257"/>
    </row>
    <row r="851">
      <c r="B851" s="17"/>
      <c r="C851" s="17"/>
      <c r="D851" s="17"/>
      <c r="E851" s="444"/>
      <c r="F851" s="17"/>
      <c r="G851" s="17"/>
      <c r="H851" s="17"/>
      <c r="I851" s="17"/>
      <c r="J851" s="17" t="s">
        <v>706</v>
      </c>
      <c r="K851" s="17"/>
      <c r="L851" s="17"/>
      <c r="AC851" s="1257"/>
    </row>
    <row r="852">
      <c r="B852" s="17"/>
      <c r="C852" s="17"/>
      <c r="D852" s="17"/>
      <c r="E852" s="444"/>
      <c r="F852" s="17"/>
      <c r="G852" s="17"/>
      <c r="H852" s="17"/>
      <c r="I852" s="17"/>
      <c r="J852" s="17" t="s">
        <v>706</v>
      </c>
      <c r="K852" s="17"/>
      <c r="L852" s="17"/>
      <c r="AC852" s="1257"/>
    </row>
    <row r="853">
      <c r="B853" s="17"/>
      <c r="C853" s="17"/>
      <c r="D853" s="17"/>
      <c r="E853" s="444"/>
      <c r="F853" s="17"/>
      <c r="G853" s="17"/>
      <c r="H853" s="17"/>
      <c r="I853" s="17"/>
      <c r="J853" s="17" t="s">
        <v>706</v>
      </c>
      <c r="K853" s="17"/>
      <c r="L853" s="17"/>
      <c r="AC853" s="1257"/>
    </row>
    <row r="854">
      <c r="B854" s="17"/>
      <c r="C854" s="17"/>
      <c r="D854" s="17"/>
      <c r="E854" s="444"/>
      <c r="F854" s="17"/>
      <c r="G854" s="17"/>
      <c r="H854" s="17"/>
      <c r="I854" s="17"/>
      <c r="J854" s="17" t="s">
        <v>706</v>
      </c>
      <c r="K854" s="17"/>
      <c r="L854" s="17"/>
      <c r="AC854" s="1257"/>
    </row>
    <row r="855">
      <c r="B855" s="17"/>
      <c r="C855" s="17"/>
      <c r="D855" s="17"/>
      <c r="E855" s="444"/>
      <c r="F855" s="17"/>
      <c r="G855" s="17"/>
      <c r="H855" s="17"/>
      <c r="I855" s="17"/>
      <c r="J855" s="17" t="s">
        <v>706</v>
      </c>
      <c r="K855" s="17"/>
      <c r="L855" s="17"/>
      <c r="AC855" s="1257"/>
    </row>
    <row r="856">
      <c r="B856" s="17"/>
      <c r="C856" s="17"/>
      <c r="D856" s="17"/>
      <c r="E856" s="444"/>
      <c r="F856" s="17"/>
      <c r="G856" s="17"/>
      <c r="H856" s="17"/>
      <c r="I856" s="17"/>
      <c r="J856" s="17" t="s">
        <v>706</v>
      </c>
      <c r="K856" s="17"/>
      <c r="L856" s="17"/>
      <c r="AC856" s="1257"/>
    </row>
    <row r="857">
      <c r="B857" s="17"/>
      <c r="C857" s="17"/>
      <c r="D857" s="17"/>
      <c r="E857" s="444"/>
      <c r="F857" s="17"/>
      <c r="G857" s="17"/>
      <c r="H857" s="17"/>
      <c r="I857" s="17"/>
      <c r="J857" s="17" t="s">
        <v>706</v>
      </c>
      <c r="K857" s="17"/>
      <c r="L857" s="17"/>
      <c r="AC857" s="1257"/>
    </row>
    <row r="858">
      <c r="B858" s="17"/>
      <c r="C858" s="17"/>
      <c r="D858" s="17"/>
      <c r="E858" s="444"/>
      <c r="F858" s="17"/>
      <c r="G858" s="17"/>
      <c r="H858" s="17"/>
      <c r="I858" s="17"/>
      <c r="J858" s="17" t="s">
        <v>706</v>
      </c>
      <c r="K858" s="17"/>
      <c r="L858" s="17"/>
      <c r="AC858" s="1257"/>
    </row>
    <row r="859">
      <c r="B859" s="17"/>
      <c r="C859" s="17"/>
      <c r="D859" s="17"/>
      <c r="E859" s="444"/>
      <c r="F859" s="17"/>
      <c r="G859" s="17"/>
      <c r="H859" s="17"/>
      <c r="I859" s="17"/>
      <c r="J859" s="17" t="s">
        <v>706</v>
      </c>
      <c r="K859" s="17"/>
      <c r="L859" s="17"/>
      <c r="AC859" s="1257"/>
    </row>
    <row r="860">
      <c r="B860" s="17"/>
      <c r="C860" s="17"/>
      <c r="D860" s="17"/>
      <c r="E860" s="444"/>
      <c r="F860" s="17"/>
      <c r="G860" s="17"/>
      <c r="H860" s="17"/>
      <c r="I860" s="17"/>
      <c r="J860" s="17" t="s">
        <v>706</v>
      </c>
      <c r="K860" s="17"/>
      <c r="L860" s="17"/>
      <c r="AC860" s="1257"/>
    </row>
    <row r="861">
      <c r="B861" s="17"/>
      <c r="C861" s="17"/>
      <c r="D861" s="17"/>
      <c r="E861" s="444"/>
      <c r="F861" s="17"/>
      <c r="G861" s="17"/>
      <c r="H861" s="17"/>
      <c r="I861" s="17"/>
      <c r="J861" s="17" t="s">
        <v>706</v>
      </c>
      <c r="K861" s="17"/>
      <c r="L861" s="17"/>
      <c r="AC861" s="1257"/>
    </row>
    <row r="862">
      <c r="B862" s="17"/>
      <c r="C862" s="17"/>
      <c r="D862" s="17"/>
      <c r="E862" s="444"/>
      <c r="F862" s="17"/>
      <c r="G862" s="17"/>
      <c r="H862" s="17"/>
      <c r="I862" s="17"/>
      <c r="J862" s="17" t="s">
        <v>706</v>
      </c>
      <c r="K862" s="17"/>
      <c r="L862" s="17"/>
      <c r="AC862" s="1257"/>
    </row>
    <row r="863">
      <c r="B863" s="17"/>
      <c r="C863" s="17"/>
      <c r="D863" s="17"/>
      <c r="E863" s="444"/>
      <c r="F863" s="17"/>
      <c r="G863" s="17"/>
      <c r="H863" s="17"/>
      <c r="I863" s="17"/>
      <c r="J863" s="17" t="s">
        <v>706</v>
      </c>
      <c r="K863" s="17"/>
      <c r="L863" s="17"/>
      <c r="AC863" s="1257"/>
    </row>
    <row r="864">
      <c r="B864" s="17"/>
      <c r="C864" s="17"/>
      <c r="D864" s="17"/>
      <c r="E864" s="444"/>
      <c r="F864" s="17"/>
      <c r="G864" s="17"/>
      <c r="H864" s="17"/>
      <c r="I864" s="17"/>
      <c r="J864" s="17" t="s">
        <v>706</v>
      </c>
      <c r="K864" s="17"/>
      <c r="L864" s="17"/>
      <c r="AC864" s="1257"/>
    </row>
    <row r="865">
      <c r="B865" s="17"/>
      <c r="C865" s="17"/>
      <c r="D865" s="17"/>
      <c r="E865" s="444"/>
      <c r="F865" s="17"/>
      <c r="G865" s="17"/>
      <c r="H865" s="17"/>
      <c r="I865" s="17"/>
      <c r="J865" s="17" t="s">
        <v>706</v>
      </c>
      <c r="K865" s="17"/>
      <c r="L865" s="17"/>
      <c r="AC865" s="1257"/>
    </row>
    <row r="866">
      <c r="B866" s="17"/>
      <c r="C866" s="17"/>
      <c r="D866" s="17"/>
      <c r="E866" s="444"/>
      <c r="F866" s="17"/>
      <c r="G866" s="17"/>
      <c r="H866" s="17"/>
      <c r="I866" s="17"/>
      <c r="J866" s="17" t="s">
        <v>706</v>
      </c>
      <c r="K866" s="17"/>
      <c r="L866" s="17"/>
      <c r="AC866" s="1257"/>
    </row>
    <row r="867">
      <c r="B867" s="17"/>
      <c r="C867" s="17"/>
      <c r="D867" s="17"/>
      <c r="E867" s="444"/>
      <c r="F867" s="17"/>
      <c r="G867" s="17"/>
      <c r="H867" s="17"/>
      <c r="I867" s="17"/>
      <c r="J867" s="17" t="s">
        <v>706</v>
      </c>
      <c r="K867" s="17"/>
      <c r="L867" s="17"/>
      <c r="AC867" s="1257"/>
    </row>
    <row r="868">
      <c r="B868" s="17"/>
      <c r="C868" s="17"/>
      <c r="D868" s="17"/>
      <c r="E868" s="444"/>
      <c r="F868" s="17"/>
      <c r="G868" s="17"/>
      <c r="H868" s="17"/>
      <c r="I868" s="17"/>
      <c r="J868" s="17" t="s">
        <v>706</v>
      </c>
      <c r="K868" s="17"/>
      <c r="L868" s="17"/>
      <c r="AC868" s="1257"/>
    </row>
    <row r="869">
      <c r="B869" s="17"/>
      <c r="C869" s="17"/>
      <c r="D869" s="17"/>
      <c r="E869" s="444"/>
      <c r="F869" s="17"/>
      <c r="G869" s="17"/>
      <c r="H869" s="17"/>
      <c r="I869" s="17"/>
      <c r="J869" s="17" t="s">
        <v>706</v>
      </c>
      <c r="K869" s="17"/>
      <c r="L869" s="17"/>
      <c r="AC869" s="1257"/>
    </row>
    <row r="870">
      <c r="B870" s="17"/>
      <c r="C870" s="17"/>
      <c r="D870" s="17"/>
      <c r="E870" s="444"/>
      <c r="F870" s="17"/>
      <c r="G870" s="17"/>
      <c r="H870" s="17"/>
      <c r="I870" s="17"/>
      <c r="J870" s="17" t="s">
        <v>706</v>
      </c>
      <c r="K870" s="17"/>
      <c r="L870" s="17"/>
      <c r="AC870" s="1257"/>
    </row>
    <row r="871">
      <c r="B871" s="17"/>
      <c r="C871" s="17"/>
      <c r="D871" s="17"/>
      <c r="E871" s="444"/>
      <c r="F871" s="17"/>
      <c r="G871" s="17"/>
      <c r="H871" s="17"/>
      <c r="I871" s="17"/>
      <c r="J871" s="17" t="s">
        <v>706</v>
      </c>
      <c r="K871" s="17"/>
      <c r="L871" s="17"/>
      <c r="AC871" s="1257"/>
    </row>
    <row r="872">
      <c r="B872" s="17"/>
      <c r="C872" s="17"/>
      <c r="D872" s="17"/>
      <c r="E872" s="444"/>
      <c r="F872" s="17"/>
      <c r="G872" s="17"/>
      <c r="H872" s="17"/>
      <c r="I872" s="17"/>
      <c r="J872" s="17" t="s">
        <v>706</v>
      </c>
      <c r="K872" s="17"/>
      <c r="L872" s="17"/>
      <c r="AC872" s="1257"/>
    </row>
    <row r="873">
      <c r="B873" s="17"/>
      <c r="C873" s="17"/>
      <c r="D873" s="17"/>
      <c r="E873" s="444"/>
      <c r="F873" s="17"/>
      <c r="G873" s="17"/>
      <c r="H873" s="17"/>
      <c r="I873" s="17"/>
      <c r="J873" s="17" t="s">
        <v>706</v>
      </c>
      <c r="K873" s="17"/>
      <c r="L873" s="17"/>
      <c r="AC873" s="1257"/>
    </row>
    <row r="874">
      <c r="B874" s="17"/>
      <c r="C874" s="17"/>
      <c r="D874" s="17"/>
      <c r="E874" s="444"/>
      <c r="F874" s="17"/>
      <c r="G874" s="17"/>
      <c r="H874" s="17"/>
      <c r="I874" s="17"/>
      <c r="J874" s="17" t="s">
        <v>706</v>
      </c>
      <c r="K874" s="17"/>
      <c r="L874" s="17"/>
      <c r="AC874" s="1257"/>
    </row>
    <row r="875">
      <c r="B875" s="17"/>
      <c r="C875" s="17"/>
      <c r="D875" s="17"/>
      <c r="E875" s="444"/>
      <c r="F875" s="17"/>
      <c r="G875" s="17"/>
      <c r="H875" s="17"/>
      <c r="I875" s="17"/>
      <c r="J875" s="17" t="s">
        <v>706</v>
      </c>
      <c r="K875" s="17"/>
      <c r="L875" s="17"/>
      <c r="AC875" s="1257"/>
    </row>
    <row r="876">
      <c r="B876" s="17"/>
      <c r="C876" s="17"/>
      <c r="D876" s="17"/>
      <c r="E876" s="444"/>
      <c r="F876" s="17"/>
      <c r="G876" s="17"/>
      <c r="H876" s="17"/>
      <c r="I876" s="17"/>
      <c r="J876" s="17" t="s">
        <v>706</v>
      </c>
      <c r="K876" s="17"/>
      <c r="L876" s="17"/>
      <c r="AC876" s="1257"/>
    </row>
    <row r="877">
      <c r="B877" s="17"/>
      <c r="C877" s="17"/>
      <c r="D877" s="17"/>
      <c r="E877" s="444"/>
      <c r="F877" s="17"/>
      <c r="G877" s="17"/>
      <c r="H877" s="17"/>
      <c r="I877" s="17"/>
      <c r="J877" s="17" t="s">
        <v>706</v>
      </c>
      <c r="K877" s="17"/>
      <c r="L877" s="17"/>
      <c r="AC877" s="1257"/>
    </row>
    <row r="878">
      <c r="B878" s="17"/>
      <c r="C878" s="17"/>
      <c r="D878" s="17"/>
      <c r="E878" s="444"/>
      <c r="F878" s="17"/>
      <c r="G878" s="17"/>
      <c r="H878" s="17"/>
      <c r="I878" s="17"/>
      <c r="J878" s="17" t="s">
        <v>706</v>
      </c>
      <c r="K878" s="17"/>
      <c r="L878" s="17"/>
      <c r="AC878" s="1257"/>
    </row>
    <row r="879">
      <c r="B879" s="17"/>
      <c r="C879" s="17"/>
      <c r="D879" s="17"/>
      <c r="E879" s="444"/>
      <c r="F879" s="17"/>
      <c r="G879" s="17"/>
      <c r="H879" s="17"/>
      <c r="I879" s="17"/>
      <c r="J879" s="17" t="s">
        <v>706</v>
      </c>
      <c r="K879" s="17"/>
      <c r="L879" s="17"/>
      <c r="AC879" s="1257"/>
    </row>
    <row r="880">
      <c r="B880" s="17"/>
      <c r="C880" s="17"/>
      <c r="D880" s="17"/>
      <c r="E880" s="444"/>
      <c r="F880" s="17"/>
      <c r="G880" s="17"/>
      <c r="H880" s="17"/>
      <c r="I880" s="17"/>
      <c r="J880" s="17" t="s">
        <v>706</v>
      </c>
      <c r="K880" s="17"/>
      <c r="L880" s="17"/>
      <c r="AC880" s="1257"/>
    </row>
    <row r="881">
      <c r="B881" s="17"/>
      <c r="C881" s="17"/>
      <c r="D881" s="17"/>
      <c r="E881" s="444"/>
      <c r="F881" s="17"/>
      <c r="G881" s="17"/>
      <c r="H881" s="17"/>
      <c r="I881" s="17"/>
      <c r="J881" s="17" t="s">
        <v>706</v>
      </c>
      <c r="K881" s="17"/>
      <c r="L881" s="17"/>
      <c r="AC881" s="1257"/>
    </row>
    <row r="882">
      <c r="B882" s="17"/>
      <c r="C882" s="17"/>
      <c r="D882" s="17"/>
      <c r="E882" s="444"/>
      <c r="F882" s="17"/>
      <c r="G882" s="17"/>
      <c r="H882" s="17"/>
      <c r="I882" s="17"/>
      <c r="J882" s="17" t="s">
        <v>706</v>
      </c>
      <c r="K882" s="17"/>
      <c r="L882" s="17"/>
      <c r="AC882" s="1257"/>
    </row>
    <row r="883">
      <c r="B883" s="17"/>
      <c r="C883" s="17"/>
      <c r="D883" s="17"/>
      <c r="E883" s="444"/>
      <c r="F883" s="17"/>
      <c r="G883" s="17"/>
      <c r="H883" s="17"/>
      <c r="I883" s="17"/>
      <c r="J883" s="17" t="s">
        <v>706</v>
      </c>
      <c r="K883" s="17"/>
      <c r="L883" s="17"/>
      <c r="AC883" s="1257"/>
    </row>
    <row r="884">
      <c r="B884" s="17"/>
      <c r="C884" s="17"/>
      <c r="D884" s="17"/>
      <c r="E884" s="444"/>
      <c r="F884" s="17"/>
      <c r="G884" s="17"/>
      <c r="H884" s="17"/>
      <c r="I884" s="17"/>
      <c r="J884" s="17" t="s">
        <v>706</v>
      </c>
      <c r="K884" s="17"/>
      <c r="L884" s="17"/>
      <c r="AC884" s="1257"/>
    </row>
    <row r="885">
      <c r="B885" s="17"/>
      <c r="C885" s="17"/>
      <c r="D885" s="17"/>
      <c r="E885" s="444"/>
      <c r="F885" s="17"/>
      <c r="G885" s="17"/>
      <c r="H885" s="17"/>
      <c r="I885" s="17"/>
      <c r="J885" s="17" t="s">
        <v>706</v>
      </c>
      <c r="K885" s="17"/>
      <c r="L885" s="17"/>
      <c r="AC885" s="1257"/>
    </row>
    <row r="886">
      <c r="B886" s="17"/>
      <c r="C886" s="17"/>
      <c r="D886" s="17"/>
      <c r="E886" s="444"/>
      <c r="F886" s="17"/>
      <c r="G886" s="17"/>
      <c r="H886" s="17"/>
      <c r="I886" s="17"/>
      <c r="J886" s="17" t="s">
        <v>706</v>
      </c>
      <c r="K886" s="17"/>
      <c r="L886" s="17"/>
      <c r="AC886" s="1257"/>
    </row>
    <row r="887">
      <c r="B887" s="17"/>
      <c r="C887" s="17"/>
      <c r="D887" s="17"/>
      <c r="E887" s="444"/>
      <c r="F887" s="17"/>
      <c r="G887" s="17"/>
      <c r="H887" s="17"/>
      <c r="I887" s="17"/>
      <c r="J887" s="17" t="s">
        <v>706</v>
      </c>
      <c r="K887" s="17"/>
      <c r="L887" s="17"/>
      <c r="AC887" s="1257"/>
    </row>
    <row r="888">
      <c r="B888" s="17"/>
      <c r="C888" s="17"/>
      <c r="D888" s="17"/>
      <c r="E888" s="444"/>
      <c r="F888" s="17"/>
      <c r="G888" s="17"/>
      <c r="H888" s="17"/>
      <c r="I888" s="17"/>
      <c r="J888" s="17" t="s">
        <v>706</v>
      </c>
      <c r="K888" s="17"/>
      <c r="L888" s="17"/>
      <c r="AC888" s="1257"/>
    </row>
    <row r="889">
      <c r="B889" s="17"/>
      <c r="C889" s="17"/>
      <c r="D889" s="17"/>
      <c r="E889" s="444"/>
      <c r="F889" s="17"/>
      <c r="G889" s="17"/>
      <c r="H889" s="17"/>
      <c r="I889" s="17"/>
      <c r="J889" s="17" t="s">
        <v>706</v>
      </c>
      <c r="K889" s="17"/>
      <c r="L889" s="17"/>
      <c r="AC889" s="1257"/>
    </row>
    <row r="890">
      <c r="B890" s="17"/>
      <c r="C890" s="17"/>
      <c r="D890" s="17"/>
      <c r="E890" s="444"/>
      <c r="F890" s="17"/>
      <c r="G890" s="17"/>
      <c r="H890" s="17"/>
      <c r="I890" s="17"/>
      <c r="J890" s="17" t="s">
        <v>706</v>
      </c>
      <c r="K890" s="17"/>
      <c r="L890" s="17"/>
      <c r="AC890" s="1257"/>
    </row>
    <row r="891">
      <c r="B891" s="17"/>
      <c r="C891" s="17"/>
      <c r="D891" s="17"/>
      <c r="E891" s="444"/>
      <c r="F891" s="17"/>
      <c r="G891" s="17"/>
      <c r="H891" s="17"/>
      <c r="I891" s="17"/>
      <c r="J891" s="17" t="s">
        <v>706</v>
      </c>
      <c r="K891" s="17"/>
      <c r="L891" s="17"/>
      <c r="AC891" s="1257"/>
    </row>
    <row r="892">
      <c r="B892" s="17"/>
      <c r="C892" s="17"/>
      <c r="D892" s="17"/>
      <c r="E892" s="444"/>
      <c r="F892" s="17"/>
      <c r="G892" s="17"/>
      <c r="H892" s="17"/>
      <c r="I892" s="17"/>
      <c r="J892" s="17" t="s">
        <v>706</v>
      </c>
      <c r="K892" s="17"/>
      <c r="L892" s="17"/>
      <c r="AC892" s="1257"/>
    </row>
    <row r="893">
      <c r="B893" s="17"/>
      <c r="C893" s="17"/>
      <c r="D893" s="17"/>
      <c r="E893" s="444"/>
      <c r="F893" s="17"/>
      <c r="G893" s="17"/>
      <c r="H893" s="17"/>
      <c r="I893" s="17"/>
      <c r="J893" s="17" t="s">
        <v>706</v>
      </c>
      <c r="K893" s="17"/>
      <c r="L893" s="17"/>
      <c r="AC893" s="1257"/>
    </row>
    <row r="894">
      <c r="B894" s="17"/>
      <c r="C894" s="17"/>
      <c r="D894" s="17"/>
      <c r="E894" s="444"/>
      <c r="F894" s="17"/>
      <c r="G894" s="17"/>
      <c r="H894" s="17"/>
      <c r="I894" s="17"/>
      <c r="J894" s="17" t="s">
        <v>706</v>
      </c>
      <c r="K894" s="17"/>
      <c r="L894" s="17"/>
      <c r="AC894" s="1257"/>
    </row>
    <row r="895">
      <c r="B895" s="17"/>
      <c r="C895" s="17"/>
      <c r="D895" s="17"/>
      <c r="E895" s="444"/>
      <c r="F895" s="17"/>
      <c r="G895" s="17"/>
      <c r="H895" s="17"/>
      <c r="I895" s="17"/>
      <c r="J895" s="17" t="s">
        <v>706</v>
      </c>
      <c r="K895" s="17"/>
      <c r="L895" s="17"/>
      <c r="AC895" s="1257"/>
    </row>
    <row r="896">
      <c r="B896" s="17"/>
      <c r="C896" s="17"/>
      <c r="D896" s="17"/>
      <c r="E896" s="444"/>
      <c r="F896" s="17"/>
      <c r="G896" s="17"/>
      <c r="H896" s="17"/>
      <c r="I896" s="17"/>
      <c r="J896" s="17" t="s">
        <v>706</v>
      </c>
      <c r="K896" s="17"/>
      <c r="L896" s="17"/>
      <c r="AC896" s="1257"/>
    </row>
    <row r="897">
      <c r="B897" s="17"/>
      <c r="C897" s="17"/>
      <c r="D897" s="17"/>
      <c r="E897" s="444"/>
      <c r="F897" s="17"/>
      <c r="G897" s="17"/>
      <c r="H897" s="17"/>
      <c r="I897" s="17"/>
      <c r="J897" s="17" t="s">
        <v>706</v>
      </c>
      <c r="K897" s="17"/>
      <c r="L897" s="17"/>
      <c r="AC897" s="1257"/>
    </row>
    <row r="898">
      <c r="B898" s="17"/>
      <c r="C898" s="17"/>
      <c r="D898" s="17"/>
      <c r="E898" s="444"/>
      <c r="F898" s="17"/>
      <c r="G898" s="17"/>
      <c r="H898" s="17"/>
      <c r="I898" s="17"/>
      <c r="J898" s="17" t="s">
        <v>706</v>
      </c>
      <c r="K898" s="17"/>
      <c r="L898" s="17"/>
      <c r="AC898" s="1257"/>
    </row>
    <row r="899">
      <c r="B899" s="17"/>
      <c r="C899" s="17"/>
      <c r="D899" s="17"/>
      <c r="E899" s="444"/>
      <c r="F899" s="17"/>
      <c r="G899" s="17"/>
      <c r="H899" s="17"/>
      <c r="I899" s="17"/>
      <c r="J899" s="17" t="s">
        <v>706</v>
      </c>
      <c r="K899" s="17"/>
      <c r="L899" s="17"/>
      <c r="AC899" s="1257"/>
    </row>
    <row r="900">
      <c r="B900" s="17"/>
      <c r="C900" s="17"/>
      <c r="D900" s="17"/>
      <c r="E900" s="444"/>
      <c r="F900" s="17"/>
      <c r="G900" s="17"/>
      <c r="H900" s="17"/>
      <c r="I900" s="17"/>
      <c r="J900" s="17" t="s">
        <v>706</v>
      </c>
      <c r="K900" s="17"/>
      <c r="L900" s="17"/>
      <c r="AC900" s="1257"/>
    </row>
    <row r="901">
      <c r="B901" s="17"/>
      <c r="C901" s="17"/>
      <c r="D901" s="17"/>
      <c r="E901" s="444"/>
      <c r="F901" s="17"/>
      <c r="G901" s="17"/>
      <c r="H901" s="17"/>
      <c r="I901" s="17"/>
      <c r="J901" s="17" t="s">
        <v>706</v>
      </c>
      <c r="K901" s="17"/>
      <c r="L901" s="17"/>
      <c r="AC901" s="1257"/>
    </row>
    <row r="902">
      <c r="B902" s="17"/>
      <c r="C902" s="17"/>
      <c r="D902" s="17"/>
      <c r="E902" s="444"/>
      <c r="F902" s="17"/>
      <c r="G902" s="17"/>
      <c r="H902" s="17"/>
      <c r="I902" s="17"/>
      <c r="J902" s="17" t="s">
        <v>706</v>
      </c>
      <c r="K902" s="17"/>
      <c r="L902" s="17"/>
      <c r="AC902" s="1257"/>
    </row>
    <row r="903">
      <c r="B903" s="17"/>
      <c r="C903" s="17"/>
      <c r="D903" s="17"/>
      <c r="E903" s="444"/>
      <c r="F903" s="17"/>
      <c r="G903" s="17"/>
      <c r="H903" s="17"/>
      <c r="I903" s="17"/>
      <c r="J903" s="17" t="s">
        <v>706</v>
      </c>
      <c r="K903" s="17"/>
      <c r="L903" s="17"/>
      <c r="AC903" s="1257"/>
    </row>
    <row r="904">
      <c r="B904" s="17"/>
      <c r="C904" s="17"/>
      <c r="D904" s="17"/>
      <c r="E904" s="444"/>
      <c r="F904" s="17"/>
      <c r="G904" s="17"/>
      <c r="H904" s="17"/>
      <c r="I904" s="17"/>
      <c r="J904" s="17" t="s">
        <v>706</v>
      </c>
      <c r="K904" s="17"/>
      <c r="L904" s="17"/>
      <c r="AC904" s="1257"/>
    </row>
    <row r="905">
      <c r="B905" s="17"/>
      <c r="C905" s="17"/>
      <c r="D905" s="17"/>
      <c r="E905" s="444"/>
      <c r="F905" s="17"/>
      <c r="G905" s="17"/>
      <c r="H905" s="17"/>
      <c r="I905" s="17"/>
      <c r="J905" s="17" t="s">
        <v>706</v>
      </c>
      <c r="K905" s="17"/>
      <c r="L905" s="17"/>
      <c r="AC905" s="1257"/>
    </row>
    <row r="906">
      <c r="B906" s="17"/>
      <c r="C906" s="17"/>
      <c r="D906" s="17"/>
      <c r="E906" s="444"/>
      <c r="F906" s="17"/>
      <c r="G906" s="17"/>
      <c r="H906" s="17"/>
      <c r="I906" s="17"/>
      <c r="J906" s="17" t="s">
        <v>706</v>
      </c>
      <c r="K906" s="17"/>
      <c r="L906" s="17"/>
      <c r="AC906" s="1257"/>
    </row>
    <row r="907">
      <c r="B907" s="17"/>
      <c r="C907" s="17"/>
      <c r="D907" s="17"/>
      <c r="E907" s="444"/>
      <c r="F907" s="17"/>
      <c r="G907" s="17"/>
      <c r="H907" s="17"/>
      <c r="I907" s="17"/>
      <c r="J907" s="17" t="s">
        <v>706</v>
      </c>
      <c r="K907" s="17"/>
      <c r="L907" s="17"/>
      <c r="AC907" s="1257"/>
    </row>
    <row r="908">
      <c r="B908" s="17"/>
      <c r="C908" s="17"/>
      <c r="D908" s="17"/>
      <c r="E908" s="444"/>
      <c r="F908" s="17"/>
      <c r="G908" s="17"/>
      <c r="H908" s="17"/>
      <c r="I908" s="17"/>
      <c r="J908" s="17" t="s">
        <v>706</v>
      </c>
      <c r="K908" s="17"/>
      <c r="L908" s="17"/>
      <c r="AC908" s="1257"/>
    </row>
    <row r="909">
      <c r="B909" s="17"/>
      <c r="C909" s="17"/>
      <c r="D909" s="17"/>
      <c r="E909" s="444"/>
      <c r="F909" s="17"/>
      <c r="G909" s="17"/>
      <c r="H909" s="17"/>
      <c r="I909" s="17"/>
      <c r="J909" s="17" t="s">
        <v>706</v>
      </c>
      <c r="K909" s="17"/>
      <c r="L909" s="17"/>
      <c r="AC909" s="1257"/>
    </row>
    <row r="910">
      <c r="B910" s="17"/>
      <c r="C910" s="17"/>
      <c r="D910" s="17"/>
      <c r="E910" s="444"/>
      <c r="F910" s="17"/>
      <c r="G910" s="17"/>
      <c r="H910" s="17"/>
      <c r="I910" s="17"/>
      <c r="J910" s="17" t="s">
        <v>706</v>
      </c>
      <c r="K910" s="17"/>
      <c r="L910" s="17"/>
      <c r="AC910" s="1257"/>
    </row>
    <row r="911">
      <c r="B911" s="17"/>
      <c r="C911" s="17"/>
      <c r="D911" s="17"/>
      <c r="E911" s="444"/>
      <c r="F911" s="17"/>
      <c r="G911" s="17"/>
      <c r="H911" s="17"/>
      <c r="I911" s="17"/>
      <c r="J911" s="17" t="s">
        <v>706</v>
      </c>
      <c r="K911" s="17"/>
      <c r="L911" s="17"/>
      <c r="AC911" s="1257"/>
    </row>
    <row r="912">
      <c r="B912" s="17"/>
      <c r="C912" s="17"/>
      <c r="D912" s="17"/>
      <c r="E912" s="444"/>
      <c r="F912" s="17"/>
      <c r="G912" s="17"/>
      <c r="H912" s="17"/>
      <c r="I912" s="17"/>
      <c r="J912" s="17" t="s">
        <v>706</v>
      </c>
      <c r="K912" s="17"/>
      <c r="L912" s="17"/>
      <c r="AC912" s="1257"/>
    </row>
    <row r="913">
      <c r="B913" s="17"/>
      <c r="C913" s="17"/>
      <c r="D913" s="17"/>
      <c r="E913" s="444"/>
      <c r="F913" s="17"/>
      <c r="G913" s="17"/>
      <c r="H913" s="17"/>
      <c r="I913" s="17"/>
      <c r="J913" s="17" t="s">
        <v>706</v>
      </c>
      <c r="K913" s="17"/>
      <c r="L913" s="17"/>
      <c r="AC913" s="1257"/>
    </row>
    <row r="914">
      <c r="B914" s="17"/>
      <c r="C914" s="17"/>
      <c r="D914" s="17"/>
      <c r="E914" s="444"/>
      <c r="F914" s="17"/>
      <c r="G914" s="17"/>
      <c r="H914" s="17"/>
      <c r="I914" s="17"/>
      <c r="J914" s="17" t="s">
        <v>706</v>
      </c>
      <c r="K914" s="17"/>
      <c r="L914" s="17"/>
      <c r="AC914" s="1257"/>
    </row>
    <row r="915">
      <c r="B915" s="17"/>
      <c r="C915" s="17"/>
      <c r="D915" s="17"/>
      <c r="E915" s="444"/>
      <c r="F915" s="17"/>
      <c r="G915" s="17"/>
      <c r="H915" s="17"/>
      <c r="I915" s="17"/>
      <c r="J915" s="17" t="s">
        <v>706</v>
      </c>
      <c r="K915" s="17"/>
      <c r="L915" s="17"/>
      <c r="AC915" s="1257"/>
    </row>
    <row r="916">
      <c r="B916" s="17"/>
      <c r="C916" s="17"/>
      <c r="D916" s="17"/>
      <c r="E916" s="444"/>
      <c r="F916" s="17"/>
      <c r="G916" s="17"/>
      <c r="H916" s="17"/>
      <c r="I916" s="17"/>
      <c r="J916" s="17" t="s">
        <v>706</v>
      </c>
      <c r="K916" s="17"/>
      <c r="L916" s="17"/>
      <c r="AC916" s="1257"/>
    </row>
    <row r="917">
      <c r="B917" s="17"/>
      <c r="C917" s="17"/>
      <c r="D917" s="17"/>
      <c r="E917" s="444"/>
      <c r="F917" s="17"/>
      <c r="G917" s="17"/>
      <c r="H917" s="17"/>
      <c r="I917" s="17"/>
      <c r="J917" s="17" t="s">
        <v>706</v>
      </c>
      <c r="K917" s="17"/>
      <c r="L917" s="17"/>
      <c r="AC917" s="1257"/>
    </row>
    <row r="918">
      <c r="B918" s="17"/>
      <c r="C918" s="17"/>
      <c r="D918" s="17"/>
      <c r="E918" s="444"/>
      <c r="F918" s="17"/>
      <c r="G918" s="17"/>
      <c r="H918" s="17"/>
      <c r="I918" s="17"/>
      <c r="J918" s="17" t="s">
        <v>706</v>
      </c>
      <c r="K918" s="17"/>
      <c r="L918" s="17"/>
      <c r="AC918" s="1257"/>
    </row>
    <row r="919">
      <c r="B919" s="17"/>
      <c r="C919" s="17"/>
      <c r="D919" s="17"/>
      <c r="E919" s="444"/>
      <c r="F919" s="17"/>
      <c r="G919" s="17"/>
      <c r="H919" s="17"/>
      <c r="I919" s="17"/>
      <c r="J919" s="17" t="s">
        <v>706</v>
      </c>
      <c r="K919" s="17"/>
      <c r="L919" s="17"/>
      <c r="AC919" s="1257"/>
    </row>
    <row r="920">
      <c r="B920" s="17"/>
      <c r="C920" s="17"/>
      <c r="D920" s="17"/>
      <c r="E920" s="444"/>
      <c r="F920" s="17"/>
      <c r="G920" s="17"/>
      <c r="H920" s="17"/>
      <c r="I920" s="17"/>
      <c r="J920" s="17" t="s">
        <v>706</v>
      </c>
      <c r="K920" s="17"/>
      <c r="L920" s="17"/>
      <c r="AC920" s="1257"/>
    </row>
    <row r="921">
      <c r="B921" s="17"/>
      <c r="C921" s="17"/>
      <c r="D921" s="17"/>
      <c r="E921" s="444"/>
      <c r="F921" s="17"/>
      <c r="G921" s="17"/>
      <c r="H921" s="17"/>
      <c r="I921" s="17"/>
      <c r="J921" s="17" t="s">
        <v>706</v>
      </c>
      <c r="K921" s="17"/>
      <c r="L921" s="17"/>
      <c r="AC921" s="1257"/>
    </row>
    <row r="922">
      <c r="B922" s="17"/>
      <c r="C922" s="17"/>
      <c r="D922" s="17"/>
      <c r="E922" s="444"/>
      <c r="F922" s="17"/>
      <c r="G922" s="17"/>
      <c r="H922" s="17"/>
      <c r="I922" s="17"/>
      <c r="J922" s="17" t="s">
        <v>706</v>
      </c>
      <c r="K922" s="17"/>
      <c r="L922" s="17"/>
      <c r="AC922" s="1257"/>
    </row>
    <row r="923">
      <c r="B923" s="17"/>
      <c r="C923" s="17"/>
      <c r="D923" s="17"/>
      <c r="E923" s="444"/>
      <c r="F923" s="17"/>
      <c r="G923" s="17"/>
      <c r="H923" s="17"/>
      <c r="I923" s="17"/>
      <c r="J923" s="17" t="s">
        <v>706</v>
      </c>
      <c r="K923" s="17"/>
      <c r="L923" s="17"/>
      <c r="AC923" s="1257"/>
    </row>
    <row r="924">
      <c r="B924" s="17"/>
      <c r="C924" s="17"/>
      <c r="D924" s="17"/>
      <c r="E924" s="444"/>
      <c r="F924" s="17"/>
      <c r="G924" s="17"/>
      <c r="H924" s="17"/>
      <c r="I924" s="17"/>
      <c r="J924" s="17" t="s">
        <v>706</v>
      </c>
      <c r="K924" s="17"/>
      <c r="L924" s="17"/>
      <c r="AC924" s="1257"/>
    </row>
    <row r="925">
      <c r="B925" s="17"/>
      <c r="C925" s="17"/>
      <c r="D925" s="17"/>
      <c r="E925" s="444"/>
      <c r="F925" s="17"/>
      <c r="G925" s="17"/>
      <c r="H925" s="17"/>
      <c r="I925" s="17"/>
      <c r="J925" s="17" t="s">
        <v>706</v>
      </c>
      <c r="K925" s="17"/>
      <c r="L925" s="17"/>
      <c r="AC925" s="1257"/>
    </row>
    <row r="926">
      <c r="B926" s="17"/>
      <c r="C926" s="17"/>
      <c r="D926" s="17"/>
      <c r="E926" s="444"/>
      <c r="F926" s="17"/>
      <c r="G926" s="17"/>
      <c r="H926" s="17"/>
      <c r="I926" s="17"/>
      <c r="J926" s="17" t="s">
        <v>706</v>
      </c>
      <c r="K926" s="17"/>
      <c r="L926" s="17"/>
      <c r="AC926" s="1257"/>
    </row>
    <row r="927">
      <c r="B927" s="17"/>
      <c r="C927" s="17"/>
      <c r="D927" s="17"/>
      <c r="E927" s="444"/>
      <c r="F927" s="17"/>
      <c r="G927" s="17"/>
      <c r="H927" s="17"/>
      <c r="I927" s="17"/>
      <c r="J927" s="17" t="s">
        <v>706</v>
      </c>
      <c r="K927" s="17"/>
      <c r="L927" s="17"/>
      <c r="AC927" s="1257"/>
    </row>
    <row r="928">
      <c r="B928" s="17"/>
      <c r="C928" s="17"/>
      <c r="D928" s="17"/>
      <c r="E928" s="444"/>
      <c r="F928" s="17"/>
      <c r="G928" s="17"/>
      <c r="H928" s="17"/>
      <c r="I928" s="17"/>
      <c r="J928" s="17" t="s">
        <v>706</v>
      </c>
      <c r="K928" s="17"/>
      <c r="L928" s="17"/>
      <c r="AC928" s="1257"/>
    </row>
    <row r="929">
      <c r="B929" s="17"/>
      <c r="C929" s="17"/>
      <c r="D929" s="17"/>
      <c r="E929" s="444"/>
      <c r="F929" s="17"/>
      <c r="G929" s="17"/>
      <c r="H929" s="17"/>
      <c r="I929" s="17"/>
      <c r="J929" s="17" t="s">
        <v>706</v>
      </c>
      <c r="K929" s="17"/>
      <c r="L929" s="17"/>
      <c r="AC929" s="1257"/>
    </row>
    <row r="930">
      <c r="B930" s="17"/>
      <c r="C930" s="17"/>
      <c r="D930" s="17"/>
      <c r="E930" s="444"/>
      <c r="F930" s="17"/>
      <c r="G930" s="17"/>
      <c r="H930" s="17"/>
      <c r="I930" s="17"/>
      <c r="J930" s="17" t="s">
        <v>706</v>
      </c>
      <c r="K930" s="17"/>
      <c r="L930" s="17"/>
      <c r="AC930" s="1257"/>
    </row>
    <row r="931">
      <c r="B931" s="17"/>
      <c r="C931" s="17"/>
      <c r="D931" s="17"/>
      <c r="E931" s="444"/>
      <c r="F931" s="17"/>
      <c r="G931" s="17"/>
      <c r="H931" s="17"/>
      <c r="I931" s="17"/>
      <c r="J931" s="17" t="s">
        <v>706</v>
      </c>
      <c r="K931" s="17"/>
      <c r="L931" s="17"/>
      <c r="AC931" s="1257"/>
    </row>
    <row r="932">
      <c r="B932" s="17"/>
      <c r="C932" s="17"/>
      <c r="D932" s="17"/>
      <c r="E932" s="444"/>
      <c r="F932" s="17"/>
      <c r="G932" s="17"/>
      <c r="H932" s="17"/>
      <c r="I932" s="17"/>
      <c r="J932" s="17" t="s">
        <v>706</v>
      </c>
      <c r="K932" s="17"/>
      <c r="L932" s="17"/>
      <c r="AC932" s="1257"/>
    </row>
    <row r="933">
      <c r="B933" s="17"/>
      <c r="C933" s="17"/>
      <c r="D933" s="17"/>
      <c r="E933" s="444"/>
      <c r="F933" s="17"/>
      <c r="G933" s="17"/>
      <c r="H933" s="17"/>
      <c r="I933" s="17"/>
      <c r="J933" s="17" t="s">
        <v>706</v>
      </c>
      <c r="K933" s="17"/>
      <c r="L933" s="17"/>
      <c r="AC933" s="1257"/>
    </row>
    <row r="934">
      <c r="B934" s="17"/>
      <c r="C934" s="17"/>
      <c r="D934" s="17"/>
      <c r="E934" s="444"/>
      <c r="F934" s="17"/>
      <c r="G934" s="17"/>
      <c r="H934" s="17"/>
      <c r="I934" s="17"/>
      <c r="J934" s="17" t="s">
        <v>706</v>
      </c>
      <c r="K934" s="17"/>
      <c r="L934" s="17"/>
      <c r="AC934" s="1257"/>
    </row>
    <row r="935">
      <c r="B935" s="17"/>
      <c r="C935" s="17"/>
      <c r="D935" s="17"/>
      <c r="E935" s="444"/>
      <c r="F935" s="17"/>
      <c r="G935" s="17"/>
      <c r="H935" s="17"/>
      <c r="I935" s="17"/>
      <c r="J935" s="17" t="s">
        <v>706</v>
      </c>
      <c r="K935" s="17"/>
      <c r="L935" s="17"/>
      <c r="AC935" s="1257"/>
    </row>
    <row r="936">
      <c r="B936" s="17"/>
      <c r="C936" s="17"/>
      <c r="D936" s="17"/>
      <c r="E936" s="444"/>
      <c r="F936" s="17"/>
      <c r="G936" s="17"/>
      <c r="H936" s="17"/>
      <c r="I936" s="17"/>
      <c r="J936" s="17" t="s">
        <v>706</v>
      </c>
      <c r="K936" s="17"/>
      <c r="L936" s="17"/>
      <c r="AC936" s="1257"/>
    </row>
    <row r="937">
      <c r="B937" s="17"/>
      <c r="C937" s="17"/>
      <c r="D937" s="17"/>
      <c r="E937" s="444"/>
      <c r="F937" s="17"/>
      <c r="G937" s="17"/>
      <c r="H937" s="17"/>
      <c r="I937" s="17"/>
      <c r="J937" s="17" t="s">
        <v>706</v>
      </c>
      <c r="K937" s="17"/>
      <c r="L937" s="17"/>
      <c r="AC937" s="1257"/>
    </row>
    <row r="938">
      <c r="B938" s="17"/>
      <c r="C938" s="17"/>
      <c r="D938" s="17"/>
      <c r="E938" s="444"/>
      <c r="F938" s="17"/>
      <c r="G938" s="17"/>
      <c r="H938" s="17"/>
      <c r="I938" s="17"/>
      <c r="J938" s="17" t="s">
        <v>706</v>
      </c>
      <c r="K938" s="17"/>
      <c r="L938" s="17"/>
      <c r="AC938" s="1257"/>
    </row>
    <row r="939">
      <c r="B939" s="17"/>
      <c r="C939" s="17"/>
      <c r="D939" s="17"/>
      <c r="E939" s="444"/>
      <c r="F939" s="17"/>
      <c r="G939" s="17"/>
      <c r="H939" s="17"/>
      <c r="I939" s="17"/>
      <c r="J939" s="17" t="s">
        <v>706</v>
      </c>
      <c r="K939" s="17"/>
      <c r="L939" s="17"/>
      <c r="AC939" s="1257"/>
    </row>
    <row r="940">
      <c r="B940" s="17"/>
      <c r="C940" s="17"/>
      <c r="D940" s="17"/>
      <c r="E940" s="444"/>
      <c r="F940" s="17"/>
      <c r="G940" s="17"/>
      <c r="H940" s="17"/>
      <c r="I940" s="17"/>
      <c r="J940" s="17" t="s">
        <v>706</v>
      </c>
      <c r="K940" s="17"/>
      <c r="L940" s="17"/>
      <c r="AC940" s="1257"/>
    </row>
    <row r="941">
      <c r="B941" s="17"/>
      <c r="C941" s="17"/>
      <c r="D941" s="17"/>
      <c r="E941" s="444"/>
      <c r="F941" s="17"/>
      <c r="G941" s="17"/>
      <c r="H941" s="17"/>
      <c r="I941" s="17"/>
      <c r="J941" s="17" t="s">
        <v>706</v>
      </c>
      <c r="K941" s="17"/>
      <c r="L941" s="17"/>
      <c r="AC941" s="1257"/>
    </row>
    <row r="942">
      <c r="B942" s="17"/>
      <c r="C942" s="17"/>
      <c r="D942" s="17"/>
      <c r="E942" s="444"/>
      <c r="F942" s="17"/>
      <c r="G942" s="17"/>
      <c r="H942" s="17"/>
      <c r="I942" s="17"/>
      <c r="J942" s="17" t="s">
        <v>706</v>
      </c>
      <c r="K942" s="17"/>
      <c r="L942" s="17"/>
      <c r="AC942" s="1257"/>
    </row>
    <row r="943">
      <c r="B943" s="17"/>
      <c r="C943" s="17"/>
      <c r="D943" s="17"/>
      <c r="E943" s="444"/>
      <c r="F943" s="17"/>
      <c r="G943" s="17"/>
      <c r="H943" s="17"/>
      <c r="I943" s="17"/>
      <c r="J943" s="17" t="s">
        <v>706</v>
      </c>
      <c r="K943" s="17"/>
      <c r="L943" s="17"/>
      <c r="AC943" s="1257"/>
    </row>
    <row r="944">
      <c r="B944" s="17"/>
      <c r="C944" s="17"/>
      <c r="D944" s="17"/>
      <c r="E944" s="444"/>
      <c r="F944" s="17"/>
      <c r="G944" s="17"/>
      <c r="H944" s="17"/>
      <c r="I944" s="17"/>
      <c r="J944" s="17" t="s">
        <v>706</v>
      </c>
      <c r="K944" s="17"/>
      <c r="L944" s="17"/>
      <c r="AC944" s="1257"/>
    </row>
    <row r="945">
      <c r="B945" s="17"/>
      <c r="C945" s="17"/>
      <c r="D945" s="17"/>
      <c r="E945" s="444"/>
      <c r="F945" s="17"/>
      <c r="G945" s="17"/>
      <c r="H945" s="17"/>
      <c r="I945" s="17"/>
      <c r="J945" s="17" t="s">
        <v>706</v>
      </c>
      <c r="K945" s="17"/>
      <c r="L945" s="17"/>
      <c r="AC945" s="1257"/>
    </row>
    <row r="946">
      <c r="B946" s="17"/>
      <c r="C946" s="17"/>
      <c r="D946" s="17"/>
      <c r="E946" s="444"/>
      <c r="F946" s="17"/>
      <c r="G946" s="17"/>
      <c r="H946" s="17"/>
      <c r="I946" s="17"/>
      <c r="J946" s="17" t="s">
        <v>706</v>
      </c>
      <c r="K946" s="17"/>
      <c r="L946" s="17"/>
      <c r="AC946" s="1257"/>
    </row>
    <row r="947">
      <c r="B947" s="17"/>
      <c r="C947" s="17"/>
      <c r="D947" s="17"/>
      <c r="E947" s="444"/>
      <c r="F947" s="17"/>
      <c r="G947" s="17"/>
      <c r="H947" s="17"/>
      <c r="I947" s="17"/>
      <c r="J947" s="17" t="s">
        <v>706</v>
      </c>
      <c r="K947" s="17"/>
      <c r="L947" s="17"/>
      <c r="AC947" s="1257"/>
    </row>
    <row r="948">
      <c r="B948" s="17"/>
      <c r="C948" s="17"/>
      <c r="D948" s="17"/>
      <c r="E948" s="444"/>
      <c r="F948" s="17"/>
      <c r="G948" s="17"/>
      <c r="H948" s="17"/>
      <c r="I948" s="17"/>
      <c r="J948" s="17" t="s">
        <v>706</v>
      </c>
      <c r="K948" s="17"/>
      <c r="L948" s="17"/>
      <c r="AC948" s="1257"/>
    </row>
    <row r="949">
      <c r="B949" s="17"/>
      <c r="C949" s="17"/>
      <c r="D949" s="17"/>
      <c r="E949" s="444"/>
      <c r="F949" s="17"/>
      <c r="G949" s="17"/>
      <c r="H949" s="17"/>
      <c r="I949" s="17"/>
      <c r="J949" s="17" t="s">
        <v>706</v>
      </c>
      <c r="K949" s="17"/>
      <c r="L949" s="17"/>
      <c r="AC949" s="1257"/>
    </row>
    <row r="950">
      <c r="B950" s="17"/>
      <c r="C950" s="17"/>
      <c r="D950" s="17"/>
      <c r="E950" s="444"/>
      <c r="F950" s="17"/>
      <c r="G950" s="17"/>
      <c r="H950" s="17"/>
      <c r="I950" s="17"/>
      <c r="J950" s="17" t="s">
        <v>706</v>
      </c>
      <c r="K950" s="17"/>
      <c r="L950" s="17"/>
      <c r="AC950" s="1257"/>
    </row>
    <row r="951">
      <c r="B951" s="17"/>
      <c r="C951" s="17"/>
      <c r="D951" s="17"/>
      <c r="E951" s="444"/>
      <c r="F951" s="17"/>
      <c r="G951" s="17"/>
      <c r="H951" s="17"/>
      <c r="I951" s="17"/>
      <c r="J951" s="17" t="s">
        <v>706</v>
      </c>
      <c r="K951" s="17"/>
      <c r="L951" s="17"/>
      <c r="AC951" s="1257"/>
    </row>
    <row r="952">
      <c r="B952" s="17"/>
      <c r="C952" s="17"/>
      <c r="D952" s="17"/>
      <c r="E952" s="444"/>
      <c r="F952" s="17"/>
      <c r="G952" s="17"/>
      <c r="H952" s="17"/>
      <c r="I952" s="17"/>
      <c r="J952" s="17" t="s">
        <v>706</v>
      </c>
      <c r="K952" s="17"/>
      <c r="L952" s="17"/>
      <c r="AC952" s="1257"/>
    </row>
    <row r="953">
      <c r="B953" s="17"/>
      <c r="C953" s="17"/>
      <c r="D953" s="17"/>
      <c r="E953" s="444"/>
      <c r="F953" s="17"/>
      <c r="G953" s="17"/>
      <c r="H953" s="17"/>
      <c r="I953" s="17"/>
      <c r="J953" s="17" t="s">
        <v>706</v>
      </c>
      <c r="K953" s="17"/>
      <c r="L953" s="17"/>
      <c r="AC953" s="1257"/>
    </row>
    <row r="954">
      <c r="B954" s="17"/>
      <c r="C954" s="17"/>
      <c r="D954" s="17"/>
      <c r="E954" s="444"/>
      <c r="F954" s="17"/>
      <c r="G954" s="17"/>
      <c r="H954" s="17"/>
      <c r="I954" s="17"/>
      <c r="J954" s="17" t="s">
        <v>706</v>
      </c>
      <c r="K954" s="17"/>
      <c r="L954" s="17"/>
      <c r="AC954" s="1257"/>
    </row>
    <row r="955">
      <c r="B955" s="17"/>
      <c r="C955" s="17"/>
      <c r="D955" s="17"/>
      <c r="E955" s="444"/>
      <c r="F955" s="17"/>
      <c r="G955" s="17"/>
      <c r="H955" s="17"/>
      <c r="I955" s="17"/>
      <c r="J955" s="17" t="s">
        <v>706</v>
      </c>
      <c r="K955" s="17"/>
      <c r="L955" s="17"/>
      <c r="AC955" s="1257"/>
    </row>
    <row r="956">
      <c r="B956" s="17"/>
      <c r="C956" s="17"/>
      <c r="D956" s="17"/>
      <c r="E956" s="444"/>
      <c r="F956" s="17"/>
      <c r="G956" s="17"/>
      <c r="H956" s="17"/>
      <c r="I956" s="17"/>
      <c r="J956" s="17" t="s">
        <v>706</v>
      </c>
      <c r="K956" s="17"/>
      <c r="L956" s="17"/>
      <c r="AC956" s="1257"/>
    </row>
    <row r="957">
      <c r="B957" s="17"/>
      <c r="C957" s="17"/>
      <c r="D957" s="17"/>
      <c r="E957" s="444"/>
      <c r="F957" s="17"/>
      <c r="G957" s="17"/>
      <c r="H957" s="17"/>
      <c r="I957" s="17"/>
      <c r="J957" s="17" t="s">
        <v>706</v>
      </c>
      <c r="K957" s="17"/>
      <c r="L957" s="17"/>
      <c r="AC957" s="1257"/>
    </row>
    <row r="958">
      <c r="B958" s="17"/>
      <c r="C958" s="17"/>
      <c r="D958" s="17"/>
      <c r="E958" s="444"/>
      <c r="F958" s="17"/>
      <c r="G958" s="17"/>
      <c r="H958" s="17"/>
      <c r="I958" s="17"/>
      <c r="J958" s="17" t="s">
        <v>706</v>
      </c>
      <c r="K958" s="17"/>
      <c r="L958" s="17"/>
      <c r="AC958" s="1257"/>
    </row>
    <row r="959">
      <c r="B959" s="17"/>
      <c r="C959" s="17"/>
      <c r="D959" s="17"/>
      <c r="E959" s="444"/>
      <c r="F959" s="17"/>
      <c r="G959" s="17"/>
      <c r="H959" s="17"/>
      <c r="I959" s="17"/>
      <c r="J959" s="17" t="s">
        <v>706</v>
      </c>
      <c r="K959" s="17"/>
      <c r="L959" s="17"/>
      <c r="AC959" s="1257"/>
    </row>
    <row r="960">
      <c r="B960" s="17"/>
      <c r="C960" s="17"/>
      <c r="D960" s="17"/>
      <c r="E960" s="444"/>
      <c r="F960" s="17"/>
      <c r="G960" s="17"/>
      <c r="H960" s="17"/>
      <c r="I960" s="17"/>
      <c r="J960" s="17" t="s">
        <v>706</v>
      </c>
      <c r="K960" s="17"/>
      <c r="L960" s="17"/>
      <c r="AC960" s="1257"/>
    </row>
    <row r="961">
      <c r="B961" s="17"/>
      <c r="C961" s="17"/>
      <c r="D961" s="17"/>
      <c r="E961" s="444"/>
      <c r="F961" s="17"/>
      <c r="G961" s="17"/>
      <c r="H961" s="17"/>
      <c r="I961" s="17"/>
      <c r="J961" s="17" t="s">
        <v>706</v>
      </c>
      <c r="K961" s="17"/>
      <c r="L961" s="17"/>
      <c r="AC961" s="1257"/>
    </row>
    <row r="962">
      <c r="B962" s="17"/>
      <c r="C962" s="17"/>
      <c r="D962" s="17"/>
      <c r="E962" s="444"/>
      <c r="F962" s="17"/>
      <c r="G962" s="17"/>
      <c r="H962" s="17"/>
      <c r="I962" s="17"/>
      <c r="J962" s="17" t="s">
        <v>706</v>
      </c>
      <c r="K962" s="17"/>
      <c r="L962" s="17"/>
      <c r="AC962" s="1257"/>
    </row>
    <row r="963">
      <c r="B963" s="17"/>
      <c r="C963" s="17"/>
      <c r="D963" s="17"/>
      <c r="E963" s="444"/>
      <c r="F963" s="17"/>
      <c r="G963" s="17"/>
      <c r="H963" s="17"/>
      <c r="I963" s="17"/>
      <c r="J963" s="17" t="s">
        <v>706</v>
      </c>
      <c r="K963" s="17"/>
      <c r="L963" s="17"/>
      <c r="AC963" s="1257"/>
    </row>
    <row r="964">
      <c r="B964" s="17"/>
      <c r="C964" s="17"/>
      <c r="D964" s="17"/>
      <c r="E964" s="444"/>
      <c r="F964" s="17"/>
      <c r="G964" s="17"/>
      <c r="H964" s="17"/>
      <c r="I964" s="17"/>
      <c r="J964" s="17" t="s">
        <v>706</v>
      </c>
      <c r="K964" s="17"/>
      <c r="L964" s="17"/>
      <c r="AC964" s="1257"/>
    </row>
    <row r="965">
      <c r="B965" s="17"/>
      <c r="C965" s="17"/>
      <c r="D965" s="17"/>
      <c r="E965" s="444"/>
      <c r="F965" s="17"/>
      <c r="G965" s="17"/>
      <c r="H965" s="17"/>
      <c r="I965" s="17"/>
      <c r="J965" s="17" t="s">
        <v>706</v>
      </c>
      <c r="K965" s="17"/>
      <c r="L965" s="17"/>
      <c r="AC965" s="1257"/>
    </row>
    <row r="966">
      <c r="B966" s="17"/>
      <c r="C966" s="17"/>
      <c r="D966" s="17"/>
      <c r="E966" s="444"/>
      <c r="F966" s="17"/>
      <c r="G966" s="17"/>
      <c r="H966" s="17"/>
      <c r="I966" s="17"/>
      <c r="J966" s="17" t="s">
        <v>706</v>
      </c>
      <c r="K966" s="17"/>
      <c r="L966" s="17"/>
      <c r="AC966" s="1257"/>
    </row>
    <row r="967">
      <c r="B967" s="17"/>
      <c r="C967" s="17"/>
      <c r="D967" s="17"/>
      <c r="E967" s="444"/>
      <c r="F967" s="17"/>
      <c r="G967" s="17"/>
      <c r="H967" s="17"/>
      <c r="I967" s="17"/>
      <c r="J967" s="17" t="s">
        <v>706</v>
      </c>
      <c r="K967" s="17"/>
      <c r="L967" s="17"/>
      <c r="AC967" s="1257"/>
    </row>
    <row r="968">
      <c r="B968" s="17"/>
      <c r="C968" s="17"/>
      <c r="D968" s="17"/>
      <c r="E968" s="444"/>
      <c r="F968" s="17"/>
      <c r="G968" s="17"/>
      <c r="H968" s="17"/>
      <c r="I968" s="17"/>
      <c r="J968" s="17" t="s">
        <v>706</v>
      </c>
      <c r="K968" s="17"/>
      <c r="L968" s="17"/>
      <c r="AC968" s="1257"/>
    </row>
    <row r="969">
      <c r="B969" s="17"/>
      <c r="C969" s="17"/>
      <c r="D969" s="17"/>
      <c r="E969" s="444"/>
      <c r="F969" s="17"/>
      <c r="G969" s="17"/>
      <c r="H969" s="17"/>
      <c r="I969" s="17"/>
      <c r="J969" s="17" t="s">
        <v>706</v>
      </c>
      <c r="K969" s="17"/>
      <c r="L969" s="17"/>
      <c r="AC969" s="1257"/>
    </row>
    <row r="970">
      <c r="B970" s="17"/>
      <c r="C970" s="17"/>
      <c r="D970" s="17"/>
      <c r="E970" s="444"/>
      <c r="F970" s="17"/>
      <c r="G970" s="17"/>
      <c r="H970" s="17"/>
      <c r="I970" s="17"/>
      <c r="J970" s="17" t="s">
        <v>706</v>
      </c>
      <c r="K970" s="17"/>
      <c r="L970" s="17"/>
      <c r="AC970" s="1257"/>
    </row>
    <row r="971">
      <c r="B971" s="17"/>
      <c r="C971" s="17"/>
      <c r="D971" s="17"/>
      <c r="E971" s="444"/>
      <c r="F971" s="17"/>
      <c r="G971" s="17"/>
      <c r="H971" s="17"/>
      <c r="I971" s="17"/>
      <c r="J971" s="17" t="s">
        <v>706</v>
      </c>
      <c r="K971" s="17"/>
      <c r="L971" s="17"/>
      <c r="AC971" s="1257"/>
    </row>
    <row r="972">
      <c r="B972" s="17"/>
      <c r="C972" s="17"/>
      <c r="D972" s="17"/>
      <c r="E972" s="444"/>
      <c r="F972" s="17"/>
      <c r="G972" s="17"/>
      <c r="H972" s="17"/>
      <c r="I972" s="17"/>
      <c r="J972" s="17" t="s">
        <v>706</v>
      </c>
      <c r="K972" s="17"/>
      <c r="L972" s="17"/>
      <c r="AC972" s="1257"/>
    </row>
    <row r="973">
      <c r="B973" s="17"/>
      <c r="C973" s="17"/>
      <c r="D973" s="17"/>
      <c r="E973" s="444"/>
      <c r="F973" s="17"/>
      <c r="G973" s="17"/>
      <c r="H973" s="17"/>
      <c r="I973" s="17"/>
      <c r="J973" s="17" t="s">
        <v>706</v>
      </c>
      <c r="K973" s="17"/>
      <c r="L973" s="17"/>
      <c r="AC973" s="1257"/>
    </row>
    <row r="974">
      <c r="B974" s="17"/>
      <c r="C974" s="17"/>
      <c r="D974" s="17"/>
      <c r="E974" s="444"/>
      <c r="F974" s="17"/>
      <c r="G974" s="17"/>
      <c r="H974" s="17"/>
      <c r="I974" s="17"/>
      <c r="J974" s="17" t="s">
        <v>706</v>
      </c>
      <c r="K974" s="17"/>
      <c r="L974" s="17"/>
      <c r="AC974" s="1257"/>
    </row>
    <row r="975">
      <c r="B975" s="17"/>
      <c r="C975" s="17"/>
      <c r="D975" s="17"/>
      <c r="E975" s="444"/>
      <c r="F975" s="17"/>
      <c r="G975" s="17"/>
      <c r="H975" s="17"/>
      <c r="I975" s="17"/>
      <c r="J975" s="17" t="s">
        <v>706</v>
      </c>
      <c r="K975" s="17"/>
      <c r="L975" s="17"/>
      <c r="AC975" s="1257"/>
    </row>
    <row r="976">
      <c r="B976" s="17"/>
      <c r="C976" s="17"/>
      <c r="D976" s="17"/>
      <c r="E976" s="444"/>
      <c r="F976" s="17"/>
      <c r="G976" s="17"/>
      <c r="H976" s="17"/>
      <c r="I976" s="17"/>
      <c r="J976" s="17" t="s">
        <v>706</v>
      </c>
      <c r="K976" s="17"/>
      <c r="L976" s="17"/>
      <c r="AC976" s="1257"/>
    </row>
    <row r="977">
      <c r="B977" s="17"/>
      <c r="C977" s="17"/>
      <c r="D977" s="17"/>
      <c r="E977" s="444"/>
      <c r="F977" s="17"/>
      <c r="G977" s="17"/>
      <c r="H977" s="17"/>
      <c r="I977" s="17"/>
      <c r="J977" s="17" t="s">
        <v>706</v>
      </c>
      <c r="K977" s="17"/>
      <c r="L977" s="17"/>
      <c r="AC977" s="1257"/>
    </row>
    <row r="978">
      <c r="B978" s="17"/>
      <c r="C978" s="17"/>
      <c r="D978" s="17"/>
      <c r="E978" s="444"/>
      <c r="F978" s="17"/>
      <c r="G978" s="17"/>
      <c r="H978" s="17"/>
      <c r="I978" s="17"/>
      <c r="J978" s="17" t="s">
        <v>706</v>
      </c>
      <c r="K978" s="17"/>
      <c r="L978" s="17"/>
      <c r="AC978" s="1257"/>
    </row>
    <row r="979">
      <c r="B979" s="17"/>
      <c r="C979" s="17"/>
      <c r="D979" s="17"/>
      <c r="E979" s="444"/>
      <c r="F979" s="17"/>
      <c r="G979" s="17"/>
      <c r="H979" s="17"/>
      <c r="I979" s="17"/>
      <c r="J979" s="17" t="s">
        <v>706</v>
      </c>
      <c r="K979" s="17"/>
      <c r="L979" s="17"/>
      <c r="AC979" s="1257"/>
    </row>
    <row r="980">
      <c r="B980" s="17"/>
      <c r="C980" s="17"/>
      <c r="D980" s="17"/>
      <c r="E980" s="444"/>
      <c r="F980" s="17"/>
      <c r="G980" s="17"/>
      <c r="H980" s="17"/>
      <c r="I980" s="17"/>
      <c r="J980" s="17" t="s">
        <v>706</v>
      </c>
      <c r="K980" s="17"/>
      <c r="L980" s="17"/>
      <c r="AC980" s="1257"/>
    </row>
    <row r="981">
      <c r="B981" s="17"/>
      <c r="C981" s="17"/>
      <c r="D981" s="17"/>
      <c r="E981" s="444"/>
      <c r="F981" s="17"/>
      <c r="G981" s="17"/>
      <c r="H981" s="17"/>
      <c r="I981" s="17"/>
      <c r="J981" s="17" t="s">
        <v>706</v>
      </c>
      <c r="K981" s="17"/>
      <c r="L981" s="17"/>
      <c r="AC981" s="1257"/>
    </row>
    <row r="982">
      <c r="B982" s="17"/>
      <c r="C982" s="17"/>
      <c r="D982" s="17"/>
      <c r="E982" s="444"/>
      <c r="F982" s="17"/>
      <c r="G982" s="17"/>
      <c r="H982" s="17"/>
      <c r="I982" s="17"/>
      <c r="J982" s="17" t="s">
        <v>706</v>
      </c>
      <c r="K982" s="17"/>
      <c r="L982" s="17"/>
      <c r="AC982" s="1257"/>
    </row>
    <row r="983">
      <c r="B983" s="17"/>
      <c r="C983" s="17"/>
      <c r="D983" s="17"/>
      <c r="E983" s="444"/>
      <c r="F983" s="17"/>
      <c r="G983" s="17"/>
      <c r="H983" s="17"/>
      <c r="I983" s="17"/>
      <c r="J983" s="17" t="s">
        <v>706</v>
      </c>
      <c r="K983" s="17"/>
      <c r="L983" s="17"/>
      <c r="AC983" s="1257"/>
    </row>
    <row r="984">
      <c r="B984" s="17"/>
      <c r="C984" s="17"/>
      <c r="D984" s="17"/>
      <c r="E984" s="444"/>
      <c r="F984" s="17"/>
      <c r="G984" s="17"/>
      <c r="H984" s="17"/>
      <c r="I984" s="17"/>
      <c r="J984" s="17" t="s">
        <v>706</v>
      </c>
      <c r="K984" s="17"/>
      <c r="L984" s="17"/>
      <c r="AC984" s="1257"/>
    </row>
    <row r="985">
      <c r="B985" s="17"/>
      <c r="C985" s="17"/>
      <c r="D985" s="17"/>
      <c r="E985" s="444"/>
      <c r="F985" s="17"/>
      <c r="G985" s="17"/>
      <c r="H985" s="17"/>
      <c r="I985" s="17"/>
      <c r="J985" s="17" t="s">
        <v>706</v>
      </c>
      <c r="K985" s="17"/>
      <c r="L985" s="17"/>
      <c r="AC985" s="1257"/>
    </row>
    <row r="986">
      <c r="B986" s="17"/>
      <c r="C986" s="17"/>
      <c r="D986" s="17"/>
      <c r="E986" s="444"/>
      <c r="F986" s="17"/>
      <c r="G986" s="17"/>
      <c r="H986" s="17"/>
      <c r="I986" s="17"/>
      <c r="J986" s="17" t="s">
        <v>706</v>
      </c>
      <c r="K986" s="17"/>
      <c r="L986" s="17"/>
      <c r="AC986" s="1257"/>
    </row>
    <row r="987">
      <c r="B987" s="17"/>
      <c r="C987" s="17"/>
      <c r="D987" s="17"/>
      <c r="E987" s="444"/>
      <c r="F987" s="17"/>
      <c r="G987" s="17"/>
      <c r="H987" s="17"/>
      <c r="I987" s="17"/>
      <c r="J987" s="17" t="s">
        <v>706</v>
      </c>
      <c r="K987" s="17"/>
      <c r="L987" s="17"/>
      <c r="AC987" s="1257"/>
    </row>
    <row r="988">
      <c r="B988" s="17"/>
      <c r="C988" s="17"/>
      <c r="D988" s="17"/>
      <c r="E988" s="444"/>
      <c r="F988" s="17"/>
      <c r="G988" s="17"/>
      <c r="H988" s="17"/>
      <c r="I988" s="17"/>
      <c r="J988" s="17" t="s">
        <v>706</v>
      </c>
      <c r="K988" s="17"/>
      <c r="L988" s="17"/>
      <c r="AC988" s="1257"/>
    </row>
    <row r="989">
      <c r="B989" s="17"/>
      <c r="C989" s="17"/>
      <c r="D989" s="17"/>
      <c r="E989" s="444"/>
      <c r="F989" s="17"/>
      <c r="G989" s="17"/>
      <c r="H989" s="17"/>
      <c r="I989" s="17"/>
      <c r="J989" s="17" t="s">
        <v>706</v>
      </c>
      <c r="K989" s="17"/>
      <c r="L989" s="17"/>
      <c r="AC989" s="1257"/>
    </row>
    <row r="990">
      <c r="B990" s="17"/>
      <c r="C990" s="17"/>
      <c r="D990" s="17"/>
      <c r="E990" s="444"/>
      <c r="F990" s="17"/>
      <c r="G990" s="17"/>
      <c r="H990" s="17"/>
      <c r="I990" s="17"/>
      <c r="J990" s="17" t="s">
        <v>706</v>
      </c>
      <c r="K990" s="17"/>
      <c r="L990" s="17"/>
      <c r="AC990" s="1257"/>
    </row>
    <row r="991">
      <c r="B991" s="17"/>
      <c r="C991" s="17"/>
      <c r="D991" s="17"/>
      <c r="E991" s="444"/>
      <c r="F991" s="17"/>
      <c r="G991" s="17"/>
      <c r="H991" s="17"/>
      <c r="I991" s="17"/>
      <c r="J991" s="17" t="s">
        <v>706</v>
      </c>
      <c r="K991" s="17"/>
      <c r="L991" s="17"/>
      <c r="AC991" s="1257"/>
    </row>
    <row r="992">
      <c r="B992" s="17"/>
      <c r="C992" s="17"/>
      <c r="D992" s="17"/>
      <c r="E992" s="444"/>
      <c r="F992" s="17"/>
      <c r="G992" s="17"/>
      <c r="H992" s="17"/>
      <c r="I992" s="17"/>
      <c r="J992" s="17" t="s">
        <v>706</v>
      </c>
      <c r="K992" s="17"/>
      <c r="L992" s="17"/>
      <c r="AC992" s="1257"/>
    </row>
    <row r="993">
      <c r="B993" s="17"/>
      <c r="C993" s="17"/>
      <c r="D993" s="17"/>
      <c r="E993" s="444"/>
      <c r="F993" s="17"/>
      <c r="G993" s="17"/>
      <c r="H993" s="17"/>
      <c r="I993" s="17"/>
      <c r="J993" s="17" t="s">
        <v>706</v>
      </c>
      <c r="K993" s="17"/>
      <c r="L993" s="17"/>
      <c r="AC993" s="1257"/>
    </row>
    <row r="994">
      <c r="B994" s="17"/>
      <c r="C994" s="17"/>
      <c r="D994" s="17"/>
      <c r="E994" s="444"/>
      <c r="F994" s="17"/>
      <c r="G994" s="17"/>
      <c r="H994" s="17"/>
      <c r="I994" s="17"/>
      <c r="J994" s="17" t="s">
        <v>706</v>
      </c>
      <c r="K994" s="17"/>
      <c r="L994" s="17"/>
      <c r="AC994" s="1257"/>
    </row>
    <row r="995">
      <c r="B995" s="17"/>
      <c r="C995" s="17"/>
      <c r="D995" s="17"/>
      <c r="E995" s="444"/>
      <c r="F995" s="17"/>
      <c r="G995" s="17"/>
      <c r="H995" s="17"/>
      <c r="I995" s="17"/>
      <c r="J995" s="17" t="s">
        <v>706</v>
      </c>
      <c r="K995" s="17"/>
      <c r="L995" s="17"/>
      <c r="AC995" s="1257"/>
    </row>
    <row r="996">
      <c r="B996" s="17"/>
      <c r="C996" s="17"/>
      <c r="D996" s="17"/>
      <c r="E996" s="444"/>
      <c r="F996" s="17"/>
      <c r="G996" s="17"/>
      <c r="H996" s="17"/>
      <c r="I996" s="17"/>
      <c r="J996" s="17" t="s">
        <v>706</v>
      </c>
      <c r="K996" s="17"/>
      <c r="L996" s="17"/>
      <c r="AC996" s="1257"/>
    </row>
    <row r="997">
      <c r="B997" s="17"/>
      <c r="C997" s="17"/>
      <c r="D997" s="17"/>
      <c r="E997" s="444"/>
      <c r="F997" s="17"/>
      <c r="G997" s="17"/>
      <c r="H997" s="17"/>
      <c r="I997" s="17"/>
      <c r="J997" s="17" t="s">
        <v>706</v>
      </c>
      <c r="K997" s="17"/>
      <c r="L997" s="17"/>
      <c r="AC997" s="1257"/>
    </row>
    <row r="998">
      <c r="B998" s="17"/>
      <c r="C998" s="17"/>
      <c r="D998" s="17"/>
      <c r="E998" s="444"/>
      <c r="F998" s="17"/>
      <c r="G998" s="17"/>
      <c r="H998" s="17"/>
      <c r="I998" s="17"/>
      <c r="J998" s="17" t="s">
        <v>706</v>
      </c>
      <c r="K998" s="17"/>
      <c r="L998" s="17"/>
      <c r="AC998" s="1257"/>
    </row>
    <row r="999">
      <c r="B999" s="17"/>
      <c r="C999" s="17"/>
      <c r="D999" s="17"/>
      <c r="E999" s="444"/>
      <c r="F999" s="17"/>
      <c r="G999" s="17"/>
      <c r="H999" s="17"/>
      <c r="I999" s="17"/>
      <c r="J999" s="17" t="s">
        <v>706</v>
      </c>
      <c r="K999" s="17"/>
      <c r="L999" s="17"/>
      <c r="AC999" s="1257"/>
    </row>
    <row r="1000">
      <c r="B1000" s="17"/>
      <c r="C1000" s="17"/>
      <c r="D1000" s="17"/>
      <c r="E1000" s="444"/>
      <c r="F1000" s="17"/>
      <c r="G1000" s="17"/>
      <c r="H1000" s="17"/>
      <c r="I1000" s="17"/>
      <c r="J1000" s="17" t="s">
        <v>706</v>
      </c>
      <c r="K1000" s="17"/>
      <c r="L1000" s="17"/>
      <c r="AC1000" s="1257"/>
    </row>
    <row r="1001">
      <c r="B1001" s="17"/>
      <c r="C1001" s="17"/>
      <c r="D1001" s="17"/>
      <c r="E1001" s="444"/>
      <c r="F1001" s="17"/>
      <c r="G1001" s="17"/>
      <c r="H1001" s="17"/>
      <c r="I1001" s="17"/>
      <c r="J1001" s="17" t="s">
        <v>706</v>
      </c>
      <c r="K1001" s="17"/>
      <c r="L1001" s="17"/>
      <c r="AC1001" s="1257"/>
    </row>
    <row r="1002">
      <c r="B1002" s="17"/>
      <c r="C1002" s="17"/>
      <c r="D1002" s="17"/>
      <c r="E1002" s="444"/>
      <c r="F1002" s="17"/>
      <c r="G1002" s="17"/>
      <c r="H1002" s="17"/>
      <c r="I1002" s="17"/>
      <c r="J1002" s="17" t="s">
        <v>706</v>
      </c>
      <c r="K1002" s="17"/>
      <c r="L1002" s="17"/>
      <c r="AC1002" s="1257"/>
    </row>
    <row r="1003">
      <c r="B1003" s="17"/>
      <c r="C1003" s="17"/>
      <c r="D1003" s="17"/>
      <c r="E1003" s="444"/>
      <c r="F1003" s="17"/>
      <c r="G1003" s="17"/>
      <c r="H1003" s="17"/>
      <c r="I1003" s="17"/>
      <c r="J1003" s="17" t="s">
        <v>706</v>
      </c>
      <c r="K1003" s="17"/>
      <c r="L1003" s="17"/>
      <c r="AC1003" s="1257"/>
    </row>
    <row r="1004">
      <c r="B1004" s="17"/>
      <c r="C1004" s="17"/>
      <c r="D1004" s="17"/>
      <c r="E1004" s="444"/>
      <c r="F1004" s="17"/>
      <c r="G1004" s="17"/>
      <c r="H1004" s="17"/>
      <c r="I1004" s="17"/>
      <c r="J1004" s="17" t="s">
        <v>706</v>
      </c>
      <c r="K1004" s="17"/>
      <c r="L1004" s="17"/>
      <c r="AC1004" s="1257"/>
    </row>
    <row r="1005">
      <c r="B1005" s="17"/>
      <c r="C1005" s="17"/>
      <c r="D1005" s="17"/>
      <c r="E1005" s="444"/>
      <c r="F1005" s="17"/>
      <c r="G1005" s="17"/>
      <c r="H1005" s="17"/>
      <c r="I1005" s="17"/>
      <c r="J1005" s="17" t="s">
        <v>706</v>
      </c>
      <c r="K1005" s="17"/>
      <c r="L1005" s="17"/>
      <c r="AC1005" s="1257"/>
    </row>
    <row r="1006">
      <c r="B1006" s="17"/>
      <c r="C1006" s="17"/>
      <c r="D1006" s="17"/>
      <c r="E1006" s="444"/>
      <c r="F1006" s="17"/>
      <c r="G1006" s="17"/>
      <c r="H1006" s="17"/>
      <c r="I1006" s="17"/>
      <c r="J1006" s="17" t="s">
        <v>706</v>
      </c>
      <c r="K1006" s="17"/>
      <c r="L1006" s="17"/>
      <c r="AC1006" s="1257"/>
    </row>
    <row r="1007">
      <c r="B1007" s="17"/>
      <c r="C1007" s="17"/>
      <c r="D1007" s="17"/>
      <c r="E1007" s="444"/>
      <c r="F1007" s="17"/>
      <c r="G1007" s="17"/>
      <c r="H1007" s="17"/>
      <c r="I1007" s="17"/>
      <c r="J1007" s="17" t="s">
        <v>706</v>
      </c>
      <c r="K1007" s="17"/>
      <c r="L1007" s="17"/>
      <c r="AC1007" s="1257"/>
    </row>
    <row r="1008">
      <c r="B1008" s="17"/>
      <c r="C1008" s="17"/>
      <c r="D1008" s="17"/>
      <c r="E1008" s="444"/>
      <c r="F1008" s="17"/>
      <c r="G1008" s="17"/>
      <c r="H1008" s="17"/>
      <c r="I1008" s="17"/>
      <c r="J1008" s="17" t="s">
        <v>706</v>
      </c>
      <c r="K1008" s="17"/>
      <c r="L1008" s="17"/>
      <c r="AC1008" s="1257"/>
    </row>
    <row r="1009">
      <c r="B1009" s="17"/>
      <c r="C1009" s="17"/>
      <c r="D1009" s="17"/>
      <c r="E1009" s="444"/>
      <c r="F1009" s="17"/>
      <c r="G1009" s="17"/>
      <c r="H1009" s="17"/>
      <c r="I1009" s="17"/>
      <c r="J1009" s="17" t="s">
        <v>706</v>
      </c>
      <c r="K1009" s="17"/>
      <c r="L1009" s="17"/>
      <c r="AC1009" s="1257"/>
    </row>
    <row r="1010">
      <c r="B1010" s="17"/>
      <c r="C1010" s="17"/>
      <c r="D1010" s="17"/>
      <c r="E1010" s="444"/>
      <c r="F1010" s="17"/>
      <c r="G1010" s="17"/>
      <c r="H1010" s="17"/>
      <c r="I1010" s="17"/>
      <c r="J1010" s="17" t="s">
        <v>706</v>
      </c>
      <c r="K1010" s="17"/>
      <c r="L1010" s="17"/>
      <c r="AC1010" s="1257"/>
    </row>
    <row r="1011">
      <c r="B1011" s="17"/>
      <c r="C1011" s="17"/>
      <c r="D1011" s="17"/>
      <c r="E1011" s="444"/>
      <c r="F1011" s="17"/>
      <c r="G1011" s="17"/>
      <c r="H1011" s="17"/>
      <c r="I1011" s="17"/>
      <c r="J1011" s="17" t="s">
        <v>706</v>
      </c>
      <c r="K1011" s="17"/>
      <c r="L1011" s="17"/>
      <c r="AC1011" s="1257"/>
    </row>
    <row r="1012">
      <c r="B1012" s="17"/>
      <c r="C1012" s="17"/>
      <c r="D1012" s="17"/>
      <c r="E1012" s="444"/>
      <c r="F1012" s="17"/>
      <c r="G1012" s="17"/>
      <c r="H1012" s="17"/>
      <c r="I1012" s="17"/>
      <c r="J1012" s="17" t="s">
        <v>706</v>
      </c>
      <c r="K1012" s="17"/>
      <c r="L1012" s="17"/>
      <c r="AC1012" s="1257"/>
    </row>
    <row r="1013">
      <c r="B1013" s="17"/>
      <c r="C1013" s="17"/>
      <c r="D1013" s="17"/>
      <c r="E1013" s="444"/>
      <c r="F1013" s="17"/>
      <c r="G1013" s="17"/>
      <c r="H1013" s="17"/>
      <c r="I1013" s="17"/>
      <c r="J1013" s="17" t="s">
        <v>706</v>
      </c>
      <c r="K1013" s="17"/>
      <c r="L1013" s="17"/>
      <c r="AC1013" s="1257"/>
    </row>
    <row r="1014">
      <c r="B1014" s="17"/>
      <c r="C1014" s="17"/>
      <c r="D1014" s="17"/>
      <c r="E1014" s="444"/>
      <c r="F1014" s="17"/>
      <c r="G1014" s="17"/>
      <c r="H1014" s="17"/>
      <c r="I1014" s="17"/>
      <c r="J1014" s="17" t="s">
        <v>706</v>
      </c>
      <c r="K1014" s="17"/>
      <c r="L1014" s="17"/>
      <c r="AC1014" s="1257"/>
    </row>
    <row r="1015">
      <c r="B1015" s="17"/>
      <c r="C1015" s="17"/>
      <c r="D1015" s="17"/>
      <c r="E1015" s="444"/>
      <c r="F1015" s="17"/>
      <c r="G1015" s="17"/>
      <c r="H1015" s="17"/>
      <c r="I1015" s="17"/>
      <c r="J1015" s="17" t="s">
        <v>706</v>
      </c>
      <c r="K1015" s="17"/>
      <c r="L1015" s="17"/>
      <c r="AC1015" s="1257"/>
    </row>
    <row r="1016">
      <c r="B1016" s="17"/>
      <c r="C1016" s="17"/>
      <c r="D1016" s="17"/>
      <c r="E1016" s="444"/>
      <c r="F1016" s="17"/>
      <c r="G1016" s="17"/>
      <c r="H1016" s="17"/>
      <c r="I1016" s="17"/>
      <c r="J1016" s="17" t="s">
        <v>706</v>
      </c>
      <c r="K1016" s="17"/>
      <c r="L1016" s="17"/>
      <c r="AC1016" s="1257"/>
    </row>
    <row r="1017">
      <c r="B1017" s="17"/>
      <c r="C1017" s="17"/>
      <c r="D1017" s="17"/>
      <c r="E1017" s="444"/>
      <c r="F1017" s="17"/>
      <c r="G1017" s="17"/>
      <c r="H1017" s="17"/>
      <c r="I1017" s="17"/>
      <c r="J1017" s="17" t="s">
        <v>706</v>
      </c>
      <c r="K1017" s="17"/>
      <c r="L1017" s="17"/>
      <c r="AC1017" s="1257"/>
    </row>
    <row r="1018">
      <c r="B1018" s="17"/>
      <c r="C1018" s="17"/>
      <c r="D1018" s="17"/>
      <c r="E1018" s="444"/>
      <c r="F1018" s="17"/>
      <c r="G1018" s="17"/>
      <c r="H1018" s="17"/>
      <c r="I1018" s="17"/>
      <c r="J1018" s="17" t="s">
        <v>706</v>
      </c>
      <c r="K1018" s="17"/>
      <c r="L1018" s="17"/>
      <c r="AC1018" s="1257"/>
    </row>
    <row r="1019">
      <c r="B1019" s="17"/>
      <c r="C1019" s="17"/>
      <c r="D1019" s="17"/>
      <c r="E1019" s="444"/>
      <c r="F1019" s="17"/>
      <c r="G1019" s="17"/>
      <c r="H1019" s="17"/>
      <c r="I1019" s="17"/>
      <c r="J1019" s="17" t="s">
        <v>706</v>
      </c>
      <c r="K1019" s="17"/>
      <c r="L1019" s="17"/>
      <c r="AC1019" s="1257"/>
    </row>
    <row r="1020">
      <c r="B1020" s="17"/>
      <c r="C1020" s="17"/>
      <c r="D1020" s="17"/>
      <c r="E1020" s="444"/>
      <c r="F1020" s="17"/>
      <c r="G1020" s="17"/>
      <c r="H1020" s="17"/>
      <c r="I1020" s="17"/>
      <c r="J1020" s="17" t="s">
        <v>706</v>
      </c>
      <c r="K1020" s="17"/>
      <c r="L1020" s="17"/>
      <c r="AC1020" s="1257"/>
    </row>
    <row r="1021">
      <c r="B1021" s="17"/>
      <c r="C1021" s="17"/>
      <c r="D1021" s="17"/>
      <c r="E1021" s="444"/>
      <c r="F1021" s="17"/>
      <c r="G1021" s="17"/>
      <c r="H1021" s="17"/>
      <c r="I1021" s="17"/>
      <c r="J1021" s="17" t="s">
        <v>706</v>
      </c>
      <c r="K1021" s="17"/>
      <c r="L1021" s="17"/>
      <c r="AC1021" s="1257"/>
    </row>
    <row r="1022">
      <c r="B1022" s="17"/>
      <c r="C1022" s="17"/>
      <c r="D1022" s="17"/>
      <c r="E1022" s="444"/>
      <c r="F1022" s="17"/>
      <c r="G1022" s="17"/>
      <c r="H1022" s="17"/>
      <c r="I1022" s="17"/>
      <c r="J1022" s="17" t="s">
        <v>706</v>
      </c>
      <c r="K1022" s="17"/>
      <c r="L1022" s="17"/>
      <c r="AC1022" s="1257"/>
    </row>
    <row r="1023">
      <c r="B1023" s="17"/>
      <c r="C1023" s="17"/>
      <c r="D1023" s="17"/>
      <c r="E1023" s="444"/>
      <c r="F1023" s="17"/>
      <c r="G1023" s="17"/>
      <c r="H1023" s="17"/>
      <c r="I1023" s="17"/>
      <c r="J1023" s="17" t="s">
        <v>706</v>
      </c>
      <c r="K1023" s="17"/>
      <c r="L1023" s="17"/>
      <c r="AC1023" s="1257"/>
    </row>
    <row r="1024">
      <c r="B1024" s="17"/>
      <c r="C1024" s="17"/>
      <c r="D1024" s="17"/>
      <c r="E1024" s="444"/>
      <c r="F1024" s="17"/>
      <c r="G1024" s="17"/>
      <c r="H1024" s="17"/>
      <c r="I1024" s="17"/>
      <c r="J1024" s="17" t="s">
        <v>706</v>
      </c>
      <c r="K1024" s="17"/>
      <c r="L1024" s="17"/>
      <c r="AC1024" s="1257"/>
    </row>
    <row r="1025">
      <c r="B1025" s="17"/>
      <c r="C1025" s="17"/>
      <c r="D1025" s="17"/>
      <c r="E1025" s="444"/>
      <c r="F1025" s="17"/>
      <c r="G1025" s="17"/>
      <c r="H1025" s="17"/>
      <c r="I1025" s="17"/>
      <c r="J1025" s="17" t="s">
        <v>706</v>
      </c>
      <c r="K1025" s="17"/>
      <c r="L1025" s="17"/>
      <c r="AC1025" s="1257"/>
    </row>
    <row r="1026">
      <c r="B1026" s="17"/>
      <c r="C1026" s="17"/>
      <c r="D1026" s="17"/>
      <c r="E1026" s="444"/>
      <c r="F1026" s="17"/>
      <c r="G1026" s="17"/>
      <c r="H1026" s="17"/>
      <c r="I1026" s="17"/>
      <c r="J1026" s="17" t="s">
        <v>706</v>
      </c>
      <c r="K1026" s="17"/>
      <c r="L1026" s="17"/>
      <c r="AC1026" s="1257"/>
    </row>
    <row r="1027">
      <c r="B1027" s="17"/>
      <c r="C1027" s="17"/>
      <c r="D1027" s="17"/>
      <c r="E1027" s="444"/>
      <c r="F1027" s="17"/>
      <c r="G1027" s="17"/>
      <c r="H1027" s="17"/>
      <c r="I1027" s="17"/>
      <c r="J1027" s="17" t="s">
        <v>706</v>
      </c>
      <c r="K1027" s="17"/>
      <c r="L1027" s="17"/>
      <c r="AC1027" s="1257"/>
    </row>
    <row r="1028">
      <c r="B1028" s="17"/>
      <c r="C1028" s="17"/>
      <c r="D1028" s="17"/>
      <c r="E1028" s="444"/>
      <c r="F1028" s="17"/>
      <c r="G1028" s="17"/>
      <c r="H1028" s="17"/>
      <c r="I1028" s="17"/>
      <c r="J1028" s="17" t="s">
        <v>706</v>
      </c>
      <c r="K1028" s="17"/>
      <c r="L1028" s="17"/>
      <c r="AC1028" s="1257"/>
    </row>
    <row r="1029">
      <c r="B1029" s="17"/>
      <c r="C1029" s="17"/>
      <c r="D1029" s="17"/>
      <c r="E1029" s="444"/>
      <c r="F1029" s="17"/>
      <c r="G1029" s="17"/>
      <c r="H1029" s="17"/>
      <c r="I1029" s="17"/>
      <c r="J1029" s="17" t="s">
        <v>706</v>
      </c>
      <c r="K1029" s="17"/>
      <c r="L1029" s="17"/>
      <c r="AC1029" s="1257"/>
    </row>
    <row r="1030">
      <c r="B1030" s="17"/>
      <c r="C1030" s="17"/>
      <c r="D1030" s="17"/>
      <c r="E1030" s="444"/>
      <c r="F1030" s="17"/>
      <c r="G1030" s="17"/>
      <c r="H1030" s="17"/>
      <c r="I1030" s="17"/>
      <c r="J1030" s="17" t="s">
        <v>706</v>
      </c>
      <c r="K1030" s="17"/>
      <c r="L1030" s="17"/>
      <c r="AC1030" s="1257"/>
    </row>
    <row r="1031">
      <c r="B1031" s="17"/>
      <c r="C1031" s="17"/>
      <c r="D1031" s="17"/>
      <c r="E1031" s="444"/>
      <c r="F1031" s="17"/>
      <c r="G1031" s="17"/>
      <c r="H1031" s="17"/>
      <c r="I1031" s="17"/>
      <c r="J1031" s="17" t="s">
        <v>706</v>
      </c>
      <c r="K1031" s="17"/>
      <c r="L1031" s="17"/>
      <c r="AC1031" s="1257"/>
    </row>
    <row r="1032">
      <c r="B1032" s="17"/>
      <c r="C1032" s="17"/>
      <c r="D1032" s="17"/>
      <c r="E1032" s="444"/>
      <c r="F1032" s="17"/>
      <c r="G1032" s="17"/>
      <c r="H1032" s="17"/>
      <c r="I1032" s="17"/>
      <c r="J1032" s="17" t="s">
        <v>706</v>
      </c>
      <c r="K1032" s="17"/>
      <c r="L1032" s="17"/>
      <c r="AC1032" s="1257"/>
    </row>
    <row r="1033">
      <c r="B1033" s="17"/>
      <c r="C1033" s="17"/>
      <c r="D1033" s="17"/>
      <c r="E1033" s="444"/>
      <c r="F1033" s="17"/>
      <c r="G1033" s="17"/>
      <c r="H1033" s="17"/>
      <c r="I1033" s="17"/>
      <c r="J1033" s="17" t="s">
        <v>706</v>
      </c>
      <c r="K1033" s="17"/>
      <c r="L1033" s="17"/>
      <c r="AC1033" s="1257"/>
    </row>
    <row r="1034">
      <c r="B1034" s="17"/>
      <c r="C1034" s="17"/>
      <c r="D1034" s="17"/>
      <c r="E1034" s="444"/>
      <c r="F1034" s="17"/>
      <c r="G1034" s="17"/>
      <c r="H1034" s="17"/>
      <c r="I1034" s="17"/>
      <c r="J1034" s="17" t="s">
        <v>706</v>
      </c>
      <c r="K1034" s="17"/>
      <c r="L1034" s="17"/>
      <c r="AC1034" s="1257"/>
    </row>
    <row r="1035">
      <c r="B1035" s="17"/>
      <c r="C1035" s="17"/>
      <c r="D1035" s="17"/>
      <c r="E1035" s="444"/>
      <c r="F1035" s="17"/>
      <c r="G1035" s="17"/>
      <c r="H1035" s="17"/>
      <c r="I1035" s="17"/>
      <c r="J1035" s="17" t="s">
        <v>706</v>
      </c>
      <c r="K1035" s="17"/>
      <c r="L1035" s="17"/>
      <c r="AC1035" s="1257"/>
    </row>
    <row r="1036">
      <c r="B1036" s="17"/>
      <c r="C1036" s="17"/>
      <c r="D1036" s="17"/>
      <c r="E1036" s="444"/>
      <c r="F1036" s="17"/>
      <c r="G1036" s="17"/>
      <c r="H1036" s="17"/>
      <c r="I1036" s="17"/>
      <c r="J1036" s="17" t="s">
        <v>706</v>
      </c>
      <c r="K1036" s="17"/>
      <c r="L1036" s="17"/>
      <c r="AC1036" s="1257"/>
    </row>
    <row r="1037">
      <c r="B1037" s="17"/>
      <c r="C1037" s="17"/>
      <c r="D1037" s="17"/>
      <c r="E1037" s="444"/>
      <c r="F1037" s="17"/>
      <c r="G1037" s="17"/>
      <c r="H1037" s="17"/>
      <c r="I1037" s="17"/>
      <c r="J1037" s="17" t="s">
        <v>706</v>
      </c>
      <c r="K1037" s="17"/>
      <c r="L1037" s="17"/>
      <c r="AC1037" s="1257"/>
    </row>
    <row r="1038">
      <c r="B1038" s="17"/>
      <c r="C1038" s="17"/>
      <c r="D1038" s="17"/>
      <c r="E1038" s="444"/>
      <c r="F1038" s="17"/>
      <c r="G1038" s="17"/>
      <c r="H1038" s="17"/>
      <c r="I1038" s="17"/>
      <c r="J1038" s="17" t="s">
        <v>706</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