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<sst xmlns="http://schemas.openxmlformats.org/spreadsheetml/2006/main" count="5320" uniqueCount="783">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</sst>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3306952"/>
        <c:axId val="1225988689"/>
      </c:lineChart>
      <c:catAx>
        <c:axId val="17633069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25988689"/>
      </c:catAx>
      <c:valAx>
        <c:axId val="12259886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33069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53561414"/>
        <c:axId val="1696016631"/>
      </c:lineChart>
      <c:catAx>
        <c:axId val="1953561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6016631"/>
      </c:catAx>
      <c:valAx>
        <c:axId val="16960166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56141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95310481"/>
        <c:axId val="170475890"/>
      </c:lineChart>
      <c:catAx>
        <c:axId val="2953104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475890"/>
      </c:catAx>
      <c:valAx>
        <c:axId val="1704758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53104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6468187"/>
        <c:axId val="198004904"/>
      </c:barChart>
      <c:catAx>
        <c:axId val="4064681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004904"/>
      </c:catAx>
      <c:valAx>
        <c:axId val="1980049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64681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4784797"/>
        <c:axId val="923051399"/>
      </c:lineChart>
      <c:catAx>
        <c:axId val="1274784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3051399"/>
      </c:catAx>
      <c:valAx>
        <c:axId val="9230513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47847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0441003"/>
        <c:axId val="1162333862"/>
      </c:barChart>
      <c:catAx>
        <c:axId val="11404410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2333862"/>
      </c:catAx>
      <c:valAx>
        <c:axId val="11623338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04410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1733</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46119</v>
      </c>
      <c r="C7" s="365"/>
      <c r="D7" s="281"/>
      <c r="E7" s="366">
        <f>today()+1</f>
        <v>46120</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v>
      </c>
      <c r="D9" s="188"/>
      <c r="E9" s="387" t="str">
        <f t="shared" ref="E9:E104" si="6">K9</f>
        <v>出勤者数合計</v>
      </c>
      <c r="F9" s="388">
        <f t="shared" ref="F9:F103" si="7">if(E9="","", xlookup($E$7,$N$7:$AR$7,$N9:$AR9))</f>
        <v>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1229894</v>
      </c>
      <c r="D1" s="412">
        <f>AZ20</f>
        <v>60928</v>
      </c>
      <c r="E1" s="412">
        <f>BG23</f>
        <v>763040</v>
      </c>
      <c r="F1" s="412">
        <f>BB23+BG40</f>
        <v>0</v>
      </c>
      <c r="G1" s="412">
        <f t="shared" ref="G1:H1" si="1">I8</f>
        <v>9178.5</v>
      </c>
      <c r="H1" s="412">
        <f t="shared" si="1"/>
        <v>2595</v>
      </c>
      <c r="I1" s="413">
        <f>G8</f>
        <v>0.6836622807</v>
      </c>
      <c r="J1" s="413">
        <f>AT7</f>
        <v>0</v>
      </c>
      <c r="K1" s="414">
        <f>AV44</f>
        <v>0</v>
      </c>
      <c r="L1" s="415">
        <f>F44</f>
        <v>1733</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318</v>
      </c>
      <c r="H7" s="455">
        <f t="array" ref="H7">xlookup($D$5,'🌟目標数値'!$A$3:$A$14,'🌟目標数値'!D$3:D14)</f>
        <v>5777520</v>
      </c>
      <c r="I7" s="455" t="s">
        <v>318</v>
      </c>
      <c r="J7" s="456" t="s">
        <v>318</v>
      </c>
      <c r="K7" s="457" t="s">
        <v>318</v>
      </c>
      <c r="L7" s="457" t="s">
        <v>318</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0.3225867432</v>
      </c>
      <c r="D8" s="71"/>
      <c r="E8" s="465">
        <f>(BB23+BG23-BE24)/H8</f>
        <v>0.6204111899</v>
      </c>
      <c r="F8" s="71"/>
      <c r="G8" s="466">
        <f>G47</f>
        <v>0.6836622807</v>
      </c>
      <c r="H8" s="467">
        <f>BB30</f>
        <v>1229894</v>
      </c>
      <c r="I8" s="468">
        <f>IFERROR(__xludf.DUMMYFUNCTION("IMPORTRANGE(""https://docs.google.com/spreadsheets/d/1QbHfX9wvC_RRupa4CCe_ZxA6O4e2Ap9vqX5hrZPeQRg/edit"",""date2_1!R14"")/G5*COUNTIFS($E$13:$E$43,""&gt;0"")"),9178.5)</f>
        <v>9178.5</v>
      </c>
      <c r="J8" s="469">
        <f>IFERROR(__xludf.DUMMYFUNCTION("IMPORTRANGE(""https://docs.google.com/spreadsheets/d/1PIAlDmsTatDNi42y_Nu-aVFqvVCXfe6jiDJFQImKjZ0/edit#gid=630612029"",""R8_4!J8"")"),2595.0)</f>
        <v>2595</v>
      </c>
      <c r="K8" s="470">
        <f>BE24</f>
        <v>0</v>
      </c>
      <c r="L8" s="470">
        <f>BB30-BB23-AZ20-BG45-BG23+BE24</f>
        <v>405926</v>
      </c>
      <c r="M8" s="471">
        <f>L8-I8</f>
        <v>396747.5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1155504</v>
      </c>
      <c r="I9" s="481" t="s">
        <v>318</v>
      </c>
      <c r="J9" s="482" t="s">
        <v>318</v>
      </c>
      <c r="K9" s="483" t="s">
        <v>318</v>
      </c>
      <c r="L9" s="483" t="s">
        <v>318</v>
      </c>
      <c r="M9" s="484">
        <f>M7/G5*COUNTIFS($E$11:$E$41,"&gt;0")</f>
        <v>451142.6667</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0.5191916255</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0.6196581197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0.5723572967</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0.6390921148</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0.6005946274</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0.5994391213</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0.5840859036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IFERROR(__xludf.DUMMYFUNCTION("IMPORTRANGE(""https://docs.google.com/spreadsheets/d/1QbHfX9wvC_RRupa4CCe_ZxA6O4e2Ap9vqX5hrZPeQRg/edit?gid=284905409#gid=284905409"",""date2_1!D14"")/G5*COUNTIFS($E$13:$E$43,""&gt;0"")+sum(AZ14:BA19)"),60928.0)</f>
        <v>60928</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IFERROR(__xludf.DUMMYFUNCTION("IMPORTRANGE(AT9,""total!ai2"")"),586570.0)</f>
        <v>586570</v>
      </c>
      <c r="BF23" s="555">
        <f>IFERROR(__xludf.DUMMYFUNCTION("IMPORTRANGE(AT9,""total!an2"")"),176470.0)</f>
        <v>176470</v>
      </c>
      <c r="BG23" s="553">
        <f>sum(BE23:BF27)+BE20</f>
        <v>763040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1191590</v>
      </c>
      <c r="BA30" s="566" t="s">
        <v>318</v>
      </c>
      <c r="BB30" s="553">
        <f>SUM(AZ30:AZ36)</f>
        <v>1229894</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38304</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1824</v>
      </c>
      <c r="F44" s="589">
        <f t="shared" ref="F44:AB44" si="12">SUM(F13:F43)</f>
        <v>1733</v>
      </c>
      <c r="G44" s="589">
        <f t="shared" si="12"/>
        <v>1247</v>
      </c>
      <c r="H44" s="589">
        <f t="shared" si="12"/>
        <v>1108</v>
      </c>
      <c r="I44" s="589">
        <f t="shared" si="12"/>
        <v>139</v>
      </c>
      <c r="J44" s="589">
        <f t="shared" si="12"/>
        <v>122</v>
      </c>
      <c r="K44" s="589">
        <f t="shared" si="12"/>
        <v>160</v>
      </c>
      <c r="L44" s="589">
        <f t="shared" si="12"/>
        <v>486</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1191590</v>
      </c>
      <c r="AT44" s="592">
        <f t="shared" si="13"/>
        <v>586570</v>
      </c>
      <c r="AU44" s="593">
        <f>AVERAGE(AU13:AU43)</f>
        <v>0.6025378639</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963960</v>
      </c>
      <c r="I46" s="611">
        <f t="shared" si="15"/>
        <v>134830</v>
      </c>
      <c r="J46" s="611">
        <f t="shared" si="15"/>
        <v>12200</v>
      </c>
      <c r="K46" s="611">
        <f t="shared" si="15"/>
        <v>32000</v>
      </c>
      <c r="L46" s="611">
        <f t="shared" si="15"/>
        <v>48600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1191590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0.6836622807</v>
      </c>
      <c r="H47" s="618">
        <f t="shared" si="16"/>
        <v>0.6074561404</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0.3225867432</v>
      </c>
      <c r="D10" s="798">
        <f t="array" ref="D10">INDIRECT($E$8 &amp; "!E8")</f>
        <v>0.6204111899</v>
      </c>
      <c r="E10" s="798">
        <f t="array" ref="E10">INDIRECT($E$8 &amp; "!G8")</f>
        <v>0.6836622807</v>
      </c>
      <c r="F10" s="799">
        <f t="array" ref="F10">INDIRECT($E$8 &amp; "!H8")</f>
        <v>1229894</v>
      </c>
      <c r="G10" s="799">
        <f t="array" ref="G10">INDIRECT($E$8 &amp; "!K8")</f>
        <v>0</v>
      </c>
      <c r="H10" s="799">
        <f t="array" ref="H10">INDIRECT($E$8 &amp; "!M8")</f>
        <v>396747.5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0.3904293422</v>
      </c>
      <c r="D11" s="802"/>
      <c r="E11" s="803"/>
      <c r="F11" s="804">
        <f t="array" ref="F11">INDIRECT($E$8 &amp; "!H7")</f>
        <v>5777520</v>
      </c>
      <c r="G11" s="802"/>
      <c r="H11" s="805">
        <f t="array" ref="H11">INDIRECT($E$8 &amp; "!M7")</f>
        <v>2255713.333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46119</v>
      </c>
      <c r="C7" s="365"/>
      <c r="D7" s="281"/>
      <c r="E7" s="366">
        <f>today()+1</f>
        <v>46120</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46119</v>
      </c>
      <c r="C7" s="365"/>
      <c r="D7" s="281"/>
      <c r="E7" s="366">
        <f>today()+1</f>
        <v>46120</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591</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0.675</v>
      </c>
      <c r="D5" s="918">
        <f t="shared" ref="D5:G5" si="6">xlookup($B5,$K:$K,N:N)</f>
        <v>5777520</v>
      </c>
      <c r="E5" s="918">
        <f t="shared" si="6"/>
        <v>2255713.333</v>
      </c>
      <c r="F5" s="919">
        <f t="shared" si="6"/>
        <v>0.3904293422</v>
      </c>
      <c r="G5" s="919">
        <f t="shared" si="6"/>
        <v>0.5191916255</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5777520</v>
      </c>
      <c r="O39" s="907">
        <f>R45</f>
        <v>2255713.333</v>
      </c>
      <c r="P39" s="908">
        <f>R46</f>
        <v>0.3904293422</v>
      </c>
      <c r="Q39" s="908">
        <f>R44</f>
        <v>0.5191916255</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67.5</v>
      </c>
      <c r="K41" s="921">
        <f>SUM(M41:O41)</f>
        <v>304</v>
      </c>
      <c r="L41" s="921">
        <v>100.0</v>
      </c>
      <c r="M41" s="915">
        <v>272.0</v>
      </c>
      <c r="N41" s="915">
        <v>32.0</v>
      </c>
      <c r="O41" s="922"/>
      <c r="P41" s="921">
        <f>K41*J40</f>
        <v>9120</v>
      </c>
      <c r="Q41" s="923" t="s">
        <v>643</v>
      </c>
      <c r="R41" s="924">
        <f>P53</f>
        <v>360240</v>
      </c>
    </row>
    <row r="42">
      <c r="I42" s="912" t="s">
        <v>644</v>
      </c>
      <c r="J42" s="915">
        <v>320000.0</v>
      </c>
      <c r="K42" s="921">
        <f>K41*L42%</f>
        <v>205.2</v>
      </c>
      <c r="L42" s="926">
        <f>J41</f>
        <v>67.5</v>
      </c>
      <c r="M42" s="921">
        <f>M41*L42%</f>
        <v>183.6</v>
      </c>
      <c r="N42" s="921">
        <f>N41*L42%</f>
        <v>21.6</v>
      </c>
      <c r="O42" s="921">
        <f>O41*L42%</f>
        <v>0</v>
      </c>
      <c r="P42" s="921">
        <f>K42*J40</f>
        <v>6156</v>
      </c>
      <c r="Q42" s="912" t="s">
        <v>310</v>
      </c>
      <c r="R42" s="924">
        <f>R40*P42+R41</f>
        <v>5777520</v>
      </c>
    </row>
    <row r="43">
      <c r="I43" s="912" t="s">
        <v>645</v>
      </c>
      <c r="J43" s="927"/>
      <c r="K43" s="928" t="s">
        <v>646</v>
      </c>
      <c r="L43" s="2"/>
      <c r="M43" s="956">
        <v>20.48</v>
      </c>
      <c r="N43" s="956">
        <v>22.92</v>
      </c>
      <c r="O43" s="915">
        <v>23.0</v>
      </c>
      <c r="P43" s="929"/>
      <c r="Q43" s="912" t="s">
        <v>647</v>
      </c>
      <c r="R43" s="921">
        <f>M48+SUM(M52:N53)</f>
        <v>2999640</v>
      </c>
    </row>
    <row r="44">
      <c r="I44" s="931" t="s">
        <v>648</v>
      </c>
      <c r="J44" s="932">
        <v>1250.0</v>
      </c>
      <c r="K44" s="933" t="s">
        <v>649</v>
      </c>
      <c r="L44" s="2"/>
      <c r="M44" s="921">
        <f t="shared" ref="M44:O44" si="22">M42/(360/M43)</f>
        <v>10.4448</v>
      </c>
      <c r="N44" s="921">
        <f t="shared" si="22"/>
        <v>1.3752</v>
      </c>
      <c r="O44" s="921">
        <f t="shared" si="22"/>
        <v>0</v>
      </c>
      <c r="P44" s="921">
        <f t="shared" ref="P44:P45" si="23">M44+N44+O44</f>
        <v>11.82</v>
      </c>
      <c r="Q44" s="912" t="s">
        <v>308</v>
      </c>
      <c r="R44" s="934">
        <f>R43/R42</f>
        <v>0.5191916255</v>
      </c>
    </row>
    <row r="45">
      <c r="I45" s="936" t="s">
        <v>650</v>
      </c>
      <c r="J45" s="932">
        <v>5.0</v>
      </c>
      <c r="K45" s="937" t="s">
        <v>651</v>
      </c>
      <c r="L45" s="915">
        <v>1230.0</v>
      </c>
      <c r="M45" s="921">
        <f>M44*(L45*6)</f>
        <v>77082.624</v>
      </c>
      <c r="N45" s="921">
        <f>N44*(L45*6)</f>
        <v>10148.976</v>
      </c>
      <c r="O45" s="921">
        <f>O44*(L45*6)</f>
        <v>0</v>
      </c>
      <c r="P45" s="921">
        <f t="shared" si="23"/>
        <v>87231.6</v>
      </c>
      <c r="Q45" s="912" t="s">
        <v>652</v>
      </c>
      <c r="R45" s="924">
        <f>R42-R43-M55</f>
        <v>2255713.333</v>
      </c>
    </row>
    <row r="46">
      <c r="I46" s="938" t="s">
        <v>653</v>
      </c>
      <c r="J46" s="932">
        <v>100.0</v>
      </c>
      <c r="K46" s="939"/>
      <c r="L46" s="929"/>
      <c r="M46" s="929"/>
      <c r="N46" s="929"/>
      <c r="O46" s="929"/>
      <c r="P46" s="929"/>
      <c r="Q46" s="912" t="s">
        <v>307</v>
      </c>
      <c r="R46" s="934">
        <f>R45/R42</f>
        <v>0.3904293422</v>
      </c>
    </row>
    <row r="47">
      <c r="I47" s="931" t="s">
        <v>654</v>
      </c>
      <c r="J47" s="932">
        <v>4500.0</v>
      </c>
      <c r="K47" s="933" t="s">
        <v>655</v>
      </c>
      <c r="L47" s="2"/>
      <c r="M47" s="921">
        <f>P45+(P44*J53)</f>
        <v>94323.6</v>
      </c>
      <c r="N47" s="929"/>
      <c r="O47" s="940" t="s">
        <v>656</v>
      </c>
      <c r="P47" s="923" t="s">
        <v>657</v>
      </c>
      <c r="Q47" s="929"/>
      <c r="R47" s="929"/>
    </row>
    <row r="48">
      <c r="I48" s="942" t="s">
        <v>658</v>
      </c>
      <c r="J48" s="932">
        <v>1.0</v>
      </c>
      <c r="K48" s="933" t="s">
        <v>659</v>
      </c>
      <c r="L48" s="2"/>
      <c r="M48" s="921">
        <f>M47*J40+K41*J55*J40*20</f>
        <v>2839740</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317.25</v>
      </c>
      <c r="J4" s="1000">
        <f t="shared" si="1"/>
        <v>1493</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IFERROR(__xludf.DUMMYFUNCTION("IMPORTRANGE($P$7,$P$4&amp;AO$2)"),6.0)</f>
        <v>6</v>
      </c>
      <c r="AP4" s="216">
        <f t="shared" ref="AP4:AP299" si="7">COUNTIF(INDIRECT(AP$2 &amp; "L9:L"), AL4)</f>
        <v>0</v>
      </c>
      <c r="AQ4" s="1009">
        <f>IFERROR(__xludf.DUMMYFUNCTION("IMPORTRANGE($P$7,$P$4&amp;AQ$2)"),27.766666666666666)</f>
        <v>27.76666667</v>
      </c>
      <c r="AR4" s="216">
        <f>IFERROR(__xludf.DUMMYFUNCTION("IMPORTRANGE($P$7,$P$4&amp;AR$2)"),121.0)</f>
        <v>121</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57</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304.7</v>
      </c>
      <c r="J6" s="1000">
        <f t="shared" si="17"/>
        <v>1271</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IFERROR(__xludf.DUMMYFUNCTION("""COMPUTED_VALUE"""),5.0)</f>
        <v>5</v>
      </c>
      <c r="AP6" s="216">
        <f t="shared" si="7"/>
        <v>0</v>
      </c>
      <c r="AQ6" s="1009">
        <f>IFERROR(__xludf.DUMMYFUNCTION("""COMPUTED_VALUE"""),24.866666666666667)</f>
        <v>24.86666667</v>
      </c>
      <c r="AR6" s="216">
        <f>IFERROR(__xludf.DUMMYFUNCTION("""COMPUTED_VALUE"""),86.0)</f>
        <v>86</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57</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307.15</v>
      </c>
      <c r="J7" s="1000">
        <f t="shared" si="18"/>
        <v>1273</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IFERROR(__xludf.DUMMYFUNCTION("""COMPUTED_VALUE"""),6.0)</f>
        <v>6</v>
      </c>
      <c r="AP7" s="216">
        <f t="shared" si="7"/>
        <v>0</v>
      </c>
      <c r="AQ7" s="1009">
        <f>IFERROR(__xludf.DUMMYFUNCTION("""COMPUTED_VALUE"""),28.566666666666666)</f>
        <v>28.56666667</v>
      </c>
      <c r="AR7" s="216">
        <f>IFERROR(__xludf.DUMMYFUNCTION("""COMPUTED_VALUE"""),102.0)</f>
        <v>102</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57</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291.0833333</v>
      </c>
      <c r="J8" s="1000">
        <f t="shared" si="19"/>
        <v>1293</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IFERROR(__xludf.DUMMYFUNCTION("""COMPUTED_VALUE"""),6.0)</f>
        <v>6</v>
      </c>
      <c r="AP8" s="216">
        <f t="shared" si="7"/>
        <v>0</v>
      </c>
      <c r="AQ8" s="1009">
        <f>IFERROR(__xludf.DUMMYFUNCTION("""COMPUTED_VALUE"""),28.366666666666667)</f>
        <v>28.36666667</v>
      </c>
      <c r="AR8" s="216">
        <f>IFERROR(__xludf.DUMMYFUNCTION("""COMPUTED_VALUE"""),103.0)</f>
        <v>103</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48</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236.8</v>
      </c>
      <c r="J9" s="1000">
        <f t="shared" si="20"/>
        <v>1031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IFERROR(__xludf.DUMMYFUNCTION("""COMPUTED_VALUE"""),5.0)</f>
        <v>5</v>
      </c>
      <c r="AP9" s="216">
        <f t="shared" si="7"/>
        <v>0</v>
      </c>
      <c r="AQ9" s="1009">
        <f>IFERROR(__xludf.DUMMYFUNCTION("""COMPUTED_VALUE"""),14.766666666666667)</f>
        <v>14.76666667</v>
      </c>
      <c r="AR9" s="216">
        <f>IFERROR(__xludf.DUMMYFUNCTION("""COMPUTED_VALUE"""),89.0)</f>
        <v>89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57</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280.8</v>
      </c>
      <c r="J10" s="1000">
        <f t="shared" si="21"/>
        <v>1254</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IFERROR(__xludf.DUMMYFUNCTION("""COMPUTED_VALUE"""),5.0)</f>
        <v>5</v>
      </c>
      <c r="AP10" s="216">
        <f t="shared" si="7"/>
        <v>0</v>
      </c>
      <c r="AQ10" s="1009">
        <f>IFERROR(__xludf.DUMMYFUNCTION("""COMPUTED_VALUE"""),23.35)</f>
        <v>23.35</v>
      </c>
      <c r="AR10" s="216">
        <f>IFERROR(__xludf.DUMMYFUNCTION("""COMPUTED_VALUE"""),94.0)</f>
        <v>94</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44</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226.6</v>
      </c>
      <c r="J11" s="1000">
        <f t="shared" si="22"/>
        <v>973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IFERROR(__xludf.DUMMYFUNCTION("""COMPUTED_VALUE"""),5.0)</f>
        <v>5</v>
      </c>
      <c r="AP11" s="216">
        <f t="shared" si="7"/>
        <v>0</v>
      </c>
      <c r="AQ11" s="1009">
        <f>IFERROR(__xludf.DUMMYFUNCTION("""COMPUTED_VALUE"""),19.816666666666666)</f>
        <v>19.81666667</v>
      </c>
      <c r="AR11" s="216">
        <f>IFERROR(__xludf.DUMMYFUNCTION("""COMPUTED_VALUE"""),94.0)</f>
        <v>94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29</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146.8666667</v>
      </c>
      <c r="J12" s="1000">
        <f t="shared" si="23"/>
        <v>551</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IFERROR(__xludf.DUMMYFUNCTION("""COMPUTED_VALUE"""),5.0)</f>
        <v>5</v>
      </c>
      <c r="AP12" s="216">
        <f t="shared" si="7"/>
        <v>0</v>
      </c>
      <c r="AQ12" s="1009">
        <f>IFERROR(__xludf.DUMMYFUNCTION("""COMPUTED_VALUE"""),24.483333333333334)</f>
        <v>24.48333333</v>
      </c>
      <c r="AR12" s="216">
        <f>IFERROR(__xludf.DUMMYFUNCTION("""COMPUTED_VALUE"""),64.0)</f>
        <v>64</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56</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290.4</v>
      </c>
      <c r="J13" s="1000">
        <f t="shared" si="24"/>
        <v>1255</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IFERROR(__xludf.DUMMYFUNCTION("""COMPUTED_VALUE"""),5.0)</f>
        <v>5</v>
      </c>
      <c r="AP13" s="216">
        <f t="shared" si="7"/>
        <v>0</v>
      </c>
      <c r="AQ13" s="1009">
        <f>IFERROR(__xludf.DUMMYFUNCTION("""COMPUTED_VALUE"""),23.0)</f>
        <v>23</v>
      </c>
      <c r="AR13" s="216">
        <f>IFERROR(__xludf.DUMMYFUNCTION("""COMPUTED_VALUE"""),92.0)</f>
        <v>92</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48</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257.4833333</v>
      </c>
      <c r="J14" s="1000">
        <f t="shared" si="25"/>
        <v>1073</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IFERROR(__xludf.DUMMYFUNCTION("""COMPUTED_VALUE"""),6.0)</f>
        <v>6</v>
      </c>
      <c r="AP14" s="216">
        <f t="shared" si="7"/>
        <v>0</v>
      </c>
      <c r="AQ14" s="1009">
        <f>IFERROR(__xludf.DUMMYFUNCTION("""COMPUTED_VALUE"""),28.383333333333333)</f>
        <v>28.38333333</v>
      </c>
      <c r="AR14" s="216">
        <f>IFERROR(__xludf.DUMMYFUNCTION("""COMPUTED_VALUE"""),102.0)</f>
        <v>102</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46</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247.9833333</v>
      </c>
      <c r="J15" s="1000">
        <f t="shared" si="26"/>
        <v>1020</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IFERROR(__xludf.DUMMYFUNCTION("""COMPUTED_VALUE"""),6.0)</f>
        <v>6</v>
      </c>
      <c r="AP15" s="216">
        <f t="shared" si="7"/>
        <v>0</v>
      </c>
      <c r="AQ15" s="1009">
        <f>IFERROR(__xludf.DUMMYFUNCTION("""COMPUTED_VALUE"""),28.516666666666666)</f>
        <v>28.51666667</v>
      </c>
      <c r="AR15" s="216">
        <f>IFERROR(__xludf.DUMMYFUNCTION("""COMPUTED_VALUE"""),112.0)</f>
        <v>112</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46119</v>
      </c>
      <c r="C7" s="365"/>
      <c r="D7" s="281"/>
      <c r="E7" s="366">
        <f>today()+1</f>
        <v>46120</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0.6836622807</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0.7049002715</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1229894</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13600269</v>
      </c>
      <c r="P7" s="1062"/>
      <c r="Q7" s="1061"/>
      <c r="R7" s="1061"/>
      <c r="S7" s="1061"/>
      <c r="T7" s="1061"/>
      <c r="U7" s="1061"/>
      <c r="V7" s="1070">
        <v>4.0</v>
      </c>
      <c r="W7" s="1063"/>
    </row>
    <row r="8">
      <c r="A8" s="1071"/>
      <c r="B8" s="1077" t="s">
        <v>723</v>
      </c>
      <c r="C8" s="1080">
        <f t="shared" ref="C8:N8" si="3">iferror(indirect(C3&amp;"!AZ20"),"")</f>
        <v>304640</v>
      </c>
      <c r="D8" s="1080">
        <f t="shared" si="3"/>
        <v>304640</v>
      </c>
      <c r="E8" s="1080">
        <f t="shared" si="3"/>
        <v>60928</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670208</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763040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6747640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45892.5</v>
      </c>
      <c r="E11" s="1079">
        <f t="shared" si="7"/>
        <v>9178.5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100963.5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3165402.5</v>
      </c>
      <c r="E13" s="1079">
        <f t="shared" si="9"/>
        <v>396747.5</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6081457.5</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0.6204111899</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0.4961401866</v>
      </c>
      <c r="P14" s="1061"/>
      <c r="Q14" s="1061"/>
      <c r="R14" s="1061"/>
      <c r="S14" s="1061"/>
      <c r="T14" s="1061"/>
      <c r="U14" s="1061"/>
      <c r="V14" s="1070">
        <v>11.0</v>
      </c>
      <c r="W14" s="1063"/>
    </row>
    <row r="15">
      <c r="A15" s="1071"/>
      <c r="B15" s="1077" t="s">
        <v>307</v>
      </c>
      <c r="C15" s="1078">
        <f t="shared" ref="C15:N15" si="11">iferror(indirect(C3&amp;"!C8"),"")</f>
        <v>0.4515980569</v>
      </c>
      <c r="D15" s="1078">
        <f t="shared" si="11"/>
        <v>0.4660675307</v>
      </c>
      <c r="E15" s="1078">
        <f t="shared" si="11"/>
        <v>0.3225867432</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0.4471571481</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4</v>
      </c>
      <c r="M6" s="1114">
        <f t="shared" si="1"/>
        <v>0.0004897159647</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1733</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16784</v>
      </c>
      <c r="J17" s="1135">
        <f t="shared" si="4"/>
        <v>1</v>
      </c>
      <c r="K17" s="1136">
        <f>J17/I17</f>
        <v>0.00005958055291</v>
      </c>
      <c r="L17" s="1135">
        <f>SUM(L5:L16)</f>
        <v>7</v>
      </c>
      <c r="M17" s="1137">
        <f>L17/I17</f>
        <v>0.0004170638704</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IFERROR(__xludf.DUMMYFUNCTION("""COMPUTED_VALUE"""),0.0)</f>
        <v>0</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IFERROR(__xludf.DUMMYFUNCTION("""COMPUTED_VALUE"""),0.0)</f>
        <v>0</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IFERROR(__xludf.DUMMYFUNCTION("""COMPUTED_VALUE"""),4.0)</f>
        <v>4</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IFERROR(__xludf.DUMMYFUNCTION("""COMPUTED_VALUE"""),7.0)</f>
        <v>7</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53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33</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0.1428571429</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0.1428571429</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0.1428571429</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0.2857142857</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0.2857142857</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0</v>
      </c>
      <c r="M46" s="1188">
        <f t="shared" si="6"/>
        <v>0</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7</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