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<sst xmlns="http://schemas.openxmlformats.org/spreadsheetml/2006/main" count="8166" uniqueCount="1166">
  <si>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</si>
  <si>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</si>
  <si>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</si>
  <si>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</si>
  <si>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</si>
  <si>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</si>
  <si>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</si>
  <si>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</si>
  <si>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</si>
  <si>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</si>
  <si>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</si>
  <si>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</si>
  <si>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</si>
  <si>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</si>
  <si>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</si>
  <si>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</si>
  <si>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</si>
  <si>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</si>
  <si>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</si>
  <si>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</si>
  <si>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</si>
  <si>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</si>
  <si>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</si>
  <si>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</si>
  <si>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</si>
  <si>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</si>
  <si>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</si>
  <si>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</si>
  <si>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</si>
  <si>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</si>
  <si>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</si>
  <si>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</si>
  <si>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</si>
  <si>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</si>
  <si>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</si>
  <si>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</si>
  <si>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</si>
  <si>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</si>
  <si>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</si>
  <si>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</si>
  <si>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</si>
  <si>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</si>
  <si>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</si>
  <si>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</si>
  <si>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</si>
  <si>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</si>
  <si>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</si>
  <si>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</si>
  <si>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</si>
  <si>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</si>
  <si>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</si>
  <si>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</si>
  <si>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</si>
  <si>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</si>
  <si>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</si>
  <si>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</si>
  <si>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</si>
  <si>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</si>
  <si>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</si>
  <si>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</si>
  <si>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</si>
  <si>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</si>
  <si>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</si>
  <si>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</si>
  <si>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</si>
  <si>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</si>
  <si>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</si>
  <si>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</si>
  <si>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</si>
  <si>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</si>
  <si>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</si>
  <si>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</si>
  <si>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</si>
  <si>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</si>
  <si>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</si>
  <si>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</si>
  <si>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</si>
  <si>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</si>
  <si>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</si>
  <si>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</si>
  <si>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</si>
  <si>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</si>
  <si>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</si>
  <si>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</si>
  <si>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</si>
  <si>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</si>
  <si>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</si>
  <si>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</si>
  <si>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</si>
  <si>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</si>
  <si>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</si>
  <si>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</si>
  <si>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</si>
  <si>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</si>
  <si>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</si>
  <si>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</si>
  <si>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</si>
  <si>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</si>
  <si>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</si>
  <si>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</si>
  <si>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</si>
  <si>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</si>
  <si>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</si>
  <si>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</si>
  <si>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</si>
  <si>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</si>
  <si>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</si>
  <si>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</si>
  <si>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</si>
  <si>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</si>
  <si>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</si>
  <si>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</si>
  <si>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</si>
  <si>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</si>
  <si>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</si>
  <si>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</si>
  <si>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</si>
  <si>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</si>
  <si>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</si>
  <si>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</si>
  <si>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</si>
  <si>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</si>
  <si>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</si>
  <si>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</si>
  <si>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</si>
  <si>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</si>
  <si>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</si>
  <si>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</si>
  <si>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</si>
  <si>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</si>
  <si>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</si>
  <si>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</si>
  <si>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</si>
  <si>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</si>
  <si>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</si>
  <si>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</si>
  <si>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</si>
  <si>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</si>
  <si>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</si>
  <si>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</si>
  <si>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</si>
  <si>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</si>
  <si>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</si>
  <si>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</si>
  <si>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</si>
  <si>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</si>
  <si>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</si>
  <si>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</si>
  <si>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</si>
  <si>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</si>
  <si>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</si>
  <si>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</si>
  <si>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</si>
  <si>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</si>
  <si>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</si>
  <si>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</si>
  <si>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</si>
  <si>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</si>
  <si>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</si>
  <si>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</si>
  <si>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</si>
  <si>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</si>
  <si>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</si>
  <si>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</si>
  <si>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</si>
  <si>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</si>
  <si>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</si>
  <si>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</si>
  <si>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</si>
  <si>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</si>
  <si>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</si>
  <si>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</si>
  <si>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</si>
  <si>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</si>
  <si>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</si>
  <si>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</si>
  <si>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</si>
  <si>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</si>
  <si>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</si>
  <si>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</si>
  <si>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</si>
  <si>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</si>
  <si>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</si>
  <si>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</si>
  <si>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</si>
  <si>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</si>
  <si>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</si>
  <si>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</si>
  <si>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</si>
  <si>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</si>
  <si>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</si>
  <si>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</si>
  <si>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</si>
  <si>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</si>
  <si>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</si>
  <si>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</si>
  <si>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</si>
  <si>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</si>
  <si>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</si>
  <si>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</si>
  <si>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</si>
  <si>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</si>
  <si>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</si>
  <si>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</si>
  <si>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</si>
  <si>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</si>
  <si>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</si>
  <si>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</si>
  <si>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</si>
  <si>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</si>
  <si>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</si>
  <si>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</si>
  <si>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</si>
  <si>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</si>
  <si>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</si>
  <si>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</si>
  <si>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</si>
  <si>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</si>
  <si>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</si>
  <si>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</si>
  <si>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</si>
  <si>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</si>
  <si>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</si>
  <si>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</si>
  <si>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</si>
  <si>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</si>
  <si>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</si>
  <si>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</si>
  <si>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</si>
  <si>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</si>
  <si>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</si>
  <si>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</si>
  <si>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</si>
  <si>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</si>
  <si>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</si>
  <si>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</si>
  <si>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</si>
  <si>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</si>
  <si>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</si>
  <si>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</si>
  <si>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</si>
  <si>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</si>
  <si>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</si>
  <si>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</si>
  <si>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</si>
  <si>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</si>
  <si>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</si>
  <si>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</si>
  <si>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</si>
  <si>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</si>
  <si>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</si>
  <si>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</si>
  <si>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</si>
  <si>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</si>
  <si>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</si>
  <si>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</si>
  <si>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</si>
  <si>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</si>
  <si>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</si>
  <si>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</si>
  <si>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</si>
  <si>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</si>
  <si>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</si>
  <si>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</si>
  <si>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</si>
  <si>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</si>
  <si>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</si>
  <si>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</si>
  <si>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</si>
  <si>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</si>
  <si>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</si>
  <si>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</si>
  <si>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</si>
  <si>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</si>
  <si>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</si>
  <si>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</si>
  <si>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</si>
  <si>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</si>
  <si>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</si>
  <si>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</si>
  <si>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</si>
  <si>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</si>
  <si>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</si>
  <si>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</si>
  <si>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</si>
  <si>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</si>
  <si>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</si>
  <si>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</si>
  <si>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</si>
  <si>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</si>
  <si>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</si>
  <si>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</si>
  <si>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</si>
  <si>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</si>
  <si>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</si>
  <si>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</si>
  <si>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</si>
  <si>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</si>
  <si>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</si>
  <si>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</si>
  <si>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</si>
  <si>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</si>
  <si>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</si>
  <si>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</si>
  <si>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</si>
  <si>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</si>
  <si>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</si>
  <si>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</si>
  <si>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</si>
  <si>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</si>
  <si>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</si>
  <si>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</si>
  <si>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</si>
  <si>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</si>
  <si>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</si>
  <si>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</si>
  <si>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</si>
  <si>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</si>
  <si>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</si>
  <si>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</si>
  <si>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</si>
  <si>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</si>
  <si>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</si>
  <si>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</si>
  <si>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</si>
  <si>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</si>
  <si>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</si>
  <si>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</si>
  <si>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</si>
  <si>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</si>
  <si>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</si>
  <si>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</si>
  <si>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</si>
  <si>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</si>
  <si>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</si>
  <si>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</si>
  <si>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</si>
  <si>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</si>
  <si>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</si>
  <si>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</si>
  <si>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</si>
  <si>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</si>
  <si>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</si>
  <si>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</si>
  <si>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</si>
  <si>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</si>
  <si>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</si>
  <si>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</si>
  <si>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</si>
  <si>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</si>
  <si>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</si>
  <si>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</si>
  <si>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</si>
  <si>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</si>
  <si>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</si>
  <si>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</si>
  <si>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</si>
  <si>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</si>
  <si>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</si>
  <si>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</si>
  <si>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</si>
  <si>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</si>
  <si>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</si>
  <si>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</si>
  <si>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</si>
  <si>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</si>
  <si>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</si>
  <si>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</si>
  <si>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</si>
  <si>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</si>
  <si>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</si>
  <si>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</si>
  <si>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</si>
  <si>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</si>
  <si>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</si>
  <si>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</si>
  <si>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</si>
  <si>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</si>
  <si>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</si>
  <si>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</si>
  <si>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</si>
  <si>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</si>
  <si>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</si>
  <si>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</si>
  <si>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</si>
  <si>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</si>
  <si>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</si>
  <si>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</si>
  <si>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</si>
  <si>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</si>
  <si>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</si>
  <si>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</si>
  <si>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</si>
  <si>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</si>
  <si>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</si>
  <si>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</si>
  <si>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</si>
  <si>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</si>
  <si>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</si>
  <si>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</si>
  <si>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</si>
  <si>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</si>
  <si>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</si>
  <si>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</si>
  <si>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</si>
  <si>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</si>
  <si>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</si>
  <si>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</si>
  <si>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</si>
  <si>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</si>
  <si>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</si>
  <si>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</si>
  <si>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</si>
  <si>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</si>
  <si>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</si>
  <si>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</si>
  <si>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</si>
  <si>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</si>
  <si>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</si>
  <si>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</si>
  <si>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</si>
  <si>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</si>
  <si>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</si>
  <si>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</si>
  <si>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</si>
  <si>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</si>
  <si>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</si>
  <si>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</si>
  <si>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</si>
  <si>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</si>
  <si>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</si>
  <si>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</si>
  <si>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</si>
  <si>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</si>
  <si>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</si>
  <si>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</si>
  <si>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</si>
  <si>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</si>
  <si>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</si>
  <si>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</si>
  <si>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</si>
  <si>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N</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</si>
  <si>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</si>
  <si>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</si>
  <si>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</si>
  <si>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</si>
  <si>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</si>
  <si>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</si>
  <si>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</si>
  <si>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</si>
  <si>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</si>
  <si>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</si>
  <si>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</si>
  <si>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</si>
  <si>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</si>
  <si>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</si>
  <si>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</si>
  <si>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</si>
  <si>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</si>
  <si>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</si>
  <si>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</si>
  <si>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</si>
  <si>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</si>
  <si>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</si>
  <si>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</si>
  <si>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</si>
  <si>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</si>
  <si>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</si>
  <si>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</si>
  <si>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</si>
  <si>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</si>
  <si>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</si>
  <si>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</si>
  <si>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</si>
  <si>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</si>
  <si>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</si>
  <si>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</si>
  <si>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</si>
  <si>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</si>
  <si>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</si>
  <si>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</si>
  <si>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</si>
  <si>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</si>
  <si>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</si>
  <si>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</si>
  <si>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</si>
  <si>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</si>
  <si>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</si>
  <si>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</si>
  <si>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</si>
  <si>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</si>
  <si>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</si>
  <si>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</si>
  <si>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</si>
  <si>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</si>
  <si>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</si>
  <si>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</si>
  <si>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</si>
  <si>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</si>
  <si>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</si>
  <si>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</si>
  <si>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</si>
  <si>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</si>
  <si>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</si>
  <si>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</si>
  <si>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</si>
  <si>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</si>
  <si>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</si>
  <si>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</si>
  <si>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</si>
  <si>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</si>
  <si>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</si>
  <si>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</si>
  <si>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</si>
  <si>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</si>
  <si>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</si>
  <si>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</si>
  <si>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</si>
  <si>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</si>
  <si>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</si>
  <si>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</si>
  <si>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</si>
  <si>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</si>
  <si>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</si>
  <si>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</si>
  <si>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</si>
  <si>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</si>
  <si>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</si>
  <si>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</si>
  <si>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</si>
  <si>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</si>
  <si>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</si>
  <si>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</si>
  <si>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</si>
  <si>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</si>
  <si>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</si>
  <si>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</si>
  <si>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記入者1</t>
  </si>
  <si>
    <t>【共有事項】
【メイド・チェッカー】
【人員】
【その他】</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</si>
  <si>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</si>
  <si>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</si>
  <si>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</si>
  <si>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</si>
  <si>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</si>
  <si>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</si>
  <si>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</si>
  <si>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</si>
  <si>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</si>
  <si>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</si>
  <si>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</si>
  <si>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</si>
  <si>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</si>
  <si>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</si>
  <si>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</si>
  <si>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</si>
  <si>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</si>
  <si>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</si>
  <si>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</si>
  <si>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</si>
  <si>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</si>
  <si>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</si>
  <si>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</si>
  <si>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</si>
  <si>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</si>
  <si>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</si>
  <si>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</si>
  <si>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</si>
  <si>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</si>
  <si>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</si>
  <si>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</si>
  <si>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</si>
  <si>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</si>
  <si>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</si>
  <si>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</si>
  <si>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</si>
  <si>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</si>
  <si>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</si>
  <si>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</si>
  <si>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</si>
  <si>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</si>
  <si>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</si>
  <si>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</si>
  <si>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</si>
  <si>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</si>
  <si>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</si>
  <si>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</si>
  <si>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</si>
  <si>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</si>
  <si>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</si>
  <si>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</si>
  <si>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</si>
  <si>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</si>
  <si>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</si>
  <si>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</si>
  <si>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</si>
  <si>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</si>
  <si>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</si>
  <si>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</si>
  <si>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</si>
  <si>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</si>
  <si>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</si>
  <si>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</si>
  <si>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</si>
  <si>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</si>
  <si>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</si>
  <si>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</si>
  <si>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</si>
  <si>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</si>
  <si>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</si>
  <si>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</si>
  <si>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</si>
  <si>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</si>
  <si>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</si>
  <si>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</si>
  <si>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</si>
  <si>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</si>
  <si>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</si>
  <si>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</si>
  <si>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</si>
  <si>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</si>
  <si>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</si>
  <si>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</si>
  <si>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</si>
  <si>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</si>
  <si>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</si>
  <si>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</si>
  <si>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</si>
  <si>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</si>
  <si>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</si>
  <si>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</si>
  <si>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</si>
  <si>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</si>
  <si>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</si>
  <si>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</si>
  <si>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</si>
  <si>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</si>
  <si>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</si>
  <si>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</si>
  <si>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</si>
  <si>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</si>
  <si>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</si>
  <si>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</si>
  <si>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</si>
  <si>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</si>
  <si>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</si>
  <si>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</si>
  <si>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</si>
  <si>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</si>
  <si>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</si>
  <si>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</si>
  <si>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</si>
  <si>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</si>
  <si>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</si>
  <si>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</si>
  <si>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</si>
  <si>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</si>
  <si>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</si>
  <si>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</si>
  <si>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</si>
  <si>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</si>
  <si>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</si>
  <si>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</si>
  <si>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</si>
  <si>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</si>
  <si>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</si>
  <si>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</si>
  <si>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</si>
  <si>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</si>
  <si>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</si>
  <si>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</si>
  <si>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</si>
  <si>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</si>
  <si>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</si>
  <si>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</si>
  <si>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</si>
  <si>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</si>
  <si>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</si>
  <si>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</si>
  <si>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</si>
  <si>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</si>
  <si>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</si>
  <si>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</si>
  <si>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</si>
  <si>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</si>
  <si>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</si>
  <si>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</si>
  <si>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</si>
  <si>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</si>
  <si>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</si>
  <si>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</si>
  <si>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</si>
  <si>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</si>
  <si>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</si>
  <si>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</si>
  <si>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</si>
  <si>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</si>
  <si>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</si>
  <si>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</si>
  <si>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</si>
  <si>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</si>
  <si>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</si>
  <si>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</si>
  <si>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</si>
  <si>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</si>
  <si>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</si>
  <si>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</si>
  <si>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</si>
  <si>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</si>
  <si>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</si>
  <si>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</si>
  <si>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</si>
  <si>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</si>
  <si>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</si>
  <si>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</si>
  <si>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</si>
  <si>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</si>
  <si>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</si>
  <si>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</si>
  <si>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</si>
  <si>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</si>
  <si>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</si>
  <si>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</si>
  <si>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</si>
  <si>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</si>
  <si>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</si>
  <si>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</si>
  <si>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</si>
  <si>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</si>
  <si>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</si>
  <si>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</si>
  <si>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</si>
  <si>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</si>
  <si>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</si>
  <si>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</si>
  <si>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</si>
  <si>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</si>
  <si>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200万の山分けも今回あるので、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</si>
  <si>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</si>
  <si>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</si>
  <si>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</si>
  <si>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</si>
  <si>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</si>
  <si>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</si>
  <si>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</si>
  <si>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</si>
  <si>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</si>
  <si>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</si>
  <si>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</si>
  <si>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</si>
  <si>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</si>
  <si>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</si>
  <si>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</si>
  <si>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</si>
  <si>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</si>
  <si>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</si>
  <si>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</si>
  <si>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</si>
  <si>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</si>
  <si>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</si>
  <si>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</si>
  <si>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</si>
  <si>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</si>
  <si>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</si>
  <si>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</si>
  <si>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</si>
  <si>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</si>
  <si>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</si>
  <si>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</si>
  <si>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</si>
  <si>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</si>
  <si>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</si>
  <si>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</si>
  <si>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</si>
  <si>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</si>
  <si>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</si>
  <si>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</si>
  <si>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</si>
  <si>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</si>
  <si>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</si>
  <si>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</si>
  <si>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</si>
  <si>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</si>
  <si>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</si>
  <si>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</si>
  <si>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</si>
  <si>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</si>
  <si>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</si>
  <si>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</si>
  <si>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</si>
  <si>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</si>
  <si>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</si>
  <si>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</si>
  <si>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</si>
  <si>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</si>
  <si>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</si>
  <si>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</si>
  <si>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</si>
  <si>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</si>
  <si>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</si>
  <si>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</si>
  <si>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</si>
  <si>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</si>
  <si>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</si>
  <si>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</si>
  <si>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</si>
  <si>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</si>
  <si>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</si>
  <si>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</si>
  <si>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</si>
  <si>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</si>
  <si>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</si>
  <si>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</si>
  <si>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</si>
  <si>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</si>
  <si>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</si>
  <si>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</si>
  <si>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</si>
  <si>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</si>
  <si>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</si>
  <si>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</si>
  <si>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</si>
  <si>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</si>
  <si>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</si>
  <si>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</si>
  <si>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</si>
  <si>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</si>
  <si>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</si>
  <si>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</si>
  <si>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</si>
  <si>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</si>
  <si>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</si>
  <si>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</si>
  <si>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</si>
  <si>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</si>
  <si>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</si>
  <si>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</si>
  <si>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</si>
  <si>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</si>
  <si>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</si>
  <si>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</si>
  <si>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</si>
  <si>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</si>
  <si>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</si>
  <si>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</si>
  <si>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</si>
  <si>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</si>
  <si>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</si>
  <si>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</si>
  <si>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</si>
  <si>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</si>
  <si>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</si>
  <si>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</si>
  <si>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</si>
  <si>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</si>
  <si>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</si>
  <si>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</si>
  <si>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</si>
  <si>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</si>
  <si>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</si>
  <si>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</si>
  <si>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</si>
  <si>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</si>
  <si>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</si>
  <si>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</si>
  <si>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</si>
  <si>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</si>
  <si>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</si>
  <si>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</si>
  <si>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</si>
  <si>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</si>
  <si>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</si>
  <si>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</si>
  <si>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</si>
  <si>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</si>
  <si>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</si>
  <si>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</si>
  <si>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</si>
  <si>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</si>
  <si>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</si>
  <si>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</si>
  <si>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</si>
  <si>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</si>
  <si>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</si>
  <si>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</si>
  <si>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</si>
  <si>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</si>
  <si>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</si>
  <si>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</si>
  <si>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</si>
  <si>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</si>
  <si>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</si>
  <si>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</si>
  <si>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</si>
  <si>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</si>
  <si>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</si>
  <si>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</si>
  <si>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</si>
  <si>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</si>
  <si>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</si>
  <si>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</si>
  <si>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</si>
  <si>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</si>
  <si>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</si>
  <si>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</si>
  <si>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</si>
  <si>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</si>
  <si>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</si>
  <si>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</si>
  <si>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</si>
  <si>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</si>
  <si>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</si>
  <si>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</si>
  <si>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</si>
  <si>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</si>
  <si>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</si>
  <si>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</si>
  <si>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</si>
  <si>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</si>
  <si>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</si>
  <si>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</si>
  <si>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</si>
  <si>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</si>
  <si>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</si>
  <si>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</si>
  <si>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</si>
  <si>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</si>
  <si>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</si>
  <si>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</si>
  <si>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</si>
  <si>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</si>
  <si>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</si>
  <si>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</si>
  <si>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</si>
  <si>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</si>
  <si>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</si>
  <si>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</si>
  <si>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</si>
  <si>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</si>
  <si>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</si>
  <si>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</si>
  <si>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</si>
  <si>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</si>
  <si>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</si>
  <si>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</si>
  <si>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</si>
  <si>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</si>
  <si>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</si>
  <si>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</si>
  <si>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</si>
  <si>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</si>
  <si>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</si>
  <si>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</si>
  <si>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</si>
  <si>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</si>
  <si>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</si>
  <si>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</si>
  <si>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</si>
  <si>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</si>
  <si>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</si>
  <si>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</si>
  <si>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</si>
  <si>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</si>
  <si>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</si>
  <si>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</si>
  <si>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</si>
  <si>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</si>
  <si>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</si>
  <si>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</si>
  <si>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</si>
  <si>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</si>
  <si>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</si>
  <si>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</si>
  <si>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</si>
  <si>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</si>
  <si>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</si>
  <si>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</si>
  <si>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</si>
  <si>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</si>
  <si>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</si>
  <si>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</si>
  <si>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</si>
  <si>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</si>
  <si>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</si>
  <si>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</si>
  <si>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</si>
  <si>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</si>
  <si>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</si>
  <si>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</si>
  <si>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</si>
  <si>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</si>
  <si>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</si>
  <si>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</si>
  <si>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</si>
  <si>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</si>
  <si>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</si>
  <si>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</si>
  <si>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</si>
  <si>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</si>
  <si>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</si>
  <si>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</si>
  <si>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</si>
  <si>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</si>
  <si>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</si>
  <si>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</si>
  <si>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</si>
  <si>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</si>
  <si>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</si>
  <si>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</si>
  <si>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</si>
  <si>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</si>
  <si>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</si>
  <si>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</si>
  <si>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R802_京成リッチモンドホテル東京錦糸町_アルバイト給料</t>
  </si>
  <si>
    <t>R803_京成リッチモンドホテル東京錦糸町_アルバイト給料</t>
  </si>
  <si>
    <t>R804_京成リッチモンドホテル東京錦糸町_アルバイト給料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</si>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</sst>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9"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9"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9"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9"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9"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29" fontId="53"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536039"/>
        <c:axId val="1803320623"/>
      </c:lineChart>
      <c:catAx>
        <c:axId val="135360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03320623"/>
      </c:catAx>
      <c:valAx>
        <c:axId val="18033206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3603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58334075"/>
        <c:axId val="253561442"/>
      </c:lineChart>
      <c:catAx>
        <c:axId val="18583340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3561442"/>
      </c:catAx>
      <c:valAx>
        <c:axId val="2535614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83340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9272073"/>
        <c:axId val="568827400"/>
      </c:lineChart>
      <c:catAx>
        <c:axId val="1492720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8827400"/>
      </c:catAx>
      <c:valAx>
        <c:axId val="5688274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2720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6458032"/>
        <c:axId val="651042956"/>
      </c:barChart>
      <c:catAx>
        <c:axId val="1764580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51042956"/>
      </c:catAx>
      <c:valAx>
        <c:axId val="6510429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45803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91173014"/>
        <c:axId val="823659429"/>
      </c:lineChart>
      <c:catAx>
        <c:axId val="10911730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3659429"/>
      </c:catAx>
      <c:valAx>
        <c:axId val="8236594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11730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74118793"/>
        <c:axId val="1312911592"/>
      </c:barChart>
      <c:catAx>
        <c:axId val="8741187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12911592"/>
      </c:catAx>
      <c:valAx>
        <c:axId val="13129115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411879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8" Type="http://schemas.openxmlformats.org/officeDocument/2006/relationships/drawing" Target="../drawings/drawing1.xm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IFERROR(__xludf.DUMMYFUNCTION("""COMPUTED_VALUE"""),9.0)</f>
        <v>9</v>
      </c>
      <c r="E6" s="19">
        <f>IFERROR(__xludf.DUMMYFUNCTION("""COMPUTED_VALUE"""),46118.0)</f>
        <v>46118</v>
      </c>
      <c r="F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6" s="20"/>
      <c r="H6" s="21"/>
      <c r="I6" s="20"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6" s="22" t="str">
        <f>IFERROR(__xludf.DUMMYFUNCTION("""COMPUTED_VALUE"""),"")</f>
        <v/>
      </c>
      <c r="K6" s="23" t="str">
        <f>IFERROR(__xludf.DUMMYFUNCTION("""COMPUTED_VALUE"""),"")</f>
        <v/>
      </c>
      <c r="L6" s="24" t="str">
        <f>IFERROR(__xludf.DUMMYFUNCTION("""COMPUTED_VALUE"""),"ゲ‍ス‍ト")</f>
        <v>ゲ‍ス‍ト</v>
      </c>
      <c r="N6" s="24" t="b">
        <f>IFERROR(__xludf.DUMMYFUNCTION("IMPORTRANGE(C3,Q3&amp;R3&amp;T3)"),FALSE)</f>
        <v>0</v>
      </c>
      <c r="O6" s="18" t="str">
        <f>IFERROR(__xludf.DUMMYFUNCTION("""COMPUTED_VALUE"""),"Trip.com")</f>
        <v>Trip.com</v>
      </c>
      <c r="P6" s="24">
        <f>IFERROR(__xludf.DUMMYFUNCTION("""COMPUTED_VALUE"""),9.0)</f>
        <v>9</v>
      </c>
      <c r="Q6" s="25">
        <f>IFERROR(__xludf.DUMMYFUNCTION("""COMPUTED_VALUE"""),46118.0)</f>
        <v>46118</v>
      </c>
      <c r="R6"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6" s="24"/>
      <c r="T6" s="24"/>
      <c r="U6"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6" s="24" t="str">
        <f>IFERROR(__xludf.DUMMYFUNCTION("""COMPUTED_VALUE"""),"")</f>
        <v/>
      </c>
      <c r="W6" s="24" t="str">
        <f>IFERROR(__xludf.DUMMYFUNCTION("""COMPUTED_VALUE"""),"")</f>
        <v/>
      </c>
      <c r="X6" s="24" t="str">
        <f>IFERROR(__xludf.DUMMYFUNCTION("""COMPUTED_VALUE"""),"ゲ‍ス‍ト")</f>
        <v>ゲ‍ス‍ト</v>
      </c>
    </row>
    <row r="7">
      <c r="B7" s="17" t="b">
        <f>IFERROR(__xludf.DUMMYFUNCTION("""COMPUTED_VALUE"""),FALSE)</f>
        <v>0</v>
      </c>
      <c r="C7" s="18" t="str">
        <f>IFERROR(__xludf.DUMMYFUNCTION("""COMPUTED_VALUE"""),"Booking.com")</f>
        <v>Booking.com</v>
      </c>
      <c r="D7" s="5">
        <f>IFERROR(__xludf.DUMMYFUNCTION("""COMPUTED_VALUE"""),10.0)</f>
        <v>10</v>
      </c>
      <c r="E7" s="19">
        <f>IFERROR(__xludf.DUMMYFUNCTION("""COMPUTED_VALUE"""),46118.0)</f>
        <v>46118</v>
      </c>
      <c r="F7" s="5"/>
      <c r="G7" s="26"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 s="21" t="str">
        <f>IFERROR(__xludf.DUMMYFUNCTION("""COMPUTED_VALUE"""),"无")</f>
        <v>无</v>
      </c>
      <c r="I7" s="5" t="str">
        <f>IFERROR(__xludf.DUMMYFUNCTION("""COMPUTED_VALUE"""),"")</f>
        <v/>
      </c>
      <c r="J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 s="24" t="str">
        <f>IFERROR(__xludf.DUMMYFUNCTION("""COMPUTED_VALUE"""),"なし")</f>
        <v>なし</v>
      </c>
      <c r="L7" s="24" t="str">
        <f>IFERROR(__xludf.DUMMYFUNCTION("""COMPUTED_VALUE"""),"Xiaodong")</f>
        <v>Xiaodong</v>
      </c>
      <c r="N7" s="24" t="b">
        <f>IFERROR(__xludf.DUMMYFUNCTION("""COMPUTED_VALUE"""),FALSE)</f>
        <v>0</v>
      </c>
      <c r="O7" s="18" t="str">
        <f>IFERROR(__xludf.DUMMYFUNCTION("""COMPUTED_VALUE"""),"Booking.com")</f>
        <v>Booking.com</v>
      </c>
      <c r="P7" s="24">
        <f>IFERROR(__xludf.DUMMYFUNCTION("""COMPUTED_VALUE"""),10.0)</f>
        <v>10</v>
      </c>
      <c r="Q7" s="25">
        <f>IFERROR(__xludf.DUMMYFUNCTION("""COMPUTED_VALUE"""),46118.0)</f>
        <v>46118</v>
      </c>
      <c r="R7" s="24"/>
      <c r="S7"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 s="24" t="str">
        <f>IFERROR(__xludf.DUMMYFUNCTION("""COMPUTED_VALUE"""),"无")</f>
        <v>无</v>
      </c>
      <c r="U7" s="24" t="str">
        <f>IFERROR(__xludf.DUMMYFUNCTION("""COMPUTED_VALUE"""),"")</f>
        <v/>
      </c>
      <c r="V7"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 s="24" t="str">
        <f>IFERROR(__xludf.DUMMYFUNCTION("""COMPUTED_VALUE"""),"なし")</f>
        <v>なし</v>
      </c>
      <c r="X7" s="24" t="str">
        <f>IFERROR(__xludf.DUMMYFUNCTION("""COMPUTED_VALUE"""),"Xiaodong")</f>
        <v>Xiaodong</v>
      </c>
    </row>
    <row r="8">
      <c r="B8" s="17" t="b">
        <f>IFERROR(__xludf.DUMMYFUNCTION("""COMPUTED_VALUE"""),FALSE)</f>
        <v>0</v>
      </c>
      <c r="C8" s="18" t="str">
        <f>IFERROR(__xludf.DUMMYFUNCTION("""COMPUTED_VALUE"""),"Booking.com")</f>
        <v>Booking.com</v>
      </c>
      <c r="D8" s="5">
        <f>IFERROR(__xludf.DUMMYFUNCTION("""COMPUTED_VALUE"""),10.0)</f>
        <v>10</v>
      </c>
      <c r="E8" s="19">
        <f>IFERROR(__xludf.DUMMYFUNCTION("""COMPUTED_VALUE"""),46118.0)</f>
        <v>46118</v>
      </c>
      <c r="F8" s="5"/>
      <c r="G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8" s="5" t="str">
        <f>IFERROR(__xludf.DUMMYFUNCTION("""COMPUTED_VALUE"""),"特にありません。")</f>
        <v>特にありません。</v>
      </c>
      <c r="I8" s="5" t="str">
        <f>IFERROR(__xludf.DUMMYFUNCTION("""COMPUTED_VALUE"""),"")</f>
        <v/>
      </c>
      <c r="J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8" s="24" t="str">
        <f>IFERROR(__xludf.DUMMYFUNCTION("""COMPUTED_VALUE"""),"特にありません。")</f>
        <v>特にありません。</v>
      </c>
      <c r="L8" s="24" t="str">
        <f>IFERROR(__xludf.DUMMYFUNCTION("""COMPUTED_VALUE"""),"Hiroshi")</f>
        <v>Hiroshi</v>
      </c>
      <c r="N8" s="24" t="b">
        <f>IFERROR(__xludf.DUMMYFUNCTION("""COMPUTED_VALUE"""),FALSE)</f>
        <v>0</v>
      </c>
      <c r="O8" s="18" t="str">
        <f>IFERROR(__xludf.DUMMYFUNCTION("""COMPUTED_VALUE"""),"Booking.com")</f>
        <v>Booking.com</v>
      </c>
      <c r="P8" s="24">
        <f>IFERROR(__xludf.DUMMYFUNCTION("""COMPUTED_VALUE"""),10.0)</f>
        <v>10</v>
      </c>
      <c r="Q8" s="25">
        <f>IFERROR(__xludf.DUMMYFUNCTION("""COMPUTED_VALUE"""),46118.0)</f>
        <v>46118</v>
      </c>
      <c r="R8" s="24"/>
      <c r="S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8" s="24" t="str">
        <f>IFERROR(__xludf.DUMMYFUNCTION("""COMPUTED_VALUE"""),"特にありません。")</f>
        <v>特にありません。</v>
      </c>
      <c r="U8" s="24" t="str">
        <f>IFERROR(__xludf.DUMMYFUNCTION("""COMPUTED_VALUE"""),"")</f>
        <v/>
      </c>
      <c r="V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8" s="24" t="str">
        <f>IFERROR(__xludf.DUMMYFUNCTION("""COMPUTED_VALUE"""),"特にありません。")</f>
        <v>特にありません。</v>
      </c>
      <c r="X8" s="24" t="str">
        <f>IFERROR(__xludf.DUMMYFUNCTION("""COMPUTED_VALUE"""),"Hiroshi")</f>
        <v>Hiroshi</v>
      </c>
    </row>
    <row r="9">
      <c r="B9" s="17" t="b">
        <f>IFERROR(__xludf.DUMMYFUNCTION("""COMPUTED_VALUE"""),FALSE)</f>
        <v>0</v>
      </c>
      <c r="C9" s="24" t="str">
        <f>IFERROR(__xludf.DUMMYFUNCTION("""COMPUTED_VALUE"""),"Google")</f>
        <v>Google</v>
      </c>
      <c r="D9" s="5">
        <f>IFERROR(__xludf.DUMMYFUNCTION("""COMPUTED_VALUE"""),3.0)</f>
        <v>3</v>
      </c>
      <c r="E9" s="19">
        <f>IFERROR(__xludf.DUMMYFUNCTION("""COMPUTED_VALUE"""),46118.0)</f>
        <v>46118</v>
      </c>
      <c r="F9" s="5"/>
      <c r="G9" s="5"/>
      <c r="H9" s="5"/>
      <c r="I9" s="5" t="str">
        <f>IFERROR(__xludf.DUMMYFUNCTION("""COMPUTED_VALUE"""),"")</f>
        <v/>
      </c>
      <c r="J9" s="5" t="str">
        <f>IFERROR(__xludf.DUMMYFUNCTION("""COMPUTED_VALUE"""),"")</f>
        <v/>
      </c>
      <c r="K9" s="24" t="str">
        <f>IFERROR(__xludf.DUMMYFUNCTION("""COMPUTED_VALUE"""),"")</f>
        <v/>
      </c>
      <c r="L9" s="24" t="str">
        <f>IFERROR(__xludf.DUMMYFUNCTION("""COMPUTED_VALUE"""),"ぽくくぽ")</f>
        <v>ぽくくぽ</v>
      </c>
      <c r="N9" s="24" t="b">
        <f>IFERROR(__xludf.DUMMYFUNCTION("""COMPUTED_VALUE"""),FALSE)</f>
        <v>0</v>
      </c>
      <c r="O9" s="24" t="str">
        <f>IFERROR(__xludf.DUMMYFUNCTION("""COMPUTED_VALUE"""),"Google")</f>
        <v>Google</v>
      </c>
      <c r="P9" s="24">
        <f>IFERROR(__xludf.DUMMYFUNCTION("""COMPUTED_VALUE"""),3.0)</f>
        <v>3</v>
      </c>
      <c r="Q9" s="25">
        <f>IFERROR(__xludf.DUMMYFUNCTION("""COMPUTED_VALUE"""),46118.0)</f>
        <v>46118</v>
      </c>
      <c r="R9" s="24"/>
      <c r="S9" s="24"/>
      <c r="T9" s="24"/>
      <c r="U9" s="24" t="str">
        <f>IFERROR(__xludf.DUMMYFUNCTION("""COMPUTED_VALUE"""),"")</f>
        <v/>
      </c>
      <c r="V9" s="24" t="str">
        <f>IFERROR(__xludf.DUMMYFUNCTION("""COMPUTED_VALUE"""),"")</f>
        <v/>
      </c>
      <c r="W9" s="24" t="str">
        <f>IFERROR(__xludf.DUMMYFUNCTION("""COMPUTED_VALUE"""),"")</f>
        <v/>
      </c>
      <c r="X9" s="24" t="str">
        <f>IFERROR(__xludf.DUMMYFUNCTION("""COMPUTED_VALUE"""),"ぽくくぽ")</f>
        <v>ぽくくぽ</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IFERROR(__xludf.DUMMYFUNCTION("""COMPUTED_VALUE"""),46118.0)</f>
        <v>46118</v>
      </c>
      <c r="F10" s="5" t="str">
        <f>IFERROR(__xludf.DUMMYFUNCTION("""COMPUTED_VALUE"""),"交通方便，附近很多食店")</f>
        <v>交通方便，附近很多食店</v>
      </c>
      <c r="G10" s="5"/>
      <c r="H10" s="21"/>
      <c r="I10" s="28" t="str">
        <f>IFERROR(__xludf.DUMMYFUNCTION("""COMPUTED_VALUE"""),"交通の便が良く、近くにレストランも多数あります。")</f>
        <v>交通の便が良く、近くにレストランも多数あります。</v>
      </c>
      <c r="J10" s="5" t="str">
        <f>IFERROR(__xludf.DUMMYFUNCTION("""COMPUTED_VALUE"""),"")</f>
        <v/>
      </c>
      <c r="K10" s="24" t="str">
        <f>IFERROR(__xludf.DUMMYFUNCTION("""COMPUTED_VALUE"""),"")</f>
        <v/>
      </c>
      <c r="L10" s="24" t="str">
        <f>IFERROR(__xludf.DUMMYFUNCTION("""COMPUTED_VALUE"""),"ゲ‍ス‍ト")</f>
        <v>ゲ‍ス‍ト</v>
      </c>
      <c r="N10" s="24" t="b">
        <f>IFERROR(__xludf.DUMMYFUNCTION("""COMPUTED_VALUE"""),FALSE)</f>
        <v>0</v>
      </c>
      <c r="O10" s="18" t="str">
        <f>IFERROR(__xludf.DUMMYFUNCTION("""COMPUTED_VALUE"""),"Trip.com")</f>
        <v>Trip.com</v>
      </c>
      <c r="P10" s="24">
        <f>IFERROR(__xludf.DUMMYFUNCTION("""COMPUTED_VALUE"""),10.0)</f>
        <v>10</v>
      </c>
      <c r="Q10" s="25">
        <f>IFERROR(__xludf.DUMMYFUNCTION("""COMPUTED_VALUE"""),46118.0)</f>
        <v>46118</v>
      </c>
      <c r="R10" s="24" t="str">
        <f>IFERROR(__xludf.DUMMYFUNCTION("""COMPUTED_VALUE"""),"交通方便，附近很多食店")</f>
        <v>交通方便，附近很多食店</v>
      </c>
      <c r="S10" s="24"/>
      <c r="T10" s="24"/>
      <c r="U10" s="24" t="str">
        <f>IFERROR(__xludf.DUMMYFUNCTION("""COMPUTED_VALUE"""),"交通の便が良く、近くにレストランも多数あります。")</f>
        <v>交通の便が良く、近くにレストランも多数あります。</v>
      </c>
      <c r="V10" s="24" t="str">
        <f>IFERROR(__xludf.DUMMYFUNCTION("""COMPUTED_VALUE"""),"")</f>
        <v/>
      </c>
      <c r="W10" s="24" t="str">
        <f>IFERROR(__xludf.DUMMYFUNCTION("""COMPUTED_VALUE"""),"")</f>
        <v/>
      </c>
      <c r="X10" s="24" t="str">
        <f>IFERROR(__xludf.DUMMYFUNCTION("""COMPUTED_VALUE"""),"ゲ‍ス‍ト")</f>
        <v>ゲ‍ス‍ト</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IFERROR(__xludf.DUMMYFUNCTION("""COMPUTED_VALUE"""),46118.0)</f>
        <v>46118</v>
      </c>
      <c r="F11" s="5" t="str">
        <f>IFERROR(__xludf.DUMMYFUNCTION("""COMPUTED_VALUE"""),"服務良好，態度優良，地理位置良好，衛生不錯。")</f>
        <v>服務良好，態度優良，地理位置良好，衛生不錯。</v>
      </c>
      <c r="G11" s="5"/>
      <c r="H11" s="5"/>
      <c r="I11" s="5" t="str">
        <f>IFERROR(__xludf.DUMMYFUNCTION("""COMPUTED_VALUE"""),"サービスは良く、スタッフは親切で、立地も便利で、衛生状態も良好でした。")</f>
        <v>サービスは良く、スタッフは親切で、立地も便利で、衛生状態も良好でした。</v>
      </c>
      <c r="J11" s="5" t="str">
        <f>IFERROR(__xludf.DUMMYFUNCTION("""COMPUTED_VALUE"""),"")</f>
        <v/>
      </c>
      <c r="K11" s="24" t="str">
        <f>IFERROR(__xludf.DUMMYFUNCTION("""COMPUTED_VALUE"""),"")</f>
        <v/>
      </c>
      <c r="L11" s="24" t="str">
        <f>IFERROR(__xludf.DUMMYFUNCTION("""COMPUTED_VALUE"""),"C‍h‍a‍k‍c‍h‍a‍k‍1‍1‍2")</f>
        <v>C‍h‍a‍k‍c‍h‍a‍k‍1‍1‍2</v>
      </c>
      <c r="N11" s="24" t="b">
        <f>IFERROR(__xludf.DUMMYFUNCTION("""COMPUTED_VALUE"""),FALSE)</f>
        <v>0</v>
      </c>
      <c r="O11" s="18" t="str">
        <f>IFERROR(__xludf.DUMMYFUNCTION("""COMPUTED_VALUE"""),"Trip.com")</f>
        <v>Trip.com</v>
      </c>
      <c r="P11" s="24">
        <f>IFERROR(__xludf.DUMMYFUNCTION("""COMPUTED_VALUE"""),10.0)</f>
        <v>10</v>
      </c>
      <c r="Q11" s="25">
        <f>IFERROR(__xludf.DUMMYFUNCTION("""COMPUTED_VALUE"""),46118.0)</f>
        <v>46118</v>
      </c>
      <c r="R11" s="24" t="str">
        <f>IFERROR(__xludf.DUMMYFUNCTION("""COMPUTED_VALUE"""),"服務良好，態度優良，地理位置良好，衛生不錯。")</f>
        <v>服務良好，態度優良，地理位置良好，衛生不錯。</v>
      </c>
      <c r="S11" s="24"/>
      <c r="T11" s="24"/>
      <c r="U11" s="24" t="str">
        <f>IFERROR(__xludf.DUMMYFUNCTION("""COMPUTED_VALUE"""),"サービスは良く、スタッフは親切で、立地も便利で、衛生状態も良好でした。")</f>
        <v>サービスは良く、スタッフは親切で、立地も便利で、衛生状態も良好でした。</v>
      </c>
      <c r="V11" s="24" t="str">
        <f>IFERROR(__xludf.DUMMYFUNCTION("""COMPUTED_VALUE"""),"")</f>
        <v/>
      </c>
      <c r="W11" s="24" t="str">
        <f>IFERROR(__xludf.DUMMYFUNCTION("""COMPUTED_VALUE"""),"")</f>
        <v/>
      </c>
      <c r="X11" s="24" t="str">
        <f>IFERROR(__xludf.DUMMYFUNCTION("""COMPUTED_VALUE"""),"C‍h‍a‍k‍c‍h‍a‍k‍1‍1‍2")</f>
        <v>C‍h‍a‍k‍c‍h‍a‍k‍1‍1‍2</v>
      </c>
    </row>
    <row r="12">
      <c r="B12" s="17" t="b">
        <f>IFERROR(__xludf.DUMMYFUNCTION("""COMPUTED_VALUE"""),FALSE)</f>
        <v>0</v>
      </c>
      <c r="C12" s="18" t="str">
        <f>IFERROR(__xludf.DUMMYFUNCTION("""COMPUTED_VALUE"""),"Trip.com")</f>
        <v>Trip.com</v>
      </c>
      <c r="D12" s="5">
        <f>IFERROR(__xludf.DUMMYFUNCTION("""COMPUTED_VALUE"""),10.0)</f>
        <v>10</v>
      </c>
      <c r="E12" s="19">
        <f>IFERROR(__xludf.DUMMYFUNCTION("""COMPUTED_VALUE"""),46117.0)</f>
        <v>46117</v>
      </c>
      <c r="F12"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12" s="5"/>
      <c r="H12" s="5"/>
      <c r="I12"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IFERROR(__xludf.DUMMYFUNCTION("""COMPUTED_VALUE"""),10.0)</f>
        <v>10</v>
      </c>
      <c r="Q12" s="25">
        <f>IFERROR(__xludf.DUMMYFUNCTION("""COMPUTED_VALUE"""),46117.0)</f>
        <v>46117</v>
      </c>
      <c r="R12"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12" s="24"/>
      <c r="T12" s="24"/>
      <c r="U12"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18" t="str">
        <f>IFERROR(__xludf.DUMMYFUNCTION("""COMPUTED_VALUE"""),"Trip.com")</f>
        <v>Trip.com</v>
      </c>
      <c r="D13" s="5">
        <f>IFERROR(__xludf.DUMMYFUNCTION("""COMPUTED_VALUE"""),10.0)</f>
        <v>10</v>
      </c>
      <c r="E13" s="19">
        <f>IFERROR(__xludf.DUMMYFUNCTION("""COMPUTED_VALUE"""),46117.0)</f>
        <v>46117</v>
      </c>
      <c r="F13" s="5" t="str">
        <f>IFERROR(__xludf.DUMMYFUNCTION("""COMPUTED_VALUE"""),"地點方便近JR , 近地鐵站，有好多食肆，酒店乾淨，服務態度非常好！")</f>
        <v>地點方便近JR , 近地鐵站，有好多食肆，酒店乾淨，服務態度非常好！</v>
      </c>
      <c r="G13" s="5"/>
      <c r="H13" s="5"/>
      <c r="I13"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13" s="29" t="str">
        <f>IFERROR(__xludf.DUMMYFUNCTION("""COMPUTED_VALUE"""),"")</f>
        <v/>
      </c>
      <c r="K13" s="24" t="str">
        <f>IFERROR(__xludf.DUMMYFUNCTION("""COMPUTED_VALUE"""),"")</f>
        <v/>
      </c>
      <c r="L13" s="24" t="str">
        <f>IFERROR(__xludf.DUMMYFUNCTION("""COMPUTED_VALUE"""),"ゲ‍ス‍ト")</f>
        <v>ゲ‍ス‍ト</v>
      </c>
      <c r="N13" s="24" t="b">
        <f>IFERROR(__xludf.DUMMYFUNCTION("""COMPUTED_VALUE"""),FALSE)</f>
        <v>0</v>
      </c>
      <c r="O13" s="18" t="str">
        <f>IFERROR(__xludf.DUMMYFUNCTION("""COMPUTED_VALUE"""),"Trip.com")</f>
        <v>Trip.com</v>
      </c>
      <c r="P13" s="24">
        <f>IFERROR(__xludf.DUMMYFUNCTION("""COMPUTED_VALUE"""),10.0)</f>
        <v>10</v>
      </c>
      <c r="Q13" s="25">
        <f>IFERROR(__xludf.DUMMYFUNCTION("""COMPUTED_VALUE"""),46117.0)</f>
        <v>46117</v>
      </c>
      <c r="R13" s="24" t="str">
        <f>IFERROR(__xludf.DUMMYFUNCTION("""COMPUTED_VALUE"""),"地點方便近JR , 近地鐵站，有好多食肆，酒店乾淨，服務態度非常好！")</f>
        <v>地點方便近JR , 近地鐵站，有好多食肆，酒店乾淨，服務態度非常好！</v>
      </c>
      <c r="S13" s="24"/>
      <c r="T13" s="24"/>
      <c r="U13"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13" s="24" t="str">
        <f>IFERROR(__xludf.DUMMYFUNCTION("""COMPUTED_VALUE"""),"")</f>
        <v/>
      </c>
      <c r="W13" s="24" t="str">
        <f>IFERROR(__xludf.DUMMYFUNCTION("""COMPUTED_VALUE"""),"")</f>
        <v/>
      </c>
      <c r="X13" s="24" t="str">
        <f>IFERROR(__xludf.DUMMYFUNCTION("""COMPUTED_VALUE"""),"ゲ‍ス‍ト")</f>
        <v>ゲ‍ス‍ト</v>
      </c>
    </row>
    <row r="14">
      <c r="B14" s="17" t="b">
        <f>IFERROR(__xludf.DUMMYFUNCTION("""COMPUTED_VALUE"""),FALSE)</f>
        <v>0</v>
      </c>
      <c r="C14" s="18" t="str">
        <f>IFERROR(__xludf.DUMMYFUNCTION("""COMPUTED_VALUE"""),"Trip.com")</f>
        <v>Trip.com</v>
      </c>
      <c r="D14" s="5">
        <f>IFERROR(__xludf.DUMMYFUNCTION("""COMPUTED_VALUE"""),10.0)</f>
        <v>10</v>
      </c>
      <c r="E14" s="19">
        <f>IFERROR(__xludf.DUMMYFUNCTION("""COMPUTED_VALUE"""),46117.0)</f>
        <v>46117</v>
      </c>
      <c r="F14"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14" s="5"/>
      <c r="H14" s="5"/>
      <c r="I14"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14" s="5" t="str">
        <f>IFERROR(__xludf.DUMMYFUNCTION("""COMPUTED_VALUE"""),"")</f>
        <v/>
      </c>
      <c r="K14" s="24" t="str">
        <f>IFERROR(__xludf.DUMMYFUNCTION("""COMPUTED_VALUE"""),"")</f>
        <v/>
      </c>
      <c r="L14" s="24" t="str">
        <f>IFERROR(__xludf.DUMMYFUNCTION("""COMPUTED_VALUE"""),"ゲ‍ス‍ト")</f>
        <v>ゲ‍ス‍ト</v>
      </c>
      <c r="N14" s="24" t="b">
        <f>IFERROR(__xludf.DUMMYFUNCTION("""COMPUTED_VALUE"""),FALSE)</f>
        <v>0</v>
      </c>
      <c r="O14" s="18" t="str">
        <f>IFERROR(__xludf.DUMMYFUNCTION("""COMPUTED_VALUE"""),"Trip.com")</f>
        <v>Trip.com</v>
      </c>
      <c r="P14" s="24">
        <f>IFERROR(__xludf.DUMMYFUNCTION("""COMPUTED_VALUE"""),10.0)</f>
        <v>10</v>
      </c>
      <c r="Q14" s="25">
        <f>IFERROR(__xludf.DUMMYFUNCTION("""COMPUTED_VALUE"""),46117.0)</f>
        <v>46117</v>
      </c>
      <c r="R14"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14" s="24"/>
      <c r="T14" s="24"/>
      <c r="U14"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14" s="24" t="str">
        <f>IFERROR(__xludf.DUMMYFUNCTION("""COMPUTED_VALUE"""),"")</f>
        <v/>
      </c>
      <c r="W14" s="24" t="str">
        <f>IFERROR(__xludf.DUMMYFUNCTION("""COMPUTED_VALUE"""),"")</f>
        <v/>
      </c>
      <c r="X14" s="24" t="str">
        <f>IFERROR(__xludf.DUMMYFUNCTION("""COMPUTED_VALUE"""),"ゲ‍ス‍ト")</f>
        <v>ゲ‍ス‍ト</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IFERROR(__xludf.DUMMYFUNCTION("""COMPUTED_VALUE"""),46116.0)</f>
        <v>46116</v>
      </c>
      <c r="F15" s="5" t="str">
        <f>IFERROR(__xludf.DUMMYFUNCTION("""COMPUTED_VALUE"""),"Mantappp")</f>
        <v>Mantappp</v>
      </c>
      <c r="G15" s="5"/>
      <c r="H15" s="5"/>
      <c r="I15" s="5" t="str">
        <f>IFERROR(__xludf.DUMMYFUNCTION("""COMPUTED_VALUE"""),"素晴らしい")</f>
        <v>素晴らしい</v>
      </c>
      <c r="J15" s="5" t="str">
        <f>IFERROR(__xludf.DUMMYFUNCTION("""COMPUTED_VALUE"""),"")</f>
        <v/>
      </c>
      <c r="K15" s="24" t="str">
        <f>IFERROR(__xludf.DUMMYFUNCTION("""COMPUTED_VALUE"""),"")</f>
        <v/>
      </c>
      <c r="L15" s="24" t="str">
        <f>IFERROR(__xludf.DUMMYFUNCTION("""COMPUTED_VALUE"""),"A‍N‍D‍R‍E‍ ‍Y‍U‍Z‍D‍I‍A‍N‍T‍A‍R‍A")</f>
        <v>A‍N‍D‍R‍E‍ ‍Y‍U‍Z‍D‍I‍A‍N‍T‍A‍R‍A</v>
      </c>
      <c r="N15" s="24" t="b">
        <f>IFERROR(__xludf.DUMMYFUNCTION("""COMPUTED_VALUE"""),FALSE)</f>
        <v>0</v>
      </c>
      <c r="O15" s="18" t="str">
        <f>IFERROR(__xludf.DUMMYFUNCTION("""COMPUTED_VALUE"""),"Trip.com")</f>
        <v>Trip.com</v>
      </c>
      <c r="P15" s="24">
        <f>IFERROR(__xludf.DUMMYFUNCTION("""COMPUTED_VALUE"""),10.0)</f>
        <v>10</v>
      </c>
      <c r="Q15" s="25">
        <f>IFERROR(__xludf.DUMMYFUNCTION("""COMPUTED_VALUE"""),46116.0)</f>
        <v>46116</v>
      </c>
      <c r="R15" s="24" t="str">
        <f>IFERROR(__xludf.DUMMYFUNCTION("""COMPUTED_VALUE"""),"Mantappp")</f>
        <v>Mantappp</v>
      </c>
      <c r="S15" s="24"/>
      <c r="T15" s="24"/>
      <c r="U15" s="24" t="str">
        <f>IFERROR(__xludf.DUMMYFUNCTION("""COMPUTED_VALUE"""),"素晴らしい")</f>
        <v>素晴らしい</v>
      </c>
      <c r="V15" s="24" t="str">
        <f>IFERROR(__xludf.DUMMYFUNCTION("""COMPUTED_VALUE"""),"")</f>
        <v/>
      </c>
      <c r="W15" s="24" t="str">
        <f>IFERROR(__xludf.DUMMYFUNCTION("""COMPUTED_VALUE"""),"")</f>
        <v/>
      </c>
      <c r="X15" s="24" t="str">
        <f>IFERROR(__xludf.DUMMYFUNCTION("""COMPUTED_VALUE"""),"A‍N‍D‍R‍E‍ ‍Y‍U‍Z‍D‍I‍A‍N‍T‍A‍R‍A")</f>
        <v>A‍N‍D‍R‍E‍ ‍Y‍U‍Z‍D‍I‍A‍N‍T‍A‍R‍A</v>
      </c>
    </row>
    <row r="16">
      <c r="B16" s="17" t="b">
        <f>IFERROR(__xludf.DUMMYFUNCTION("""COMPUTED_VALUE"""),FALSE)</f>
        <v>0</v>
      </c>
      <c r="C16" s="18" t="str">
        <f>IFERROR(__xludf.DUMMYFUNCTION("""COMPUTED_VALUE"""),"Trip.com")</f>
        <v>Trip.com</v>
      </c>
      <c r="D16" s="5">
        <f>IFERROR(__xludf.DUMMYFUNCTION("""COMPUTED_VALUE"""),10.0)</f>
        <v>10</v>
      </c>
      <c r="E16" s="19">
        <f>IFERROR(__xludf.DUMMYFUNCTION("""COMPUTED_VALUE"""),46116.0)</f>
        <v>46116</v>
      </c>
      <c r="F1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16" s="5"/>
      <c r="H16" s="5"/>
      <c r="I1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16" s="5" t="str">
        <f>IFERROR(__xludf.DUMMYFUNCTION("""COMPUTED_VALUE"""),"")</f>
        <v/>
      </c>
      <c r="K16" s="24" t="str">
        <f>IFERROR(__xludf.DUMMYFUNCTION("""COMPUTED_VALUE"""),"")</f>
        <v/>
      </c>
      <c r="L16" s="24" t="str">
        <f>IFERROR(__xludf.DUMMYFUNCTION("""COMPUTED_VALUE"""),"K‍u‍m‍m‍y‍.")</f>
        <v>K‍u‍m‍m‍y‍.</v>
      </c>
      <c r="N16" s="24" t="b">
        <f>IFERROR(__xludf.DUMMYFUNCTION("""COMPUTED_VALUE"""),FALSE)</f>
        <v>0</v>
      </c>
      <c r="O16" s="18" t="str">
        <f>IFERROR(__xludf.DUMMYFUNCTION("""COMPUTED_VALUE"""),"Trip.com")</f>
        <v>Trip.com</v>
      </c>
      <c r="P16" s="24">
        <f>IFERROR(__xludf.DUMMYFUNCTION("""COMPUTED_VALUE"""),10.0)</f>
        <v>10</v>
      </c>
      <c r="Q16" s="25">
        <f>IFERROR(__xludf.DUMMYFUNCTION("""COMPUTED_VALUE"""),46116.0)</f>
        <v>46116</v>
      </c>
      <c r="R1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16" s="24"/>
      <c r="T16" s="24"/>
      <c r="U1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16" s="24" t="str">
        <f>IFERROR(__xludf.DUMMYFUNCTION("""COMPUTED_VALUE"""),"")</f>
        <v/>
      </c>
      <c r="W16" s="24" t="str">
        <f>IFERROR(__xludf.DUMMYFUNCTION("""COMPUTED_VALUE"""),"")</f>
        <v/>
      </c>
      <c r="X16" s="24" t="str">
        <f>IFERROR(__xludf.DUMMYFUNCTION("""COMPUTED_VALUE"""),"K‍u‍m‍m‍y‍.")</f>
        <v>K‍u‍m‍m‍y‍.</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IFERROR(__xludf.DUMMYFUNCTION("""COMPUTED_VALUE"""),46116.0)</f>
        <v>46116</v>
      </c>
      <c r="F17"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17" s="5"/>
      <c r="H17" s="5"/>
      <c r="I17"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IFERROR(__xludf.DUMMYFUNCTION("""COMPUTED_VALUE"""),46116.0)</f>
        <v>46116</v>
      </c>
      <c r="R17"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17" s="24"/>
      <c r="T17" s="24"/>
      <c r="U17"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IFERROR(__xludf.DUMMYFUNCTION("""COMPUTED_VALUE"""),46116.0)</f>
        <v>46116</v>
      </c>
      <c r="F18" s="5"/>
      <c r="G18" s="5" t="str">
        <f>IFERROR(__xludf.DUMMYFUNCTION("""COMPUTED_VALUE"""),"Rất thuận tiện gần bến xe đi lại thuận tiện")</f>
        <v>Rất thuận tiện gần bến xe đi lại thuận tiện</v>
      </c>
      <c r="H18" s="5" t="str">
        <f>IFERROR(__xludf.DUMMYFUNCTION("""COMPUTED_VALUE"""),"Không có")</f>
        <v>Không có</v>
      </c>
      <c r="I18" s="5" t="str">
        <f>IFERROR(__xludf.DUMMYFUNCTION("""COMPUTED_VALUE"""),"")</f>
        <v/>
      </c>
      <c r="J18" s="5" t="str">
        <f>IFERROR(__xludf.DUMMYFUNCTION("""COMPUTED_VALUE"""),"非常に便利な立地で、バスターミナルにも近く、交通の便が良い。")</f>
        <v>非常に便利な立地で、バスターミナルにも近く、交通の便が良い。</v>
      </c>
      <c r="K18" s="24" t="str">
        <f>IFERROR(__xludf.DUMMYFUNCTION("""COMPUTED_VALUE"""),"持っていません")</f>
        <v>持っていません</v>
      </c>
      <c r="L18" s="24" t="str">
        <f>IFERROR(__xludf.DUMMYFUNCTION("""COMPUTED_VALUE"""),"Thuy")</f>
        <v>Thuy</v>
      </c>
      <c r="N18" s="24" t="b">
        <f>IFERROR(__xludf.DUMMYFUNCTION("""COMPUTED_VALUE"""),FALSE)</f>
        <v>0</v>
      </c>
      <c r="O18" s="18" t="str">
        <f>IFERROR(__xludf.DUMMYFUNCTION("""COMPUTED_VALUE"""),"Booking.com")</f>
        <v>Booking.com</v>
      </c>
      <c r="P18" s="24">
        <f>IFERROR(__xludf.DUMMYFUNCTION("""COMPUTED_VALUE"""),10.0)</f>
        <v>10</v>
      </c>
      <c r="Q18" s="25">
        <f>IFERROR(__xludf.DUMMYFUNCTION("""COMPUTED_VALUE"""),46116.0)</f>
        <v>46116</v>
      </c>
      <c r="R18" s="24"/>
      <c r="S18" s="24" t="str">
        <f>IFERROR(__xludf.DUMMYFUNCTION("""COMPUTED_VALUE"""),"Rất thuận tiện gần bến xe đi lại thuận tiện")</f>
        <v>Rất thuận tiện gần bến xe đi lại thuận tiện</v>
      </c>
      <c r="T18" s="24" t="str">
        <f>IFERROR(__xludf.DUMMYFUNCTION("""COMPUTED_VALUE"""),"Không có")</f>
        <v>Không có</v>
      </c>
      <c r="U18" s="24" t="str">
        <f>IFERROR(__xludf.DUMMYFUNCTION("""COMPUTED_VALUE"""),"")</f>
        <v/>
      </c>
      <c r="V18" s="24" t="str">
        <f>IFERROR(__xludf.DUMMYFUNCTION("""COMPUTED_VALUE"""),"非常に便利な立地で、バスターミナルにも近く、交通の便が良い。")</f>
        <v>非常に便利な立地で、バスターミナルにも近く、交通の便が良い。</v>
      </c>
      <c r="W18" s="24" t="str">
        <f>IFERROR(__xludf.DUMMYFUNCTION("""COMPUTED_VALUE"""),"持っていません")</f>
        <v>持っていません</v>
      </c>
      <c r="X18" s="24" t="str">
        <f>IFERROR(__xludf.DUMMYFUNCTION("""COMPUTED_VALUE"""),"Thuy")</f>
        <v>Thuy</v>
      </c>
    </row>
    <row r="19">
      <c r="B19" s="17" t="b">
        <f>IFERROR(__xludf.DUMMYFUNCTION("""COMPUTED_VALUE"""),FALSE)</f>
        <v>0</v>
      </c>
      <c r="C19" s="18" t="str">
        <f>IFERROR(__xludf.DUMMYFUNCTION("""COMPUTED_VALUE"""),"Booking.com")</f>
        <v>Booking.com</v>
      </c>
      <c r="D19" s="5">
        <f>IFERROR(__xludf.DUMMYFUNCTION("""COMPUTED_VALUE"""),8.0)</f>
        <v>8</v>
      </c>
      <c r="E19" s="19">
        <f>IFERROR(__xludf.DUMMYFUNCTION("""COMPUTED_VALUE"""),46116.0)</f>
        <v>46116</v>
      </c>
      <c r="F19" s="5"/>
      <c r="G19"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19"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19" s="5" t="str">
        <f>IFERROR(__xludf.DUMMYFUNCTION("""COMPUTED_VALUE"""),"")</f>
        <v/>
      </c>
      <c r="J19"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19"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19" s="24" t="str">
        <f>IFERROR(__xludf.DUMMYFUNCTION("""COMPUTED_VALUE"""),"Ng")</f>
        <v>Ng</v>
      </c>
      <c r="N19" s="24" t="b">
        <f>IFERROR(__xludf.DUMMYFUNCTION("""COMPUTED_VALUE"""),FALSE)</f>
        <v>0</v>
      </c>
      <c r="O19" s="18" t="str">
        <f>IFERROR(__xludf.DUMMYFUNCTION("""COMPUTED_VALUE"""),"Booking.com")</f>
        <v>Booking.com</v>
      </c>
      <c r="P19" s="24">
        <f>IFERROR(__xludf.DUMMYFUNCTION("""COMPUTED_VALUE"""),8.0)</f>
        <v>8</v>
      </c>
      <c r="Q19" s="25">
        <f>IFERROR(__xludf.DUMMYFUNCTION("""COMPUTED_VALUE"""),46116.0)</f>
        <v>46116</v>
      </c>
      <c r="R19" s="24"/>
      <c r="S19"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19"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19" s="24" t="str">
        <f>IFERROR(__xludf.DUMMYFUNCTION("""COMPUTED_VALUE"""),"")</f>
        <v/>
      </c>
      <c r="V19" s="24"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19"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19" s="24" t="str">
        <f>IFERROR(__xludf.DUMMYFUNCTION("""COMPUTED_VALUE"""),"Ng")</f>
        <v>Ng</v>
      </c>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IFERROR(__xludf.DUMMYFUNCTION("""COMPUTED_VALUE"""),46115.0)</f>
        <v>46115</v>
      </c>
      <c r="F20"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20" s="5"/>
      <c r="H20" s="5"/>
      <c r="I20"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20" s="5" t="str">
        <f>IFERROR(__xludf.DUMMYFUNCTION("""COMPUTED_VALUE"""),"")</f>
        <v/>
      </c>
      <c r="K20" s="24" t="str">
        <f>IFERROR(__xludf.DUMMYFUNCTION("""COMPUTED_VALUE"""),"")</f>
        <v/>
      </c>
      <c r="L20" s="24" t="str">
        <f>IFERROR(__xludf.DUMMYFUNCTION("""COMPUTED_VALUE"""),"S‍k‍y‍e‍ ‍t‍h‍e‍ ‍e‍x‍p‍l‍o‍r‍e‍r")</f>
        <v>S‍k‍y‍e‍ ‍t‍h‍e‍ ‍e‍x‍p‍l‍o‍r‍e‍r</v>
      </c>
      <c r="N20" s="24" t="b">
        <f>IFERROR(__xludf.DUMMYFUNCTION("""COMPUTED_VALUE"""),FALSE)</f>
        <v>0</v>
      </c>
      <c r="O20" s="18" t="str">
        <f>IFERROR(__xludf.DUMMYFUNCTION("""COMPUTED_VALUE"""),"Trip.com")</f>
        <v>Trip.com</v>
      </c>
      <c r="P20" s="24">
        <f>IFERROR(__xludf.DUMMYFUNCTION("""COMPUTED_VALUE"""),10.0)</f>
        <v>10</v>
      </c>
      <c r="Q20" s="25">
        <f>IFERROR(__xludf.DUMMYFUNCTION("""COMPUTED_VALUE"""),46115.0)</f>
        <v>46115</v>
      </c>
      <c r="R20"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20" s="24"/>
      <c r="T20" s="24"/>
      <c r="U20"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20" s="24" t="str">
        <f>IFERROR(__xludf.DUMMYFUNCTION("""COMPUTED_VALUE"""),"")</f>
        <v/>
      </c>
      <c r="W20" s="24" t="str">
        <f>IFERROR(__xludf.DUMMYFUNCTION("""COMPUTED_VALUE"""),"")</f>
        <v/>
      </c>
      <c r="X20" s="24" t="str">
        <f>IFERROR(__xludf.DUMMYFUNCTION("""COMPUTED_VALUE"""),"S‍k‍y‍e‍ ‍t‍h‍e‍ ‍e‍x‍p‍l‍o‍r‍e‍r")</f>
        <v>S‍k‍y‍e‍ ‍t‍h‍e‍ ‍e‍x‍p‍l‍o‍r‍e‍r</v>
      </c>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IFERROR(__xludf.DUMMYFUNCTION("""COMPUTED_VALUE"""),46114.0)</f>
        <v>46114</v>
      </c>
      <c r="F21"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21" s="5"/>
      <c r="H21" s="5"/>
      <c r="I21"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21" s="5" t="str">
        <f>IFERROR(__xludf.DUMMYFUNCTION("""COMPUTED_VALUE"""),"")</f>
        <v/>
      </c>
      <c r="K21" s="24" t="str">
        <f>IFERROR(__xludf.DUMMYFUNCTION("""COMPUTED_VALUE"""),"")</f>
        <v/>
      </c>
      <c r="L21" s="24" t="str">
        <f>IFERROR(__xludf.DUMMYFUNCTION("""COMPUTED_VALUE"""),"ゲ‍ス‍ト")</f>
        <v>ゲ‍ス‍ト</v>
      </c>
      <c r="N21" s="24" t="b">
        <f>IFERROR(__xludf.DUMMYFUNCTION("""COMPUTED_VALUE"""),FALSE)</f>
        <v>0</v>
      </c>
      <c r="O21" s="18" t="str">
        <f>IFERROR(__xludf.DUMMYFUNCTION("""COMPUTED_VALUE"""),"Trip.com")</f>
        <v>Trip.com</v>
      </c>
      <c r="P21" s="24">
        <f>IFERROR(__xludf.DUMMYFUNCTION("""COMPUTED_VALUE"""),10.0)</f>
        <v>10</v>
      </c>
      <c r="Q21" s="25">
        <f>IFERROR(__xludf.DUMMYFUNCTION("""COMPUTED_VALUE"""),46114.0)</f>
        <v>46114</v>
      </c>
      <c r="R21"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21" s="24"/>
      <c r="T21" s="24"/>
      <c r="U21"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21" s="24" t="str">
        <f>IFERROR(__xludf.DUMMYFUNCTION("""COMPUTED_VALUE"""),"")</f>
        <v/>
      </c>
      <c r="W21" s="24" t="str">
        <f>IFERROR(__xludf.DUMMYFUNCTION("""COMPUTED_VALUE"""),"")</f>
        <v/>
      </c>
      <c r="X21" s="24" t="str">
        <f>IFERROR(__xludf.DUMMYFUNCTION("""COMPUTED_VALUE"""),"ゲ‍ス‍ト")</f>
        <v>ゲ‍ス‍ト</v>
      </c>
    </row>
    <row r="22">
      <c r="B22" s="17" t="b">
        <f>IFERROR(__xludf.DUMMYFUNCTION("""COMPUTED_VALUE"""),FALSE)</f>
        <v>0</v>
      </c>
      <c r="C22" s="24" t="str">
        <f>IFERROR(__xludf.DUMMYFUNCTION("""COMPUTED_VALUE"""),"Google")</f>
        <v>Google</v>
      </c>
      <c r="D22" s="5">
        <f>IFERROR(__xludf.DUMMYFUNCTION("""COMPUTED_VALUE"""),5.0)</f>
        <v>5</v>
      </c>
      <c r="E22" s="19">
        <f>IFERROR(__xludf.DUMMYFUNCTION("""COMPUTED_VALUE"""),46114.0)</f>
        <v>46114</v>
      </c>
      <c r="F22" s="5" t="str">
        <f>IFERROR(__xludf.DUMMYFUNCTION("""COMPUTED_VALUE"""),"いつも選ぶのは地の利もさることながら、このホテルの安定と安心です。")</f>
        <v>いつも選ぶのは地の利もさることながら、このホテルの安定と安心です。</v>
      </c>
      <c r="G22" s="5"/>
      <c r="H22" s="5"/>
      <c r="I22" s="5" t="str">
        <f>IFERROR(__xludf.DUMMYFUNCTION("""COMPUTED_VALUE"""),"いつも選ぶのは地の利もさることながら、このホテルの安定と安心です。")</f>
        <v>いつも選ぶのは地の利もさることながら、このホテルの安定と安心です。</v>
      </c>
      <c r="J22" s="5" t="str">
        <f>IFERROR(__xludf.DUMMYFUNCTION("""COMPUTED_VALUE"""),"")</f>
        <v/>
      </c>
      <c r="K22" s="24" t="str">
        <f>IFERROR(__xludf.DUMMYFUNCTION("""COMPUTED_VALUE"""),"")</f>
        <v/>
      </c>
      <c r="L22" s="24" t="str">
        <f>IFERROR(__xludf.DUMMYFUNCTION("""COMPUTED_VALUE"""),"NORIAKI MASUDA")</f>
        <v>NORIAKI MASUDA</v>
      </c>
      <c r="N22" s="24" t="b">
        <f>IFERROR(__xludf.DUMMYFUNCTION("""COMPUTED_VALUE"""),FALSE)</f>
        <v>0</v>
      </c>
      <c r="O22" s="24" t="str">
        <f>IFERROR(__xludf.DUMMYFUNCTION("""COMPUTED_VALUE"""),"Google")</f>
        <v>Google</v>
      </c>
      <c r="P22" s="24">
        <f>IFERROR(__xludf.DUMMYFUNCTION("""COMPUTED_VALUE"""),5.0)</f>
        <v>5</v>
      </c>
      <c r="Q22" s="25">
        <f>IFERROR(__xludf.DUMMYFUNCTION("""COMPUTED_VALUE"""),46114.0)</f>
        <v>46114</v>
      </c>
      <c r="R22" s="24" t="str">
        <f>IFERROR(__xludf.DUMMYFUNCTION("""COMPUTED_VALUE"""),"いつも選ぶのは地の利もさることながら、このホテルの安定と安心です。")</f>
        <v>いつも選ぶのは地の利もさることながら、このホテルの安定と安心です。</v>
      </c>
      <c r="S22" s="24"/>
      <c r="T22" s="24"/>
      <c r="U22" s="24" t="str">
        <f>IFERROR(__xludf.DUMMYFUNCTION("""COMPUTED_VALUE"""),"いつも選ぶのは地の利もさることながら、このホテルの安定と安心です。")</f>
        <v>いつも選ぶのは地の利もさることながら、このホテルの安定と安心です。</v>
      </c>
      <c r="V22" s="24" t="str">
        <f>IFERROR(__xludf.DUMMYFUNCTION("""COMPUTED_VALUE"""),"")</f>
        <v/>
      </c>
      <c r="W22" s="24" t="str">
        <f>IFERROR(__xludf.DUMMYFUNCTION("""COMPUTED_VALUE"""),"")</f>
        <v/>
      </c>
      <c r="X22" s="24" t="str">
        <f>IFERROR(__xludf.DUMMYFUNCTION("""COMPUTED_VALUE"""),"NORIAKI MASUDA")</f>
        <v>NORIAKI MASUDA</v>
      </c>
    </row>
    <row r="23">
      <c r="B23" s="17" t="b">
        <f>IFERROR(__xludf.DUMMYFUNCTION("""COMPUTED_VALUE"""),FALSE)</f>
        <v>0</v>
      </c>
      <c r="C23" s="18" t="str">
        <f>IFERROR(__xludf.DUMMYFUNCTION("""COMPUTED_VALUE"""),"Booking.com")</f>
        <v>Booking.com</v>
      </c>
      <c r="D23" s="5">
        <f>IFERROR(__xludf.DUMMYFUNCTION("""COMPUTED_VALUE"""),9.0)</f>
        <v>9</v>
      </c>
      <c r="E23" s="19">
        <f>IFERROR(__xludf.DUMMYFUNCTION("""COMPUTED_VALUE"""),46113.0)</f>
        <v>46113</v>
      </c>
      <c r="F23" s="5"/>
      <c r="G23"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23" s="5" t="str">
        <f>IFERROR(__xludf.DUMMYFUNCTION("""COMPUTED_VALUE"""),"Breakfast was ok, however there wasn't any cereal or toast on offer when we stayed.")</f>
        <v>Breakfast was ok, however there wasn't any cereal or toast on offer when we stayed.</v>
      </c>
      <c r="I23" s="5" t="str">
        <f>IFERROR(__xludf.DUMMYFUNCTION("""COMPUTED_VALUE"""),"")</f>
        <v/>
      </c>
      <c r="J23"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2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23" s="24" t="str">
        <f>IFERROR(__xludf.DUMMYFUNCTION("""COMPUTED_VALUE"""),"Natalie")</f>
        <v>Natalie</v>
      </c>
      <c r="N23" s="24" t="b">
        <f>IFERROR(__xludf.DUMMYFUNCTION("""COMPUTED_VALUE"""),FALSE)</f>
        <v>0</v>
      </c>
      <c r="O23" s="18" t="str">
        <f>IFERROR(__xludf.DUMMYFUNCTION("""COMPUTED_VALUE"""),"Booking.com")</f>
        <v>Booking.com</v>
      </c>
      <c r="P23" s="24">
        <f>IFERROR(__xludf.DUMMYFUNCTION("""COMPUTED_VALUE"""),9.0)</f>
        <v>9</v>
      </c>
      <c r="Q23" s="25">
        <f>IFERROR(__xludf.DUMMYFUNCTION("""COMPUTED_VALUE"""),46113.0)</f>
        <v>46113</v>
      </c>
      <c r="R23" s="24"/>
      <c r="S23"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23" s="24" t="str">
        <f>IFERROR(__xludf.DUMMYFUNCTION("""COMPUTED_VALUE"""),"Breakfast was ok, however there wasn't any cereal or toast on offer when we stayed.")</f>
        <v>Breakfast was ok, however there wasn't any cereal or toast on offer when we stayed.</v>
      </c>
      <c r="U23" s="24" t="str">
        <f>IFERROR(__xludf.DUMMYFUNCTION("""COMPUTED_VALUE"""),"")</f>
        <v/>
      </c>
      <c r="V23"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2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23" s="24" t="str">
        <f>IFERROR(__xludf.DUMMYFUNCTION("""COMPUTED_VALUE"""),"Natalie")</f>
        <v>Natalie</v>
      </c>
    </row>
    <row r="24">
      <c r="B24" s="17" t="b">
        <f>IFERROR(__xludf.DUMMYFUNCTION("""COMPUTED_VALUE"""),FALSE)</f>
        <v>0</v>
      </c>
      <c r="C24" s="18" t="str">
        <f>IFERROR(__xludf.DUMMYFUNCTION("""COMPUTED_VALUE"""),"Booking.com")</f>
        <v>Booking.com</v>
      </c>
      <c r="D24" s="5">
        <f>IFERROR(__xludf.DUMMYFUNCTION("""COMPUTED_VALUE"""),8.0)</f>
        <v>8</v>
      </c>
      <c r="E24" s="19">
        <f>IFERROR(__xludf.DUMMYFUNCTION("""COMPUTED_VALUE"""),46113.0)</f>
        <v>46113</v>
      </c>
      <c r="F24" s="5"/>
      <c r="G24"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24" s="5" t="str">
        <f>IFERROR(__xludf.DUMMYFUNCTION("""COMPUTED_VALUE"""),"stanza un pò piccola")</f>
        <v>stanza un pò piccola</v>
      </c>
      <c r="I24" s="5" t="str">
        <f>IFERROR(__xludf.DUMMYFUNCTION("""COMPUTED_VALUE"""),"")</f>
        <v/>
      </c>
      <c r="J24"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24" s="24" t="str">
        <f>IFERROR(__xludf.DUMMYFUNCTION("""COMPUTED_VALUE"""),"部屋が少し狭い")</f>
        <v>部屋が少し狭い</v>
      </c>
      <c r="L24" s="24" t="str">
        <f>IFERROR(__xludf.DUMMYFUNCTION("""COMPUTED_VALUE"""),"Melissa")</f>
        <v>Melissa</v>
      </c>
      <c r="N24" s="24" t="b">
        <f>IFERROR(__xludf.DUMMYFUNCTION("""COMPUTED_VALUE"""),FALSE)</f>
        <v>0</v>
      </c>
      <c r="O24" s="18" t="str">
        <f>IFERROR(__xludf.DUMMYFUNCTION("""COMPUTED_VALUE"""),"Booking.com")</f>
        <v>Booking.com</v>
      </c>
      <c r="P24" s="24">
        <f>IFERROR(__xludf.DUMMYFUNCTION("""COMPUTED_VALUE"""),8.0)</f>
        <v>8</v>
      </c>
      <c r="Q24" s="25">
        <f>IFERROR(__xludf.DUMMYFUNCTION("""COMPUTED_VALUE"""),46113.0)</f>
        <v>46113</v>
      </c>
      <c r="R24" s="24"/>
      <c r="S24"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24" s="24" t="str">
        <f>IFERROR(__xludf.DUMMYFUNCTION("""COMPUTED_VALUE"""),"stanza un pò piccola")</f>
        <v>stanza un pò piccola</v>
      </c>
      <c r="U24" s="24" t="str">
        <f>IFERROR(__xludf.DUMMYFUNCTION("""COMPUTED_VALUE"""),"")</f>
        <v/>
      </c>
      <c r="V24"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24" s="24" t="str">
        <f>IFERROR(__xludf.DUMMYFUNCTION("""COMPUTED_VALUE"""),"部屋が少し狭い")</f>
        <v>部屋が少し狭い</v>
      </c>
      <c r="X24" s="24" t="str">
        <f>IFERROR(__xludf.DUMMYFUNCTION("""COMPUTED_VALUE"""),"Melissa")</f>
        <v>Melissa</v>
      </c>
    </row>
    <row r="25">
      <c r="B25" s="17" t="b">
        <f>IFERROR(__xludf.DUMMYFUNCTION("""COMPUTED_VALUE"""),FALSE)</f>
        <v>0</v>
      </c>
      <c r="C25" s="18" t="str">
        <f>IFERROR(__xludf.DUMMYFUNCTION("""COMPUTED_VALUE"""),"Booking.com")</f>
        <v>Booking.com</v>
      </c>
      <c r="D25" s="5">
        <f>IFERROR(__xludf.DUMMYFUNCTION("""COMPUTED_VALUE"""),10.0)</f>
        <v>10</v>
      </c>
      <c r="E25" s="19">
        <f>IFERROR(__xludf.DUMMYFUNCTION("""COMPUTED_VALUE"""),46113.0)</f>
        <v>46113</v>
      </c>
      <c r="F25" s="5"/>
      <c r="G25" s="5" t="str">
        <f>IFERROR(__xludf.DUMMYFUNCTION("""COMPUTED_VALUE"""),"綺麗")</f>
        <v>綺麗</v>
      </c>
      <c r="H25" s="5"/>
      <c r="I25" s="5" t="str">
        <f>IFERROR(__xludf.DUMMYFUNCTION("""COMPUTED_VALUE"""),"")</f>
        <v/>
      </c>
      <c r="J25" s="5" t="str">
        <f>IFERROR(__xludf.DUMMYFUNCTION("""COMPUTED_VALUE"""),"綺麗")</f>
        <v>綺麗</v>
      </c>
      <c r="K25" s="24" t="str">
        <f>IFERROR(__xludf.DUMMYFUNCTION("""COMPUTED_VALUE"""),"")</f>
        <v/>
      </c>
      <c r="L25" s="24" t="str">
        <f>IFERROR(__xludf.DUMMYFUNCTION("""COMPUTED_VALUE"""),"Toshinao")</f>
        <v>Toshinao</v>
      </c>
      <c r="N25" s="24" t="b">
        <f>IFERROR(__xludf.DUMMYFUNCTION("""COMPUTED_VALUE"""),FALSE)</f>
        <v>0</v>
      </c>
      <c r="O25" s="18" t="str">
        <f>IFERROR(__xludf.DUMMYFUNCTION("""COMPUTED_VALUE"""),"Booking.com")</f>
        <v>Booking.com</v>
      </c>
      <c r="P25" s="24">
        <f>IFERROR(__xludf.DUMMYFUNCTION("""COMPUTED_VALUE"""),10.0)</f>
        <v>10</v>
      </c>
      <c r="Q25" s="25">
        <f>IFERROR(__xludf.DUMMYFUNCTION("""COMPUTED_VALUE"""),46113.0)</f>
        <v>46113</v>
      </c>
      <c r="R25" s="24"/>
      <c r="S25" s="24" t="str">
        <f>IFERROR(__xludf.DUMMYFUNCTION("""COMPUTED_VALUE"""),"綺麗")</f>
        <v>綺麗</v>
      </c>
      <c r="T25" s="24"/>
      <c r="U25" s="24" t="str">
        <f>IFERROR(__xludf.DUMMYFUNCTION("""COMPUTED_VALUE"""),"")</f>
        <v/>
      </c>
      <c r="V25" s="24" t="str">
        <f>IFERROR(__xludf.DUMMYFUNCTION("""COMPUTED_VALUE"""),"綺麗")</f>
        <v>綺麗</v>
      </c>
      <c r="W25" s="24" t="str">
        <f>IFERROR(__xludf.DUMMYFUNCTION("""COMPUTED_VALUE"""),"")</f>
        <v/>
      </c>
      <c r="X25" s="24" t="str">
        <f>IFERROR(__xludf.DUMMYFUNCTION("""COMPUTED_VALUE"""),"Toshinao")</f>
        <v>Toshinao</v>
      </c>
    </row>
    <row r="26">
      <c r="B26" s="17" t="b">
        <f>IFERROR(__xludf.DUMMYFUNCTION("""COMPUTED_VALUE"""),FALSE)</f>
        <v>0</v>
      </c>
      <c r="C26" s="24" t="str">
        <f>IFERROR(__xludf.DUMMYFUNCTION("""COMPUTED_VALUE"""),"Google")</f>
        <v>Google</v>
      </c>
      <c r="D26" s="5">
        <f>IFERROR(__xludf.DUMMYFUNCTION("""COMPUTED_VALUE"""),5.0)</f>
        <v>5</v>
      </c>
      <c r="E26" s="19">
        <f>IFERROR(__xludf.DUMMYFUNCTION("""COMPUTED_VALUE"""),46113.0)</f>
        <v>46113</v>
      </c>
      <c r="F2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26" s="5"/>
      <c r="H26" s="5"/>
      <c r="I2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26" s="5" t="str">
        <f>IFERROR(__xludf.DUMMYFUNCTION("""COMPUTED_VALUE"""),"")</f>
        <v/>
      </c>
      <c r="K26" s="24" t="str">
        <f>IFERROR(__xludf.DUMMYFUNCTION("""COMPUTED_VALUE"""),"")</f>
        <v/>
      </c>
      <c r="L26" s="24" t="str">
        <f>IFERROR(__xludf.DUMMYFUNCTION("""COMPUTED_VALUE"""),"easonlin323")</f>
        <v>easonlin323</v>
      </c>
      <c r="N26" s="24" t="b">
        <f>IFERROR(__xludf.DUMMYFUNCTION("""COMPUTED_VALUE"""),FALSE)</f>
        <v>0</v>
      </c>
      <c r="O26" s="24" t="str">
        <f>IFERROR(__xludf.DUMMYFUNCTION("""COMPUTED_VALUE"""),"Google")</f>
        <v>Google</v>
      </c>
      <c r="P26" s="24">
        <f>IFERROR(__xludf.DUMMYFUNCTION("""COMPUTED_VALUE"""),5.0)</f>
        <v>5</v>
      </c>
      <c r="Q26" s="25">
        <f>IFERROR(__xludf.DUMMYFUNCTION("""COMPUTED_VALUE"""),46113.0)</f>
        <v>46113</v>
      </c>
      <c r="R2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26" s="24"/>
      <c r="T26" s="24"/>
      <c r="U2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26" s="24" t="str">
        <f>IFERROR(__xludf.DUMMYFUNCTION("""COMPUTED_VALUE"""),"")</f>
        <v/>
      </c>
      <c r="W26" s="24" t="str">
        <f>IFERROR(__xludf.DUMMYFUNCTION("""COMPUTED_VALUE"""),"")</f>
        <v/>
      </c>
      <c r="X26" s="24" t="str">
        <f>IFERROR(__xludf.DUMMYFUNCTION("""COMPUTED_VALUE"""),"easonlin323")</f>
        <v>easonlin323</v>
      </c>
    </row>
    <row r="27">
      <c r="B27" s="17" t="b">
        <f>IFERROR(__xludf.DUMMYFUNCTION("""COMPUTED_VALUE"""),FALSE)</f>
        <v>0</v>
      </c>
      <c r="C27" s="24" t="str">
        <f>IFERROR(__xludf.DUMMYFUNCTION("""COMPUTED_VALUE"""),"Google")</f>
        <v>Google</v>
      </c>
      <c r="D27" s="5">
        <f>IFERROR(__xludf.DUMMYFUNCTION("""COMPUTED_VALUE"""),5.0)</f>
        <v>5</v>
      </c>
      <c r="E27" s="19">
        <f>IFERROR(__xludf.DUMMYFUNCTION("""COMPUTED_VALUE"""),46113.0)</f>
        <v>46113</v>
      </c>
      <c r="F27"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27" s="5"/>
      <c r="H27" s="5"/>
      <c r="I27" s="5"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J27" s="5" t="str">
        <f>IFERROR(__xludf.DUMMYFUNCTION("""COMPUTED_VALUE"""),"")</f>
        <v/>
      </c>
      <c r="K27" s="24" t="str">
        <f>IFERROR(__xludf.DUMMYFUNCTION("""COMPUTED_VALUE"""),"")</f>
        <v/>
      </c>
      <c r="L27" s="24" t="str">
        <f>IFERROR(__xludf.DUMMYFUNCTION("""COMPUTED_VALUE"""),"easonlin323")</f>
        <v>easonlin323</v>
      </c>
      <c r="N27" s="24" t="b">
        <f>IFERROR(__xludf.DUMMYFUNCTION("""COMPUTED_VALUE"""),FALSE)</f>
        <v>0</v>
      </c>
      <c r="O27" s="24" t="str">
        <f>IFERROR(__xludf.DUMMYFUNCTION("""COMPUTED_VALUE"""),"Google")</f>
        <v>Google</v>
      </c>
      <c r="P27" s="24">
        <f>IFERROR(__xludf.DUMMYFUNCTION("""COMPUTED_VALUE"""),5.0)</f>
        <v>5</v>
      </c>
      <c r="Q27" s="25">
        <f>IFERROR(__xludf.DUMMYFUNCTION("""COMPUTED_VALUE"""),46113.0)</f>
        <v>46113</v>
      </c>
      <c r="R27"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27" s="24"/>
      <c r="T27" s="24"/>
      <c r="U27" s="24"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V27" s="24" t="str">
        <f>IFERROR(__xludf.DUMMYFUNCTION("""COMPUTED_VALUE"""),"")</f>
        <v/>
      </c>
      <c r="W27" s="24" t="str">
        <f>IFERROR(__xludf.DUMMYFUNCTION("""COMPUTED_VALUE"""),"")</f>
        <v/>
      </c>
      <c r="X27" s="24" t="str">
        <f>IFERROR(__xludf.DUMMYFUNCTION("""COMPUTED_VALUE"""),"easonlin323")</f>
        <v>easonlin323</v>
      </c>
    </row>
    <row r="28">
      <c r="B28" s="17" t="b">
        <f>IFERROR(__xludf.DUMMYFUNCTION("""COMPUTED_VALUE"""),FALSE)</f>
        <v>0</v>
      </c>
      <c r="C28" s="18" t="str">
        <f>IFERROR(__xludf.DUMMYFUNCTION("""COMPUTED_VALUE"""),"Booking.com")</f>
        <v>Booking.com</v>
      </c>
      <c r="D28" s="5">
        <f>IFERROR(__xludf.DUMMYFUNCTION("""COMPUTED_VALUE"""),10.0)</f>
        <v>10</v>
      </c>
      <c r="E28" s="19">
        <f>IFERROR(__xludf.DUMMYFUNCTION("""COMPUTED_VALUE"""),46112.0)</f>
        <v>46112</v>
      </c>
      <c r="F28" s="5"/>
      <c r="G28" s="5" t="str">
        <f>IFERROR(__xludf.DUMMYFUNCTION("""COMPUTED_VALUE"""),"地點方便，房間整潔，出水很大洗澡很舒適")</f>
        <v>地點方便，房間整潔，出水很大洗澡很舒適</v>
      </c>
      <c r="H28" s="5" t="str">
        <f>IFERROR(__xludf.DUMMYFUNCTION("""COMPUTED_VALUE"""),"沒有不滿意的地方")</f>
        <v>沒有不滿意的地方</v>
      </c>
      <c r="I28" s="5" t="str">
        <f>IFERROR(__xludf.DUMMYFUNCTION("""COMPUTED_VALUE"""),"")</f>
        <v/>
      </c>
      <c r="J28" s="5" t="str">
        <f>IFERROR(__xludf.DUMMYFUNCTION("""COMPUTED_VALUE"""),"立地が便利で、部屋は清潔で、水圧も強いので、シャワーがとても快適です。")</f>
        <v>立地が便利で、部屋は清潔で、水圧も強いので、シャワーがとても快適です。</v>
      </c>
      <c r="K28" s="24" t="str">
        <f>IFERROR(__xludf.DUMMYFUNCTION("""COMPUTED_VALUE"""),"不満な点は何もありません。")</f>
        <v>不満な点は何もありません。</v>
      </c>
      <c r="L28" s="24" t="str">
        <f>IFERROR(__xludf.DUMMYFUNCTION("""COMPUTED_VALUE"""),"Chia")</f>
        <v>Chia</v>
      </c>
      <c r="N28" s="24"/>
      <c r="O28" s="24"/>
      <c r="P28" s="24"/>
      <c r="Q28" s="24"/>
      <c r="R28" s="24"/>
      <c r="S28" s="24"/>
      <c r="T28" s="24"/>
      <c r="U28" s="24"/>
      <c r="V28" s="24"/>
      <c r="W28" s="24"/>
      <c r="X28" s="24"/>
    </row>
    <row r="29">
      <c r="B29" s="17" t="b">
        <f>IFERROR(__xludf.DUMMYFUNCTION("""COMPUTED_VALUE"""),FALSE)</f>
        <v>0</v>
      </c>
      <c r="C29" s="18" t="str">
        <f>IFERROR(__xludf.DUMMYFUNCTION("""COMPUTED_VALUE"""),"Booking.com")</f>
        <v>Booking.com</v>
      </c>
      <c r="D29" s="5">
        <f>IFERROR(__xludf.DUMMYFUNCTION("""COMPUTED_VALUE"""),7.0)</f>
        <v>7</v>
      </c>
      <c r="E29" s="19">
        <f>IFERROR(__xludf.DUMMYFUNCTION("""COMPUTED_VALUE"""),46112.0)</f>
        <v>46112</v>
      </c>
      <c r="F29" s="5"/>
      <c r="G29" s="5" t="str">
        <f>IFERROR(__xludf.DUMMYFUNCTION("""COMPUTED_VALUE"""),"一樓大廳提供泡澡球、面膜，跟其他常見的備品，但沒有浴帽跟牙刷。")</f>
        <v>一樓大廳提供泡澡球、面膜，跟其他常見的備品，但沒有浴帽跟牙刷。</v>
      </c>
      <c r="H29" s="5" t="str">
        <f>IFERROR(__xludf.DUMMYFUNCTION("""COMPUTED_VALUE"""),"早餐還不錯吃，但品項不多而且每天一樣，連住很多天會吃到膩，自動鬆餅機很有趣")</f>
        <v>早餐還不錯吃，但品項不多而且每天一樣，連住很多天會吃到膩，自動鬆餅機很有趣</v>
      </c>
      <c r="I29" s="5" t="str">
        <f>IFERROR(__xludf.DUMMYFUNCTION("""COMPUTED_VALUE"""),"")</f>
        <v/>
      </c>
      <c r="J29" s="30"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29"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29" s="24" t="str">
        <f>IFERROR(__xludf.DUMMYFUNCTION("""COMPUTED_VALUE"""),"Chen")</f>
        <v>Chen</v>
      </c>
      <c r="N29" s="24"/>
      <c r="O29" s="24"/>
      <c r="P29" s="24"/>
      <c r="Q29" s="24"/>
      <c r="R29" s="24"/>
      <c r="S29" s="24"/>
      <c r="T29" s="24"/>
      <c r="U29" s="24"/>
      <c r="V29" s="24"/>
      <c r="W29" s="24"/>
      <c r="X29" s="24"/>
    </row>
    <row r="30">
      <c r="B30" s="17" t="b">
        <f>IFERROR(__xludf.DUMMYFUNCTION("""COMPUTED_VALUE"""),FALSE)</f>
        <v>0</v>
      </c>
      <c r="C30" s="18" t="str">
        <f>IFERROR(__xludf.DUMMYFUNCTION("""COMPUTED_VALUE"""),"Booking.com")</f>
        <v>Booking.com</v>
      </c>
      <c r="D30" s="5">
        <f>IFERROR(__xludf.DUMMYFUNCTION("""COMPUTED_VALUE"""),10.0)</f>
        <v>10</v>
      </c>
      <c r="E30" s="19">
        <f>IFERROR(__xludf.DUMMYFUNCTION("""COMPUTED_VALUE"""),46112.0)</f>
        <v>46112</v>
      </c>
      <c r="F30" s="5"/>
      <c r="G30" s="5"/>
      <c r="H30" s="5"/>
      <c r="I30" s="5" t="str">
        <f>IFERROR(__xludf.DUMMYFUNCTION("""COMPUTED_VALUE"""),"")</f>
        <v/>
      </c>
      <c r="J30" s="5" t="str">
        <f>IFERROR(__xludf.DUMMYFUNCTION("""COMPUTED_VALUE"""),"")</f>
        <v/>
      </c>
      <c r="K30" s="24" t="str">
        <f>IFERROR(__xludf.DUMMYFUNCTION("""COMPUTED_VALUE"""),"")</f>
        <v/>
      </c>
      <c r="L30" s="24" t="str">
        <f>IFERROR(__xludf.DUMMYFUNCTION("""COMPUTED_VALUE"""),"Juan")</f>
        <v>Juan</v>
      </c>
      <c r="N30" s="24"/>
      <c r="O30" s="24"/>
      <c r="P30" s="24"/>
      <c r="Q30" s="24"/>
      <c r="R30" s="24"/>
      <c r="S30" s="24"/>
      <c r="T30" s="24"/>
      <c r="U30" s="24"/>
      <c r="V30" s="24"/>
      <c r="W30" s="24"/>
      <c r="X30" s="24"/>
    </row>
    <row r="31">
      <c r="B31" s="17" t="b">
        <f>IFERROR(__xludf.DUMMYFUNCTION("""COMPUTED_VALUE"""),FALSE)</f>
        <v>0</v>
      </c>
      <c r="C31" s="18" t="str">
        <f>IFERROR(__xludf.DUMMYFUNCTION("""COMPUTED_VALUE"""),"Booking.com")</f>
        <v>Booking.com</v>
      </c>
      <c r="D31" s="5">
        <f>IFERROR(__xludf.DUMMYFUNCTION("""COMPUTED_VALUE"""),9.0)</f>
        <v>9</v>
      </c>
      <c r="E31" s="19">
        <f>IFERROR(__xludf.DUMMYFUNCTION("""COMPUTED_VALUE"""),46112.0)</f>
        <v>46112</v>
      </c>
      <c r="F31" s="5"/>
      <c r="G31" s="5"/>
      <c r="H31" s="5"/>
      <c r="I31" s="5" t="str">
        <f>IFERROR(__xludf.DUMMYFUNCTION("""COMPUTED_VALUE"""),"")</f>
        <v/>
      </c>
      <c r="J31" s="5" t="str">
        <f>IFERROR(__xludf.DUMMYFUNCTION("""COMPUTED_VALUE"""),"")</f>
        <v/>
      </c>
      <c r="K31" s="24" t="str">
        <f>IFERROR(__xludf.DUMMYFUNCTION("""COMPUTED_VALUE"""),"")</f>
        <v/>
      </c>
      <c r="L31" s="24" t="str">
        <f>IFERROR(__xludf.DUMMYFUNCTION("""COMPUTED_VALUE"""),"Andrew")</f>
        <v>Andrew</v>
      </c>
      <c r="N31" s="24"/>
      <c r="O31" s="24"/>
      <c r="P31" s="24"/>
      <c r="Q31" s="24"/>
      <c r="R31" s="24"/>
      <c r="S31" s="24"/>
      <c r="T31" s="24"/>
      <c r="U31" s="24"/>
      <c r="V31" s="24"/>
      <c r="W31" s="24"/>
      <c r="X31" s="24"/>
    </row>
    <row r="32">
      <c r="B32" s="17" t="b">
        <f>IFERROR(__xludf.DUMMYFUNCTION("""COMPUTED_VALUE"""),FALSE)</f>
        <v>0</v>
      </c>
      <c r="C32" s="24" t="str">
        <f>IFERROR(__xludf.DUMMYFUNCTION("""COMPUTED_VALUE"""),"楽天トラベル")</f>
        <v>楽天トラベル</v>
      </c>
      <c r="D32" s="5">
        <f>IFERROR(__xludf.DUMMYFUNCTION("""COMPUTED_VALUE"""),4.0)</f>
        <v>4</v>
      </c>
      <c r="E32" s="19">
        <f>IFERROR(__xludf.DUMMYFUNCTION("""COMPUTED_VALUE"""),46112.0)</f>
        <v>46112</v>
      </c>
      <c r="F3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32" s="5"/>
      <c r="H32" s="5"/>
      <c r="I3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32" s="5" t="str">
        <f>IFERROR(__xludf.DUMMYFUNCTION("""COMPUTED_VALUE"""),"")</f>
        <v/>
      </c>
      <c r="K32" s="24" t="str">
        <f>IFERROR(__xludf.DUMMYFUNCTION("""COMPUTED_VALUE"""),"")</f>
        <v/>
      </c>
      <c r="L32" s="24" t="str">
        <f>IFERROR(__xludf.DUMMYFUNCTION("""COMPUTED_VALUE"""),"W220S55LKUNI")</f>
        <v>W220S55LKUNI</v>
      </c>
      <c r="N32" s="24"/>
      <c r="O32" s="24"/>
      <c r="P32" s="24"/>
      <c r="Q32" s="24"/>
      <c r="R32" s="24"/>
      <c r="S32" s="24"/>
      <c r="T32" s="24"/>
      <c r="U32" s="24"/>
      <c r="V32" s="24"/>
      <c r="W32" s="24"/>
      <c r="X32" s="24"/>
    </row>
    <row r="33">
      <c r="B33" s="17" t="b">
        <f>IFERROR(__xludf.DUMMYFUNCTION("""COMPUTED_VALUE"""),FALSE)</f>
        <v>0</v>
      </c>
      <c r="C33" s="18" t="str">
        <f>IFERROR(__xludf.DUMMYFUNCTION("""COMPUTED_VALUE"""),"Booking.com")</f>
        <v>Booking.com</v>
      </c>
      <c r="D33" s="5">
        <f>IFERROR(__xludf.DUMMYFUNCTION("""COMPUTED_VALUE"""),8.0)</f>
        <v>8</v>
      </c>
      <c r="E33" s="19">
        <f>IFERROR(__xludf.DUMMYFUNCTION("""COMPUTED_VALUE"""),46111.0)</f>
        <v>46111</v>
      </c>
      <c r="F33" s="5"/>
      <c r="G33" s="5" t="str">
        <f>IFERROR(__xludf.DUMMYFUNCTION("""COMPUTED_VALUE"""),"交通方便，附近也有很多超商及24小時的樂天超市")</f>
        <v>交通方便，附近也有很多超商及24小時的樂天超市</v>
      </c>
      <c r="H33" s="5"/>
      <c r="I33" s="5" t="str">
        <f>IFERROR(__xludf.DUMMYFUNCTION("""COMPUTED_VALUE"""),"")</f>
        <v/>
      </c>
      <c r="J33"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33" s="24" t="str">
        <f>IFERROR(__xludf.DUMMYFUNCTION("""COMPUTED_VALUE"""),"")</f>
        <v/>
      </c>
      <c r="L33" s="24" t="str">
        <f>IFERROR(__xludf.DUMMYFUNCTION("""COMPUTED_VALUE"""),"家儀")</f>
        <v>家儀</v>
      </c>
      <c r="N33" s="24"/>
      <c r="O33" s="24"/>
      <c r="P33" s="24"/>
      <c r="Q33" s="24"/>
      <c r="R33" s="24"/>
      <c r="S33" s="24"/>
      <c r="T33" s="24"/>
      <c r="U33" s="24"/>
      <c r="V33" s="24"/>
      <c r="W33" s="24"/>
      <c r="X33" s="24"/>
    </row>
    <row r="34">
      <c r="B34" s="17" t="b">
        <f>IFERROR(__xludf.DUMMYFUNCTION("""COMPUTED_VALUE"""),FALSE)</f>
        <v>0</v>
      </c>
      <c r="C34" s="18" t="str">
        <f>IFERROR(__xludf.DUMMYFUNCTION("""COMPUTED_VALUE"""),"Trip.com")</f>
        <v>Trip.com</v>
      </c>
      <c r="D34" s="5">
        <f>IFERROR(__xludf.DUMMYFUNCTION("""COMPUTED_VALUE"""),9.0)</f>
        <v>9</v>
      </c>
      <c r="E34" s="19">
        <f>IFERROR(__xludf.DUMMYFUNCTION("""COMPUTED_VALUE"""),46111.0)</f>
        <v>46111</v>
      </c>
      <c r="F34" s="5" t="str">
        <f>IFERROR(__xludf.DUMMYFUNCTION("""COMPUTED_VALUE"""),"整體感覺相當滿意，離車站近，步行5分鐘左右就到！")</f>
        <v>整體感覺相當滿意，離車站近，步行5分鐘左右就到！</v>
      </c>
      <c r="G34" s="5"/>
      <c r="H34" s="5"/>
      <c r="I34" s="5" t="str">
        <f>IFERROR(__xludf.DUMMYFUNCTION("""COMPUTED_VALUE"""),"全体的にとても満足しています。駅からも近く、徒歩わずか5分ほどです！")</f>
        <v>全体的にとても満足しています。駅からも近く、徒歩わずか5分ほどです！</v>
      </c>
      <c r="J34" s="5" t="str">
        <f>IFERROR(__xludf.DUMMYFUNCTION("""COMPUTED_VALUE"""),"")</f>
        <v/>
      </c>
      <c r="K34" s="24" t="str">
        <f>IFERROR(__xludf.DUMMYFUNCTION("""COMPUTED_VALUE"""),"")</f>
        <v/>
      </c>
      <c r="L34" s="24" t="str">
        <f>IFERROR(__xludf.DUMMYFUNCTION("""COMPUTED_VALUE"""),"ゲ‍ス‍ト")</f>
        <v>ゲ‍ス‍ト</v>
      </c>
      <c r="N34" s="24"/>
      <c r="O34" s="24"/>
      <c r="P34" s="24"/>
      <c r="Q34" s="24"/>
      <c r="R34" s="24"/>
      <c r="S34" s="24"/>
      <c r="T34" s="24"/>
      <c r="U34" s="24"/>
      <c r="V34" s="24"/>
      <c r="W34" s="24"/>
      <c r="X34" s="24"/>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IFERROR(__xludf.DUMMYFUNCTION("""COMPUTED_VALUE"""),46111.0)</f>
        <v>46111</v>
      </c>
      <c r="F35"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35" s="5"/>
      <c r="H35" s="5"/>
      <c r="I35"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35" s="5" t="str">
        <f>IFERROR(__xludf.DUMMYFUNCTION("""COMPUTED_VALUE"""),"")</f>
        <v/>
      </c>
      <c r="K35" s="24" t="str">
        <f>IFERROR(__xludf.DUMMYFUNCTION("""COMPUTED_VALUE"""),"")</f>
        <v/>
      </c>
      <c r="L35" s="24" t="str">
        <f>IFERROR(__xludf.DUMMYFUNCTION("""COMPUTED_VALUE"""),"ゲ‍ス‍ト")</f>
        <v>ゲ‍ス‍ト</v>
      </c>
      <c r="N35" s="24"/>
      <c r="O35" s="24"/>
      <c r="P35" s="24"/>
      <c r="Q35" s="24"/>
      <c r="R35" s="24"/>
      <c r="S35" s="24"/>
      <c r="T35" s="24"/>
      <c r="U35" s="24"/>
      <c r="V35" s="24"/>
      <c r="W35" s="24"/>
      <c r="X35" s="24"/>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IFERROR(__xludf.DUMMYFUNCTION("""COMPUTED_VALUE"""),46111.0)</f>
        <v>46111</v>
      </c>
      <c r="F36" s="5" t="str">
        <f>IFERROR(__xludf.DUMMYFUNCTION("""COMPUTED_VALUE"""),"駅近ですが、静かで快適でした。")</f>
        <v>駅近ですが、静かで快適でした。</v>
      </c>
      <c r="G36" s="5"/>
      <c r="H36" s="5"/>
      <c r="I36" s="5" t="str">
        <f>IFERROR(__xludf.DUMMYFUNCTION("""COMPUTED_VALUE"""),"駅近ですが、静かで快適でした。")</f>
        <v>駅近ですが、静かで快適でした。</v>
      </c>
      <c r="J36" s="5" t="str">
        <f>IFERROR(__xludf.DUMMYFUNCTION("""COMPUTED_VALUE"""),"")</f>
        <v/>
      </c>
      <c r="K36" s="24" t="str">
        <f>IFERROR(__xludf.DUMMYFUNCTION("""COMPUTED_VALUE"""),"")</f>
        <v/>
      </c>
      <c r="L36" s="24" t="str">
        <f>IFERROR(__xludf.DUMMYFUNCTION("""COMPUTED_VALUE"""),"ゲ‍ス‍ト")</f>
        <v>ゲ‍ス‍ト</v>
      </c>
      <c r="N36" s="24"/>
      <c r="O36" s="24"/>
      <c r="P36" s="24"/>
      <c r="Q36" s="24"/>
      <c r="R36" s="24"/>
      <c r="S36" s="24"/>
      <c r="T36" s="24"/>
      <c r="U36" s="24"/>
      <c r="V36" s="24"/>
      <c r="W36" s="24"/>
      <c r="X36" s="24"/>
    </row>
    <row r="37">
      <c r="B37" s="17" t="b">
        <f>IFERROR(__xludf.DUMMYFUNCTION("""COMPUTED_VALUE"""),FALSE)</f>
        <v>0</v>
      </c>
      <c r="C37" s="24" t="str">
        <f>IFERROR(__xludf.DUMMYFUNCTION("""COMPUTED_VALUE"""),"Google")</f>
        <v>Google</v>
      </c>
      <c r="D37" s="5">
        <f>IFERROR(__xludf.DUMMYFUNCTION("""COMPUTED_VALUE"""),4.0)</f>
        <v>4</v>
      </c>
      <c r="E37" s="19">
        <f>IFERROR(__xludf.DUMMYFUNCTION("""COMPUTED_VALUE"""),46111.0)</f>
        <v>46111</v>
      </c>
      <c r="F37" s="5" t="str">
        <f>IFERROR(__xludf.DUMMYFUNCTION("""COMPUTED_VALUE"""),"錦糸町駅から徒歩圏内の便利な立地にあるホテルです。")</f>
        <v>錦糸町駅から徒歩圏内の便利な立地にあるホテルです。</v>
      </c>
      <c r="G37" s="5"/>
      <c r="H37" s="5"/>
      <c r="I37" s="5" t="str">
        <f>IFERROR(__xludf.DUMMYFUNCTION("""COMPUTED_VALUE"""),"錦糸町駅から徒歩圏内の便利な立地にあるホテルです。")</f>
        <v>錦糸町駅から徒歩圏内の便利な立地にあるホテルです。</v>
      </c>
      <c r="J37" s="5" t="str">
        <f>IFERROR(__xludf.DUMMYFUNCTION("""COMPUTED_VALUE"""),"")</f>
        <v/>
      </c>
      <c r="K37" s="24" t="str">
        <f>IFERROR(__xludf.DUMMYFUNCTION("""COMPUTED_VALUE"""),"")</f>
        <v/>
      </c>
      <c r="L37" s="24" t="str">
        <f>IFERROR(__xludf.DUMMYFUNCTION("""COMPUTED_VALUE"""),"Shimla Diaries")</f>
        <v>Shimla Diaries</v>
      </c>
      <c r="N37" s="24"/>
      <c r="O37" s="24"/>
      <c r="P37" s="24"/>
      <c r="Q37" s="24"/>
      <c r="R37" s="24"/>
      <c r="S37" s="24"/>
      <c r="T37" s="24"/>
      <c r="U37" s="24"/>
      <c r="V37" s="24"/>
      <c r="W37" s="24"/>
      <c r="X37" s="24"/>
    </row>
    <row r="38">
      <c r="B38" s="17" t="b">
        <f>IFERROR(__xludf.DUMMYFUNCTION("""COMPUTED_VALUE"""),FALSE)</f>
        <v>0</v>
      </c>
      <c r="C38" s="24" t="str">
        <f>IFERROR(__xludf.DUMMYFUNCTION("""COMPUTED_VALUE"""),"Google")</f>
        <v>Google</v>
      </c>
      <c r="D38" s="5">
        <f>IFERROR(__xludf.DUMMYFUNCTION("""COMPUTED_VALUE"""),4.0)</f>
        <v>4</v>
      </c>
      <c r="E38" s="19">
        <f>IFERROR(__xludf.DUMMYFUNCTION("""COMPUTED_VALUE"""),46111.0)</f>
        <v>46111</v>
      </c>
      <c r="F38" s="5" t="str">
        <f>IFERROR(__xludf.DUMMYFUNCTION("""COMPUTED_VALUE"""),"Perfectly located hotel centrally located and walking distance to Kinshichō station")</f>
        <v>Perfectly located hotel centrally located and walking distance to Kinshichō station</v>
      </c>
      <c r="G38" s="5"/>
      <c r="H38" s="5"/>
      <c r="I38" s="5" t="str">
        <f>IFERROR(__xludf.DUMMYFUNCTION("""COMPUTED_VALUE"""),"錦糸町駅から徒歩圏内の便利な立地にあるホテルです。")</f>
        <v>錦糸町駅から徒歩圏内の便利な立地にあるホテルです。</v>
      </c>
      <c r="J38" s="5" t="str">
        <f>IFERROR(__xludf.DUMMYFUNCTION("""COMPUTED_VALUE"""),"")</f>
        <v/>
      </c>
      <c r="K38" s="24" t="str">
        <f>IFERROR(__xludf.DUMMYFUNCTION("""COMPUTED_VALUE"""),"")</f>
        <v/>
      </c>
      <c r="L38" s="24" t="str">
        <f>IFERROR(__xludf.DUMMYFUNCTION("""COMPUTED_VALUE"""),"Shimla Diaries")</f>
        <v>Shimla Diaries</v>
      </c>
      <c r="N38" s="24"/>
      <c r="O38" s="24"/>
      <c r="P38" s="24"/>
      <c r="Q38" s="24"/>
      <c r="R38" s="24"/>
      <c r="S38" s="24"/>
      <c r="T38" s="24"/>
      <c r="U38" s="24"/>
      <c r="V38" s="24"/>
      <c r="W38" s="24"/>
      <c r="X38" s="24"/>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IFERROR(__xludf.DUMMYFUNCTION("""COMPUTED_VALUE"""),46110.0)</f>
        <v>46110</v>
      </c>
      <c r="F39" s="5" t="str">
        <f>IFERROR(__xludf.DUMMYFUNCTION("""COMPUTED_VALUE"""),"挺不錯的酒店👍")</f>
        <v>挺不錯的酒店👍</v>
      </c>
      <c r="G39" s="5"/>
      <c r="H39" s="5"/>
      <c r="I39" s="5" t="str">
        <f>IFERROR(__xludf.DUMMYFUNCTION("""COMPUTED_VALUE"""),"とても素敵なホテルですね👍")</f>
        <v>とても素敵なホテルですね👍</v>
      </c>
      <c r="J39" s="5" t="str">
        <f>IFERROR(__xludf.DUMMYFUNCTION("""COMPUTED_VALUE"""),"")</f>
        <v/>
      </c>
      <c r="K39" s="24" t="str">
        <f>IFERROR(__xludf.DUMMYFUNCTION("""COMPUTED_VALUE"""),"")</f>
        <v/>
      </c>
      <c r="L39" s="24" t="str">
        <f>IFERROR(__xludf.DUMMYFUNCTION("""COMPUTED_VALUE"""),"ゲ‍ス‍ト")</f>
        <v>ゲ‍ス‍ト</v>
      </c>
      <c r="N39" s="24"/>
      <c r="O39" s="24"/>
      <c r="P39" s="24"/>
      <c r="Q39" s="24"/>
      <c r="R39" s="24"/>
      <c r="S39" s="24"/>
      <c r="T39" s="24"/>
      <c r="U39" s="24"/>
      <c r="V39" s="24"/>
      <c r="W39" s="24"/>
      <c r="X39" s="24"/>
    </row>
    <row r="40">
      <c r="B40" s="17" t="b">
        <f>IFERROR(__xludf.DUMMYFUNCTION("""COMPUTED_VALUE"""),FALSE)</f>
        <v>0</v>
      </c>
      <c r="C40" s="18" t="str">
        <f>IFERROR(__xludf.DUMMYFUNCTION("""COMPUTED_VALUE"""),"Booking.com")</f>
        <v>Booking.com</v>
      </c>
      <c r="D40" s="5">
        <f>IFERROR(__xludf.DUMMYFUNCTION("""COMPUTED_VALUE"""),8.0)</f>
        <v>8</v>
      </c>
      <c r="E40" s="19">
        <f>IFERROR(__xludf.DUMMYFUNCTION("""COMPUTED_VALUE"""),46110.0)</f>
        <v>46110</v>
      </c>
      <c r="F40" s="5"/>
      <c r="G40" s="5" t="str">
        <f>IFERROR(__xludf.DUMMYFUNCTION("""COMPUTED_VALUE"""),"部屋がきれいだった")</f>
        <v>部屋がきれいだった</v>
      </c>
      <c r="H40" s="5" t="str">
        <f>IFERROR(__xludf.DUMMYFUNCTION("""COMPUTED_VALUE"""),"ちょっと高い")</f>
        <v>ちょっと高い</v>
      </c>
      <c r="I40" s="5" t="str">
        <f>IFERROR(__xludf.DUMMYFUNCTION("""COMPUTED_VALUE"""),"")</f>
        <v/>
      </c>
      <c r="J40" s="5" t="str">
        <f>IFERROR(__xludf.DUMMYFUNCTION("""COMPUTED_VALUE"""),"部屋がきれいだった")</f>
        <v>部屋がきれいだった</v>
      </c>
      <c r="K40" s="24" t="str">
        <f>IFERROR(__xludf.DUMMYFUNCTION("""COMPUTED_VALUE"""),"ちょっと高い")</f>
        <v>ちょっと高い</v>
      </c>
      <c r="L40" s="24" t="str">
        <f>IFERROR(__xludf.DUMMYFUNCTION("""COMPUTED_VALUE"""),"Rie")</f>
        <v>Rie</v>
      </c>
      <c r="N40" s="24"/>
      <c r="O40" s="24"/>
      <c r="P40" s="24"/>
      <c r="Q40" s="24"/>
      <c r="R40" s="24"/>
      <c r="S40" s="24"/>
      <c r="T40" s="24"/>
      <c r="U40" s="24"/>
      <c r="V40" s="24"/>
      <c r="W40" s="24"/>
      <c r="X40" s="24"/>
    </row>
    <row r="41">
      <c r="B41" s="17" t="b">
        <f>IFERROR(__xludf.DUMMYFUNCTION("""COMPUTED_VALUE"""),FALSE)</f>
        <v>0</v>
      </c>
      <c r="C41" s="18" t="str">
        <f>IFERROR(__xludf.DUMMYFUNCTION("""COMPUTED_VALUE"""),"Booking.com")</f>
        <v>Booking.com</v>
      </c>
      <c r="D41" s="5">
        <f>IFERROR(__xludf.DUMMYFUNCTION("""COMPUTED_VALUE"""),8.0)</f>
        <v>8</v>
      </c>
      <c r="E41" s="19">
        <f>IFERROR(__xludf.DUMMYFUNCTION("""COMPUTED_VALUE"""),46110.0)</f>
        <v>46110</v>
      </c>
      <c r="F41" s="5"/>
      <c r="G41"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41"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41" s="5" t="str">
        <f>IFERROR(__xludf.DUMMYFUNCTION("""COMPUTED_VALUE"""),"")</f>
        <v/>
      </c>
      <c r="J41"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41"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41" s="24" t="str">
        <f>IFERROR(__xludf.DUMMYFUNCTION("""COMPUTED_VALUE"""),"Pani")</f>
        <v>Pani</v>
      </c>
      <c r="N41" s="24"/>
      <c r="O41" s="24"/>
      <c r="P41" s="24"/>
      <c r="Q41" s="24"/>
      <c r="R41" s="24"/>
      <c r="S41" s="24"/>
      <c r="T41" s="24"/>
      <c r="U41" s="24"/>
      <c r="V41" s="24"/>
      <c r="W41" s="24"/>
      <c r="X41" s="24"/>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IFERROR(__xludf.DUMMYFUNCTION("""COMPUTED_VALUE"""),46108.0)</f>
        <v>46108</v>
      </c>
      <c r="F42"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42" s="5"/>
      <c r="H42" s="5"/>
      <c r="I42"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42" s="5" t="str">
        <f>IFERROR(__xludf.DUMMYFUNCTION("""COMPUTED_VALUE"""),"")</f>
        <v/>
      </c>
      <c r="K42" s="24" t="str">
        <f>IFERROR(__xludf.DUMMYFUNCTION("""COMPUTED_VALUE"""),"")</f>
        <v/>
      </c>
      <c r="L42" s="24" t="str">
        <f>IFERROR(__xludf.DUMMYFUNCTION("""COMPUTED_VALUE"""),"ゲ‍ス‍ト")</f>
        <v>ゲ‍ス‍ト</v>
      </c>
      <c r="N42" s="24"/>
      <c r="O42" s="24"/>
      <c r="P42" s="24"/>
      <c r="Q42" s="24"/>
      <c r="R42" s="24"/>
      <c r="S42" s="24"/>
      <c r="T42" s="24"/>
      <c r="U42" s="24"/>
      <c r="V42" s="24"/>
      <c r="W42" s="24"/>
      <c r="X42" s="24"/>
    </row>
    <row r="43">
      <c r="B43" s="17" t="b">
        <f>IFERROR(__xludf.DUMMYFUNCTION("""COMPUTED_VALUE"""),FALSE)</f>
        <v>0</v>
      </c>
      <c r="C43" s="18" t="str">
        <f>IFERROR(__xludf.DUMMYFUNCTION("""COMPUTED_VALUE"""),"Trip.com")</f>
        <v>Trip.com</v>
      </c>
      <c r="D43" s="5">
        <f>IFERROR(__xludf.DUMMYFUNCTION("""COMPUTED_VALUE"""),4.0)</f>
        <v>4</v>
      </c>
      <c r="E43" s="19">
        <f>IFERROR(__xludf.DUMMYFUNCTION("""COMPUTED_VALUE"""),46108.0)</f>
        <v>46108</v>
      </c>
      <c r="F43" s="5" t="str">
        <f>IFERROR(__xludf.DUMMYFUNCTION("""COMPUTED_VALUE"""),"有啲污糟，隔音好差")</f>
        <v>有啲污糟，隔音好差</v>
      </c>
      <c r="G43" s="5"/>
      <c r="H43" s="5"/>
      <c r="I43" s="5" t="str">
        <f>IFERROR(__xludf.DUMMYFUNCTION("""COMPUTED_VALUE"""),"少し汚れていて、防音性も低い。")</f>
        <v>少し汚れていて、防音性も低い。</v>
      </c>
      <c r="J43" s="5" t="str">
        <f>IFERROR(__xludf.DUMMYFUNCTION("""COMPUTED_VALUE"""),"")</f>
        <v/>
      </c>
      <c r="K43" s="24" t="str">
        <f>IFERROR(__xludf.DUMMYFUNCTION("""COMPUTED_VALUE"""),"")</f>
        <v/>
      </c>
      <c r="L43" s="24" t="str">
        <f>IFERROR(__xludf.DUMMYFUNCTION("""COMPUTED_VALUE"""),"i‍l‍o‍v‍e‍f‍r‍i‍e‍d‍r‍i‍c‍e")</f>
        <v>i‍l‍o‍v‍e‍f‍r‍i‍e‍d‍r‍i‍c‍e</v>
      </c>
      <c r="N43" s="24"/>
      <c r="O43" s="24"/>
      <c r="P43" s="24"/>
      <c r="Q43" s="24"/>
      <c r="R43" s="24"/>
      <c r="S43" s="24"/>
      <c r="T43" s="24"/>
      <c r="U43" s="24"/>
      <c r="V43" s="24"/>
      <c r="W43" s="24"/>
      <c r="X43" s="24"/>
    </row>
    <row r="44">
      <c r="B44" s="17" t="b">
        <f>IFERROR(__xludf.DUMMYFUNCTION("""COMPUTED_VALUE"""),FALSE)</f>
        <v>0</v>
      </c>
      <c r="C44" s="18" t="str">
        <f>IFERROR(__xludf.DUMMYFUNCTION("""COMPUTED_VALUE"""),"Trip.com")</f>
        <v>Trip.com</v>
      </c>
      <c r="D44" s="5">
        <f>IFERROR(__xludf.DUMMYFUNCTION("""COMPUTED_VALUE"""),10.0)</f>
        <v>10</v>
      </c>
      <c r="E44" s="19">
        <f>IFERROR(__xludf.DUMMYFUNCTION("""COMPUTED_VALUE"""),46108.0)</f>
        <v>46108</v>
      </c>
      <c r="F44" s="5" t="str">
        <f>IFERROR(__xludf.DUMMYFUNCTION("""COMPUTED_VALUE"""),"Very good and interesting location and the great view of the city")</f>
        <v>Very good and interesting location and the great view of the city</v>
      </c>
      <c r="G44" s="5"/>
      <c r="H44" s="5"/>
      <c r="I44" s="5" t="str">
        <f>IFERROR(__xludf.DUMMYFUNCTION("""COMPUTED_VALUE"""),"立地が非常に良く、街の眺めも素晴らしい。")</f>
        <v>立地が非常に良く、街の眺めも素晴らしい。</v>
      </c>
      <c r="J44" s="5" t="str">
        <f>IFERROR(__xludf.DUMMYFUNCTION("""COMPUTED_VALUE"""),"")</f>
        <v/>
      </c>
      <c r="K44" s="24" t="str">
        <f>IFERROR(__xludf.DUMMYFUNCTION("""COMPUTED_VALUE"""),"")</f>
        <v/>
      </c>
      <c r="L44" s="24" t="str">
        <f>IFERROR(__xludf.DUMMYFUNCTION("""COMPUTED_VALUE"""),"A‍l‍e‍x‍e‍y‍ ‍P‍o‍l‍o‍v‍n‍i‍k‍o‍v")</f>
        <v>A‍l‍e‍x‍e‍y‍ ‍P‍o‍l‍o‍v‍n‍i‍k‍o‍v</v>
      </c>
      <c r="N44" s="24"/>
      <c r="O44" s="24"/>
      <c r="P44" s="24"/>
      <c r="Q44" s="24"/>
      <c r="R44" s="24"/>
      <c r="S44" s="24"/>
      <c r="T44" s="24"/>
      <c r="U44" s="24"/>
      <c r="V44" s="24"/>
      <c r="W44" s="24"/>
      <c r="X44" s="24"/>
    </row>
    <row r="45">
      <c r="B45" s="17" t="b">
        <f>IFERROR(__xludf.DUMMYFUNCTION("""COMPUTED_VALUE"""),FALSE)</f>
        <v>0</v>
      </c>
      <c r="C45" s="18" t="str">
        <f>IFERROR(__xludf.DUMMYFUNCTION("""COMPUTED_VALUE"""),"Booking.com")</f>
        <v>Booking.com</v>
      </c>
      <c r="D45" s="5">
        <f>IFERROR(__xludf.DUMMYFUNCTION("""COMPUTED_VALUE"""),10.0)</f>
        <v>10</v>
      </c>
      <c r="E45" s="19">
        <f>IFERROR(__xludf.DUMMYFUNCTION("""COMPUTED_VALUE"""),46108.0)</f>
        <v>46108</v>
      </c>
      <c r="F45" s="5"/>
      <c r="G45" s="5"/>
      <c r="H45" s="5"/>
      <c r="I45" s="5" t="str">
        <f>IFERROR(__xludf.DUMMYFUNCTION("""COMPUTED_VALUE"""),"")</f>
        <v/>
      </c>
      <c r="J45" s="5" t="str">
        <f>IFERROR(__xludf.DUMMYFUNCTION("""COMPUTED_VALUE"""),"")</f>
        <v/>
      </c>
      <c r="K45" s="24" t="str">
        <f>IFERROR(__xludf.DUMMYFUNCTION("""COMPUTED_VALUE"""),"")</f>
        <v/>
      </c>
      <c r="L45" s="24" t="str">
        <f>IFERROR(__xludf.DUMMYFUNCTION("""COMPUTED_VALUE"""),"佳萾")</f>
        <v>佳萾</v>
      </c>
      <c r="N45" s="24"/>
      <c r="O45" s="24"/>
      <c r="P45" s="24"/>
      <c r="Q45" s="24"/>
      <c r="R45" s="24"/>
      <c r="S45" s="24"/>
      <c r="T45" s="24"/>
      <c r="U45" s="24"/>
      <c r="V45" s="24"/>
      <c r="W45" s="24"/>
      <c r="X45" s="24"/>
    </row>
    <row r="46">
      <c r="B46" s="17" t="b">
        <f>IFERROR(__xludf.DUMMYFUNCTION("""COMPUTED_VALUE"""),FALSE)</f>
        <v>0</v>
      </c>
      <c r="C46" s="18" t="str">
        <f>IFERROR(__xludf.DUMMYFUNCTION("""COMPUTED_VALUE"""),"Booking.com")</f>
        <v>Booking.com</v>
      </c>
      <c r="D46" s="5">
        <f>IFERROR(__xludf.DUMMYFUNCTION("""COMPUTED_VALUE"""),10.0)</f>
        <v>10</v>
      </c>
      <c r="E46" s="19">
        <f>IFERROR(__xludf.DUMMYFUNCTION("""COMPUTED_VALUE"""),46108.0)</f>
        <v>46108</v>
      </c>
      <c r="F46" s="5"/>
      <c r="G46" s="5"/>
      <c r="H46" s="5"/>
      <c r="I46" s="5" t="str">
        <f>IFERROR(__xludf.DUMMYFUNCTION("""COMPUTED_VALUE"""),"")</f>
        <v/>
      </c>
      <c r="J46" s="5" t="str">
        <f>IFERROR(__xludf.DUMMYFUNCTION("""COMPUTED_VALUE"""),"")</f>
        <v/>
      </c>
      <c r="K46" s="24" t="str">
        <f>IFERROR(__xludf.DUMMYFUNCTION("""COMPUTED_VALUE"""),"")</f>
        <v/>
      </c>
      <c r="L46" s="24" t="str">
        <f>IFERROR(__xludf.DUMMYFUNCTION("""COMPUTED_VALUE"""),"Jade")</f>
        <v>Jade</v>
      </c>
      <c r="N46" s="24"/>
      <c r="O46" s="24"/>
      <c r="P46" s="24"/>
      <c r="Q46" s="24"/>
      <c r="R46" s="24"/>
      <c r="S46" s="24"/>
      <c r="T46" s="24"/>
      <c r="U46" s="24"/>
      <c r="V46" s="24"/>
      <c r="W46" s="24"/>
      <c r="X46" s="24"/>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IFERROR(__xludf.DUMMYFUNCTION("""COMPUTED_VALUE"""),46107.0)</f>
        <v>46107</v>
      </c>
      <c r="F47"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47" s="5"/>
      <c r="H47" s="5"/>
      <c r="I47"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47" s="5" t="str">
        <f>IFERROR(__xludf.DUMMYFUNCTION("""COMPUTED_VALUE"""),"")</f>
        <v/>
      </c>
      <c r="K47" s="24" t="str">
        <f>IFERROR(__xludf.DUMMYFUNCTION("""COMPUTED_VALUE"""),"")</f>
        <v/>
      </c>
      <c r="L47" s="24" t="str">
        <f>IFERROR(__xludf.DUMMYFUNCTION("""COMPUTED_VALUE"""),"ゲ‍ス‍ト")</f>
        <v>ゲ‍ス‍ト</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IFERROR(__xludf.DUMMYFUNCTION("""COMPUTED_VALUE"""),10.0)</f>
        <v>10</v>
      </c>
      <c r="E48" s="19">
        <f>IFERROR(__xludf.DUMMYFUNCTION("""COMPUTED_VALUE"""),46107.0)</f>
        <v>46107</v>
      </c>
      <c r="F48"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48" s="5"/>
      <c r="H48" s="5"/>
      <c r="I48"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48" s="5" t="str">
        <f>IFERROR(__xludf.DUMMYFUNCTION("""COMPUTED_VALUE"""),"")</f>
        <v/>
      </c>
      <c r="K48" s="24" t="str">
        <f>IFERROR(__xludf.DUMMYFUNCTION("""COMPUTED_VALUE"""),"")</f>
        <v/>
      </c>
      <c r="L48" s="24" t="str">
        <f>IFERROR(__xludf.DUMMYFUNCTION("""COMPUTED_VALUE"""),"ゲ‍ス‍ト")</f>
        <v>ゲ‍ス‍ト</v>
      </c>
      <c r="N48" s="24"/>
      <c r="O48" s="24"/>
      <c r="P48" s="24"/>
      <c r="Q48" s="24"/>
      <c r="R48" s="24"/>
      <c r="S48" s="24"/>
      <c r="T48" s="24"/>
      <c r="U48" s="24"/>
      <c r="V48" s="24"/>
      <c r="W48" s="24"/>
      <c r="X48" s="24"/>
    </row>
    <row r="49">
      <c r="B49" s="17" t="b">
        <f>IFERROR(__xludf.DUMMYFUNCTION("""COMPUTED_VALUE"""),FALSE)</f>
        <v>0</v>
      </c>
      <c r="C49" s="18" t="str">
        <f>IFERROR(__xludf.DUMMYFUNCTION("""COMPUTED_VALUE"""),"Trip.com")</f>
        <v>Trip.com</v>
      </c>
      <c r="D49" s="5">
        <f>IFERROR(__xludf.DUMMYFUNCTION("""COMPUTED_VALUE"""),10.0)</f>
        <v>10</v>
      </c>
      <c r="E49" s="19">
        <f>IFERROR(__xludf.DUMMYFUNCTION("""COMPUTED_VALUE"""),46107.0)</f>
        <v>46107</v>
      </c>
      <c r="F49"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49" s="5"/>
      <c r="H49" s="5"/>
      <c r="I49"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49" s="5" t="str">
        <f>IFERROR(__xludf.DUMMYFUNCTION("""COMPUTED_VALUE"""),"")</f>
        <v/>
      </c>
      <c r="K49" s="24" t="str">
        <f>IFERROR(__xludf.DUMMYFUNCTION("""COMPUTED_VALUE"""),"")</f>
        <v/>
      </c>
      <c r="L49" s="24" t="str">
        <f>IFERROR(__xludf.DUMMYFUNCTION("""COMPUTED_VALUE"""),"匿‍名‍ユ‍ー‍ザ‍ー")</f>
        <v>匿‍名‍ユ‍ー‍ザ‍ー</v>
      </c>
      <c r="N49" s="24"/>
      <c r="O49" s="24"/>
      <c r="P49" s="24"/>
      <c r="Q49" s="24"/>
      <c r="R49" s="24"/>
      <c r="S49" s="24"/>
      <c r="T49" s="24"/>
      <c r="U49" s="24"/>
      <c r="V49" s="24"/>
      <c r="W49" s="24"/>
      <c r="X49" s="24"/>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IFERROR(__xludf.DUMMYFUNCTION("""COMPUTED_VALUE"""),46107.0)</f>
        <v>46107</v>
      </c>
      <c r="F50" s="5"/>
      <c r="G50" s="5"/>
      <c r="H50" s="5"/>
      <c r="I50" s="5" t="str">
        <f>IFERROR(__xludf.DUMMYFUNCTION("""COMPUTED_VALUE"""),"")</f>
        <v/>
      </c>
      <c r="J50" s="5" t="str">
        <f>IFERROR(__xludf.DUMMYFUNCTION("""COMPUTED_VALUE"""),"")</f>
        <v/>
      </c>
      <c r="K50" s="24" t="str">
        <f>IFERROR(__xludf.DUMMYFUNCTION("""COMPUTED_VALUE"""),"")</f>
        <v/>
      </c>
      <c r="L50" s="24" t="str">
        <f>IFERROR(__xludf.DUMMYFUNCTION("""COMPUTED_VALUE"""),"Liyu")</f>
        <v>Liyu</v>
      </c>
      <c r="N50" s="24"/>
      <c r="O50" s="24"/>
      <c r="P50" s="24"/>
      <c r="Q50" s="24"/>
      <c r="R50" s="24"/>
      <c r="S50" s="24"/>
      <c r="T50" s="24"/>
      <c r="U50" s="24"/>
      <c r="V50" s="24"/>
      <c r="W50" s="24"/>
      <c r="X50" s="24"/>
    </row>
    <row r="51">
      <c r="B51" s="17" t="b">
        <f>IFERROR(__xludf.DUMMYFUNCTION("""COMPUTED_VALUE"""),FALSE)</f>
        <v>0</v>
      </c>
      <c r="C51" s="18" t="str">
        <f>IFERROR(__xludf.DUMMYFUNCTION("""COMPUTED_VALUE"""),"Trip.com")</f>
        <v>Trip.com</v>
      </c>
      <c r="D51" s="5">
        <f>IFERROR(__xludf.DUMMYFUNCTION("""COMPUTED_VALUE"""),9.0)</f>
        <v>9</v>
      </c>
      <c r="E51" s="19">
        <f>IFERROR(__xludf.DUMMYFUNCTION("""COMPUTED_VALUE"""),46107.0)</f>
        <v>46107</v>
      </c>
      <c r="F5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51" s="5"/>
      <c r="H51" s="5"/>
      <c r="I5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51" s="5" t="str">
        <f>IFERROR(__xludf.DUMMYFUNCTION("""COMPUTED_VALUE"""),"")</f>
        <v/>
      </c>
      <c r="K51" s="24" t="str">
        <f>IFERROR(__xludf.DUMMYFUNCTION("""COMPUTED_VALUE"""),"")</f>
        <v/>
      </c>
      <c r="L51" s="24" t="str">
        <f>IFERROR(__xludf.DUMMYFUNCTION("""COMPUTED_VALUE"""),"み‍ゆ‍か")</f>
        <v>み‍ゆ‍か</v>
      </c>
      <c r="N51" s="24"/>
      <c r="O51" s="24"/>
      <c r="P51" s="24"/>
      <c r="Q51" s="24"/>
      <c r="R51" s="24"/>
      <c r="S51" s="24"/>
      <c r="T51" s="24"/>
      <c r="U51" s="24"/>
      <c r="V51" s="24"/>
      <c r="W51" s="24"/>
      <c r="X51" s="24"/>
    </row>
    <row r="52">
      <c r="B52" s="17" t="b">
        <f>IFERROR(__xludf.DUMMYFUNCTION("""COMPUTED_VALUE"""),FALSE)</f>
        <v>0</v>
      </c>
      <c r="C52" s="24" t="str">
        <f>IFERROR(__xludf.DUMMYFUNCTION("""COMPUTED_VALUE"""),"Google")</f>
        <v>Google</v>
      </c>
      <c r="D52" s="5">
        <f>IFERROR(__xludf.DUMMYFUNCTION("""COMPUTED_VALUE"""),5.0)</f>
        <v>5</v>
      </c>
      <c r="E52" s="19">
        <f>IFERROR(__xludf.DUMMYFUNCTION("""COMPUTED_VALUE"""),46106.0)</f>
        <v>46106</v>
      </c>
      <c r="F5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52" s="5"/>
      <c r="H52" s="5"/>
      <c r="I5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2" s="5" t="str">
        <f>IFERROR(__xludf.DUMMYFUNCTION("""COMPUTED_VALUE"""),"")</f>
        <v/>
      </c>
      <c r="K52" s="24" t="str">
        <f>IFERROR(__xludf.DUMMYFUNCTION("""COMPUTED_VALUE"""),"")</f>
        <v/>
      </c>
      <c r="L52" s="24" t="str">
        <f>IFERROR(__xludf.DUMMYFUNCTION("""COMPUTED_VALUE"""),"Muay Arandyarak")</f>
        <v>Muay Arandyarak</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IFERROR(__xludf.DUMMYFUNCTION("""COMPUTED_VALUE"""),46106.0)</f>
        <v>46106</v>
      </c>
      <c r="F53"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53" s="5"/>
      <c r="H53" s="5"/>
      <c r="I53"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東京旅行中の宿泊先を探している方には、ぜひおすすめします！^_^</v>
      </c>
      <c r="J53" s="5" t="str">
        <f>IFERROR(__xludf.DUMMYFUNCTION("""COMPUTED_VALUE"""),"")</f>
        <v/>
      </c>
      <c r="K53" s="24" t="str">
        <f>IFERROR(__xludf.DUMMYFUNCTION("""COMPUTED_VALUE"""),"")</f>
        <v/>
      </c>
      <c r="L53" s="24" t="str">
        <f>IFERROR(__xludf.DUMMYFUNCTION("""COMPUTED_VALUE"""),"A‍m‍y‍ ‍ ‍Ł‍î‍a‍o")</f>
        <v>A‍m‍y‍ ‍ ‍Ł‍î‍a‍o</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IFERROR(__xludf.DUMMYFUNCTION("""COMPUTED_VALUE"""),7.0)</f>
        <v>7</v>
      </c>
      <c r="E54" s="19">
        <f>IFERROR(__xludf.DUMMYFUNCTION("""COMPUTED_VALUE"""),46106.0)</f>
        <v>46106</v>
      </c>
      <c r="F54" s="5" t="str">
        <f>IFERROR(__xludf.DUMMYFUNCTION("""COMPUTED_VALUE"""),"気持ちよく利用できました")</f>
        <v>気持ちよく利用できました</v>
      </c>
      <c r="G54" s="5"/>
      <c r="H54" s="5"/>
      <c r="I54" s="5" t="str">
        <f>IFERROR(__xludf.DUMMYFUNCTION("""COMPUTED_VALUE"""),"気持ちよく利用できました")</f>
        <v>気持ちよく利用できました</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IFERROR(__xludf.DUMMYFUNCTION("""COMPUTED_VALUE"""),10.0)</f>
        <v>10</v>
      </c>
      <c r="E55" s="19">
        <f>IFERROR(__xludf.DUMMYFUNCTION("""COMPUTED_VALUE"""),46106.0)</f>
        <v>46106</v>
      </c>
      <c r="F55" s="5"/>
      <c r="G55" s="5" t="str">
        <f>IFERROR(__xludf.DUMMYFUNCTION("""COMPUTED_VALUE"""),"La proximité avec la gare, Le petit déjeuner, L'accueil et la gentillesse du personnel")</f>
        <v>La proximité avec la gare, Le petit déjeuner, L'accueil et la gentillesse du personnel</v>
      </c>
      <c r="H55" s="5"/>
      <c r="I55" s="5" t="str">
        <f>IFERROR(__xludf.DUMMYFUNCTION("""COMPUTED_VALUE"""),"")</f>
        <v/>
      </c>
      <c r="J55" s="5" t="str">
        <f>IFERROR(__xludf.DUMMYFUNCTION("""COMPUTED_VALUE"""),"駅に近いこと、朝食、スタッフの温かい歓迎と親切さ")</f>
        <v>駅に近いこと、朝食、スタッフの温かい歓迎と親切さ</v>
      </c>
      <c r="K55" s="24" t="str">
        <f>IFERROR(__xludf.DUMMYFUNCTION("""COMPUTED_VALUE"""),"")</f>
        <v/>
      </c>
      <c r="L55" s="24" t="str">
        <f>IFERROR(__xludf.DUMMYFUNCTION("""COMPUTED_VALUE"""),"Thomas")</f>
        <v>Thomas</v>
      </c>
      <c r="N55" s="24"/>
      <c r="O55" s="24"/>
      <c r="P55" s="24"/>
      <c r="Q55" s="24"/>
      <c r="R55" s="24"/>
      <c r="S55" s="24"/>
      <c r="T55" s="24"/>
      <c r="U55" s="24"/>
      <c r="V55" s="24"/>
      <c r="W55" s="24"/>
      <c r="X55" s="24"/>
    </row>
    <row r="56">
      <c r="B56" s="17" t="b">
        <f>IFERROR(__xludf.DUMMYFUNCTION("""COMPUTED_VALUE"""),FALSE)</f>
        <v>0</v>
      </c>
      <c r="C56" s="24" t="str">
        <f>IFERROR(__xludf.DUMMYFUNCTION("""COMPUTED_VALUE"""),"Google")</f>
        <v>Google</v>
      </c>
      <c r="D56" s="5">
        <f>IFERROR(__xludf.DUMMYFUNCTION("""COMPUTED_VALUE"""),5.0)</f>
        <v>5</v>
      </c>
      <c r="E56" s="19">
        <f>IFERROR(__xludf.DUMMYFUNCTION("""COMPUTED_VALUE"""),46106.0)</f>
        <v>46106</v>
      </c>
      <c r="F56"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56" s="5"/>
      <c r="H56" s="5"/>
      <c r="I5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6" s="5" t="str">
        <f>IFERROR(__xludf.DUMMYFUNCTION("""COMPUTED_VALUE"""),"")</f>
        <v/>
      </c>
      <c r="K56" s="24" t="str">
        <f>IFERROR(__xludf.DUMMYFUNCTION("""COMPUTED_VALUE"""),"")</f>
        <v/>
      </c>
      <c r="L56" s="24" t="str">
        <f>IFERROR(__xludf.DUMMYFUNCTION("""COMPUTED_VALUE"""),"Muay Arandyarak")</f>
        <v>Muay Arandyarak</v>
      </c>
      <c r="N56" s="24"/>
      <c r="O56" s="24"/>
      <c r="P56" s="24"/>
      <c r="Q56" s="24"/>
      <c r="R56" s="24"/>
      <c r="S56" s="24"/>
      <c r="T56" s="24"/>
      <c r="U56" s="24"/>
      <c r="V56" s="24"/>
      <c r="W56" s="24"/>
      <c r="X56" s="24"/>
    </row>
    <row r="57">
      <c r="B57" s="17" t="b">
        <f>IFERROR(__xludf.DUMMYFUNCTION("""COMPUTED_VALUE"""),FALSE)</f>
        <v>0</v>
      </c>
      <c r="C57" s="18" t="str">
        <f>IFERROR(__xludf.DUMMYFUNCTION("""COMPUTED_VALUE"""),"Booking.com")</f>
        <v>Booking.com</v>
      </c>
      <c r="D57" s="5">
        <f>IFERROR(__xludf.DUMMYFUNCTION("""COMPUTED_VALUE"""),10.0)</f>
        <v>10</v>
      </c>
      <c r="E57" s="19">
        <f>IFERROR(__xludf.DUMMYFUNCTION("""COMPUTED_VALUE"""),46105.0)</f>
        <v>46105</v>
      </c>
      <c r="F57" s="5"/>
      <c r="G57"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57" s="5"/>
      <c r="I57" s="5" t="str">
        <f>IFERROR(__xludf.DUMMYFUNCTION("""COMPUTED_VALUE"""),"")</f>
        <v/>
      </c>
      <c r="J57"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57" s="24" t="str">
        <f>IFERROR(__xludf.DUMMYFUNCTION("""COMPUTED_VALUE"""),"")</f>
        <v/>
      </c>
      <c r="L57" s="24" t="str">
        <f>IFERROR(__xludf.DUMMYFUNCTION("""COMPUTED_VALUE"""),"Aleksandr")</f>
        <v>Aleksandr</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IFERROR(__xludf.DUMMYFUNCTION("""COMPUTED_VALUE"""),10.0)</f>
        <v>10</v>
      </c>
      <c r="E58" s="19">
        <f>IFERROR(__xludf.DUMMYFUNCTION("""COMPUTED_VALUE"""),46105.0)</f>
        <v>46105</v>
      </c>
      <c r="F58" s="5"/>
      <c r="G58" s="5"/>
      <c r="H58" s="5"/>
      <c r="I58" s="5" t="str">
        <f>IFERROR(__xludf.DUMMYFUNCTION("""COMPUTED_VALUE"""),"")</f>
        <v/>
      </c>
      <c r="J58" s="5" t="str">
        <f>IFERROR(__xludf.DUMMYFUNCTION("""COMPUTED_VALUE"""),"")</f>
        <v/>
      </c>
      <c r="K58" s="24" t="str">
        <f>IFERROR(__xludf.DUMMYFUNCTION("""COMPUTED_VALUE"""),"")</f>
        <v/>
      </c>
      <c r="L58" s="24" t="str">
        <f>IFERROR(__xludf.DUMMYFUNCTION("""COMPUTED_VALUE"""),"江口")</f>
        <v>江口</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IFERROR(__xludf.DUMMYFUNCTION("""COMPUTED_VALUE"""),46104.0)</f>
        <v>46104</v>
      </c>
      <c r="F59" s="5" t="str">
        <f>IFERROR(__xludf.DUMMYFUNCTION("""COMPUTED_VALUE"""),"酒店員工服務態度良好，房間乾淨企理。整體不錯。")</f>
        <v>酒店員工服務態度良好，房間乾淨企理。整體不錯。</v>
      </c>
      <c r="G59" s="24"/>
      <c r="H59" s="5"/>
      <c r="I59"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IFERROR(__xludf.DUMMYFUNCTION("""COMPUTED_VALUE"""),"Booking.com")</f>
        <v>Booking.com</v>
      </c>
      <c r="D60" s="5">
        <f>IFERROR(__xludf.DUMMYFUNCTION("""COMPUTED_VALUE"""),9.0)</f>
        <v>9</v>
      </c>
      <c r="E60" s="19">
        <f>IFERROR(__xludf.DUMMYFUNCTION("""COMPUTED_VALUE"""),46104.0)</f>
        <v>46104</v>
      </c>
      <c r="F60" s="5"/>
      <c r="G60" s="24" t="str">
        <f>IFERROR(__xludf.DUMMYFUNCTION("""COMPUTED_VALUE"""),"部屋が広い、風呂が洗い場が別で、使い良い")</f>
        <v>部屋が広い、風呂が洗い場が別で、使い良い</v>
      </c>
      <c r="H60" s="5" t="str">
        <f>IFERROR(__xludf.DUMMYFUNCTION("""COMPUTED_VALUE"""),"無し")</f>
        <v>無し</v>
      </c>
      <c r="I60" s="5" t="str">
        <f>IFERROR(__xludf.DUMMYFUNCTION("""COMPUTED_VALUE"""),"")</f>
        <v/>
      </c>
      <c r="J60" s="5" t="str">
        <f>IFERROR(__xludf.DUMMYFUNCTION("""COMPUTED_VALUE"""),"部屋が広い、風呂が洗い場が別で、使い良い")</f>
        <v>部屋が広い、風呂が洗い場が別で、使い良い</v>
      </c>
      <c r="K60" s="24" t="str">
        <f>IFERROR(__xludf.DUMMYFUNCTION("""COMPUTED_VALUE"""),"無し")</f>
        <v>無し</v>
      </c>
      <c r="L60" s="24" t="str">
        <f>IFERROR(__xludf.DUMMYFUNCTION("""COMPUTED_VALUE"""),"Seiichi")</f>
        <v>Seiichi</v>
      </c>
      <c r="N60" s="24"/>
      <c r="O60" s="24"/>
      <c r="P60" s="24"/>
      <c r="Q60" s="24"/>
      <c r="R60" s="24"/>
      <c r="S60" s="24"/>
      <c r="T60" s="24"/>
      <c r="U60" s="24"/>
      <c r="V60" s="24"/>
      <c r="W60" s="24"/>
      <c r="X60" s="24"/>
    </row>
    <row r="61">
      <c r="B61" s="24" t="b">
        <f>IFERROR(__xludf.DUMMYFUNCTION("""COMPUTED_VALUE"""),FALSE)</f>
        <v>0</v>
      </c>
      <c r="C61" s="18" t="str">
        <f>IFERROR(__xludf.DUMMYFUNCTION("""COMPUTED_VALUE"""),"Booking.com")</f>
        <v>Booking.com</v>
      </c>
      <c r="D61" s="5">
        <f>IFERROR(__xludf.DUMMYFUNCTION("""COMPUTED_VALUE"""),8.0)</f>
        <v>8</v>
      </c>
      <c r="E61" s="19">
        <f>IFERROR(__xludf.DUMMYFUNCTION("""COMPUTED_VALUE"""),46104.0)</f>
        <v>46104</v>
      </c>
      <c r="F61" s="5"/>
      <c r="G61" s="24" t="str">
        <f>IFERROR(__xludf.DUMMYFUNCTION("""COMPUTED_VALUE"""),"お風呂場が広くて快適だった。")</f>
        <v>お風呂場が広くて快適だった。</v>
      </c>
      <c r="H61" s="5" t="str">
        <f>IFERROR(__xludf.DUMMYFUNCTION("""COMPUTED_VALUE"""),"特になし")</f>
        <v>特になし</v>
      </c>
      <c r="I61" s="5" t="str">
        <f>IFERROR(__xludf.DUMMYFUNCTION("""COMPUTED_VALUE"""),"")</f>
        <v/>
      </c>
      <c r="J61" s="5" t="str">
        <f>IFERROR(__xludf.DUMMYFUNCTION("""COMPUTED_VALUE"""),"お風呂場が広くて快適だった。")</f>
        <v>お風呂場が広くて快適だった。</v>
      </c>
      <c r="K61" s="24" t="str">
        <f>IFERROR(__xludf.DUMMYFUNCTION("""COMPUTED_VALUE"""),"特になし")</f>
        <v>特になし</v>
      </c>
      <c r="L61" s="24" t="str">
        <f>IFERROR(__xludf.DUMMYFUNCTION("""COMPUTED_VALUE"""),"H")</f>
        <v>H</v>
      </c>
      <c r="N61" s="24"/>
      <c r="O61" s="24"/>
      <c r="P61" s="24"/>
      <c r="Q61" s="24"/>
      <c r="R61" s="24"/>
      <c r="S61" s="24"/>
      <c r="T61" s="24"/>
      <c r="U61" s="24"/>
      <c r="V61" s="24"/>
      <c r="W61" s="24"/>
      <c r="X61" s="24"/>
    </row>
    <row r="62">
      <c r="B62" s="24" t="b">
        <f>IFERROR(__xludf.DUMMYFUNCTION("""COMPUTED_VALUE"""),FALSE)</f>
        <v>0</v>
      </c>
      <c r="C62" s="18" t="str">
        <f>IFERROR(__xludf.DUMMYFUNCTION("""COMPUTED_VALUE"""),"Booking.com")</f>
        <v>Booking.com</v>
      </c>
      <c r="D62" s="5">
        <f>IFERROR(__xludf.DUMMYFUNCTION("""COMPUTED_VALUE"""),9.0)</f>
        <v>9</v>
      </c>
      <c r="E62" s="19">
        <f>IFERROR(__xludf.DUMMYFUNCTION("""COMPUTED_VALUE"""),46104.0)</f>
        <v>46104</v>
      </c>
      <c r="F62" s="5"/>
      <c r="G62" s="24"/>
      <c r="H62" s="5"/>
      <c r="I62" s="5" t="str">
        <f>IFERROR(__xludf.DUMMYFUNCTION("""COMPUTED_VALUE"""),"")</f>
        <v/>
      </c>
      <c r="J62" s="5" t="str">
        <f>IFERROR(__xludf.DUMMYFUNCTION("""COMPUTED_VALUE"""),"")</f>
        <v/>
      </c>
      <c r="K62" s="24" t="str">
        <f>IFERROR(__xludf.DUMMYFUNCTION("""COMPUTED_VALUE"""),"")</f>
        <v/>
      </c>
      <c r="L62" s="24" t="str">
        <f>IFERROR(__xludf.DUMMYFUNCTION("""COMPUTED_VALUE"""),"Kc")</f>
        <v>Kc</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IFERROR(__xludf.DUMMYFUNCTION("""COMPUTED_VALUE"""),8.0)</f>
        <v>8</v>
      </c>
      <c r="E63" s="19">
        <f>IFERROR(__xludf.DUMMYFUNCTION("""COMPUTED_VALUE"""),46103.0)</f>
        <v>46103</v>
      </c>
      <c r="F63"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63" s="24"/>
      <c r="H63" s="5"/>
      <c r="I63"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63" s="5" t="str">
        <f>IFERROR(__xludf.DUMMYFUNCTION("""COMPUTED_VALUE"""),"")</f>
        <v/>
      </c>
      <c r="K63" s="24" t="str">
        <f>IFERROR(__xludf.DUMMYFUNCTION("""COMPUTED_VALUE"""),"")</f>
        <v/>
      </c>
      <c r="L63" s="24" t="str">
        <f>IFERROR(__xludf.DUMMYFUNCTION("""COMPUTED_VALUE"""),"O‍w‍s‍ ‍O‍w‍l‍s")</f>
        <v>O‍w‍s‍ ‍O‍w‍l‍s</v>
      </c>
      <c r="N63" s="24"/>
      <c r="O63" s="24"/>
      <c r="P63" s="24"/>
      <c r="Q63" s="24"/>
      <c r="R63" s="24"/>
      <c r="S63" s="24"/>
      <c r="T63" s="24"/>
      <c r="U63" s="24"/>
      <c r="V63" s="24"/>
      <c r="W63" s="24"/>
      <c r="X63" s="24"/>
    </row>
    <row r="64">
      <c r="B64" s="24" t="b">
        <f>IFERROR(__xludf.DUMMYFUNCTION("""COMPUTED_VALUE"""),FALSE)</f>
        <v>0</v>
      </c>
      <c r="C64" s="18" t="str">
        <f>IFERROR(__xludf.DUMMYFUNCTION("""COMPUTED_VALUE"""),"Booking.com")</f>
        <v>Booking.com</v>
      </c>
      <c r="D64" s="5">
        <f>IFERROR(__xludf.DUMMYFUNCTION("""COMPUTED_VALUE"""),10.0)</f>
        <v>10</v>
      </c>
      <c r="E64" s="19">
        <f>IFERROR(__xludf.DUMMYFUNCTION("""COMPUTED_VALUE"""),46103.0)</f>
        <v>46103</v>
      </c>
      <c r="F64" s="5"/>
      <c r="G64"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64" s="5"/>
      <c r="I64" s="5" t="str">
        <f>IFERROR(__xludf.DUMMYFUNCTION("""COMPUTED_VALUE"""),"")</f>
        <v/>
      </c>
      <c r="J64"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64" s="24" t="str">
        <f>IFERROR(__xludf.DUMMYFUNCTION("""COMPUTED_VALUE"""),"")</f>
        <v/>
      </c>
      <c r="L64" s="24" t="str">
        <f>IFERROR(__xludf.DUMMYFUNCTION("""COMPUTED_VALUE"""),"Celia")</f>
        <v>Celia</v>
      </c>
      <c r="N64" s="24"/>
      <c r="O64" s="24"/>
      <c r="P64" s="24"/>
      <c r="Q64" s="24"/>
      <c r="R64" s="24"/>
      <c r="S64" s="24"/>
      <c r="T64" s="24"/>
      <c r="U64" s="24"/>
      <c r="V64" s="24"/>
      <c r="W64" s="24"/>
      <c r="X64" s="24"/>
    </row>
    <row r="65">
      <c r="B65" s="24" t="b">
        <f>IFERROR(__xludf.DUMMYFUNCTION("""COMPUTED_VALUE"""),FALSE)</f>
        <v>0</v>
      </c>
      <c r="C65" s="24" t="str">
        <f>IFERROR(__xludf.DUMMYFUNCTION("""COMPUTED_VALUE"""),"Google")</f>
        <v>Google</v>
      </c>
      <c r="D65" s="5">
        <f>IFERROR(__xludf.DUMMYFUNCTION("""COMPUTED_VALUE"""),5.0)</f>
        <v>5</v>
      </c>
      <c r="E65" s="19">
        <f>IFERROR(__xludf.DUMMYFUNCTION("""COMPUTED_VALUE"""),46103.0)</f>
        <v>46103</v>
      </c>
      <c r="F65" s="5" t="str">
        <f>IFERROR(__xludf.DUMMYFUNCTION("""COMPUTED_VALUE"""),"駅やショッピングエリアからはまだ少し距離があります。")</f>
        <v>駅やショッピングエリアからはまだ少し距離があります。</v>
      </c>
      <c r="G65" s="24"/>
      <c r="H65" s="5"/>
      <c r="I65" s="5" t="str">
        <f>IFERROR(__xludf.DUMMYFUNCTION("""COMPUTED_VALUE"""),"駅やショッピングエリアからはまだ少し距離があります。")</f>
        <v>駅やショッピングエリアからはまだ少し距離があります。</v>
      </c>
      <c r="J65" s="5" t="str">
        <f>IFERROR(__xludf.DUMMYFUNCTION("""COMPUTED_VALUE"""),"")</f>
        <v/>
      </c>
      <c r="K65" s="24" t="str">
        <f>IFERROR(__xludf.DUMMYFUNCTION("""COMPUTED_VALUE"""),"")</f>
        <v/>
      </c>
      <c r="L65" s="24" t="str">
        <f>IFERROR(__xludf.DUMMYFUNCTION("""COMPUTED_VALUE"""),"Aj KouNaMi")</f>
        <v>Aj KouNaMi</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IFERROR(__xludf.DUMMYFUNCTION("""COMPUTED_VALUE"""),9.0)</f>
        <v>9</v>
      </c>
      <c r="E66" s="19">
        <f>IFERROR(__xludf.DUMMYFUNCTION("""COMPUTED_VALUE"""),46103.0)</f>
        <v>46103</v>
      </c>
      <c r="F66"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66" s="24"/>
      <c r="H66" s="5"/>
      <c r="I66"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66" s="5" t="str">
        <f>IFERROR(__xludf.DUMMYFUNCTION("""COMPUTED_VALUE"""),"")</f>
        <v/>
      </c>
      <c r="K66" s="24" t="str">
        <f>IFERROR(__xludf.DUMMYFUNCTION("""COMPUTED_VALUE"""),"")</f>
        <v/>
      </c>
      <c r="L66" s="24" t="str">
        <f>IFERROR(__xludf.DUMMYFUNCTION("""COMPUTED_VALUE"""),"A‍n‍n‍(‍*‍¯‍︶‍¯‍*‍)")</f>
        <v>A‍n‍n‍(‍*‍¯‍︶‍¯‍*‍)</v>
      </c>
      <c r="N66" s="24"/>
      <c r="O66" s="24"/>
      <c r="P66" s="24"/>
      <c r="Q66" s="24"/>
      <c r="R66" s="24"/>
      <c r="S66" s="24"/>
      <c r="T66" s="24"/>
      <c r="U66" s="24"/>
      <c r="V66" s="24"/>
      <c r="W66" s="24"/>
      <c r="X66" s="24"/>
    </row>
    <row r="67">
      <c r="B67" s="24" t="b">
        <f>IFERROR(__xludf.DUMMYFUNCTION("""COMPUTED_VALUE"""),FALSE)</f>
        <v>0</v>
      </c>
      <c r="C67" s="24" t="str">
        <f>IFERROR(__xludf.DUMMYFUNCTION("""COMPUTED_VALUE"""),"Google")</f>
        <v>Google</v>
      </c>
      <c r="D67" s="5">
        <f>IFERROR(__xludf.DUMMYFUNCTION("""COMPUTED_VALUE"""),5.0)</f>
        <v>5</v>
      </c>
      <c r="E67" s="19">
        <f>IFERROR(__xludf.DUMMYFUNCTION("""COMPUTED_VALUE"""),46103.0)</f>
        <v>46103</v>
      </c>
      <c r="F67" s="5" t="str">
        <f>IFERROR(__xludf.DUMMYFUNCTION("""COMPUTED_VALUE"""),"距離車站還有逛街地點還是有點距離")</f>
        <v>距離車站還有逛街地點還是有點距離</v>
      </c>
      <c r="G67" s="24"/>
      <c r="H67" s="5"/>
      <c r="I67" s="5" t="str">
        <f>IFERROR(__xludf.DUMMYFUNCTION("""COMPUTED_VALUE"""),"駅やショッピングエリアからはまだ少し距離があります。")</f>
        <v>駅やショッピングエリアからはまだ少し距離があります。</v>
      </c>
      <c r="J67" s="5" t="str">
        <f>IFERROR(__xludf.DUMMYFUNCTION("""COMPUTED_VALUE"""),"")</f>
        <v/>
      </c>
      <c r="K67" s="24" t="str">
        <f>IFERROR(__xludf.DUMMYFUNCTION("""COMPUTED_VALUE"""),"")</f>
        <v/>
      </c>
      <c r="L67" s="24" t="str">
        <f>IFERROR(__xludf.DUMMYFUNCTION("""COMPUTED_VALUE"""),"Aj KouNaMi")</f>
        <v>Aj KouNaMi</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IFERROR(__xludf.DUMMYFUNCTION("""COMPUTED_VALUE"""),9.0)</f>
        <v>9</v>
      </c>
      <c r="E68" s="19">
        <f>IFERROR(__xludf.DUMMYFUNCTION("""COMPUTED_VALUE"""),46102.0)</f>
        <v>46102</v>
      </c>
      <c r="F68"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68" s="24"/>
      <c r="H68" s="5"/>
      <c r="I68"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68" s="5" t="str">
        <f>IFERROR(__xludf.DUMMYFUNCTION("""COMPUTED_VALUE"""),"")</f>
        <v/>
      </c>
      <c r="K68" s="24" t="str">
        <f>IFERROR(__xludf.DUMMYFUNCTION("""COMPUTED_VALUE"""),"")</f>
        <v/>
      </c>
      <c r="L68" s="24" t="str">
        <f>IFERROR(__xludf.DUMMYFUNCTION("""COMPUTED_VALUE"""),"ゲ‍ス‍ト")</f>
        <v>ゲ‍ス‍ト</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IFERROR(__xludf.DUMMYFUNCTION("""COMPUTED_VALUE"""),46102.0)</f>
        <v>46102</v>
      </c>
      <c r="F69"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69" s="24"/>
      <c r="H69" s="5"/>
      <c r="I69"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69" s="5" t="str">
        <f>IFERROR(__xludf.DUMMYFUNCTION("""COMPUTED_VALUE"""),"")</f>
        <v/>
      </c>
      <c r="K69" s="24" t="str">
        <f>IFERROR(__xludf.DUMMYFUNCTION("""COMPUTED_VALUE"""),"")</f>
        <v/>
      </c>
      <c r="L69" s="24" t="str">
        <f>IFERROR(__xludf.DUMMYFUNCTION("""COMPUTED_VALUE"""),"ゲ‍ス‍ト")</f>
        <v>ゲ‍ス‍ト</v>
      </c>
      <c r="N69" s="24"/>
      <c r="O69" s="24"/>
      <c r="P69" s="24"/>
      <c r="Q69" s="24"/>
      <c r="R69" s="24"/>
      <c r="S69" s="24"/>
      <c r="T69" s="24"/>
      <c r="U69" s="24"/>
      <c r="V69" s="24"/>
      <c r="W69" s="24"/>
      <c r="X69" s="24"/>
    </row>
    <row r="70">
      <c r="B70" s="24" t="b">
        <f>IFERROR(__xludf.DUMMYFUNCTION("""COMPUTED_VALUE"""),FALSE)</f>
        <v>0</v>
      </c>
      <c r="C70" s="18" t="str">
        <f>IFERROR(__xludf.DUMMYFUNCTION("""COMPUTED_VALUE"""),"Trip.com")</f>
        <v>Trip.com</v>
      </c>
      <c r="D70" s="5">
        <f>IFERROR(__xludf.DUMMYFUNCTION("""COMPUTED_VALUE"""),10.0)</f>
        <v>10</v>
      </c>
      <c r="E70" s="19">
        <f>IFERROR(__xludf.DUMMYFUNCTION("""COMPUTED_VALUE"""),46101.0)</f>
        <v>46101</v>
      </c>
      <c r="F70" s="5" t="str">
        <f>IFERROR(__xludf.DUMMYFUNCTION("""COMPUTED_VALUE"""),"房間大 乾淨 有乾濕分離")</f>
        <v>房間大 乾淨 有乾濕分離</v>
      </c>
      <c r="G70" s="24"/>
      <c r="H70" s="5"/>
      <c r="I70" s="5" t="str">
        <f>IFERROR(__xludf.DUMMYFUNCTION("""COMPUTED_VALUE"""),"部屋は広くて清潔で、濡れた場所と乾いた場所が分かれている。")</f>
        <v>部屋は広くて清潔で、濡れた場所と乾いた場所が分かれている。</v>
      </c>
      <c r="J70" s="5" t="str">
        <f>IFERROR(__xludf.DUMMYFUNCTION("""COMPUTED_VALUE"""),"")</f>
        <v/>
      </c>
      <c r="K70" s="24" t="str">
        <f>IFERROR(__xludf.DUMMYFUNCTION("""COMPUTED_VALUE"""),"")</f>
        <v/>
      </c>
      <c r="L70" s="24" t="str">
        <f>IFERROR(__xludf.DUMMYFUNCTION("""COMPUTED_VALUE"""),"ゲ‍ス‍ト")</f>
        <v>ゲ‍ス‍ト</v>
      </c>
      <c r="N70" s="24"/>
      <c r="O70" s="24"/>
      <c r="P70" s="24"/>
      <c r="Q70" s="24"/>
      <c r="R70" s="24"/>
      <c r="S70" s="24"/>
      <c r="T70" s="24"/>
      <c r="U70" s="24"/>
      <c r="V70" s="24"/>
      <c r="W70" s="24"/>
      <c r="X70" s="24"/>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IFERROR(__xludf.DUMMYFUNCTION("""COMPUTED_VALUE"""),46101.0)</f>
        <v>46101</v>
      </c>
      <c r="F71" s="5" t="str">
        <f>IFERROR(__xludf.DUMMYFUNCTION("""COMPUTED_VALUE"""),"Perfect location and room size for a family of 4. Highly recommended")</f>
        <v>Perfect location and room size for a family of 4. Highly recommended</v>
      </c>
      <c r="G71" s="24"/>
      <c r="H71" s="5"/>
      <c r="I71" s="5" t="str">
        <f>IFERROR(__xludf.DUMMYFUNCTION("""COMPUTED_VALUE"""),"4人家族に最適な立地と部屋の広さ。非常におすすめです。")</f>
        <v>4人家族に最適な立地と部屋の広さ。非常におすすめです。</v>
      </c>
      <c r="J71" s="5" t="str">
        <f>IFERROR(__xludf.DUMMYFUNCTION("""COMPUTED_VALUE"""),"")</f>
        <v/>
      </c>
      <c r="K71" s="24" t="str">
        <f>IFERROR(__xludf.DUMMYFUNCTION("""COMPUTED_VALUE"""),"")</f>
        <v/>
      </c>
      <c r="L71" s="24" t="str">
        <f>IFERROR(__xludf.DUMMYFUNCTION("""COMPUTED_VALUE"""),"R‍i‍c‍k‍y‍ ‍S‍u‍t‍a‍n‍t‍o")</f>
        <v>R‍i‍c‍k‍y‍ ‍S‍u‍t‍a‍n‍t‍o</v>
      </c>
      <c r="N71" s="24"/>
      <c r="O71" s="24"/>
      <c r="P71" s="24"/>
      <c r="Q71" s="24"/>
      <c r="R71" s="24"/>
      <c r="S71" s="24"/>
      <c r="T71" s="24"/>
      <c r="U71" s="24"/>
      <c r="V71" s="24"/>
      <c r="W71" s="24"/>
      <c r="X71" s="24"/>
    </row>
    <row r="72">
      <c r="B72" s="24" t="b">
        <f>IFERROR(__xludf.DUMMYFUNCTION("""COMPUTED_VALUE"""),FALSE)</f>
        <v>0</v>
      </c>
      <c r="C72" s="24" t="str">
        <f>IFERROR(__xludf.DUMMYFUNCTION("""COMPUTED_VALUE"""),"Google")</f>
        <v>Google</v>
      </c>
      <c r="D72" s="5">
        <f>IFERROR(__xludf.DUMMYFUNCTION("""COMPUTED_VALUE"""),4.0)</f>
        <v>4</v>
      </c>
      <c r="E72" s="19">
        <f>IFERROR(__xludf.DUMMYFUNCTION("""COMPUTED_VALUE"""),46101.0)</f>
        <v>46101</v>
      </c>
      <c r="F72" s="5"/>
      <c r="G72" s="24"/>
      <c r="H72" s="5"/>
      <c r="I72" s="5" t="str">
        <f>IFERROR(__xludf.DUMMYFUNCTION("""COMPUTED_VALUE"""),"")</f>
        <v/>
      </c>
      <c r="J72" s="5" t="str">
        <f>IFERROR(__xludf.DUMMYFUNCTION("""COMPUTED_VALUE"""),"")</f>
        <v/>
      </c>
      <c r="K72" s="24" t="str">
        <f>IFERROR(__xludf.DUMMYFUNCTION("""COMPUTED_VALUE"""),"")</f>
        <v/>
      </c>
      <c r="L72" s="24" t="str">
        <f>IFERROR(__xludf.DUMMYFUNCTION("""COMPUTED_VALUE"""),"印藤泉")</f>
        <v>印藤泉</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IFERROR(__xludf.DUMMYFUNCTION("""COMPUTED_VALUE"""),46101.0)</f>
        <v>46101</v>
      </c>
      <c r="F73"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73" s="24"/>
      <c r="H73" s="5"/>
      <c r="I73"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73" s="5" t="str">
        <f>IFERROR(__xludf.DUMMYFUNCTION("""COMPUTED_VALUE"""),"")</f>
        <v/>
      </c>
      <c r="K73" s="24" t="str">
        <f>IFERROR(__xludf.DUMMYFUNCTION("""COMPUTED_VALUE"""),"")</f>
        <v/>
      </c>
      <c r="L73" s="24" t="str">
        <f>IFERROR(__xludf.DUMMYFUNCTION("""COMPUTED_VALUE"""),"吳‍思‍宏")</f>
        <v>吳‍思‍宏</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IFERROR(__xludf.DUMMYFUNCTION("""COMPUTED_VALUE"""),10.0)</f>
        <v>10</v>
      </c>
      <c r="E74" s="19">
        <f>IFERROR(__xludf.DUMMYFUNCTION("""COMPUTED_VALUE"""),46100.0)</f>
        <v>46100</v>
      </c>
      <c r="F74" s="5"/>
      <c r="G74" s="24" t="str">
        <f>IFERROR(__xludf.DUMMYFUNCTION("""COMPUTED_VALUE"""),"入り口の紅茶が良かった")</f>
        <v>入り口の紅茶が良かった</v>
      </c>
      <c r="H74" s="5"/>
      <c r="I74" s="5" t="str">
        <f>IFERROR(__xludf.DUMMYFUNCTION("""COMPUTED_VALUE"""),"")</f>
        <v/>
      </c>
      <c r="J74" s="5" t="str">
        <f>IFERROR(__xludf.DUMMYFUNCTION("""COMPUTED_VALUE"""),"入り口の紅茶が良かった")</f>
        <v>入り口の紅茶が良かった</v>
      </c>
      <c r="K74" s="24" t="str">
        <f>IFERROR(__xludf.DUMMYFUNCTION("""COMPUTED_VALUE"""),"")</f>
        <v/>
      </c>
      <c r="L74" s="24" t="str">
        <f>IFERROR(__xludf.DUMMYFUNCTION("""COMPUTED_VALUE"""),"Yuko")</f>
        <v>Yuko</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IFERROR(__xludf.DUMMYFUNCTION("""COMPUTED_VALUE"""),10.0)</f>
        <v>10</v>
      </c>
      <c r="E75" s="19">
        <f>IFERROR(__xludf.DUMMYFUNCTION("""COMPUTED_VALUE"""),46100.0)</f>
        <v>46100</v>
      </c>
      <c r="F75" s="5" t="str">
        <f>IFERROR(__xludf.DUMMYFUNCTION("""COMPUTED_VALUE"""),"離地鐵站非常近，樓下化粧品自助，面膜自助非常棒，周邊吃，買都很方便")</f>
        <v>離地鐵站非常近，樓下化粧品自助，面膜自助非常棒，周邊吃，買都很方便</v>
      </c>
      <c r="G75" s="24"/>
      <c r="H75" s="5"/>
      <c r="I75"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75" s="5" t="str">
        <f>IFERROR(__xludf.DUMMYFUNCTION("""COMPUTED_VALUE"""),"")</f>
        <v/>
      </c>
      <c r="K75" s="24" t="str">
        <f>IFERROR(__xludf.DUMMYFUNCTION("""COMPUTED_VALUE"""),"")</f>
        <v/>
      </c>
      <c r="L75" s="24" t="str">
        <f>IFERROR(__xludf.DUMMYFUNCTION("""COMPUTED_VALUE"""),"ゲ‍ス‍ト")</f>
        <v>ゲ‍ス‍ト</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IFERROR(__xludf.DUMMYFUNCTION("""COMPUTED_VALUE"""),9.0)</f>
        <v>9</v>
      </c>
      <c r="E76" s="19">
        <f>IFERROR(__xludf.DUMMYFUNCTION("""COMPUTED_VALUE"""),46099.0)</f>
        <v>46099</v>
      </c>
      <c r="F7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76" s="24"/>
      <c r="H76" s="5"/>
      <c r="I7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76" s="5" t="str">
        <f>IFERROR(__xludf.DUMMYFUNCTION("""COMPUTED_VALUE"""),"")</f>
        <v/>
      </c>
      <c r="K76" s="24" t="str">
        <f>IFERROR(__xludf.DUMMYFUNCTION("""COMPUTED_VALUE"""),"")</f>
        <v/>
      </c>
      <c r="L76" s="24" t="str">
        <f>IFERROR(__xludf.DUMMYFUNCTION("""COMPUTED_VALUE"""),"み‍ゆ‍か")</f>
        <v>み‍ゆ‍か</v>
      </c>
      <c r="N76" s="24"/>
      <c r="O76" s="24"/>
      <c r="P76" s="24"/>
      <c r="Q76" s="24"/>
      <c r="R76" s="24"/>
      <c r="S76" s="24"/>
      <c r="T76" s="24"/>
      <c r="U76" s="24"/>
      <c r="V76" s="24"/>
      <c r="W76" s="24"/>
      <c r="X76" s="24"/>
    </row>
    <row r="77">
      <c r="B77" s="24" t="b">
        <f>IFERROR(__xludf.DUMMYFUNCTION("""COMPUTED_VALUE"""),FALSE)</f>
        <v>0</v>
      </c>
      <c r="C77" s="18" t="str">
        <f>IFERROR(__xludf.DUMMYFUNCTION("""COMPUTED_VALUE"""),"Trip.com")</f>
        <v>Trip.com</v>
      </c>
      <c r="D77" s="5">
        <f>IFERROR(__xludf.DUMMYFUNCTION("""COMPUTED_VALUE"""),10.0)</f>
        <v>10</v>
      </c>
      <c r="E77" s="19">
        <f>IFERROR(__xludf.DUMMYFUNCTION("""COMPUTED_VALUE"""),46098.0)</f>
        <v>46098</v>
      </c>
      <c r="F77" s="5" t="str">
        <f>IFERROR(__xludf.DUMMYFUNCTION("""COMPUTED_VALUE"""),"Wir waren sehr zufrieden 😃 Alles 👍. Kann ich nur weiterempfehlen")</f>
        <v>Wir waren sehr zufrieden 😃 Alles 👍. Kann ich nur weiterempfehlen</v>
      </c>
      <c r="G77" s="24"/>
      <c r="H77" s="5"/>
      <c r="I77" s="5" t="str">
        <f>IFERROR(__xludf.DUMMYFUNCTION("""COMPUTED_VALUE"""),"とても満足しました😃 全てが素晴らしかったです👍。強くお勧めします。")</f>
        <v>とても満足しました😃 全てが素晴らしかったです👍。強くお勧めします。</v>
      </c>
      <c r="J77" s="5" t="str">
        <f>IFERROR(__xludf.DUMMYFUNCTION("""COMPUTED_VALUE"""),"")</f>
        <v/>
      </c>
      <c r="K77" s="24" t="str">
        <f>IFERROR(__xludf.DUMMYFUNCTION("""COMPUTED_VALUE"""),"")</f>
        <v/>
      </c>
      <c r="L77" s="24" t="str">
        <f>IFERROR(__xludf.DUMMYFUNCTION("""COMPUTED_VALUE"""),"ゲ‍ス‍ト")</f>
        <v>ゲ‍ス‍ト</v>
      </c>
      <c r="N77" s="24"/>
      <c r="O77" s="24"/>
      <c r="P77" s="24"/>
      <c r="Q77" s="24"/>
      <c r="R77" s="24"/>
      <c r="S77" s="24"/>
      <c r="T77" s="24"/>
      <c r="U77" s="24"/>
      <c r="V77" s="24"/>
      <c r="W77" s="24"/>
      <c r="X77" s="24"/>
    </row>
    <row r="78">
      <c r="B78" s="24" t="b">
        <f>IFERROR(__xludf.DUMMYFUNCTION("""COMPUTED_VALUE"""),FALSE)</f>
        <v>0</v>
      </c>
      <c r="C78" s="18" t="str">
        <f>IFERROR(__xludf.DUMMYFUNCTION("""COMPUTED_VALUE"""),"Booking.com")</f>
        <v>Booking.com</v>
      </c>
      <c r="D78" s="5">
        <f>IFERROR(__xludf.DUMMYFUNCTION("""COMPUTED_VALUE"""),10.0)</f>
        <v>10</v>
      </c>
      <c r="E78" s="19">
        <f>IFERROR(__xludf.DUMMYFUNCTION("""COMPUTED_VALUE"""),46098.0)</f>
        <v>46098</v>
      </c>
      <c r="F78" s="5"/>
      <c r="G78" s="24" t="str">
        <f>IFERROR(__xludf.DUMMYFUNCTION("""COMPUTED_VALUE"""),"Instalaciones cómodas , zona muy tranquila y relativamente cerca de una estación grande.")</f>
        <v>Instalaciones cómodas , zona muy tranquila y relativamente cerca de una estación grande.</v>
      </c>
      <c r="H78" s="5" t="str">
        <f>IFERROR(__xludf.DUMMYFUNCTION("""COMPUTED_VALUE"""),"Todo bien")</f>
        <v>Todo bien</v>
      </c>
      <c r="I78" s="5" t="str">
        <f>IFERROR(__xludf.DUMMYFUNCTION("""COMPUTED_VALUE"""),"")</f>
        <v/>
      </c>
      <c r="J78" s="5" t="str">
        <f>IFERROR(__xludf.DUMMYFUNCTION("""COMPUTED_VALUE"""),"快適な設備、非常に静かなエリア、そして大きな駅からも比較的近い。")</f>
        <v>快適な設備、非常に静かなエリア、そして大きな駅からも比較的近い。</v>
      </c>
      <c r="K78" s="24" t="str">
        <f>IFERROR(__xludf.DUMMYFUNCTION("""COMPUTED_VALUE"""),"すべて順調です")</f>
        <v>すべて順調です</v>
      </c>
      <c r="L78" s="24" t="str">
        <f>IFERROR(__xludf.DUMMYFUNCTION("""COMPUTED_VALUE"""),"Aylin")</f>
        <v>Aylin</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IFERROR(__xludf.DUMMYFUNCTION("""COMPUTED_VALUE"""),46098.0)</f>
        <v>46098</v>
      </c>
      <c r="F79"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79" s="24"/>
      <c r="H79" s="5"/>
      <c r="I79"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79" s="5" t="str">
        <f>IFERROR(__xludf.DUMMYFUNCTION("""COMPUTED_VALUE"""),"")</f>
        <v/>
      </c>
      <c r="K79" s="24" t="str">
        <f>IFERROR(__xludf.DUMMYFUNCTION("""COMPUTED_VALUE"""),"")</f>
        <v/>
      </c>
      <c r="L79" s="24" t="str">
        <f>IFERROR(__xludf.DUMMYFUNCTION("""COMPUTED_VALUE"""),"香‍宝‍y‍a")</f>
        <v>香‍宝‍y‍a</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IFERROR(__xludf.DUMMYFUNCTION("""COMPUTED_VALUE"""),8.0)</f>
        <v>8</v>
      </c>
      <c r="E80" s="19">
        <f>IFERROR(__xludf.DUMMYFUNCTION("""COMPUTED_VALUE"""),46098.0)</f>
        <v>46098</v>
      </c>
      <c r="F80" s="5"/>
      <c r="G80" s="24" t="str">
        <f>IFERROR(__xludf.DUMMYFUNCTION("""COMPUTED_VALUE"""),"キレイなホテルでした")</f>
        <v>キレイなホテルでした</v>
      </c>
      <c r="H80" s="5" t="str">
        <f>IFERROR(__xludf.DUMMYFUNCTION("""COMPUTED_VALUE"""),"特にありません。")</f>
        <v>特にありません。</v>
      </c>
      <c r="I80" s="5" t="str">
        <f>IFERROR(__xludf.DUMMYFUNCTION("""COMPUTED_VALUE"""),"")</f>
        <v/>
      </c>
      <c r="J80" s="5" t="str">
        <f>IFERROR(__xludf.DUMMYFUNCTION("""COMPUTED_VALUE"""),"キレイなホテルでした")</f>
        <v>キレイなホテルでした</v>
      </c>
      <c r="K80" s="24" t="str">
        <f>IFERROR(__xludf.DUMMYFUNCTION("""COMPUTED_VALUE"""),"特にありません。")</f>
        <v>特にありません。</v>
      </c>
      <c r="L80" s="24" t="str">
        <f>IFERROR(__xludf.DUMMYFUNCTION("""COMPUTED_VALUE"""),"英一")</f>
        <v>英一</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IFERROR(__xludf.DUMMYFUNCTION("""COMPUTED_VALUE"""),46098.0)</f>
        <v>46098</v>
      </c>
      <c r="F81" s="24"/>
      <c r="G81" s="24"/>
      <c r="H81" s="5"/>
      <c r="I81" s="5" t="str">
        <f>IFERROR(__xludf.DUMMYFUNCTION("""COMPUTED_VALUE"""),"")</f>
        <v/>
      </c>
      <c r="J81" s="5" t="str">
        <f>IFERROR(__xludf.DUMMYFUNCTION("""COMPUTED_VALUE"""),"")</f>
        <v/>
      </c>
      <c r="K81" s="24" t="str">
        <f>IFERROR(__xludf.DUMMYFUNCTION("""COMPUTED_VALUE"""),"")</f>
        <v/>
      </c>
      <c r="L81" s="24" t="str">
        <f>IFERROR(__xludf.DUMMYFUNCTION("""COMPUTED_VALUE"""),"Jhang-jie")</f>
        <v>Jhang-jie</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IFERROR(__xludf.DUMMYFUNCTION("""COMPUTED_VALUE"""),46098.0)</f>
        <v>46098</v>
      </c>
      <c r="F82"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82" s="24"/>
      <c r="H82" s="5"/>
      <c r="I82"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82" s="5" t="str">
        <f>IFERROR(__xludf.DUMMYFUNCTION("""COMPUTED_VALUE"""),"")</f>
        <v/>
      </c>
      <c r="K82" s="24" t="str">
        <f>IFERROR(__xludf.DUMMYFUNCTION("""COMPUTED_VALUE"""),"")</f>
        <v/>
      </c>
      <c r="L82" s="24" t="str">
        <f>IFERROR(__xludf.DUMMYFUNCTION("""COMPUTED_VALUE"""),"ゲ‍ス‍ト")</f>
        <v>ゲ‍ス‍ト</v>
      </c>
    </row>
    <row r="83">
      <c r="B83" s="24" t="b">
        <f>IFERROR(__xludf.DUMMYFUNCTION("""COMPUTED_VALUE"""),FALSE)</f>
        <v>0</v>
      </c>
      <c r="C83" s="18" t="str">
        <f>IFERROR(__xludf.DUMMYFUNCTION("""COMPUTED_VALUE"""),"Booking.com")</f>
        <v>Booking.com</v>
      </c>
      <c r="D83" s="5">
        <f>IFERROR(__xludf.DUMMYFUNCTION("""COMPUTED_VALUE"""),7.0)</f>
        <v>7</v>
      </c>
      <c r="E83" s="25">
        <f>IFERROR(__xludf.DUMMYFUNCTION("""COMPUTED_VALUE"""),46097.0)</f>
        <v>46097</v>
      </c>
      <c r="F83" s="24"/>
      <c r="G83" s="24"/>
      <c r="H83" s="5" t="str">
        <f>IFERROR(__xludf.DUMMYFUNCTION("""COMPUTED_VALUE"""),"いつも使うので、特別な価格サービスをお願いできればありがたいです。")</f>
        <v>いつも使うので、特別な価格サービスをお願いできればありがたいです。</v>
      </c>
      <c r="I83" s="5" t="str">
        <f>IFERROR(__xludf.DUMMYFUNCTION("""COMPUTED_VALUE"""),"")</f>
        <v/>
      </c>
      <c r="J83" s="5" t="str">
        <f>IFERROR(__xludf.DUMMYFUNCTION("""COMPUTED_VALUE"""),"")</f>
        <v/>
      </c>
      <c r="K83" s="24" t="str">
        <f>IFERROR(__xludf.DUMMYFUNCTION("""COMPUTED_VALUE"""),"いつも使うので、特別な価格サービスをお願いできればありがたいです。")</f>
        <v>いつも使うので、特別な価格サービスをお願いできればありがたいです。</v>
      </c>
      <c r="L83" s="24" t="str">
        <f>IFERROR(__xludf.DUMMYFUNCTION("""COMPUTED_VALUE"""),"吉田")</f>
        <v>吉田</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IFERROR(__xludf.DUMMYFUNCTION("""COMPUTED_VALUE"""),46096.0)</f>
        <v>46096</v>
      </c>
      <c r="F84"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84" s="24"/>
      <c r="H84" s="5"/>
      <c r="I84"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IFERROR(__xludf.DUMMYFUNCTION("""COMPUTED_VALUE"""),9.0)</f>
        <v>9</v>
      </c>
      <c r="E85" s="25">
        <f>IFERROR(__xludf.DUMMYFUNCTION("""COMPUTED_VALUE"""),46096.0)</f>
        <v>46096</v>
      </c>
      <c r="F85" s="24"/>
      <c r="G85"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85" s="5" t="str">
        <f>IFERROR(__xludf.DUMMYFUNCTION("""COMPUTED_VALUE"""),"Parlano poco inglese.  Poca offerta di cose nella colazione.")</f>
        <v>Parlano poco inglese.  Poca offerta di cose nella colazione.</v>
      </c>
      <c r="I85" s="5" t="str">
        <f>IFERROR(__xludf.DUMMYFUNCTION("""COMPUTED_VALUE"""),"")</f>
        <v/>
      </c>
      <c r="J85"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85" s="24" t="str">
        <f>IFERROR(__xludf.DUMMYFUNCTION("""COMPUTED_VALUE"""),"彼らは英語をほとんど話しません。朝食の種類は限られています。")</f>
        <v>彼らは英語をほとんど話しません。朝食の種類は限られています。</v>
      </c>
      <c r="L85" s="24" t="str">
        <f>IFERROR(__xludf.DUMMYFUNCTION("""COMPUTED_VALUE"""),"Bruno")</f>
        <v>Bruno</v>
      </c>
    </row>
    <row r="86">
      <c r="B86" s="24" t="b">
        <f>IFERROR(__xludf.DUMMYFUNCTION("""COMPUTED_VALUE"""),FALSE)</f>
        <v>0</v>
      </c>
      <c r="C86" s="18" t="str">
        <f>IFERROR(__xludf.DUMMYFUNCTION("""COMPUTED_VALUE"""),"Booking.com")</f>
        <v>Booking.com</v>
      </c>
      <c r="D86" s="24">
        <f>IFERROR(__xludf.DUMMYFUNCTION("""COMPUTED_VALUE"""),9.0)</f>
        <v>9</v>
      </c>
      <c r="E86" s="25">
        <f>IFERROR(__xludf.DUMMYFUNCTION("""COMPUTED_VALUE"""),46096.0)</f>
        <v>46096</v>
      </c>
      <c r="F86" s="24"/>
      <c r="G86" s="24"/>
      <c r="H86" s="5"/>
      <c r="I86" s="5" t="str">
        <f>IFERROR(__xludf.DUMMYFUNCTION("""COMPUTED_VALUE"""),"")</f>
        <v/>
      </c>
      <c r="J86" s="5" t="str">
        <f>IFERROR(__xludf.DUMMYFUNCTION("""COMPUTED_VALUE"""),"")</f>
        <v/>
      </c>
      <c r="K86" s="24" t="str">
        <f>IFERROR(__xludf.DUMMYFUNCTION("""COMPUTED_VALUE"""),"")</f>
        <v/>
      </c>
      <c r="L86" s="24" t="str">
        <f>IFERROR(__xludf.DUMMYFUNCTION("""COMPUTED_VALUE"""),"Michel")</f>
        <v>Michel</v>
      </c>
    </row>
    <row r="87">
      <c r="B87" s="24" t="b">
        <f>IFERROR(__xludf.DUMMYFUNCTION("""COMPUTED_VALUE"""),FALSE)</f>
        <v>0</v>
      </c>
      <c r="C87" s="18" t="str">
        <f>IFERROR(__xludf.DUMMYFUNCTION("""COMPUTED_VALUE"""),"Booking.com")</f>
        <v>Booking.com</v>
      </c>
      <c r="D87" s="24">
        <f>IFERROR(__xludf.DUMMYFUNCTION("""COMPUTED_VALUE"""),9.0)</f>
        <v>9</v>
      </c>
      <c r="E87" s="25">
        <f>IFERROR(__xludf.DUMMYFUNCTION("""COMPUTED_VALUE"""),46095.0)</f>
        <v>46095</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IFERROR(__xludf.DUMMYFUNCTION("""COMPUTED_VALUE"""),"佾闈")</f>
        <v>佾闈</v>
      </c>
    </row>
    <row r="88">
      <c r="B88" s="24" t="b">
        <f>IFERROR(__xludf.DUMMYFUNCTION("""COMPUTED_VALUE"""),FALSE)</f>
        <v>0</v>
      </c>
      <c r="C88" s="18" t="str">
        <f>IFERROR(__xludf.DUMMYFUNCTION("""COMPUTED_VALUE"""),"Trip.com")</f>
        <v>Trip.com</v>
      </c>
      <c r="D88" s="24">
        <f>IFERROR(__xludf.DUMMYFUNCTION("""COMPUTED_VALUE"""),10.0)</f>
        <v>10</v>
      </c>
      <c r="E88" s="25">
        <f>IFERROR(__xludf.DUMMYFUNCTION("""COMPUTED_VALUE"""),46094.0)</f>
        <v>46094</v>
      </c>
      <c r="F88"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88" s="24"/>
      <c r="H88" s="5"/>
      <c r="I88"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88" s="5" t="str">
        <f>IFERROR(__xludf.DUMMYFUNCTION("""COMPUTED_VALUE"""),"")</f>
        <v/>
      </c>
      <c r="K88" s="24" t="str">
        <f>IFERROR(__xludf.DUMMYFUNCTION("""COMPUTED_VALUE"""),"")</f>
        <v/>
      </c>
      <c r="L88" s="24" t="str">
        <f>IFERROR(__xludf.DUMMYFUNCTION("""COMPUTED_VALUE"""),"C‍K‍M‍S")</f>
        <v>C‍K‍M‍S</v>
      </c>
    </row>
    <row r="89">
      <c r="B89" s="24" t="b">
        <f>IFERROR(__xludf.DUMMYFUNCTION("""COMPUTED_VALUE"""),FALSE)</f>
        <v>0</v>
      </c>
      <c r="C89" s="18" t="str">
        <f>IFERROR(__xludf.DUMMYFUNCTION("""COMPUTED_VALUE"""),"Booking.com")</f>
        <v>Booking.com</v>
      </c>
      <c r="D89" s="24">
        <f>IFERROR(__xludf.DUMMYFUNCTION("""COMPUTED_VALUE"""),8.0)</f>
        <v>8</v>
      </c>
      <c r="E89" s="25">
        <f>IFERROR(__xludf.DUMMYFUNCTION("""COMPUTED_VALUE"""),46094.0)</f>
        <v>46094</v>
      </c>
      <c r="F89" s="24"/>
      <c r="G89" s="24" t="str">
        <f>IFERROR(__xludf.DUMMYFUNCTION("""COMPUTED_VALUE"""),"住宿地離車站近，工作人員親切")</f>
        <v>住宿地離車站近，工作人員親切</v>
      </c>
      <c r="H89" s="24" t="str">
        <f>IFERROR(__xludf.DUMMYFUNCTION("""COMPUTED_VALUE"""),"房間枕頭有的太扁或太硬，睡不習慣")</f>
        <v>房間枕頭有的太扁或太硬，睡不習慣</v>
      </c>
      <c r="I89" s="5" t="str">
        <f>IFERROR(__xludf.DUMMYFUNCTION("""COMPUTED_VALUE"""),"")</f>
        <v/>
      </c>
      <c r="J89" s="5" t="str">
        <f>IFERROR(__xludf.DUMMYFUNCTION("""COMPUTED_VALUE"""),"宿泊施設は駅に近く、スタッフも親切だった。")</f>
        <v>宿泊施設は駅に近く、スタッフも親切だった。</v>
      </c>
      <c r="K89"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89" s="24" t="str">
        <f>IFERROR(__xludf.DUMMYFUNCTION("""COMPUTED_VALUE"""),"Chehua")</f>
        <v>Chehua</v>
      </c>
    </row>
    <row r="90">
      <c r="B90" s="24" t="b">
        <f>IFERROR(__xludf.DUMMYFUNCTION("""COMPUTED_VALUE"""),FALSE)</f>
        <v>0</v>
      </c>
      <c r="C90" s="18" t="str">
        <f>IFERROR(__xludf.DUMMYFUNCTION("""COMPUTED_VALUE"""),"Booking.com")</f>
        <v>Booking.com</v>
      </c>
      <c r="D90" s="24">
        <f>IFERROR(__xludf.DUMMYFUNCTION("""COMPUTED_VALUE"""),10.0)</f>
        <v>10</v>
      </c>
      <c r="E90" s="25">
        <f>IFERROR(__xludf.DUMMYFUNCTION("""COMPUTED_VALUE"""),46094.0)</f>
        <v>46094</v>
      </c>
      <c r="F90" s="24"/>
      <c r="G90" s="24" t="str">
        <f>IFERROR(__xludf.DUMMYFUNCTION("""COMPUTED_VALUE"""),"location and pricing very good")</f>
        <v>location and pricing very good</v>
      </c>
      <c r="H90" s="24"/>
      <c r="I90" s="5" t="str">
        <f>IFERROR(__xludf.DUMMYFUNCTION("""COMPUTED_VALUE"""),"")</f>
        <v/>
      </c>
      <c r="J90" s="5" t="str">
        <f>IFERROR(__xludf.DUMMYFUNCTION("""COMPUTED_VALUE"""),"立地と価格設定が非常に良い")</f>
        <v>立地と価格設定が非常に良い</v>
      </c>
      <c r="K90" s="24" t="str">
        <f>IFERROR(__xludf.DUMMYFUNCTION("""COMPUTED_VALUE"""),"")</f>
        <v/>
      </c>
      <c r="L90" s="24" t="str">
        <f>IFERROR(__xludf.DUMMYFUNCTION("""COMPUTED_VALUE"""),"Binod")</f>
        <v>Binod</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IFERROR(__xludf.DUMMYFUNCTION("""COMPUTED_VALUE"""),46094.0)</f>
        <v>46094</v>
      </c>
      <c r="F91" s="24" t="str">
        <f>IFERROR(__xludf.DUMMYFUNCTION("""COMPUTED_VALUE"""),"房間很大，位置好又鄰近地鐵和jr線，不用擔心轉乘問題，值得推薦住的飯店")</f>
        <v>房間很大，位置好又鄰近地鐵和jr線，不用擔心轉乘問題，值得推薦住的飯店</v>
      </c>
      <c r="G91" s="24"/>
      <c r="H91" s="24"/>
      <c r="I91"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91" s="5" t="str">
        <f>IFERROR(__xludf.DUMMYFUNCTION("""COMPUTED_VALUE"""),"")</f>
        <v/>
      </c>
      <c r="K91" s="24" t="str">
        <f>IFERROR(__xludf.DUMMYFUNCTION("""COMPUTED_VALUE"""),"")</f>
        <v/>
      </c>
      <c r="L91" s="24" t="str">
        <f>IFERROR(__xludf.DUMMYFUNCTION("""COMPUTED_VALUE"""),"ゲ‍ス‍ト")</f>
        <v>ゲ‍ス‍ト</v>
      </c>
    </row>
    <row r="92">
      <c r="B92" s="24" t="b">
        <f>IFERROR(__xludf.DUMMYFUNCTION("""COMPUTED_VALUE"""),FALSE)</f>
        <v>0</v>
      </c>
      <c r="C92" s="24" t="str">
        <f>IFERROR(__xludf.DUMMYFUNCTION("""COMPUTED_VALUE"""),"Google")</f>
        <v>Google</v>
      </c>
      <c r="D92" s="24">
        <f>IFERROR(__xludf.DUMMYFUNCTION("""COMPUTED_VALUE"""),4.0)</f>
        <v>4</v>
      </c>
      <c r="E92" s="25">
        <f>IFERROR(__xludf.DUMMYFUNCTION("""COMPUTED_VALUE"""),46093.0)</f>
        <v>46093</v>
      </c>
      <c r="F92" s="24"/>
      <c r="G92" s="24"/>
      <c r="H92" s="24"/>
      <c r="I92" s="5" t="str">
        <f>IFERROR(__xludf.DUMMYFUNCTION("""COMPUTED_VALUE"""),"")</f>
        <v/>
      </c>
      <c r="J92" s="5" t="str">
        <f>IFERROR(__xludf.DUMMYFUNCTION("""COMPUTED_VALUE"""),"")</f>
        <v/>
      </c>
      <c r="K92" s="24" t="str">
        <f>IFERROR(__xludf.DUMMYFUNCTION("""COMPUTED_VALUE"""),"")</f>
        <v/>
      </c>
      <c r="L92" s="24" t="str">
        <f>IFERROR(__xludf.DUMMYFUNCTION("""COMPUTED_VALUE"""),"siu yuki")</f>
        <v>siu yuki</v>
      </c>
    </row>
    <row r="93">
      <c r="B93" s="24" t="b">
        <f>IFERROR(__xludf.DUMMYFUNCTION("""COMPUTED_VALUE"""),FALSE)</f>
        <v>0</v>
      </c>
      <c r="C93" s="18" t="str">
        <f>IFERROR(__xludf.DUMMYFUNCTION("""COMPUTED_VALUE"""),"Trip.com")</f>
        <v>Trip.com</v>
      </c>
      <c r="D93" s="24">
        <f>IFERROR(__xludf.DUMMYFUNCTION("""COMPUTED_VALUE"""),10.0)</f>
        <v>10</v>
      </c>
      <c r="E93" s="25">
        <f>IFERROR(__xludf.DUMMYFUNCTION("""COMPUTED_VALUE"""),46092.0)</f>
        <v>46092</v>
      </c>
      <c r="F93" s="24" t="str">
        <f>IFERROR(__xludf.DUMMYFUNCTION("""COMPUTED_VALUE"""),"Good location and service, facilities in very good condition. Small room, but with everything you need.")</f>
        <v>Good location and service, facilities in very good condition. Small room, but with everything you need.</v>
      </c>
      <c r="G93" s="24"/>
      <c r="H93" s="24"/>
      <c r="I93"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93" s="5" t="str">
        <f>IFERROR(__xludf.DUMMYFUNCTION("""COMPUTED_VALUE"""),"")</f>
        <v/>
      </c>
      <c r="K93" s="24" t="str">
        <f>IFERROR(__xludf.DUMMYFUNCTION("""COMPUTED_VALUE"""),"")</f>
        <v/>
      </c>
      <c r="L93" s="24" t="str">
        <f>IFERROR(__xludf.DUMMYFUNCTION("""COMPUTED_VALUE"""),"ゲ‍ス‍ト")</f>
        <v>ゲ‍ス‍ト</v>
      </c>
    </row>
    <row r="94">
      <c r="B94" s="24" t="b">
        <f>IFERROR(__xludf.DUMMYFUNCTION("""COMPUTED_VALUE"""),FALSE)</f>
        <v>0</v>
      </c>
      <c r="C94" s="18" t="str">
        <f>IFERROR(__xludf.DUMMYFUNCTION("""COMPUTED_VALUE"""),"Booking.com")</f>
        <v>Booking.com</v>
      </c>
      <c r="D94" s="24">
        <f>IFERROR(__xludf.DUMMYFUNCTION("""COMPUTED_VALUE"""),10.0)</f>
        <v>10</v>
      </c>
      <c r="E94" s="25">
        <f>IFERROR(__xludf.DUMMYFUNCTION("""COMPUTED_VALUE"""),46092.0)</f>
        <v>46092</v>
      </c>
      <c r="F94" s="24"/>
      <c r="G94" s="24"/>
      <c r="H94" s="24"/>
      <c r="I94" s="5" t="str">
        <f>IFERROR(__xludf.DUMMYFUNCTION("""COMPUTED_VALUE"""),"")</f>
        <v/>
      </c>
      <c r="J94" s="5" t="str">
        <f>IFERROR(__xludf.DUMMYFUNCTION("""COMPUTED_VALUE"""),"")</f>
        <v/>
      </c>
      <c r="K94" s="24" t="str">
        <f>IFERROR(__xludf.DUMMYFUNCTION("""COMPUTED_VALUE"""),"")</f>
        <v/>
      </c>
      <c r="L94" s="24" t="str">
        <f>IFERROR(__xludf.DUMMYFUNCTION("""COMPUTED_VALUE"""),"Chien")</f>
        <v>Chien</v>
      </c>
    </row>
    <row r="95">
      <c r="B95" s="24" t="b">
        <f>IFERROR(__xludf.DUMMYFUNCTION("""COMPUTED_VALUE"""),FALSE)</f>
        <v>0</v>
      </c>
      <c r="C95" s="18" t="str">
        <f>IFERROR(__xludf.DUMMYFUNCTION("""COMPUTED_VALUE"""),"Booking.com")</f>
        <v>Booking.com</v>
      </c>
      <c r="D95" s="24">
        <f>IFERROR(__xludf.DUMMYFUNCTION("""COMPUTED_VALUE"""),9.0)</f>
        <v>9</v>
      </c>
      <c r="E95" s="25">
        <f>IFERROR(__xludf.DUMMYFUNCTION("""COMPUTED_VALUE"""),46092.0)</f>
        <v>46092</v>
      </c>
      <c r="F95" s="24"/>
      <c r="G95" s="24" t="str">
        <f>IFERROR(__xludf.DUMMYFUNCTION("""COMPUTED_VALUE"""),"清潔")</f>
        <v>清潔</v>
      </c>
      <c r="H95" s="24" t="str">
        <f>IFERROR(__xludf.DUMMYFUNCTION("""COMPUTED_VALUE"""),"特になし")</f>
        <v>特になし</v>
      </c>
      <c r="I95" s="5" t="str">
        <f>IFERROR(__xludf.DUMMYFUNCTION("""COMPUTED_VALUE"""),"")</f>
        <v/>
      </c>
      <c r="J95" s="5" t="str">
        <f>IFERROR(__xludf.DUMMYFUNCTION("""COMPUTED_VALUE"""),"クリーン")</f>
        <v>クリーン</v>
      </c>
      <c r="K95" s="24" t="str">
        <f>IFERROR(__xludf.DUMMYFUNCTION("""COMPUTED_VALUE"""),"特になし")</f>
        <v>特になし</v>
      </c>
      <c r="L95" s="24" t="str">
        <f>IFERROR(__xludf.DUMMYFUNCTION("""COMPUTED_VALUE"""),"Onodera")</f>
        <v>Onodera</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IFERROR(__xludf.DUMMYFUNCTION("""COMPUTED_VALUE"""),46092.0)</f>
        <v>46092</v>
      </c>
      <c r="F96"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96" s="24"/>
      <c r="H96" s="24"/>
      <c r="I96"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96" s="5" t="str">
        <f>IFERROR(__xludf.DUMMYFUNCTION("""COMPUTED_VALUE"""),"")</f>
        <v/>
      </c>
      <c r="K96" s="24" t="str">
        <f>IFERROR(__xludf.DUMMYFUNCTION("""COMPUTED_VALUE"""),"")</f>
        <v/>
      </c>
      <c r="L96" s="24" t="str">
        <f>IFERROR(__xludf.DUMMYFUNCTION("""COMPUTED_VALUE"""),"陸‍零‍柒")</f>
        <v>陸‍零‍柒</v>
      </c>
    </row>
    <row r="97">
      <c r="B97" s="24" t="b">
        <f>IFERROR(__xludf.DUMMYFUNCTION("""COMPUTED_VALUE"""),FALSE)</f>
        <v>0</v>
      </c>
      <c r="C97" s="18" t="str">
        <f>IFERROR(__xludf.DUMMYFUNCTION("""COMPUTED_VALUE"""),"Booking.com")</f>
        <v>Booking.com</v>
      </c>
      <c r="D97" s="24">
        <f>IFERROR(__xludf.DUMMYFUNCTION("""COMPUTED_VALUE"""),7.0)</f>
        <v>7</v>
      </c>
      <c r="E97" s="25">
        <f>IFERROR(__xludf.DUMMYFUNCTION("""COMPUTED_VALUE"""),46091.0)</f>
        <v>46091</v>
      </c>
      <c r="F97" s="24"/>
      <c r="G97" s="24" t="str">
        <f>IFERROR(__xludf.DUMMYFUNCTION("""COMPUTED_VALUE"""),"乾淨整潔 床好睡")</f>
        <v>乾淨整潔 床好睡</v>
      </c>
      <c r="H97"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97" s="5" t="str">
        <f>IFERROR(__xludf.DUMMYFUNCTION("""COMPUTED_VALUE"""),"")</f>
        <v/>
      </c>
      <c r="J97" s="5" t="str">
        <f>IFERROR(__xludf.DUMMYFUNCTION("""COMPUTED_VALUE"""),"清潔で整頓されており、快適なベッドで眠ることができます。")</f>
        <v>清潔で整頓されており、快適なベッドで眠ることができます。</v>
      </c>
      <c r="K97"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97" s="24" t="str">
        <f>IFERROR(__xludf.DUMMYFUNCTION("""COMPUTED_VALUE"""),"Sulien")</f>
        <v>Sulien</v>
      </c>
    </row>
    <row r="98">
      <c r="B98" s="24" t="b">
        <f>IFERROR(__xludf.DUMMYFUNCTION("""COMPUTED_VALUE"""),FALSE)</f>
        <v>0</v>
      </c>
      <c r="C98" s="18" t="str">
        <f>IFERROR(__xludf.DUMMYFUNCTION("""COMPUTED_VALUE"""),"Booking.com")</f>
        <v>Booking.com</v>
      </c>
      <c r="D98" s="24">
        <f>IFERROR(__xludf.DUMMYFUNCTION("""COMPUTED_VALUE"""),7.0)</f>
        <v>7</v>
      </c>
      <c r="E98" s="25">
        <f>IFERROR(__xludf.DUMMYFUNCTION("""COMPUTED_VALUE"""),46091.0)</f>
        <v>46091</v>
      </c>
      <c r="F98" s="24"/>
      <c r="G98" s="24" t="str">
        <f>IFERROR(__xludf.DUMMYFUNCTION("""COMPUTED_VALUE"""),"交通地點很好 房間很舒適 早餐雖然簡單但都很好吃")</f>
        <v>交通地點很好 房間很舒適 早餐雖然簡單但都很好吃</v>
      </c>
      <c r="H98" s="24" t="str">
        <f>IFERROR(__xludf.DUMMYFUNCTION("""COMPUTED_VALUE"""),"沒有")</f>
        <v>沒有</v>
      </c>
      <c r="I98" s="5" t="str">
        <f>IFERROR(__xludf.DUMMYFUNCTION("""COMPUTED_VALUE"""),"")</f>
        <v/>
      </c>
      <c r="J98" s="5" t="str">
        <f>IFERROR(__xludf.DUMMYFUNCTION("""COMPUTED_VALUE"""),"立地は最高で、部屋は快適、朝食はシンプルながらも美味しい。")</f>
        <v>立地は最高で、部屋は快適、朝食はシンプルながらも美味しい。</v>
      </c>
      <c r="K98" s="24" t="str">
        <f>IFERROR(__xludf.DUMMYFUNCTION("""COMPUTED_VALUE"""),"いいえ")</f>
        <v>いいえ</v>
      </c>
      <c r="L98" s="24" t="str">
        <f>IFERROR(__xludf.DUMMYFUNCTION("""COMPUTED_VALUE"""),"Sulien")</f>
        <v>Sulien</v>
      </c>
    </row>
    <row r="99">
      <c r="B99" s="24" t="b">
        <f>IFERROR(__xludf.DUMMYFUNCTION("""COMPUTED_VALUE"""),FALSE)</f>
        <v>0</v>
      </c>
      <c r="C99" s="18" t="str">
        <f>IFERROR(__xludf.DUMMYFUNCTION("""COMPUTED_VALUE"""),"Trip.com")</f>
        <v>Trip.com</v>
      </c>
      <c r="D99" s="24">
        <f>IFERROR(__xludf.DUMMYFUNCTION("""COMPUTED_VALUE"""),10.0)</f>
        <v>10</v>
      </c>
      <c r="E99" s="25">
        <f>IFERROR(__xludf.DUMMYFUNCTION("""COMPUTED_VALUE"""),46091.0)</f>
        <v>46091</v>
      </c>
      <c r="F99"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99" s="24"/>
      <c r="H99" s="24"/>
      <c r="I99"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99" s="5" t="str">
        <f>IFERROR(__xludf.DUMMYFUNCTION("""COMPUTED_VALUE"""),"")</f>
        <v/>
      </c>
      <c r="K99" s="24" t="str">
        <f>IFERROR(__xludf.DUMMYFUNCTION("""COMPUTED_VALUE"""),"")</f>
        <v/>
      </c>
      <c r="L99" s="24" t="str">
        <f>IFERROR(__xludf.DUMMYFUNCTION("""COMPUTED_VALUE"""),"B‍h‍a‍v‍i‍k‍ ‍K‍a‍c‍h‍a‍r‍e")</f>
        <v>B‍h‍a‍v‍i‍k‍ ‍K‍a‍c‍h‍a‍r‍e</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IFERROR(__xludf.DUMMYFUNCTION("""COMPUTED_VALUE"""),46090.0)</f>
        <v>46090</v>
      </c>
      <c r="F100"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00" s="24"/>
      <c r="H100" s="24"/>
      <c r="I100" s="5" t="str">
        <f>IFERROR(__xludf.DUMMYFUNCTION("""COMPUTED_VALUE"""),"錦糸町駅南口からホテルまで徒歩4～5分")</f>
        <v>錦糸町駅南口からホテルまで徒歩4～5分</v>
      </c>
      <c r="J100" s="5" t="str">
        <f>IFERROR(__xludf.DUMMYFUNCTION("""COMPUTED_VALUE"""),"")</f>
        <v/>
      </c>
      <c r="K100" s="24" t="str">
        <f>IFERROR(__xludf.DUMMYFUNCTION("""COMPUTED_VALUE"""),"")</f>
        <v/>
      </c>
      <c r="L100" s="24" t="str">
        <f>IFERROR(__xludf.DUMMYFUNCTION("""COMPUTED_VALUE"""),"j‍e‍j‍e‍n‍g")</f>
        <v>j‍e‍j‍e‍n‍g</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IFERROR(__xludf.DUMMYFUNCTION("""COMPUTED_VALUE"""),"Trip.com")</f>
        <v>Trip.com</v>
      </c>
      <c r="D101" s="24">
        <f>IFERROR(__xludf.DUMMYFUNCTION("""COMPUTED_VALUE"""),10.0)</f>
        <v>10</v>
      </c>
      <c r="E101" s="25">
        <f>IFERROR(__xludf.DUMMYFUNCTION("""COMPUTED_VALUE"""),46090.0)</f>
        <v>46090</v>
      </c>
      <c r="F101" s="24" t="str">
        <f>IFERROR(__xludf.DUMMYFUNCTION("""COMPUTED_VALUE"""),"整體感覺很好")</f>
        <v>整體感覺很好</v>
      </c>
      <c r="G101" s="24"/>
      <c r="H101" s="24"/>
      <c r="I101" s="5" t="str">
        <f>IFERROR(__xludf.DUMMYFUNCTION("""COMPUTED_VALUE"""),"全体的な印象は非常に良い")</f>
        <v>全体的な印象は非常に良い</v>
      </c>
      <c r="J101" s="5" t="str">
        <f>IFERROR(__xludf.DUMMYFUNCTION("""COMPUTED_VALUE"""),"")</f>
        <v/>
      </c>
      <c r="K101" s="24" t="str">
        <f>IFERROR(__xludf.DUMMYFUNCTION("""COMPUTED_VALUE"""),"")</f>
        <v/>
      </c>
      <c r="L101" s="24" t="str">
        <f>IFERROR(__xludf.DUMMYFUNCTION("""COMPUTED_VALUE"""),"ゲ‍ス‍ト")</f>
        <v>ゲ‍ス‍ト</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D102" s="24"/>
      <c r="E102" s="24"/>
      <c r="F102" s="24"/>
      <c r="G102" s="24"/>
      <c r="H102" s="24"/>
      <c r="I102" s="5"/>
      <c r="J102" s="5"/>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D103" s="24"/>
      <c r="E103" s="24"/>
      <c r="F103" s="24"/>
      <c r="G103" s="24"/>
      <c r="H103" s="24"/>
      <c r="I103" s="5"/>
      <c r="J103" s="5"/>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D104" s="24"/>
      <c r="E104" s="24"/>
      <c r="F104" s="24"/>
      <c r="G104" s="24"/>
      <c r="H104" s="24"/>
      <c r="I104" s="5"/>
      <c r="J104" s="5"/>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D105" s="24"/>
      <c r="E105" s="24"/>
      <c r="F105" s="24"/>
      <c r="G105" s="24"/>
      <c r="H105" s="24"/>
      <c r="I105" s="5"/>
      <c r="J105" s="5"/>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D106" s="24"/>
      <c r="E106" s="24"/>
      <c r="F106" s="24"/>
      <c r="G106" s="24"/>
      <c r="H106" s="24"/>
      <c r="I106" s="5"/>
      <c r="J106" s="5"/>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D107" s="24"/>
      <c r="E107" s="24"/>
      <c r="F107" s="24"/>
      <c r="G107" s="24"/>
      <c r="H107" s="24"/>
      <c r="I107" s="24"/>
      <c r="J107" s="5"/>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全てが素晴らしかったです👍。強くお勧めします。")</f>
        <v>とても満足しました😃 全てが素晴らしかったです👍。強くお勧めします。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IFERROR(__xludf.DUMMYFUNCTION("""COMPUTED_VALUE"""),"錦糸町駅南口からホテルまで徒歩4～5分")</f>
        <v>錦糸町駅南口からホテルまで徒歩4～5分</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3"/>
    <hyperlink r:id="rId33" ref="O23"/>
    <hyperlink r:id="rId34" ref="C24"/>
    <hyperlink r:id="rId35" ref="O24"/>
    <hyperlink r:id="rId36" ref="C25"/>
    <hyperlink r:id="rId37" ref="O25"/>
    <hyperlink r:id="rId38" ref="C28"/>
    <hyperlink r:id="rId39" ref="C29"/>
    <hyperlink r:id="rId40" ref="C30"/>
    <hyperlink r:id="rId41" ref="C31"/>
    <hyperlink r:id="rId42" ref="C33"/>
    <hyperlink r:id="rId43" ref="C34"/>
    <hyperlink r:id="rId44" ref="C35"/>
    <hyperlink r:id="rId45" ref="C36"/>
    <hyperlink r:id="rId46" ref="C39"/>
    <hyperlink r:id="rId47" ref="C40"/>
    <hyperlink r:id="rId48" ref="C41"/>
    <hyperlink r:id="rId49" ref="C42"/>
    <hyperlink r:id="rId50" ref="C43"/>
    <hyperlink r:id="rId51" ref="C44"/>
    <hyperlink r:id="rId52" ref="C45"/>
    <hyperlink r:id="rId53" ref="C46"/>
    <hyperlink r:id="rId54" ref="C47"/>
    <hyperlink r:id="rId55" ref="C48"/>
    <hyperlink r:id="rId56" ref="C49"/>
    <hyperlink r:id="rId57" ref="C50"/>
    <hyperlink r:id="rId58" ref="C51"/>
    <hyperlink r:id="rId59" ref="C53"/>
    <hyperlink r:id="rId60" ref="C54"/>
    <hyperlink r:id="rId61" ref="C55"/>
    <hyperlink r:id="rId62" ref="C57"/>
    <hyperlink r:id="rId63" ref="C58"/>
    <hyperlink r:id="rId64" ref="C59"/>
    <hyperlink r:id="rId65" ref="C60"/>
    <hyperlink r:id="rId66" ref="C61"/>
    <hyperlink r:id="rId67" ref="C62"/>
    <hyperlink r:id="rId68" ref="C63"/>
    <hyperlink r:id="rId69" ref="C64"/>
    <hyperlink r:id="rId70" ref="C66"/>
    <hyperlink r:id="rId71" ref="C68"/>
    <hyperlink r:id="rId72" ref="C69"/>
    <hyperlink r:id="rId73" ref="C70"/>
    <hyperlink r:id="rId74" ref="C71"/>
    <hyperlink r:id="rId75" ref="C73"/>
    <hyperlink r:id="rId76" ref="C74"/>
    <hyperlink r:id="rId77" ref="C75"/>
    <hyperlink r:id="rId78" ref="C76"/>
    <hyperlink r:id="rId79" ref="C77"/>
    <hyperlink r:id="rId80" ref="C78"/>
    <hyperlink r:id="rId81" ref="C79"/>
    <hyperlink r:id="rId82" ref="C80"/>
    <hyperlink r:id="rId83" ref="C81"/>
    <hyperlink r:id="rId84" ref="C82"/>
    <hyperlink r:id="rId85" ref="C83"/>
    <hyperlink r:id="rId86" ref="C84"/>
    <hyperlink r:id="rId87" ref="C85"/>
    <hyperlink r:id="rId88" ref="C86"/>
    <hyperlink r:id="rId89" ref="C87"/>
    <hyperlink r:id="rId90" ref="C88"/>
    <hyperlink r:id="rId91" ref="C89"/>
    <hyperlink r:id="rId92" ref="C90"/>
    <hyperlink r:id="rId93" ref="C91"/>
    <hyperlink r:id="rId94" ref="C93"/>
    <hyperlink r:id="rId95" ref="C94"/>
    <hyperlink r:id="rId96" ref="C95"/>
    <hyperlink r:id="rId97" ref="C96"/>
    <hyperlink r:id="rId98" ref="C97"/>
    <hyperlink r:id="rId99" ref="C98"/>
    <hyperlink r:id="rId100" ref="C99"/>
    <hyperlink r:id="rId101" ref="C100"/>
    <hyperlink r:id="rId102" ref="O100"/>
    <hyperlink r:id="rId103" ref="C101"/>
    <hyperlink r:id="rId104" ref="O101"/>
    <hyperlink r:id="rId105" ref="O102"/>
    <hyperlink r:id="rId106" ref="O103"/>
    <hyperlink r:id="rId107" ref="O105"/>
    <hyperlink r:id="rId108" ref="O106"/>
    <hyperlink r:id="rId109" ref="O107"/>
    <hyperlink r:id="rId110" ref="O108"/>
    <hyperlink r:id="rId111" ref="O111"/>
    <hyperlink r:id="rId112" ref="O112"/>
    <hyperlink r:id="rId113" ref="O113"/>
    <hyperlink r:id="rId114" ref="O114"/>
    <hyperlink r:id="rId115" ref="O115"/>
    <hyperlink r:id="rId116" ref="O116"/>
    <hyperlink r:id="rId117" ref="O117"/>
    <hyperlink r:id="rId118" ref="O118"/>
    <hyperlink r:id="rId119" ref="O119"/>
    <hyperlink r:id="rId120" ref="O120"/>
    <hyperlink r:id="rId121" ref="O121"/>
    <hyperlink r:id="rId122" ref="O122"/>
    <hyperlink r:id="rId123" ref="O123"/>
    <hyperlink r:id="rId124" ref="O125"/>
    <hyperlink r:id="rId125" ref="O126"/>
    <hyperlink r:id="rId126" ref="O127"/>
    <hyperlink r:id="rId127" ref="O129"/>
    <hyperlink r:id="rId128" ref="O130"/>
    <hyperlink r:id="rId129" ref="O131"/>
    <hyperlink r:id="rId130" ref="O132"/>
    <hyperlink r:id="rId131" ref="O133"/>
    <hyperlink r:id="rId132" ref="O134"/>
    <hyperlink r:id="rId133" ref="O135"/>
    <hyperlink r:id="rId134" ref="O136"/>
    <hyperlink r:id="rId135" ref="O138"/>
    <hyperlink r:id="rId136" ref="O140"/>
    <hyperlink r:id="rId137" ref="O141"/>
    <hyperlink r:id="rId138" ref="O142"/>
    <hyperlink r:id="rId139" ref="O143"/>
    <hyperlink r:id="rId140" ref="O145"/>
    <hyperlink r:id="rId141" ref="O146"/>
    <hyperlink r:id="rId142" ref="O147"/>
    <hyperlink r:id="rId143" ref="O148"/>
    <hyperlink r:id="rId144" ref="O149"/>
    <hyperlink r:id="rId145" ref="O150"/>
    <hyperlink r:id="rId146" ref="O151"/>
    <hyperlink r:id="rId147" ref="O152"/>
    <hyperlink r:id="rId148" ref="O153"/>
    <hyperlink r:id="rId149" ref="O154"/>
    <hyperlink r:id="rId150" ref="O155"/>
    <hyperlink r:id="rId151" ref="O156"/>
    <hyperlink r:id="rId152" ref="O157"/>
    <hyperlink r:id="rId153" ref="O158"/>
    <hyperlink r:id="rId154" ref="O159"/>
    <hyperlink r:id="rId155" ref="O160"/>
    <hyperlink r:id="rId156" ref="O161"/>
    <hyperlink r:id="rId157" ref="O162"/>
    <hyperlink r:id="rId158" ref="O163"/>
    <hyperlink r:id="rId159" ref="O165"/>
    <hyperlink r:id="rId160" ref="O166"/>
    <hyperlink r:id="rId161" ref="O167"/>
    <hyperlink r:id="rId162" ref="O168"/>
    <hyperlink r:id="rId163" ref="O169"/>
    <hyperlink r:id="rId164" ref="O170"/>
    <hyperlink r:id="rId165" ref="O171"/>
    <hyperlink r:id="rId166" ref="O172"/>
    <hyperlink r:id="rId167" ref="O173"/>
  </hyperlinks>
  <printOptions gridLines="1" horizontalCentered="1"/>
  <pageMargins bottom="0.75" footer="0.0" header="0.0" left="0.7" right="0.7" top="0.75"/>
  <pageSetup fitToHeight="0" paperSize="9" cellComments="atEnd" orientation="landscape" pageOrder="overThenDown"/>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0</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0</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957</v>
      </c>
      <c r="W12" s="77"/>
      <c r="X12" s="87">
        <f t="shared" si="10"/>
        <v>0</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54</v>
      </c>
      <c r="K5" s="212">
        <v>13.0</v>
      </c>
      <c r="L5" s="214" t="s">
        <v>82</v>
      </c>
      <c r="M5" s="210" t="s">
        <v>34</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46119.0</v>
      </c>
      <c r="C8" s="295">
        <v>106.0</v>
      </c>
      <c r="D8" s="295">
        <v>65.0</v>
      </c>
      <c r="E8" s="296">
        <f>C8*$D$3</f>
        <v>34.026</v>
      </c>
      <c r="F8" s="296">
        <f>(C8-E8)*$H$3</f>
        <v>55.132084</v>
      </c>
      <c r="G8" s="296">
        <f>D8+E8+F8</f>
        <v>154.158084</v>
      </c>
      <c r="H8" s="296">
        <f>D8+E8+(F8/4)</f>
        <v>112.809021</v>
      </c>
      <c r="I8" s="297"/>
      <c r="J8" s="298">
        <f>H8/($D$5+($D$6/4))</f>
        <v>8.356223778</v>
      </c>
      <c r="K8" s="299">
        <f>ROUNDUP(J8,0)</f>
        <v>9</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964040</v>
      </c>
      <c r="D1" s="305">
        <f>AZ20</f>
        <v>138772.7273</v>
      </c>
      <c r="E1" s="305">
        <f>BG23</f>
        <v>559156.6667</v>
      </c>
      <c r="F1" s="305">
        <f>BB23+BG40</f>
        <v>60000</v>
      </c>
      <c r="G1" s="305">
        <f t="shared" ref="G1:H1" si="1">I8</f>
        <v>20932.15909</v>
      </c>
      <c r="H1" s="305">
        <f t="shared" si="1"/>
        <v>30875</v>
      </c>
      <c r="I1" s="306">
        <f>G8</f>
        <v>0.8695238095</v>
      </c>
      <c r="J1" s="306">
        <f>AT7</f>
        <v>0</v>
      </c>
      <c r="K1" s="307">
        <f>AV44</f>
        <v>0</v>
      </c>
      <c r="L1" s="308">
        <f>F44</f>
        <v>957</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0.238528187</v>
      </c>
      <c r="D7" s="77"/>
      <c r="E7" s="346">
        <f>AU12</f>
        <v>0.5795139988</v>
      </c>
      <c r="F7" s="77"/>
      <c r="G7" s="347" t="s">
        <v>286</v>
      </c>
      <c r="H7" s="348">
        <f t="array" ref="H7">xlookup($D$5,'🌟目標数値'!$A$3:$A$14,'🌟目標数値'!E$3:E14)</f>
        <v>4850400</v>
      </c>
      <c r="I7" s="348" t="s">
        <v>286</v>
      </c>
      <c r="J7" s="349" t="s">
        <v>286</v>
      </c>
      <c r="K7" s="350" t="s">
        <v>286</v>
      </c>
      <c r="L7" s="350" t="s">
        <v>286</v>
      </c>
      <c r="M7" s="351">
        <f t="array" ref="M7">xlookup($D$5,'🌟目標数値'!$A$3:$A$14,'🌟目標数値'!F$3:F14)</f>
        <v>1156957.118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0.2543239357</v>
      </c>
      <c r="D8" s="77"/>
      <c r="E8" s="358">
        <f>(BB23+BG23-BE24)/H8</f>
        <v>0.580013969</v>
      </c>
      <c r="F8" s="77"/>
      <c r="G8" s="359">
        <f>G47</f>
        <v>0.8695238095</v>
      </c>
      <c r="H8" s="360">
        <f>BB30</f>
        <v>964040</v>
      </c>
      <c r="I8" s="361">
        <f>IFERROR(__xludf.DUMMYFUNCTION("IMPORTRANGE(""https://docs.google.com/spreadsheets/d/1QbHfX9wvC_RRupa4CCe_ZxA6O4e2Ap9vqX5hrZPeQRg/edit"",""date2_1!Q17"")/G5*COUNTIFS($E$13:$E$43,""&gt;0"")"),20932.159090909092)</f>
        <v>20932.15909</v>
      </c>
      <c r="J8" s="362">
        <f>IFERROR(__xludf.DUMMYFUNCTION("IMPORTRANGE(""https://docs.google.com/spreadsheets/d/1PIAlDmsTatDNi42y_Nu-aVFqvVCXfe6jiDJFQImKjZ0/edit#gid=630612029"",""R8_3!J17"")"),30875.0)</f>
        <v>30875</v>
      </c>
      <c r="K8" s="363">
        <f>BE24</f>
        <v>0</v>
      </c>
      <c r="L8" s="363">
        <f>BB30-BB23-AZ20-BG45-BG23+BE24</f>
        <v>266110.6061</v>
      </c>
      <c r="M8" s="364">
        <f>L8-I8</f>
        <v>245178.447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970080</v>
      </c>
      <c r="I9" s="374" t="s">
        <v>286</v>
      </c>
      <c r="J9" s="375" t="s">
        <v>286</v>
      </c>
      <c r="K9" s="376" t="s">
        <v>286</v>
      </c>
      <c r="L9" s="376" t="s">
        <v>286</v>
      </c>
      <c r="M9" s="377">
        <f>M7/G5*COUNTIFS($E$11:$E$41,"&gt;0")</f>
        <v>231391.4236</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0.5795139988</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0.5783393527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0.6191870015</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0.5198127346</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0.604477095</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0.6173446578</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IFERROR(__xludf.DUMMYFUNCTION("""COMPUTED_VALUE"""),83171.5)</f>
        <v>83171.5</v>
      </c>
      <c r="AU18" s="409">
        <f t="shared" si="7"/>
        <v>0.5327833037</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8" t="b">
        <v>0</v>
      </c>
      <c r="C19" s="400">
        <f t="shared" si="8"/>
        <v>46119</v>
      </c>
      <c r="D19" s="401" t="str">
        <f t="shared" si="2"/>
        <v>火</v>
      </c>
      <c r="E19" s="401" t="str">
        <f t="shared" ref="E19:E43" si="10">if(H19="","",175)</f>
        <v/>
      </c>
      <c r="F19" s="401" t="str">
        <f t="shared" si="3"/>
        <v/>
      </c>
      <c r="G19" s="401" t="str">
        <f t="shared" si="4"/>
        <v/>
      </c>
      <c r="H19" s="403"/>
      <c r="I19" s="403"/>
      <c r="J19" s="403"/>
      <c r="K19" s="403"/>
      <c r="L19" s="403"/>
      <c r="M19" s="403"/>
      <c r="N19" s="403"/>
      <c r="O19" s="403"/>
      <c r="P19" s="403"/>
      <c r="Q19" s="403"/>
      <c r="R19" s="403"/>
      <c r="S19" s="403"/>
      <c r="T19" s="403"/>
      <c r="U19" s="403"/>
      <c r="V19" s="403"/>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IFERROR(__xludf.DUMMYFUNCTION("""COMPUTED_VALUE"""),0.0)</f>
        <v>0</v>
      </c>
      <c r="AU19" s="409" t="str">
        <f t="shared" si="7"/>
        <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2" t="b">
        <v>0</v>
      </c>
      <c r="C20" s="400">
        <f t="shared" si="8"/>
        <v>46120</v>
      </c>
      <c r="D20" s="401" t="str">
        <f t="shared" si="2"/>
        <v>水</v>
      </c>
      <c r="E20" s="401" t="str">
        <f t="shared" si="10"/>
        <v/>
      </c>
      <c r="F20" s="401" t="str">
        <f t="shared" si="3"/>
        <v/>
      </c>
      <c r="G20" s="401" t="str">
        <f t="shared" si="4"/>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0</v>
      </c>
      <c r="AT20" s="408">
        <f>IFERROR(__xludf.DUMMYFUNCTION("""COMPUTED_VALUE"""),0.0)</f>
        <v>0</v>
      </c>
      <c r="AU20" s="409" t="str">
        <f t="shared" si="7"/>
        <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IFERROR(__xludf.DUMMYFUNCTION("IMPORTRANGE(""https://docs.google.com/spreadsheets/d/1QbHfX9wvC_RRupa4CCe_ZxA6O4e2Ap9vqX5hrZPeQRg/edit?gid=284905409#gid=284905409"",""date2_1!C17"")/G5*COUNTIFS($E$13:$E$43,""&gt;0"")+sum(AZ14:BA19)"),138772.7272727273)</f>
        <v>138772.7273</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t="str">
        <f t="shared" si="10"/>
        <v/>
      </c>
      <c r="F21" s="401" t="str">
        <f t="shared" si="3"/>
        <v/>
      </c>
      <c r="G21" s="401" t="str">
        <f t="shared" si="4"/>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IFERROR(__xludf.DUMMYFUNCTION("""COMPUTED_VALUE"""),0.0)</f>
        <v>0</v>
      </c>
      <c r="AU21" s="409" t="str">
        <f t="shared" si="7"/>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10"/>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10"/>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IFERROR(__xludf.DUMMYFUNCTION("IMPORTRANGE(AT9,""total!ai2"")"),525998.6666666666)</f>
        <v>525998.6667</v>
      </c>
      <c r="BF23" s="445">
        <f>IFERROR(__xludf.DUMMYFUNCTION("IMPORTRANGE(AT9,""total!an2"")"),33158.0)</f>
        <v>33158</v>
      </c>
      <c r="BG23" s="443">
        <f>sum(BE23:BF27)+BE20</f>
        <v>559156.6667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10"/>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10"/>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10"/>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0"/>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0"/>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0"/>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0"/>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904520</v>
      </c>
      <c r="BA30" s="456" t="s">
        <v>286</v>
      </c>
      <c r="BB30" s="443">
        <f>SUM(AZ30:AZ36)</f>
        <v>964040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0"/>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11"/>
      <c r="AY31" s="460" t="s">
        <v>363</v>
      </c>
      <c r="AZ31" s="445">
        <f t="shared" ref="AZ31:AZ32" si="11">BA31/$G$5*COUNTIFS($E$13:$E$43,"&gt;0")</f>
        <v>36480</v>
      </c>
      <c r="BA31" s="461">
        <v>182400.0</v>
      </c>
      <c r="BB31" s="446"/>
      <c r="BC31" s="315"/>
      <c r="BD31" s="462" t="s">
        <v>364</v>
      </c>
      <c r="BE31" s="463">
        <v>2000.0</v>
      </c>
      <c r="BF31" s="464"/>
      <c r="BG31" s="445">
        <f t="shared" ref="BG31:BG35" si="12">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0"/>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11"/>
      <c r="AY32" s="460" t="s">
        <v>365</v>
      </c>
      <c r="AZ32" s="445">
        <f t="shared" si="11"/>
        <v>20000</v>
      </c>
      <c r="BA32" s="461">
        <v>100000.0</v>
      </c>
      <c r="BB32" s="446"/>
      <c r="BC32" s="315"/>
      <c r="BD32" s="462" t="s">
        <v>366</v>
      </c>
      <c r="BE32" s="463">
        <v>2500.0</v>
      </c>
      <c r="BF32" s="464"/>
      <c r="BG32" s="445">
        <f t="shared" si="12"/>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0"/>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11"/>
      <c r="AY33" s="460" t="s">
        <v>367</v>
      </c>
      <c r="AZ33" s="461">
        <v>0.0</v>
      </c>
      <c r="BA33" s="461">
        <v>105000.0</v>
      </c>
      <c r="BB33" s="446"/>
      <c r="BC33" s="315"/>
      <c r="BD33" s="465" t="s">
        <v>368</v>
      </c>
      <c r="BE33" s="464"/>
      <c r="BF33" s="464"/>
      <c r="BG33" s="445">
        <f t="shared" si="12"/>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0"/>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0" t="s">
        <v>369</v>
      </c>
      <c r="AZ34" s="426">
        <f>BA34/$G$5*COUNTIFS($E$13:$E$43,"&gt;0")</f>
        <v>3040</v>
      </c>
      <c r="BA34" s="426">
        <v>15200.0</v>
      </c>
      <c r="BB34" s="446"/>
      <c r="BC34" s="315"/>
      <c r="BD34" s="462"/>
      <c r="BE34" s="464"/>
      <c r="BF34" s="464"/>
      <c r="BG34" s="445">
        <f t="shared" si="12"/>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0"/>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6"/>
      <c r="BE35" s="429"/>
      <c r="BF35" s="429"/>
      <c r="BG35" s="467">
        <f t="shared" si="12"/>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0"/>
        <v/>
      </c>
      <c r="F36" s="401" t="str">
        <f t="shared" si="3"/>
        <v/>
      </c>
      <c r="G36" s="401" t="str">
        <f t="shared" si="4"/>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0"/>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0"/>
        <v/>
      </c>
      <c r="F38" s="401" t="str">
        <f t="shared" si="3"/>
        <v/>
      </c>
      <c r="G38" s="401" t="str">
        <f t="shared" si="4"/>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0"/>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0"/>
        <v/>
      </c>
      <c r="F40" s="401" t="str">
        <f t="shared" si="3"/>
        <v/>
      </c>
      <c r="G40" s="401" t="str">
        <f t="shared" si="4"/>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70" t="s">
        <v>376</v>
      </c>
      <c r="AY40" s="471" t="s">
        <v>367</v>
      </c>
      <c r="AZ40" s="461"/>
      <c r="BA40" s="472"/>
      <c r="BB40" s="443">
        <f>SUM(AZ40:AZ45)</f>
        <v>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8"/>
        <v>46141</v>
      </c>
      <c r="D41" s="401" t="str">
        <f t="shared" si="2"/>
        <v>水</v>
      </c>
      <c r="E41" s="401" t="str">
        <f t="shared" si="10"/>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46142</v>
      </c>
      <c r="D42" s="401" t="str">
        <f t="shared" si="2"/>
        <v>木</v>
      </c>
      <c r="E42" s="401" t="str">
        <f t="shared" si="10"/>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0"/>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1050</v>
      </c>
      <c r="F44" s="482">
        <f t="shared" ref="F44:AB44" si="13">SUM(F13:F43)</f>
        <v>957</v>
      </c>
      <c r="G44" s="482">
        <f t="shared" si="13"/>
        <v>913</v>
      </c>
      <c r="H44" s="482">
        <f t="shared" si="13"/>
        <v>404</v>
      </c>
      <c r="I44" s="482">
        <f t="shared" si="13"/>
        <v>44</v>
      </c>
      <c r="J44" s="482">
        <f t="shared" si="13"/>
        <v>138</v>
      </c>
      <c r="K44" s="482">
        <f t="shared" si="13"/>
        <v>327</v>
      </c>
      <c r="L44" s="482">
        <f t="shared" si="13"/>
        <v>44</v>
      </c>
      <c r="M44" s="482">
        <f t="shared" si="13"/>
        <v>27</v>
      </c>
      <c r="N44" s="482">
        <f t="shared" si="13"/>
        <v>324</v>
      </c>
      <c r="O44" s="482">
        <f t="shared" si="13"/>
        <v>64</v>
      </c>
      <c r="P44" s="482">
        <f t="shared" si="13"/>
        <v>8</v>
      </c>
      <c r="Q44" s="482">
        <f t="shared" si="13"/>
        <v>4</v>
      </c>
      <c r="R44" s="482">
        <f t="shared" si="13"/>
        <v>17</v>
      </c>
      <c r="S44" s="482">
        <f t="shared" si="13"/>
        <v>0</v>
      </c>
      <c r="T44" s="482">
        <f t="shared" si="13"/>
        <v>6</v>
      </c>
      <c r="U44" s="482">
        <f t="shared" si="13"/>
        <v>7</v>
      </c>
      <c r="V44" s="482">
        <f t="shared" si="13"/>
        <v>1</v>
      </c>
      <c r="W44" s="482">
        <f t="shared" si="13"/>
        <v>0</v>
      </c>
      <c r="X44" s="482">
        <f t="shared" si="13"/>
        <v>0</v>
      </c>
      <c r="Y44" s="482">
        <f t="shared" si="13"/>
        <v>0</v>
      </c>
      <c r="Z44" s="482">
        <f t="shared" si="13"/>
        <v>0</v>
      </c>
      <c r="AA44" s="482">
        <f t="shared" si="13"/>
        <v>0</v>
      </c>
      <c r="AB44" s="482">
        <f t="shared" si="13"/>
        <v>0</v>
      </c>
      <c r="AC44" s="483"/>
      <c r="AD44" s="483"/>
      <c r="AE44" s="483"/>
      <c r="AF44" s="483"/>
      <c r="AG44" s="483"/>
      <c r="AH44" s="483"/>
      <c r="AI44" s="483"/>
      <c r="AJ44" s="483"/>
      <c r="AK44" s="483"/>
      <c r="AL44" s="483"/>
      <c r="AM44" s="483"/>
      <c r="AN44" s="483"/>
      <c r="AO44" s="483"/>
      <c r="AP44" s="483"/>
      <c r="AQ44" s="483"/>
      <c r="AR44" s="484">
        <f t="shared" ref="AR44:AT44" si="14">sum(AR13:AR43)</f>
        <v>0</v>
      </c>
      <c r="AS44" s="485">
        <f t="shared" si="14"/>
        <v>904520</v>
      </c>
      <c r="AT44" s="485">
        <f t="shared" si="14"/>
        <v>525998.6667</v>
      </c>
      <c r="AU44" s="486">
        <f>AVERAGE(AU13:AU43)</f>
        <v>0.5786573576</v>
      </c>
      <c r="AV44" s="482">
        <f t="shared" ref="AV44:AW44" si="15">sum(AV13:AV43)</f>
        <v>0</v>
      </c>
      <c r="AW44" s="487">
        <f t="shared" si="15"/>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6">G44*G45</f>
        <v>0</v>
      </c>
      <c r="H46" s="507">
        <f t="shared" si="16"/>
        <v>430260</v>
      </c>
      <c r="I46" s="507">
        <f t="shared" si="16"/>
        <v>52360</v>
      </c>
      <c r="J46" s="507">
        <f t="shared" si="16"/>
        <v>184920</v>
      </c>
      <c r="K46" s="507">
        <f t="shared" si="16"/>
        <v>98100</v>
      </c>
      <c r="L46" s="507">
        <f t="shared" si="16"/>
        <v>4400</v>
      </c>
      <c r="M46" s="507">
        <f t="shared" si="16"/>
        <v>2700</v>
      </c>
      <c r="N46" s="507">
        <f t="shared" si="16"/>
        <v>32400</v>
      </c>
      <c r="O46" s="507">
        <f t="shared" si="16"/>
        <v>16000</v>
      </c>
      <c r="P46" s="507">
        <f t="shared" si="16"/>
        <v>2000</v>
      </c>
      <c r="Q46" s="507">
        <f t="shared" si="16"/>
        <v>400</v>
      </c>
      <c r="R46" s="507">
        <f t="shared" si="16"/>
        <v>2550</v>
      </c>
      <c r="S46" s="507">
        <f t="shared" si="16"/>
        <v>0</v>
      </c>
      <c r="T46" s="507">
        <f t="shared" si="16"/>
        <v>900</v>
      </c>
      <c r="U46" s="507">
        <f t="shared" si="16"/>
        <v>77000</v>
      </c>
      <c r="V46" s="507">
        <f t="shared" si="16"/>
        <v>530</v>
      </c>
      <c r="W46" s="408">
        <f t="shared" si="16"/>
        <v>0</v>
      </c>
      <c r="X46" s="408">
        <f t="shared" si="16"/>
        <v>0</v>
      </c>
      <c r="Y46" s="408">
        <f t="shared" si="16"/>
        <v>0</v>
      </c>
      <c r="Z46" s="408">
        <f t="shared" si="16"/>
        <v>0</v>
      </c>
      <c r="AA46" s="408">
        <f t="shared" si="16"/>
        <v>0</v>
      </c>
      <c r="AB46" s="408">
        <f t="shared" si="16"/>
        <v>0</v>
      </c>
      <c r="AC46" s="407">
        <f t="shared" si="16"/>
        <v>0</v>
      </c>
      <c r="AD46" s="407">
        <f t="shared" si="16"/>
        <v>0</v>
      </c>
      <c r="AE46" s="407">
        <f t="shared" si="16"/>
        <v>0</v>
      </c>
      <c r="AF46" s="407">
        <f t="shared" si="16"/>
        <v>0</v>
      </c>
      <c r="AG46" s="407">
        <f t="shared" si="16"/>
        <v>0</v>
      </c>
      <c r="AH46" s="407">
        <f t="shared" si="16"/>
        <v>0</v>
      </c>
      <c r="AI46" s="407">
        <f t="shared" si="16"/>
        <v>0</v>
      </c>
      <c r="AJ46" s="499"/>
      <c r="AK46" s="499"/>
      <c r="AL46" s="499"/>
      <c r="AM46" s="499"/>
      <c r="AN46" s="499"/>
      <c r="AO46" s="499"/>
      <c r="AP46" s="499"/>
      <c r="AQ46" s="499"/>
      <c r="AR46" s="499"/>
      <c r="AS46" s="508">
        <f>sum(G46:AB46)</f>
        <v>904520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7">G44/$E$44</f>
        <v>0.8695238095</v>
      </c>
      <c r="H47" s="514">
        <f t="shared" si="17"/>
        <v>0.3847619048</v>
      </c>
      <c r="I47" s="514">
        <f t="shared" si="17"/>
        <v>0.0419047619</v>
      </c>
      <c r="J47" s="514">
        <f t="shared" si="17"/>
        <v>0.1314285714</v>
      </c>
      <c r="K47" s="514">
        <f t="shared" si="17"/>
        <v>0.3114285714</v>
      </c>
      <c r="L47" s="514">
        <f t="shared" si="17"/>
        <v>0.0419047619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382</v>
      </c>
      <c r="O2" s="535"/>
      <c r="P2" s="536"/>
      <c r="Q2" s="537"/>
      <c r="R2" s="537"/>
      <c r="S2" s="538"/>
      <c r="T2" s="537"/>
      <c r="U2" s="537"/>
      <c r="V2" s="537"/>
      <c r="W2" s="537"/>
      <c r="X2" s="537"/>
      <c r="Y2" s="539"/>
      <c r="Z2" s="281"/>
      <c r="AA2" s="281"/>
      <c r="AB2" s="281"/>
      <c r="AC2" s="281"/>
      <c r="AD2" s="281"/>
      <c r="AE2" s="281"/>
      <c r="AF2" s="540"/>
      <c r="AG2" s="541"/>
      <c r="AH2" s="542"/>
      <c r="AI2" s="543" t="s">
        <v>383</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404</v>
      </c>
      <c r="AU4" s="585" t="s">
        <v>213</v>
      </c>
      <c r="AV4" s="586">
        <v>8.0</v>
      </c>
      <c r="AW4" s="586">
        <v>9.0</v>
      </c>
      <c r="AX4" s="586">
        <v>8.0</v>
      </c>
      <c r="AY4" s="586">
        <v>9.0</v>
      </c>
      <c r="AZ4" s="586">
        <v>9.0</v>
      </c>
      <c r="BA4" s="586">
        <v>9.0</v>
      </c>
      <c r="BB4" s="586">
        <v>9.0</v>
      </c>
      <c r="BC4" s="586">
        <v>8.0</v>
      </c>
      <c r="BD4" s="586">
        <v>9.0</v>
      </c>
      <c r="BE4" s="586">
        <v>9.0</v>
      </c>
      <c r="BF4" s="586">
        <v>9.0</v>
      </c>
      <c r="BG4" s="587">
        <v>9.0</v>
      </c>
      <c r="BH4" s="588">
        <v>105.0</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0</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v>105.0</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46119</v>
      </c>
      <c r="C7" s="615"/>
      <c r="D7" s="530"/>
      <c r="E7" s="616">
        <f>today()+1</f>
        <v>46120</v>
      </c>
      <c r="F7" s="617"/>
      <c r="G7" s="530"/>
      <c r="H7" s="530"/>
      <c r="I7" s="618" t="s">
        <v>422</v>
      </c>
      <c r="J7" s="619" t="s">
        <v>423</v>
      </c>
      <c r="K7" s="620">
        <v>46113.0</v>
      </c>
      <c r="L7" s="621" t="s">
        <v>424</v>
      </c>
      <c r="M7" s="622" t="s">
        <v>425</v>
      </c>
      <c r="N7" s="623">
        <f>K7</f>
        <v>46113</v>
      </c>
      <c r="O7" s="623">
        <f t="shared" ref="O7:AR7" si="1">IF(N7="","",IF(DAY(N7+1)=1,"",N7+1))</f>
        <v>46114</v>
      </c>
      <c r="P7" s="623">
        <f t="shared" si="1"/>
        <v>46115</v>
      </c>
      <c r="Q7" s="623">
        <f t="shared" si="1"/>
        <v>46116</v>
      </c>
      <c r="R7" s="623">
        <f t="shared" si="1"/>
        <v>46117</v>
      </c>
      <c r="S7" s="623">
        <f t="shared" si="1"/>
        <v>46118</v>
      </c>
      <c r="T7" s="623">
        <f t="shared" si="1"/>
        <v>46119</v>
      </c>
      <c r="U7" s="623">
        <f t="shared" si="1"/>
        <v>46120</v>
      </c>
      <c r="V7" s="623">
        <f t="shared" si="1"/>
        <v>46121</v>
      </c>
      <c r="W7" s="623">
        <f t="shared" si="1"/>
        <v>46122</v>
      </c>
      <c r="X7" s="623">
        <f t="shared" si="1"/>
        <v>46123</v>
      </c>
      <c r="Y7" s="623">
        <f t="shared" si="1"/>
        <v>46124</v>
      </c>
      <c r="Z7" s="623">
        <f t="shared" si="1"/>
        <v>46125</v>
      </c>
      <c r="AA7" s="623">
        <f t="shared" si="1"/>
        <v>46126</v>
      </c>
      <c r="AB7" s="623">
        <f t="shared" si="1"/>
        <v>46127</v>
      </c>
      <c r="AC7" s="623">
        <f t="shared" si="1"/>
        <v>46128</v>
      </c>
      <c r="AD7" s="623">
        <f t="shared" si="1"/>
        <v>46129</v>
      </c>
      <c r="AE7" s="623">
        <f t="shared" si="1"/>
        <v>46130</v>
      </c>
      <c r="AF7" s="623">
        <f t="shared" si="1"/>
        <v>46131</v>
      </c>
      <c r="AG7" s="623">
        <f t="shared" si="1"/>
        <v>46132</v>
      </c>
      <c r="AH7" s="623">
        <f t="shared" si="1"/>
        <v>46133</v>
      </c>
      <c r="AI7" s="623">
        <f t="shared" si="1"/>
        <v>46134</v>
      </c>
      <c r="AJ7" s="623">
        <f t="shared" si="1"/>
        <v>46135</v>
      </c>
      <c r="AK7" s="623">
        <f t="shared" si="1"/>
        <v>46136</v>
      </c>
      <c r="AL7" s="623">
        <f t="shared" si="1"/>
        <v>46137</v>
      </c>
      <c r="AM7" s="623">
        <f t="shared" si="1"/>
        <v>46138</v>
      </c>
      <c r="AN7" s="623">
        <f t="shared" si="1"/>
        <v>46139</v>
      </c>
      <c r="AO7" s="623">
        <f t="shared" si="1"/>
        <v>46140</v>
      </c>
      <c r="AP7" s="623">
        <f t="shared" si="1"/>
        <v>46141</v>
      </c>
      <c r="AQ7" s="623">
        <f t="shared" si="1"/>
        <v>46142</v>
      </c>
      <c r="AR7" s="624" t="str">
        <f t="shared" si="1"/>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火</v>
      </c>
      <c r="D8" s="119"/>
      <c r="E8" s="631" t="s">
        <v>292</v>
      </c>
      <c r="F8" s="632" t="str">
        <f>TEXT(E7,"ddd")</f>
        <v>水</v>
      </c>
      <c r="G8" s="200"/>
      <c r="H8" s="200"/>
      <c r="I8" s="618"/>
      <c r="J8" s="633" t="s">
        <v>433</v>
      </c>
      <c r="K8" s="621" t="s">
        <v>434</v>
      </c>
      <c r="L8" s="634" t="s">
        <v>435</v>
      </c>
      <c r="M8" s="622"/>
      <c r="N8" s="624" t="str">
        <f t="shared" ref="N8:AR8" si="2">TEXT(N7,"ddd")</f>
        <v>水</v>
      </c>
      <c r="O8" s="624" t="str">
        <f t="shared" si="2"/>
        <v>木</v>
      </c>
      <c r="P8" s="624" t="str">
        <f t="shared" si="2"/>
        <v>金</v>
      </c>
      <c r="Q8" s="624" t="str">
        <f t="shared" si="2"/>
        <v>土</v>
      </c>
      <c r="R8" s="624" t="str">
        <f t="shared" si="2"/>
        <v>日</v>
      </c>
      <c r="S8" s="624" t="str">
        <f t="shared" si="2"/>
        <v>月</v>
      </c>
      <c r="T8" s="624" t="str">
        <f t="shared" si="2"/>
        <v>火</v>
      </c>
      <c r="U8" s="624" t="str">
        <f t="shared" si="2"/>
        <v>水</v>
      </c>
      <c r="V8" s="624" t="str">
        <f t="shared" si="2"/>
        <v>木</v>
      </c>
      <c r="W8" s="624" t="str">
        <f t="shared" si="2"/>
        <v>金</v>
      </c>
      <c r="X8" s="624" t="str">
        <f t="shared" si="2"/>
        <v>土</v>
      </c>
      <c r="Y8" s="624" t="str">
        <f t="shared" si="2"/>
        <v>日</v>
      </c>
      <c r="Z8" s="624" t="str">
        <f t="shared" si="2"/>
        <v>月</v>
      </c>
      <c r="AA8" s="624" t="str">
        <f t="shared" si="2"/>
        <v>火</v>
      </c>
      <c r="AB8" s="624" t="str">
        <f t="shared" si="2"/>
        <v>水</v>
      </c>
      <c r="AC8" s="624" t="str">
        <f t="shared" si="2"/>
        <v>木</v>
      </c>
      <c r="AD8" s="624" t="str">
        <f t="shared" si="2"/>
        <v>金</v>
      </c>
      <c r="AE8" s="624" t="str">
        <f t="shared" si="2"/>
        <v>土</v>
      </c>
      <c r="AF8" s="624" t="str">
        <f t="shared" si="2"/>
        <v>日</v>
      </c>
      <c r="AG8" s="624" t="str">
        <f t="shared" si="2"/>
        <v>月</v>
      </c>
      <c r="AH8" s="624" t="str">
        <f t="shared" si="2"/>
        <v>火</v>
      </c>
      <c r="AI8" s="624" t="str">
        <f t="shared" si="2"/>
        <v>水</v>
      </c>
      <c r="AJ8" s="624" t="str">
        <f t="shared" si="2"/>
        <v>木</v>
      </c>
      <c r="AK8" s="624" t="str">
        <f t="shared" si="2"/>
        <v>金</v>
      </c>
      <c r="AL8" s="624" t="str">
        <f t="shared" si="2"/>
        <v>土</v>
      </c>
      <c r="AM8" s="624" t="str">
        <f t="shared" si="2"/>
        <v>日</v>
      </c>
      <c r="AN8" s="624" t="str">
        <f t="shared" si="2"/>
        <v>月</v>
      </c>
      <c r="AO8" s="624" t="str">
        <f t="shared" si="2"/>
        <v>火</v>
      </c>
      <c r="AP8" s="624" t="str">
        <f t="shared" si="2"/>
        <v>水</v>
      </c>
      <c r="AQ8" s="624" t="str">
        <f t="shared" si="2"/>
        <v>木</v>
      </c>
      <c r="AR8" s="624" t="str">
        <f t="shared" si="2"/>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3">K9</f>
        <v>出勤者数合計</v>
      </c>
      <c r="C9" s="638">
        <f t="shared" ref="C9:C104" si="4">if(B9="","", xlookup($B$7,$N$7:$AR$7,$N9:$AR9))</f>
        <v>16</v>
      </c>
      <c r="D9" s="200"/>
      <c r="E9" s="637" t="str">
        <f t="shared" ref="E9:E104" si="5">K9</f>
        <v>出勤者数合計</v>
      </c>
      <c r="F9" s="638">
        <f t="shared" ref="F9:F103" si="6">if(E9="","", xlookup($E$7,$N$7:$AR$7,$N9:$AR9))</f>
        <v>15</v>
      </c>
      <c r="G9" s="200"/>
      <c r="H9" s="200"/>
      <c r="I9" s="172" t="b">
        <v>0</v>
      </c>
      <c r="J9" s="633"/>
      <c r="K9" s="639" t="s">
        <v>436</v>
      </c>
      <c r="L9" s="640" t="s">
        <v>135</v>
      </c>
      <c r="M9" s="641" t="s">
        <v>437</v>
      </c>
      <c r="N9" s="642">
        <f t="array" ref="N9">SUM(COUNTIF(N11:N104, {"◎","〇","☆","共","特","浴"}))</f>
        <v>15</v>
      </c>
      <c r="O9" s="642">
        <f t="array" ref="O9">SUM(COUNTIF(O11:O104, {"◎","〇","☆","共","特","浴"}))</f>
        <v>11</v>
      </c>
      <c r="P9" s="642">
        <f t="array" ref="P9">SUM(COUNTIF(P11:P104, {"◎","〇","☆","共","特","浴"}))</f>
        <v>13</v>
      </c>
      <c r="Q9" s="642">
        <f t="array" ref="Q9">SUM(COUNTIF(Q11:Q104, {"◎","〇","☆","共","特","浴"}))</f>
        <v>11</v>
      </c>
      <c r="R9" s="642">
        <f t="array" ref="R9">SUM(COUNTIF(R11:R104, {"◎","〇","☆","共","特","浴"}))</f>
        <v>12</v>
      </c>
      <c r="S9" s="642">
        <f t="array" ref="S9">SUM(COUNTIF(S11:S104, {"◎","〇","☆","共","特","浴"}))</f>
        <v>14</v>
      </c>
      <c r="T9" s="642">
        <f t="array" ref="T9">SUM(COUNTIF(T11:T104, {"◎","〇","☆","共","特","浴"}))</f>
        <v>16</v>
      </c>
      <c r="U9" s="642">
        <f t="array" ref="U9">SUM(COUNTIF(U11:U104, {"◎","〇","☆","共","特","浴"}))</f>
        <v>15</v>
      </c>
      <c r="V9" s="642">
        <f t="array" ref="V9">SUM(COUNTIF(V11:V104, {"◎","〇","☆","共","特","浴"}))</f>
        <v>11</v>
      </c>
      <c r="W9" s="642">
        <f t="array" ref="W9">SUM(COUNTIF(W11:W104, {"◎","〇","☆","共","特","浴"}))</f>
        <v>15</v>
      </c>
      <c r="X9" s="642">
        <f t="array" ref="X9">SUM(COUNTIF(X11:X104, {"◎","〇","☆","共","特","浴"}))</f>
        <v>12</v>
      </c>
      <c r="Y9" s="642">
        <f t="array" ref="Y9">SUM(COUNTIF(Y11:Y104, {"◎","〇","☆","共","特","浴"}))</f>
        <v>12</v>
      </c>
      <c r="Z9" s="642">
        <f t="array" ref="Z9">SUM(COUNTIF(Z11:Z104, {"◎","〇","☆","共","特","浴"}))</f>
        <v>13</v>
      </c>
      <c r="AA9" s="642">
        <f t="array" ref="AA9">SUM(COUNTIF(AA11:AA104, {"◎","〇","☆","共","特","浴"}))</f>
        <v>15</v>
      </c>
      <c r="AB9" s="642">
        <f t="array" ref="AB9">SUM(COUNTIF(AB11:AB104, {"◎","〇","☆","共","特","浴"}))</f>
        <v>15</v>
      </c>
      <c r="AC9" s="642">
        <f t="array" ref="AC9">SUM(COUNTIF(AC11:AC104, {"◎","〇","☆","共","特","浴"}))</f>
        <v>13</v>
      </c>
      <c r="AD9" s="642">
        <f t="array" ref="AD9">SUM(COUNTIF(AD11:AD104, {"◎","〇","☆","共","特","浴"}))</f>
        <v>15</v>
      </c>
      <c r="AE9" s="642">
        <f t="array" ref="AE9">SUM(COUNTIF(AE11:AE104, {"◎","〇","☆","共","特","浴"}))</f>
        <v>11</v>
      </c>
      <c r="AF9" s="642">
        <f t="array" ref="AF9">SUM(COUNTIF(AF11:AF104, {"◎","〇","☆","共","特","浴"}))</f>
        <v>11</v>
      </c>
      <c r="AG9" s="642">
        <f t="array" ref="AG9">SUM(COUNTIF(AG11:AG104, {"◎","〇","☆","共","特","浴"}))</f>
        <v>15</v>
      </c>
      <c r="AH9" s="642">
        <f t="array" ref="AH9">SUM(COUNTIF(AH11:AH104, {"◎","〇","☆","共","特","浴"}))</f>
        <v>17</v>
      </c>
      <c r="AI9" s="642">
        <f t="array" ref="AI9">SUM(COUNTIF(AI11:AI104, {"◎","〇","☆","共","特","浴"}))</f>
        <v>16</v>
      </c>
      <c r="AJ9" s="642">
        <f t="array" ref="AJ9">SUM(COUNTIF(AJ11:AJ104, {"◎","〇","☆","共","特","浴"}))</f>
        <v>12</v>
      </c>
      <c r="AK9" s="642">
        <f t="array" ref="AK9">SUM(COUNTIF(AK11:AK104, {"◎","〇","☆","共","特","浴"}))</f>
        <v>15</v>
      </c>
      <c r="AL9" s="642">
        <f t="array" ref="AL9">SUM(COUNTIF(AL11:AL104, {"◎","〇","☆","共","特","浴"}))</f>
        <v>11</v>
      </c>
      <c r="AM9" s="642">
        <f t="array" ref="AM9">SUM(COUNTIF(AM11:AM104, {"◎","〇","☆","共","特","浴"}))</f>
        <v>11</v>
      </c>
      <c r="AN9" s="642">
        <f t="array" ref="AN9">SUM(COUNTIF(AN11:AN104, {"◎","〇","☆","共","特","浴"}))</f>
        <v>14</v>
      </c>
      <c r="AO9" s="642">
        <f t="array" ref="AO9">SUM(COUNTIF(AO11:AO104, {"◎","〇","☆","共","特","浴"}))</f>
        <v>14</v>
      </c>
      <c r="AP9" s="642">
        <f t="array" ref="AP9">SUM(COUNTIF(AP11:AP104, {"◎","〇","☆","共","特","浴"}))</f>
        <v>15</v>
      </c>
      <c r="AQ9" s="642">
        <f t="array" ref="AQ9">SUM(COUNTIF(AQ11:AQ104, {"◎","〇","☆","共","特","浴"}))</f>
        <v>13</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3"/>
        <v>チェッカー数</v>
      </c>
      <c r="C10" s="638">
        <f t="shared" si="4"/>
        <v>5</v>
      </c>
      <c r="D10" s="200"/>
      <c r="E10" s="637" t="str">
        <f t="shared" si="5"/>
        <v>チェッカー数</v>
      </c>
      <c r="F10" s="638">
        <f t="shared" si="6"/>
        <v>4</v>
      </c>
      <c r="G10" s="200"/>
      <c r="H10" s="200"/>
      <c r="I10" s="172" t="b">
        <v>0</v>
      </c>
      <c r="J10" s="633"/>
      <c r="K10" s="639" t="s">
        <v>438</v>
      </c>
      <c r="L10" s="640" t="s">
        <v>135</v>
      </c>
      <c r="M10" s="641" t="s">
        <v>439</v>
      </c>
      <c r="N10" s="642">
        <f t="array" ref="N10">SUM(COUNTIF(N11:N104, {"◎","☆"}))</f>
        <v>5</v>
      </c>
      <c r="O10" s="642">
        <f t="array" ref="O10">SUM(COUNTIF(O11:O104, {"◎","☆"}))</f>
        <v>3</v>
      </c>
      <c r="P10" s="642">
        <f t="array" ref="P10">SUM(COUNTIF(P11:P104, {"◎","☆"}))</f>
        <v>3</v>
      </c>
      <c r="Q10" s="642">
        <f t="array" ref="Q10">SUM(COUNTIF(Q11:Q104, {"◎","☆"}))</f>
        <v>5</v>
      </c>
      <c r="R10" s="642">
        <f t="array" ref="R10">SUM(COUNTIF(R11:R104, {"◎","☆"}))</f>
        <v>4</v>
      </c>
      <c r="S10" s="642">
        <f t="array" ref="S10">SUM(COUNTIF(S11:S104, {"◎","☆"}))</f>
        <v>4</v>
      </c>
      <c r="T10" s="642">
        <f t="array" ref="T10">SUM(COUNTIF(T11:T104, {"◎","☆"}))</f>
        <v>5</v>
      </c>
      <c r="U10" s="642">
        <f t="array" ref="U10">SUM(COUNTIF(U11:U104, {"◎","☆"}))</f>
        <v>4</v>
      </c>
      <c r="V10" s="642">
        <f t="array" ref="V10">SUM(COUNTIF(V11:V104, {"◎","☆"}))</f>
        <v>4</v>
      </c>
      <c r="W10" s="642">
        <f t="array" ref="W10">SUM(COUNTIF(W11:W104, {"◎","☆"}))</f>
        <v>5</v>
      </c>
      <c r="X10" s="642">
        <f t="array" ref="X10">SUM(COUNTIF(X11:X104, {"◎","☆"}))</f>
        <v>5</v>
      </c>
      <c r="Y10" s="642">
        <f t="array" ref="Y10">SUM(COUNTIF(Y11:Y104, {"◎","☆"}))</f>
        <v>4</v>
      </c>
      <c r="Z10" s="642">
        <f t="array" ref="Z10">SUM(COUNTIF(Z11:Z104, {"◎","☆"}))</f>
        <v>4</v>
      </c>
      <c r="AA10" s="642">
        <f t="array" ref="AA10">SUM(COUNTIF(AA11:AA104, {"◎","☆"}))</f>
        <v>4</v>
      </c>
      <c r="AB10" s="642">
        <f t="array" ref="AB10">SUM(COUNTIF(AB11:AB104, {"◎","☆"}))</f>
        <v>4</v>
      </c>
      <c r="AC10" s="642">
        <f t="array" ref="AC10">SUM(COUNTIF(AC11:AC104, {"◎","☆"}))</f>
        <v>5</v>
      </c>
      <c r="AD10" s="642">
        <f t="array" ref="AD10">SUM(COUNTIF(AD11:AD104, {"◎","☆"}))</f>
        <v>5</v>
      </c>
      <c r="AE10" s="642">
        <f t="array" ref="AE10">SUM(COUNTIF(AE11:AE104, {"◎","☆"}))</f>
        <v>4</v>
      </c>
      <c r="AF10" s="642">
        <f t="array" ref="AF10">SUM(COUNTIF(AF11:AF104, {"◎","☆"}))</f>
        <v>3</v>
      </c>
      <c r="AG10" s="642">
        <f t="array" ref="AG10">SUM(COUNTIF(AG11:AG104, {"◎","☆"}))</f>
        <v>4</v>
      </c>
      <c r="AH10" s="642">
        <f t="array" ref="AH10">SUM(COUNTIF(AH11:AH104, {"◎","☆"}))</f>
        <v>5</v>
      </c>
      <c r="AI10" s="642">
        <f t="array" ref="AI10">SUM(COUNTIF(AI11:AI104, {"◎","☆"}))</f>
        <v>4</v>
      </c>
      <c r="AJ10" s="642">
        <f t="array" ref="AJ10">SUM(COUNTIF(AJ11:AJ104, {"◎","☆"}))</f>
        <v>4</v>
      </c>
      <c r="AK10" s="642">
        <f t="array" ref="AK10">SUM(COUNTIF(AK11:AK104, {"◎","☆"}))</f>
        <v>5</v>
      </c>
      <c r="AL10" s="642">
        <f t="array" ref="AL10">SUM(COUNTIF(AL11:AL104, {"◎","☆"}))</f>
        <v>5</v>
      </c>
      <c r="AM10" s="642">
        <f t="array" ref="AM10">SUM(COUNTIF(AM11:AM104, {"◎","☆"}))</f>
        <v>4</v>
      </c>
      <c r="AN10" s="642">
        <f t="array" ref="AN10">SUM(COUNTIF(AN11:AN104, {"◎","☆"}))</f>
        <v>4</v>
      </c>
      <c r="AO10" s="642">
        <f t="array" ref="AO10">SUM(COUNTIF(AO11:AO104, {"◎","☆"}))</f>
        <v>4</v>
      </c>
      <c r="AP10" s="642">
        <f t="array" ref="AP10">SUM(COUNTIF(AP11:AP104, {"◎","☆"}))</f>
        <v>5</v>
      </c>
      <c r="AQ10" s="642">
        <f t="array" ref="AQ10">SUM(COUNTIF(AQ11:AQ104, {"◎","☆"}))</f>
        <v>5</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3"/>
        <v>梅川</v>
      </c>
      <c r="C11" s="638" t="str">
        <f t="shared" si="4"/>
        <v>◎</v>
      </c>
      <c r="D11" s="200"/>
      <c r="E11" s="637" t="str">
        <f t="shared" si="5"/>
        <v>梅川</v>
      </c>
      <c r="F11" s="638" t="str">
        <f t="shared" si="6"/>
        <v>◎</v>
      </c>
      <c r="G11" s="200"/>
      <c r="H11" s="200"/>
      <c r="I11" s="172" t="b">
        <v>0</v>
      </c>
      <c r="J11" s="619"/>
      <c r="K11" s="639" t="s">
        <v>132</v>
      </c>
      <c r="L11" s="640" t="s">
        <v>440</v>
      </c>
      <c r="M11" s="646"/>
      <c r="N11" s="647" t="s">
        <v>393</v>
      </c>
      <c r="O11" s="647" t="s">
        <v>417</v>
      </c>
      <c r="P11" s="647" t="s">
        <v>393</v>
      </c>
      <c r="Q11" s="647" t="s">
        <v>393</v>
      </c>
      <c r="R11" s="647" t="s">
        <v>393</v>
      </c>
      <c r="S11" s="647" t="s">
        <v>409</v>
      </c>
      <c r="T11" s="647" t="s">
        <v>393</v>
      </c>
      <c r="U11" s="647" t="s">
        <v>393</v>
      </c>
      <c r="V11" s="647" t="s">
        <v>393</v>
      </c>
      <c r="W11" s="647" t="s">
        <v>409</v>
      </c>
      <c r="X11" s="647" t="s">
        <v>393</v>
      </c>
      <c r="Y11" s="647" t="s">
        <v>393</v>
      </c>
      <c r="Z11" s="647" t="s">
        <v>409</v>
      </c>
      <c r="AA11" s="647" t="s">
        <v>393</v>
      </c>
      <c r="AB11" s="647" t="s">
        <v>393</v>
      </c>
      <c r="AC11" s="647" t="s">
        <v>393</v>
      </c>
      <c r="AD11" s="647" t="s">
        <v>417</v>
      </c>
      <c r="AE11" s="647" t="s">
        <v>393</v>
      </c>
      <c r="AF11" s="647" t="s">
        <v>441</v>
      </c>
      <c r="AG11" s="647" t="s">
        <v>417</v>
      </c>
      <c r="AH11" s="647" t="s">
        <v>393</v>
      </c>
      <c r="AI11" s="647" t="s">
        <v>393</v>
      </c>
      <c r="AJ11" s="647" t="s">
        <v>409</v>
      </c>
      <c r="AK11" s="647" t="s">
        <v>393</v>
      </c>
      <c r="AL11" s="647" t="s">
        <v>393</v>
      </c>
      <c r="AM11" s="647" t="s">
        <v>393</v>
      </c>
      <c r="AN11" s="647" t="s">
        <v>417</v>
      </c>
      <c r="AO11" s="647" t="s">
        <v>393</v>
      </c>
      <c r="AP11" s="647" t="s">
        <v>393</v>
      </c>
      <c r="AQ11" s="647" t="s">
        <v>409</v>
      </c>
      <c r="AR11" s="647"/>
      <c r="AS11" s="648">
        <f t="array" ref="AS11">SUM(COUNTIF(N11:AR11, {"◎","〇","☆","共","特","浴"}))</f>
        <v>20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3"/>
        <v>メイ</v>
      </c>
      <c r="C12" s="638" t="str">
        <f t="shared" si="4"/>
        <v>☆</v>
      </c>
      <c r="D12" s="200"/>
      <c r="E12" s="637" t="str">
        <f t="shared" si="5"/>
        <v>メイ</v>
      </c>
      <c r="F12" s="638" t="str">
        <f t="shared" si="6"/>
        <v>公</v>
      </c>
      <c r="G12" s="200"/>
      <c r="H12" s="200"/>
      <c r="I12" s="172" t="b">
        <v>0</v>
      </c>
      <c r="J12" s="619"/>
      <c r="K12" s="639" t="s">
        <v>142</v>
      </c>
      <c r="L12" s="640" t="s">
        <v>442</v>
      </c>
      <c r="M12" s="646"/>
      <c r="N12" s="647" t="s">
        <v>417</v>
      </c>
      <c r="O12" s="647" t="s">
        <v>395</v>
      </c>
      <c r="P12" s="647" t="s">
        <v>395</v>
      </c>
      <c r="Q12" s="647" t="s">
        <v>395</v>
      </c>
      <c r="R12" s="647" t="s">
        <v>409</v>
      </c>
      <c r="S12" s="647" t="s">
        <v>395</v>
      </c>
      <c r="T12" s="647" t="s">
        <v>395</v>
      </c>
      <c r="U12" s="647" t="s">
        <v>409</v>
      </c>
      <c r="V12" s="647" t="s">
        <v>417</v>
      </c>
      <c r="W12" s="647" t="s">
        <v>395</v>
      </c>
      <c r="X12" s="647" t="s">
        <v>395</v>
      </c>
      <c r="Y12" s="647" t="s">
        <v>395</v>
      </c>
      <c r="Z12" s="647" t="s">
        <v>395</v>
      </c>
      <c r="AA12" s="647" t="s">
        <v>411</v>
      </c>
      <c r="AB12" s="647" t="s">
        <v>409</v>
      </c>
      <c r="AC12" s="647" t="s">
        <v>409</v>
      </c>
      <c r="AD12" s="647" t="s">
        <v>395</v>
      </c>
      <c r="AE12" s="647" t="s">
        <v>395</v>
      </c>
      <c r="AF12" s="647" t="s">
        <v>395</v>
      </c>
      <c r="AG12" s="647" t="s">
        <v>395</v>
      </c>
      <c r="AH12" s="647" t="s">
        <v>409</v>
      </c>
      <c r="AI12" s="647" t="s">
        <v>409</v>
      </c>
      <c r="AJ12" s="647" t="s">
        <v>395</v>
      </c>
      <c r="AK12" s="647" t="s">
        <v>395</v>
      </c>
      <c r="AL12" s="647" t="s">
        <v>395</v>
      </c>
      <c r="AM12" s="647" t="s">
        <v>395</v>
      </c>
      <c r="AN12" s="647" t="s">
        <v>395</v>
      </c>
      <c r="AO12" s="647" t="s">
        <v>409</v>
      </c>
      <c r="AP12" s="647" t="s">
        <v>395</v>
      </c>
      <c r="AQ12" s="647" t="s">
        <v>395</v>
      </c>
      <c r="AR12" s="647"/>
      <c r="AS12" s="648">
        <f t="array" ref="AS12">SUM(COUNTIF(N12:AR12, {"◎","〇","☆","共","特","浴"}))</f>
        <v>20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3"/>
        <v>ビマル</v>
      </c>
      <c r="C13" s="638" t="str">
        <f t="shared" si="4"/>
        <v>◎</v>
      </c>
      <c r="D13" s="200"/>
      <c r="E13" s="637" t="str">
        <f t="shared" si="5"/>
        <v>ビマル</v>
      </c>
      <c r="F13" s="638" t="str">
        <f t="shared" si="6"/>
        <v>公</v>
      </c>
      <c r="G13" s="200"/>
      <c r="H13" s="200"/>
      <c r="I13" s="172" t="b">
        <v>0</v>
      </c>
      <c r="J13" s="619"/>
      <c r="K13" s="639" t="s">
        <v>119</v>
      </c>
      <c r="L13" s="640" t="s">
        <v>440</v>
      </c>
      <c r="M13" s="646"/>
      <c r="N13" s="647" t="s">
        <v>393</v>
      </c>
      <c r="O13" s="647" t="s">
        <v>443</v>
      </c>
      <c r="P13" s="647" t="s">
        <v>443</v>
      </c>
      <c r="Q13" s="647" t="s">
        <v>409</v>
      </c>
      <c r="R13" s="647" t="s">
        <v>443</v>
      </c>
      <c r="S13" s="647" t="s">
        <v>409</v>
      </c>
      <c r="T13" s="647" t="s">
        <v>393</v>
      </c>
      <c r="U13" s="647" t="s">
        <v>409</v>
      </c>
      <c r="V13" s="647" t="s">
        <v>443</v>
      </c>
      <c r="W13" s="647" t="s">
        <v>393</v>
      </c>
      <c r="X13" s="647" t="s">
        <v>409</v>
      </c>
      <c r="Y13" s="647" t="s">
        <v>443</v>
      </c>
      <c r="Z13" s="647" t="s">
        <v>443</v>
      </c>
      <c r="AA13" s="647" t="s">
        <v>393</v>
      </c>
      <c r="AB13" s="647" t="s">
        <v>409</v>
      </c>
      <c r="AC13" s="647" t="s">
        <v>443</v>
      </c>
      <c r="AD13" s="647" t="s">
        <v>393</v>
      </c>
      <c r="AE13" s="647" t="s">
        <v>409</v>
      </c>
      <c r="AF13" s="647" t="s">
        <v>443</v>
      </c>
      <c r="AG13" s="647" t="s">
        <v>443</v>
      </c>
      <c r="AH13" s="647" t="s">
        <v>393</v>
      </c>
      <c r="AI13" s="647" t="s">
        <v>443</v>
      </c>
      <c r="AJ13" s="647" t="s">
        <v>443</v>
      </c>
      <c r="AK13" s="647" t="s">
        <v>393</v>
      </c>
      <c r="AL13" s="647" t="s">
        <v>409</v>
      </c>
      <c r="AM13" s="647" t="s">
        <v>443</v>
      </c>
      <c r="AN13" s="647" t="s">
        <v>443</v>
      </c>
      <c r="AO13" s="647" t="s">
        <v>411</v>
      </c>
      <c r="AP13" s="647" t="s">
        <v>409</v>
      </c>
      <c r="AQ13" s="647" t="s">
        <v>443</v>
      </c>
      <c r="AR13" s="642"/>
      <c r="AS13" s="648">
        <f t="array" ref="AS13">SUM(COUNTIF(N13:AR13, {"◎","〇","☆","共","特","浴"}))</f>
        <v>7</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3"/>
        <v>サウド</v>
      </c>
      <c r="C14" s="638" t="str">
        <f t="shared" si="4"/>
        <v>〇</v>
      </c>
      <c r="D14" s="200"/>
      <c r="E14" s="637" t="str">
        <f t="shared" si="5"/>
        <v>サウド</v>
      </c>
      <c r="F14" s="638" t="str">
        <f t="shared" si="6"/>
        <v/>
      </c>
      <c r="G14" s="200"/>
      <c r="H14" s="200"/>
      <c r="I14" s="172" t="b">
        <v>0</v>
      </c>
      <c r="J14" s="619"/>
      <c r="K14" s="639" t="s">
        <v>444</v>
      </c>
      <c r="L14" s="640" t="s">
        <v>442</v>
      </c>
      <c r="M14" s="646"/>
      <c r="N14" s="647" t="s">
        <v>445</v>
      </c>
      <c r="O14" s="647"/>
      <c r="P14" s="647"/>
      <c r="Q14" s="647"/>
      <c r="R14" s="647"/>
      <c r="S14" s="647" t="s">
        <v>445</v>
      </c>
      <c r="T14" s="647" t="s">
        <v>192</v>
      </c>
      <c r="U14" s="647"/>
      <c r="V14" s="647"/>
      <c r="W14" s="647" t="s">
        <v>192</v>
      </c>
      <c r="X14" s="647"/>
      <c r="Y14" s="647"/>
      <c r="Z14" s="647" t="s">
        <v>445</v>
      </c>
      <c r="AA14" s="647" t="s">
        <v>192</v>
      </c>
      <c r="AB14" s="647"/>
      <c r="AC14" s="647"/>
      <c r="AD14" s="647" t="s">
        <v>192</v>
      </c>
      <c r="AE14" s="647"/>
      <c r="AF14" s="647"/>
      <c r="AG14" s="647" t="s">
        <v>445</v>
      </c>
      <c r="AH14" s="647" t="s">
        <v>192</v>
      </c>
      <c r="AI14" s="647"/>
      <c r="AJ14" s="647"/>
      <c r="AK14" s="647" t="s">
        <v>192</v>
      </c>
      <c r="AL14" s="647"/>
      <c r="AM14" s="647"/>
      <c r="AN14" s="647"/>
      <c r="AO14" s="647" t="s">
        <v>192</v>
      </c>
      <c r="AP14" s="647"/>
      <c r="AQ14" s="647"/>
      <c r="AR14" s="642"/>
      <c r="AS14" s="648">
        <f t="array" ref="AS14">SUM(COUNTIF(N14:AR14, {"◎","〇","☆","共","特","浴"}))</f>
        <v>7</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3"/>
        <v>鈴木</v>
      </c>
      <c r="C15" s="638" t="str">
        <f t="shared" si="4"/>
        <v>特</v>
      </c>
      <c r="D15" s="200"/>
      <c r="E15" s="637" t="str">
        <f t="shared" si="5"/>
        <v>鈴木</v>
      </c>
      <c r="F15" s="638" t="str">
        <f t="shared" si="6"/>
        <v/>
      </c>
      <c r="G15" s="200"/>
      <c r="H15" s="200"/>
      <c r="I15" s="172" t="b">
        <v>0</v>
      </c>
      <c r="J15" s="619"/>
      <c r="K15" s="639" t="s">
        <v>446</v>
      </c>
      <c r="L15" s="640" t="s">
        <v>447</v>
      </c>
      <c r="M15" s="646"/>
      <c r="N15" s="647" t="s">
        <v>402</v>
      </c>
      <c r="O15" s="647"/>
      <c r="P15" s="647"/>
      <c r="Q15" s="647"/>
      <c r="R15" s="647"/>
      <c r="S15" s="647"/>
      <c r="T15" s="647" t="s">
        <v>402</v>
      </c>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2</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3"/>
        <v/>
      </c>
      <c r="C16" s="638" t="str">
        <f t="shared" si="4"/>
        <v/>
      </c>
      <c r="D16" s="200"/>
      <c r="E16" s="637" t="str">
        <f t="shared" si="5"/>
        <v/>
      </c>
      <c r="F16" s="638" t="str">
        <f t="shared" si="6"/>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3"/>
        <v>宇佐見</v>
      </c>
      <c r="C17" s="638" t="str">
        <f t="shared" si="4"/>
        <v>☆</v>
      </c>
      <c r="D17" s="200"/>
      <c r="E17" s="637" t="str">
        <f t="shared" si="5"/>
        <v>宇佐見</v>
      </c>
      <c r="F17" s="638" t="str">
        <f t="shared" si="6"/>
        <v>☆</v>
      </c>
      <c r="G17" s="200"/>
      <c r="H17" s="200"/>
      <c r="I17" s="172" t="b">
        <v>0</v>
      </c>
      <c r="J17" s="619"/>
      <c r="K17" s="639" t="s">
        <v>448</v>
      </c>
      <c r="L17" s="640" t="s">
        <v>449</v>
      </c>
      <c r="M17" s="646"/>
      <c r="N17" s="647" t="s">
        <v>417</v>
      </c>
      <c r="O17" s="647" t="s">
        <v>417</v>
      </c>
      <c r="P17" s="647" t="s">
        <v>417</v>
      </c>
      <c r="Q17" s="647" t="s">
        <v>409</v>
      </c>
      <c r="R17" s="647" t="s">
        <v>409</v>
      </c>
      <c r="S17" s="647" t="s">
        <v>409</v>
      </c>
      <c r="T17" s="647" t="s">
        <v>395</v>
      </c>
      <c r="U17" s="647" t="s">
        <v>395</v>
      </c>
      <c r="V17" s="647" t="s">
        <v>409</v>
      </c>
      <c r="W17" s="647" t="s">
        <v>395</v>
      </c>
      <c r="X17" s="647" t="s">
        <v>409</v>
      </c>
      <c r="Y17" s="647" t="s">
        <v>409</v>
      </c>
      <c r="Z17" s="647" t="s">
        <v>395</v>
      </c>
      <c r="AA17" s="647" t="s">
        <v>395</v>
      </c>
      <c r="AB17" s="647" t="s">
        <v>409</v>
      </c>
      <c r="AC17" s="647" t="s">
        <v>409</v>
      </c>
      <c r="AD17" s="647" t="s">
        <v>395</v>
      </c>
      <c r="AE17" s="647" t="s">
        <v>409</v>
      </c>
      <c r="AF17" s="647" t="s">
        <v>409</v>
      </c>
      <c r="AG17" s="647" t="s">
        <v>417</v>
      </c>
      <c r="AH17" s="647" t="s">
        <v>395</v>
      </c>
      <c r="AI17" s="647" t="s">
        <v>395</v>
      </c>
      <c r="AJ17" s="647" t="s">
        <v>409</v>
      </c>
      <c r="AK17" s="647" t="s">
        <v>395</v>
      </c>
      <c r="AL17" s="647" t="s">
        <v>409</v>
      </c>
      <c r="AM17" s="647" t="s">
        <v>409</v>
      </c>
      <c r="AN17" s="647" t="s">
        <v>409</v>
      </c>
      <c r="AO17" s="647" t="s">
        <v>395</v>
      </c>
      <c r="AP17" s="647" t="s">
        <v>409</v>
      </c>
      <c r="AQ17" s="647" t="s">
        <v>395</v>
      </c>
      <c r="AR17" s="642"/>
      <c r="AS17" s="648">
        <f t="array" ref="AS17">SUM(COUNTIF(N17:AR17, {"◎","〇","☆","共","特","浴"}))</f>
        <v>11</v>
      </c>
      <c r="AT17" s="652"/>
      <c r="AU17" s="650"/>
      <c r="AV17" s="650"/>
      <c r="AW17" s="650"/>
      <c r="AX17" s="650"/>
      <c r="AY17" s="650"/>
      <c r="AZ17" s="650"/>
      <c r="BA17" s="650"/>
      <c r="BB17" s="653" t="s">
        <v>450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3"/>
        <v>小田原</v>
      </c>
      <c r="C18" s="638" t="str">
        <f t="shared" si="4"/>
        <v>☆</v>
      </c>
      <c r="D18" s="200"/>
      <c r="E18" s="637" t="str">
        <f t="shared" si="5"/>
        <v>小田原</v>
      </c>
      <c r="F18" s="638" t="str">
        <f t="shared" si="6"/>
        <v>公</v>
      </c>
      <c r="G18" s="200"/>
      <c r="H18" s="200"/>
      <c r="I18" s="172" t="b">
        <v>0</v>
      </c>
      <c r="J18" s="619"/>
      <c r="K18" s="639" t="s">
        <v>451</v>
      </c>
      <c r="L18" s="640" t="s">
        <v>449</v>
      </c>
      <c r="M18" s="646"/>
      <c r="N18" s="647" t="s">
        <v>409</v>
      </c>
      <c r="O18" s="647" t="s">
        <v>395</v>
      </c>
      <c r="P18" s="647" t="s">
        <v>409</v>
      </c>
      <c r="Q18" s="647" t="s">
        <v>409</v>
      </c>
      <c r="R18" s="647" t="s">
        <v>409</v>
      </c>
      <c r="S18" s="647" t="s">
        <v>395</v>
      </c>
      <c r="T18" s="647" t="s">
        <v>395</v>
      </c>
      <c r="U18" s="647" t="s">
        <v>409</v>
      </c>
      <c r="V18" s="647" t="s">
        <v>395</v>
      </c>
      <c r="W18" s="647" t="s">
        <v>409</v>
      </c>
      <c r="X18" s="647" t="s">
        <v>409</v>
      </c>
      <c r="Y18" s="647" t="s">
        <v>409</v>
      </c>
      <c r="Z18" s="647" t="s">
        <v>417</v>
      </c>
      <c r="AA18" s="647" t="s">
        <v>395</v>
      </c>
      <c r="AB18" s="647" t="s">
        <v>409</v>
      </c>
      <c r="AC18" s="647" t="s">
        <v>395</v>
      </c>
      <c r="AD18" s="647" t="s">
        <v>409</v>
      </c>
      <c r="AE18" s="647" t="s">
        <v>409</v>
      </c>
      <c r="AF18" s="647" t="s">
        <v>409</v>
      </c>
      <c r="AG18" s="647" t="s">
        <v>395</v>
      </c>
      <c r="AH18" s="647" t="s">
        <v>395</v>
      </c>
      <c r="AI18" s="647" t="s">
        <v>409</v>
      </c>
      <c r="AJ18" s="647" t="s">
        <v>395</v>
      </c>
      <c r="AK18" s="647" t="s">
        <v>409</v>
      </c>
      <c r="AL18" s="647" t="s">
        <v>409</v>
      </c>
      <c r="AM18" s="647" t="s">
        <v>409</v>
      </c>
      <c r="AN18" s="647" t="s">
        <v>395</v>
      </c>
      <c r="AO18" s="647" t="s">
        <v>395</v>
      </c>
      <c r="AP18" s="647" t="s">
        <v>409</v>
      </c>
      <c r="AQ18" s="647" t="s">
        <v>395</v>
      </c>
      <c r="AR18" s="642"/>
      <c r="AS18" s="648">
        <f t="array" ref="AS18">SUM(COUNTIF(N18:AR18, {"◎","〇","☆","共","特","浴"}))</f>
        <v>12</v>
      </c>
      <c r="AT18" s="649"/>
      <c r="AU18" s="650"/>
      <c r="AV18" s="650"/>
      <c r="AW18" s="650"/>
      <c r="AX18" s="650"/>
      <c r="AY18" s="650"/>
      <c r="AZ18" s="650"/>
      <c r="BA18" s="650"/>
      <c r="BB18" s="653" t="s">
        <v>450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3"/>
        <v>佐藤</v>
      </c>
      <c r="C19" s="638" t="str">
        <f t="shared" si="4"/>
        <v>公</v>
      </c>
      <c r="D19" s="200"/>
      <c r="E19" s="637" t="str">
        <f t="shared" si="5"/>
        <v>佐藤</v>
      </c>
      <c r="F19" s="638" t="str">
        <f t="shared" si="6"/>
        <v>☆</v>
      </c>
      <c r="G19" s="200"/>
      <c r="H19" s="200"/>
      <c r="I19" s="172" t="b">
        <v>0</v>
      </c>
      <c r="J19" s="619"/>
      <c r="K19" s="639" t="s">
        <v>171</v>
      </c>
      <c r="L19" s="640" t="s">
        <v>449</v>
      </c>
      <c r="M19" s="646"/>
      <c r="N19" s="647" t="s">
        <v>395</v>
      </c>
      <c r="O19" s="647" t="s">
        <v>417</v>
      </c>
      <c r="P19" s="647" t="s">
        <v>395</v>
      </c>
      <c r="Q19" s="647" t="s">
        <v>409</v>
      </c>
      <c r="R19" s="647" t="s">
        <v>409</v>
      </c>
      <c r="S19" s="647" t="s">
        <v>417</v>
      </c>
      <c r="T19" s="647" t="s">
        <v>409</v>
      </c>
      <c r="U19" s="647" t="s">
        <v>395</v>
      </c>
      <c r="V19" s="647" t="s">
        <v>395</v>
      </c>
      <c r="W19" s="647" t="s">
        <v>395</v>
      </c>
      <c r="X19" s="647" t="s">
        <v>409</v>
      </c>
      <c r="Y19" s="647" t="s">
        <v>409</v>
      </c>
      <c r="Z19" s="647" t="s">
        <v>409</v>
      </c>
      <c r="AA19" s="647" t="s">
        <v>409</v>
      </c>
      <c r="AB19" s="647" t="s">
        <v>395</v>
      </c>
      <c r="AC19" s="647" t="s">
        <v>395</v>
      </c>
      <c r="AD19" s="647" t="s">
        <v>395</v>
      </c>
      <c r="AE19" s="647" t="s">
        <v>409</v>
      </c>
      <c r="AF19" s="647" t="s">
        <v>409</v>
      </c>
      <c r="AG19" s="647" t="s">
        <v>409</v>
      </c>
      <c r="AH19" s="647" t="s">
        <v>395</v>
      </c>
      <c r="AI19" s="647" t="s">
        <v>395</v>
      </c>
      <c r="AJ19" s="647" t="s">
        <v>409</v>
      </c>
      <c r="AK19" s="647" t="s">
        <v>409</v>
      </c>
      <c r="AL19" s="647" t="s">
        <v>409</v>
      </c>
      <c r="AM19" s="647" t="s">
        <v>409</v>
      </c>
      <c r="AN19" s="647" t="s">
        <v>409</v>
      </c>
      <c r="AO19" s="647" t="s">
        <v>395</v>
      </c>
      <c r="AP19" s="647" t="s">
        <v>395</v>
      </c>
      <c r="AQ19" s="647" t="s">
        <v>417</v>
      </c>
      <c r="AR19" s="642"/>
      <c r="AS19" s="648">
        <f t="array" ref="AS19">SUM(COUNTIF(N19:AR19, {"◎","〇","☆","共","特","浴"}))</f>
        <v>12</v>
      </c>
      <c r="AT19" s="652"/>
      <c r="AU19" s="650"/>
      <c r="AV19" s="650"/>
      <c r="AW19" s="650"/>
      <c r="AX19" s="650"/>
      <c r="AY19" s="650"/>
      <c r="AZ19" s="650"/>
      <c r="BA19" s="650"/>
      <c r="BB19" s="653" t="s">
        <v>450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3"/>
        <v>カン</v>
      </c>
      <c r="C20" s="638" t="str">
        <f t="shared" si="4"/>
        <v>公</v>
      </c>
      <c r="D20" s="200"/>
      <c r="E20" s="637" t="str">
        <f t="shared" si="5"/>
        <v>カン</v>
      </c>
      <c r="F20" s="638" t="str">
        <f t="shared" si="6"/>
        <v>公</v>
      </c>
      <c r="G20" s="200"/>
      <c r="H20" s="200"/>
      <c r="I20" s="172" t="b">
        <v>0</v>
      </c>
      <c r="J20" s="619"/>
      <c r="K20" s="639" t="s">
        <v>452</v>
      </c>
      <c r="L20" s="640" t="s">
        <v>449</v>
      </c>
      <c r="M20" s="646"/>
      <c r="N20" s="647" t="s">
        <v>409</v>
      </c>
      <c r="O20" s="647" t="s">
        <v>395</v>
      </c>
      <c r="P20" s="647" t="s">
        <v>409</v>
      </c>
      <c r="Q20" s="647" t="s">
        <v>395</v>
      </c>
      <c r="R20" s="647" t="s">
        <v>395</v>
      </c>
      <c r="S20" s="647" t="s">
        <v>395</v>
      </c>
      <c r="T20" s="647" t="s">
        <v>409</v>
      </c>
      <c r="U20" s="647" t="s">
        <v>409</v>
      </c>
      <c r="V20" s="647" t="s">
        <v>395</v>
      </c>
      <c r="W20" s="647" t="s">
        <v>409</v>
      </c>
      <c r="X20" s="647" t="s">
        <v>395</v>
      </c>
      <c r="Y20" s="647" t="s">
        <v>395</v>
      </c>
      <c r="Z20" s="647" t="s">
        <v>395</v>
      </c>
      <c r="AA20" s="647" t="s">
        <v>409</v>
      </c>
      <c r="AB20" s="647" t="s">
        <v>409</v>
      </c>
      <c r="AC20" s="647" t="s">
        <v>395</v>
      </c>
      <c r="AD20" s="647" t="s">
        <v>409</v>
      </c>
      <c r="AE20" s="647" t="s">
        <v>395</v>
      </c>
      <c r="AF20" s="647" t="s">
        <v>395</v>
      </c>
      <c r="AG20" s="647" t="s">
        <v>395</v>
      </c>
      <c r="AH20" s="647" t="s">
        <v>409</v>
      </c>
      <c r="AI20" s="647" t="s">
        <v>409</v>
      </c>
      <c r="AJ20" s="647" t="s">
        <v>395</v>
      </c>
      <c r="AK20" s="647" t="s">
        <v>409</v>
      </c>
      <c r="AL20" s="647" t="s">
        <v>395</v>
      </c>
      <c r="AM20" s="647" t="s">
        <v>395</v>
      </c>
      <c r="AN20" s="647" t="s">
        <v>395</v>
      </c>
      <c r="AO20" s="647" t="s">
        <v>409</v>
      </c>
      <c r="AP20" s="647" t="s">
        <v>409</v>
      </c>
      <c r="AQ20" s="647" t="s">
        <v>395</v>
      </c>
      <c r="AR20" s="647"/>
      <c r="AS20" s="648">
        <f t="array" ref="AS20">SUM(COUNTIF(N20:AR20, {"◎","〇","☆","共","特","浴"}))</f>
        <v>17</v>
      </c>
      <c r="AT20" s="652"/>
      <c r="AU20" s="650"/>
      <c r="AV20" s="650"/>
      <c r="AW20" s="650"/>
      <c r="AX20" s="650"/>
      <c r="AY20" s="650"/>
      <c r="AZ20" s="650"/>
      <c r="BA20" s="650"/>
      <c r="BB20" s="653" t="s">
        <v>453</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3"/>
        <v>エリー</v>
      </c>
      <c r="C21" s="638" t="str">
        <f t="shared" si="4"/>
        <v>公</v>
      </c>
      <c r="D21" s="200"/>
      <c r="E21" s="637" t="str">
        <f t="shared" si="5"/>
        <v>エリー</v>
      </c>
      <c r="F21" s="638" t="str">
        <f t="shared" si="6"/>
        <v>公</v>
      </c>
      <c r="G21" s="200"/>
      <c r="H21" s="200"/>
      <c r="I21" s="172" t="b">
        <v>0</v>
      </c>
      <c r="J21" s="619"/>
      <c r="K21" s="639" t="s">
        <v>454</v>
      </c>
      <c r="L21" s="640" t="s">
        <v>449</v>
      </c>
      <c r="M21" s="646"/>
      <c r="N21" s="647" t="s">
        <v>395</v>
      </c>
      <c r="O21" s="647" t="s">
        <v>409</v>
      </c>
      <c r="P21" s="647" t="s">
        <v>409</v>
      </c>
      <c r="Q21" s="647" t="s">
        <v>395</v>
      </c>
      <c r="R21" s="647" t="s">
        <v>395</v>
      </c>
      <c r="S21" s="647" t="s">
        <v>395</v>
      </c>
      <c r="T21" s="647" t="s">
        <v>409</v>
      </c>
      <c r="U21" s="647" t="s">
        <v>409</v>
      </c>
      <c r="V21" s="647" t="s">
        <v>409</v>
      </c>
      <c r="W21" s="647" t="s">
        <v>409</v>
      </c>
      <c r="X21" s="647" t="s">
        <v>395</v>
      </c>
      <c r="Y21" s="647" t="s">
        <v>409</v>
      </c>
      <c r="Z21" s="647" t="s">
        <v>395</v>
      </c>
      <c r="AA21" s="647" t="s">
        <v>409</v>
      </c>
      <c r="AB21" s="647" t="s">
        <v>395</v>
      </c>
      <c r="AC21" s="647" t="s">
        <v>409</v>
      </c>
      <c r="AD21" s="647" t="s">
        <v>409</v>
      </c>
      <c r="AE21" s="647" t="s">
        <v>395</v>
      </c>
      <c r="AF21" s="647" t="s">
        <v>395</v>
      </c>
      <c r="AG21" s="647" t="s">
        <v>395</v>
      </c>
      <c r="AH21" s="647" t="s">
        <v>409</v>
      </c>
      <c r="AI21" s="647" t="s">
        <v>409</v>
      </c>
      <c r="AJ21" s="647" t="s">
        <v>409</v>
      </c>
      <c r="AK21" s="647" t="s">
        <v>409</v>
      </c>
      <c r="AL21" s="647" t="s">
        <v>395</v>
      </c>
      <c r="AM21" s="647" t="s">
        <v>409</v>
      </c>
      <c r="AN21" s="647" t="s">
        <v>395</v>
      </c>
      <c r="AO21" s="647" t="s">
        <v>409</v>
      </c>
      <c r="AP21" s="647" t="s">
        <v>395</v>
      </c>
      <c r="AQ21" s="647" t="s">
        <v>409</v>
      </c>
      <c r="AR21" s="642"/>
      <c r="AS21" s="648">
        <f t="array" ref="AS21">SUM(COUNTIF(N21:AR21, {"◎","〇","☆","共","特","浴"}))</f>
        <v>13</v>
      </c>
      <c r="AT21" s="652"/>
      <c r="AU21" s="650"/>
      <c r="AV21" s="650"/>
      <c r="AW21" s="650"/>
      <c r="AX21" s="650"/>
      <c r="AY21" s="650"/>
      <c r="AZ21" s="650"/>
      <c r="BA21" s="650"/>
      <c r="BB21" s="653" t="s">
        <v>455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3"/>
        <v>梅澤</v>
      </c>
      <c r="C22" s="638" t="str">
        <f t="shared" si="4"/>
        <v>公</v>
      </c>
      <c r="D22" s="200"/>
      <c r="E22" s="637" t="str">
        <f t="shared" si="5"/>
        <v>梅澤</v>
      </c>
      <c r="F22" s="638" t="str">
        <f t="shared" si="6"/>
        <v>☆</v>
      </c>
      <c r="G22" s="200"/>
      <c r="H22" s="200"/>
      <c r="I22" s="172" t="b">
        <v>0</v>
      </c>
      <c r="J22" s="619"/>
      <c r="K22" s="639" t="s">
        <v>456</v>
      </c>
      <c r="L22" s="640" t="s">
        <v>449</v>
      </c>
      <c r="M22" s="646"/>
      <c r="N22" s="647" t="s">
        <v>395</v>
      </c>
      <c r="O22" s="647" t="s">
        <v>417</v>
      </c>
      <c r="P22" s="647" t="s">
        <v>417</v>
      </c>
      <c r="Q22" s="647" t="s">
        <v>395</v>
      </c>
      <c r="R22" s="647" t="s">
        <v>395</v>
      </c>
      <c r="S22" s="647" t="s">
        <v>409</v>
      </c>
      <c r="T22" s="647" t="s">
        <v>409</v>
      </c>
      <c r="U22" s="647" t="s">
        <v>395</v>
      </c>
      <c r="V22" s="647" t="s">
        <v>417</v>
      </c>
      <c r="W22" s="647" t="s">
        <v>395</v>
      </c>
      <c r="X22" s="647" t="s">
        <v>395</v>
      </c>
      <c r="Y22" s="647" t="s">
        <v>395</v>
      </c>
      <c r="Z22" s="647" t="s">
        <v>409</v>
      </c>
      <c r="AA22" s="647" t="s">
        <v>409</v>
      </c>
      <c r="AB22" s="647" t="s">
        <v>395</v>
      </c>
      <c r="AC22" s="647" t="s">
        <v>395</v>
      </c>
      <c r="AD22" s="647" t="s">
        <v>395</v>
      </c>
      <c r="AE22" s="647" t="s">
        <v>417</v>
      </c>
      <c r="AF22" s="647" t="s">
        <v>417</v>
      </c>
      <c r="AG22" s="647" t="s">
        <v>409</v>
      </c>
      <c r="AH22" s="647" t="s">
        <v>417</v>
      </c>
      <c r="AI22" s="647" t="s">
        <v>395</v>
      </c>
      <c r="AJ22" s="647" t="s">
        <v>395</v>
      </c>
      <c r="AK22" s="647" t="s">
        <v>395</v>
      </c>
      <c r="AL22" s="647" t="s">
        <v>395</v>
      </c>
      <c r="AM22" s="647" t="s">
        <v>395</v>
      </c>
      <c r="AN22" s="647" t="s">
        <v>409</v>
      </c>
      <c r="AO22" s="647" t="s">
        <v>409</v>
      </c>
      <c r="AP22" s="647" t="s">
        <v>395</v>
      </c>
      <c r="AQ22" s="647" t="s">
        <v>395</v>
      </c>
      <c r="AR22" s="642"/>
      <c r="AS22" s="648">
        <f t="array" ref="AS22">SUM(COUNTIF(N22:AR22, {"◎","〇","☆","共","特","浴"}))</f>
        <v>17</v>
      </c>
      <c r="AT22" s="649"/>
      <c r="AU22" s="650"/>
      <c r="AV22" s="650"/>
      <c r="AW22" s="650"/>
      <c r="AX22" s="650"/>
      <c r="AY22" s="650"/>
      <c r="AZ22" s="650"/>
      <c r="BA22" s="650"/>
      <c r="BB22" s="653" t="s">
        <v>457</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3"/>
        <v/>
      </c>
      <c r="C23" s="638" t="str">
        <f t="shared" si="4"/>
        <v/>
      </c>
      <c r="D23" s="200"/>
      <c r="E23" s="637" t="str">
        <f t="shared" si="5"/>
        <v/>
      </c>
      <c r="F23" s="638" t="str">
        <f t="shared" si="6"/>
        <v/>
      </c>
      <c r="G23" s="200"/>
      <c r="H23" s="200"/>
      <c r="I23" s="172" t="b">
        <v>0</v>
      </c>
      <c r="J23" s="619"/>
      <c r="K23" s="639"/>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3"/>
        <v/>
      </c>
      <c r="C24" s="638" t="str">
        <f t="shared" si="4"/>
        <v/>
      </c>
      <c r="D24" s="200"/>
      <c r="E24" s="637" t="str">
        <f t="shared" si="5"/>
        <v/>
      </c>
      <c r="F24" s="638" t="str">
        <f t="shared" si="6"/>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3"/>
        <v/>
      </c>
      <c r="C25" s="638" t="str">
        <f t="shared" si="4"/>
        <v/>
      </c>
      <c r="D25" s="200"/>
      <c r="E25" s="637" t="str">
        <f t="shared" si="5"/>
        <v/>
      </c>
      <c r="F25" s="638" t="str">
        <f t="shared" si="6"/>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3"/>
        <v>ガルセス</v>
      </c>
      <c r="C26" s="638" t="str">
        <f t="shared" si="4"/>
        <v>公</v>
      </c>
      <c r="D26" s="200"/>
      <c r="E26" s="637" t="str">
        <f t="shared" si="5"/>
        <v>ガルセス</v>
      </c>
      <c r="F26" s="638" t="str">
        <f t="shared" si="6"/>
        <v>N</v>
      </c>
      <c r="G26" s="200"/>
      <c r="H26" s="200"/>
      <c r="I26" s="172" t="b">
        <v>0</v>
      </c>
      <c r="J26" s="619"/>
      <c r="K26" s="639" t="s">
        <v>458</v>
      </c>
      <c r="L26" s="640" t="s">
        <v>135</v>
      </c>
      <c r="M26" s="646"/>
      <c r="N26" s="647" t="s">
        <v>441</v>
      </c>
      <c r="O26" s="647" t="s">
        <v>441</v>
      </c>
      <c r="P26" s="647" t="s">
        <v>441</v>
      </c>
      <c r="Q26" s="647" t="s">
        <v>441</v>
      </c>
      <c r="R26" s="647" t="s">
        <v>441</v>
      </c>
      <c r="S26" s="647" t="s">
        <v>409</v>
      </c>
      <c r="T26" s="647" t="s">
        <v>409</v>
      </c>
      <c r="U26" s="647" t="s">
        <v>441</v>
      </c>
      <c r="V26" s="647" t="s">
        <v>441</v>
      </c>
      <c r="W26" s="647" t="s">
        <v>441</v>
      </c>
      <c r="X26" s="647" t="s">
        <v>441</v>
      </c>
      <c r="Y26" s="647" t="s">
        <v>441</v>
      </c>
      <c r="Z26" s="647" t="s">
        <v>409</v>
      </c>
      <c r="AA26" s="647" t="s">
        <v>409</v>
      </c>
      <c r="AB26" s="647" t="s">
        <v>441</v>
      </c>
      <c r="AC26" s="647" t="s">
        <v>441</v>
      </c>
      <c r="AD26" s="647" t="s">
        <v>441</v>
      </c>
      <c r="AE26" s="647" t="s">
        <v>441</v>
      </c>
      <c r="AF26" s="647" t="s">
        <v>409</v>
      </c>
      <c r="AG26" s="647" t="s">
        <v>409</v>
      </c>
      <c r="AH26" s="647" t="s">
        <v>409</v>
      </c>
      <c r="AI26" s="647" t="s">
        <v>441</v>
      </c>
      <c r="AJ26" s="647" t="s">
        <v>441</v>
      </c>
      <c r="AK26" s="647" t="s">
        <v>441</v>
      </c>
      <c r="AL26" s="647" t="s">
        <v>441</v>
      </c>
      <c r="AM26" s="647" t="s">
        <v>441</v>
      </c>
      <c r="AN26" s="647" t="s">
        <v>409</v>
      </c>
      <c r="AO26" s="647" t="s">
        <v>409</v>
      </c>
      <c r="AP26" s="647" t="s">
        <v>441</v>
      </c>
      <c r="AQ26" s="647" t="s">
        <v>441</v>
      </c>
      <c r="AR26" s="647"/>
      <c r="AS26" s="648">
        <f t="array" ref="AS26">SUM(COUNTIF(N26:AR26, {"◎","〇","☆","共","特","浴"}))</f>
        <v>0</v>
      </c>
      <c r="AT26" s="649"/>
      <c r="AU26" s="650"/>
      <c r="AV26" s="650"/>
      <c r="AW26" s="650"/>
      <c r="AX26" s="650"/>
      <c r="AY26" s="650"/>
      <c r="AZ26" s="650"/>
      <c r="BA26" s="650"/>
      <c r="BB26" s="653" t="s">
        <v>459</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3"/>
        <v>グレース</v>
      </c>
      <c r="C27" s="638" t="str">
        <f t="shared" si="4"/>
        <v>N</v>
      </c>
      <c r="D27" s="200"/>
      <c r="E27" s="637" t="str">
        <f t="shared" si="5"/>
        <v>グレース</v>
      </c>
      <c r="F27" s="638" t="str">
        <f t="shared" si="6"/>
        <v>公</v>
      </c>
      <c r="G27" s="200"/>
      <c r="H27" s="200"/>
      <c r="I27" s="172" t="b">
        <v>0</v>
      </c>
      <c r="J27" s="619"/>
      <c r="K27" s="639" t="s">
        <v>460</v>
      </c>
      <c r="L27" s="640" t="s">
        <v>135</v>
      </c>
      <c r="M27" s="646"/>
      <c r="N27" s="647" t="s">
        <v>409</v>
      </c>
      <c r="O27" s="647" t="s">
        <v>409</v>
      </c>
      <c r="P27" s="647" t="s">
        <v>409</v>
      </c>
      <c r="Q27" s="647" t="s">
        <v>441</v>
      </c>
      <c r="R27" s="647" t="s">
        <v>409</v>
      </c>
      <c r="S27" s="647" t="s">
        <v>441</v>
      </c>
      <c r="T27" s="647" t="s">
        <v>441</v>
      </c>
      <c r="U27" s="647" t="s">
        <v>409</v>
      </c>
      <c r="V27" s="647" t="s">
        <v>409</v>
      </c>
      <c r="W27" s="647" t="s">
        <v>409</v>
      </c>
      <c r="X27" s="647" t="s">
        <v>441</v>
      </c>
      <c r="Y27" s="647" t="s">
        <v>409</v>
      </c>
      <c r="Z27" s="647" t="s">
        <v>441</v>
      </c>
      <c r="AA27" s="647" t="s">
        <v>441</v>
      </c>
      <c r="AB27" s="647" t="s">
        <v>409</v>
      </c>
      <c r="AC27" s="647" t="s">
        <v>409</v>
      </c>
      <c r="AD27" s="647" t="s">
        <v>409</v>
      </c>
      <c r="AE27" s="647" t="s">
        <v>441</v>
      </c>
      <c r="AF27" s="647" t="s">
        <v>409</v>
      </c>
      <c r="AG27" s="647" t="s">
        <v>441</v>
      </c>
      <c r="AH27" s="647" t="s">
        <v>441</v>
      </c>
      <c r="AI27" s="647" t="s">
        <v>409</v>
      </c>
      <c r="AJ27" s="647" t="s">
        <v>409</v>
      </c>
      <c r="AK27" s="647" t="s">
        <v>409</v>
      </c>
      <c r="AL27" s="647" t="s">
        <v>441</v>
      </c>
      <c r="AM27" s="647" t="s">
        <v>409</v>
      </c>
      <c r="AN27" s="647" t="s">
        <v>441</v>
      </c>
      <c r="AO27" s="647" t="s">
        <v>441</v>
      </c>
      <c r="AP27" s="647" t="s">
        <v>409</v>
      </c>
      <c r="AQ27" s="647" t="s">
        <v>409</v>
      </c>
      <c r="AR27" s="642"/>
      <c r="AS27" s="648">
        <f t="array" ref="AS27">SUM(COUNTIF(N27:AR27, {"◎","〇","☆","共","特","浴"}))</f>
        <v>0</v>
      </c>
      <c r="AT27" s="649"/>
      <c r="AU27" s="650"/>
      <c r="AV27" s="650"/>
      <c r="AW27" s="650"/>
      <c r="AX27" s="650"/>
      <c r="AY27" s="650"/>
      <c r="AZ27" s="650"/>
      <c r="BA27" s="650"/>
      <c r="BB27" s="653" t="s">
        <v>461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3"/>
        <v/>
      </c>
      <c r="C28" s="638" t="str">
        <f t="shared" si="4"/>
        <v/>
      </c>
      <c r="D28" s="200"/>
      <c r="E28" s="637" t="str">
        <f t="shared" si="5"/>
        <v/>
      </c>
      <c r="F28" s="638" t="str">
        <f t="shared" si="6"/>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3"/>
        <v/>
      </c>
      <c r="C29" s="638" t="str">
        <f t="shared" si="4"/>
        <v/>
      </c>
      <c r="D29" s="200"/>
      <c r="E29" s="637" t="str">
        <f t="shared" si="5"/>
        <v/>
      </c>
      <c r="F29" s="638" t="str">
        <f t="shared" si="6"/>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3"/>
        <v/>
      </c>
      <c r="C30" s="638" t="str">
        <f t="shared" si="4"/>
        <v/>
      </c>
      <c r="D30" s="200"/>
      <c r="E30" s="637" t="str">
        <f t="shared" si="5"/>
        <v/>
      </c>
      <c r="F30" s="638" t="str">
        <f t="shared" si="6"/>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3"/>
        <v/>
      </c>
      <c r="C31" s="638" t="str">
        <f t="shared" si="4"/>
        <v/>
      </c>
      <c r="D31" s="200"/>
      <c r="E31" s="637" t="str">
        <f t="shared" si="5"/>
        <v/>
      </c>
      <c r="F31" s="638" t="str">
        <f t="shared" si="6"/>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3"/>
        <v/>
      </c>
      <c r="C32" s="638" t="str">
        <f t="shared" si="4"/>
        <v/>
      </c>
      <c r="D32" s="200"/>
      <c r="E32" s="637" t="str">
        <f t="shared" si="5"/>
        <v/>
      </c>
      <c r="F32" s="638" t="str">
        <f t="shared" si="6"/>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3"/>
        <v/>
      </c>
      <c r="C33" s="638" t="str">
        <f t="shared" si="4"/>
        <v/>
      </c>
      <c r="D33" s="200"/>
      <c r="E33" s="637" t="str">
        <f t="shared" si="5"/>
        <v/>
      </c>
      <c r="F33" s="638" t="str">
        <f t="shared" si="6"/>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3"/>
        <v/>
      </c>
      <c r="C34" s="638" t="str">
        <f t="shared" si="4"/>
        <v/>
      </c>
      <c r="D34" s="200"/>
      <c r="E34" s="637" t="str">
        <f t="shared" si="5"/>
        <v/>
      </c>
      <c r="F34" s="638" t="str">
        <f t="shared" si="6"/>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3"/>
        <v/>
      </c>
      <c r="C35" s="638" t="str">
        <f t="shared" si="4"/>
        <v/>
      </c>
      <c r="D35" s="200"/>
      <c r="E35" s="637" t="str">
        <f t="shared" si="5"/>
        <v/>
      </c>
      <c r="F35" s="638" t="str">
        <f t="shared" si="6"/>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3"/>
        <v/>
      </c>
      <c r="C36" s="638" t="str">
        <f t="shared" si="4"/>
        <v/>
      </c>
      <c r="D36" s="200"/>
      <c r="E36" s="637" t="str">
        <f t="shared" si="5"/>
        <v/>
      </c>
      <c r="F36" s="638" t="str">
        <f t="shared" si="6"/>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3"/>
        <v/>
      </c>
      <c r="C37" s="638" t="str">
        <f t="shared" si="4"/>
        <v/>
      </c>
      <c r="D37" s="200"/>
      <c r="E37" s="637" t="str">
        <f t="shared" si="5"/>
        <v/>
      </c>
      <c r="F37" s="638" t="str">
        <f t="shared" si="6"/>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3"/>
        <v/>
      </c>
      <c r="C38" s="638" t="str">
        <f t="shared" si="4"/>
        <v/>
      </c>
      <c r="D38" s="200"/>
      <c r="E38" s="637" t="str">
        <f t="shared" si="5"/>
        <v/>
      </c>
      <c r="F38" s="638" t="str">
        <f t="shared" si="6"/>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3"/>
        <v/>
      </c>
      <c r="C39" s="638" t="str">
        <f t="shared" si="4"/>
        <v/>
      </c>
      <c r="D39" s="200"/>
      <c r="E39" s="637" t="str">
        <f t="shared" si="5"/>
        <v/>
      </c>
      <c r="F39" s="638" t="str">
        <f t="shared" si="6"/>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3"/>
        <v/>
      </c>
      <c r="C40" s="638" t="str">
        <f t="shared" si="4"/>
        <v/>
      </c>
      <c r="D40" s="200"/>
      <c r="E40" s="637" t="str">
        <f t="shared" si="5"/>
        <v/>
      </c>
      <c r="F40" s="638" t="str">
        <f t="shared" si="6"/>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3"/>
        <v>メイド数</v>
      </c>
      <c r="C41" s="638">
        <f t="shared" si="4"/>
        <v>9</v>
      </c>
      <c r="D41" s="200"/>
      <c r="E41" s="637" t="str">
        <f t="shared" si="5"/>
        <v>メイド数</v>
      </c>
      <c r="F41" s="638">
        <f t="shared" si="6"/>
        <v>9</v>
      </c>
      <c r="G41" s="200"/>
      <c r="H41" s="200"/>
      <c r="I41" s="172" t="b">
        <v>0</v>
      </c>
      <c r="J41" s="619"/>
      <c r="K41" s="639" t="s">
        <v>462</v>
      </c>
      <c r="L41" s="640" t="s">
        <v>449</v>
      </c>
      <c r="M41" s="641" t="s">
        <v>192</v>
      </c>
      <c r="N41" s="642">
        <f t="shared" ref="N41:P41" si="7">COUNTIF(N45:N104,"〇")+countif(N14:N40,"〇")</f>
        <v>8</v>
      </c>
      <c r="O41" s="642">
        <f t="shared" si="7"/>
        <v>7</v>
      </c>
      <c r="P41" s="642">
        <f t="shared" si="7"/>
        <v>9</v>
      </c>
      <c r="Q41" s="642">
        <f t="shared" ref="Q41:AR41" si="8">COUNTIF(Q45:Q104,"〇")+countif(Q$11:Q$40,"〇")</f>
        <v>6</v>
      </c>
      <c r="R41" s="642">
        <f t="shared" si="8"/>
        <v>7</v>
      </c>
      <c r="S41" s="642">
        <f t="shared" si="8"/>
        <v>9</v>
      </c>
      <c r="T41" s="642">
        <f t="shared" si="8"/>
        <v>9</v>
      </c>
      <c r="U41" s="642">
        <f t="shared" si="8"/>
        <v>9</v>
      </c>
      <c r="V41" s="642">
        <f t="shared" si="8"/>
        <v>6</v>
      </c>
      <c r="W41" s="642">
        <f t="shared" si="8"/>
        <v>9</v>
      </c>
      <c r="X41" s="642">
        <f t="shared" si="8"/>
        <v>7</v>
      </c>
      <c r="Y41" s="642">
        <f t="shared" si="8"/>
        <v>7</v>
      </c>
      <c r="Z41" s="642">
        <f t="shared" si="8"/>
        <v>8</v>
      </c>
      <c r="AA41" s="642">
        <f t="shared" si="8"/>
        <v>9</v>
      </c>
      <c r="AB41" s="642">
        <f t="shared" si="8"/>
        <v>9</v>
      </c>
      <c r="AC41" s="642">
        <f t="shared" si="8"/>
        <v>7</v>
      </c>
      <c r="AD41" s="642">
        <f t="shared" si="8"/>
        <v>9</v>
      </c>
      <c r="AE41" s="642">
        <f t="shared" si="8"/>
        <v>7</v>
      </c>
      <c r="AF41" s="642">
        <f t="shared" si="8"/>
        <v>7</v>
      </c>
      <c r="AG41" s="642">
        <f t="shared" si="8"/>
        <v>10</v>
      </c>
      <c r="AH41" s="642">
        <f t="shared" si="8"/>
        <v>10</v>
      </c>
      <c r="AI41" s="642">
        <f t="shared" si="8"/>
        <v>10</v>
      </c>
      <c r="AJ41" s="642">
        <f t="shared" si="8"/>
        <v>7</v>
      </c>
      <c r="AK41" s="642">
        <f t="shared" si="8"/>
        <v>9</v>
      </c>
      <c r="AL41" s="642">
        <f t="shared" si="8"/>
        <v>6</v>
      </c>
      <c r="AM41" s="642">
        <f t="shared" si="8"/>
        <v>6</v>
      </c>
      <c r="AN41" s="642">
        <f t="shared" si="8"/>
        <v>9</v>
      </c>
      <c r="AO41" s="642">
        <f t="shared" si="8"/>
        <v>9</v>
      </c>
      <c r="AP41" s="642">
        <f t="shared" si="8"/>
        <v>9</v>
      </c>
      <c r="AQ41" s="642">
        <f t="shared" si="8"/>
        <v>7</v>
      </c>
      <c r="AR41" s="642">
        <f t="shared" si="8"/>
        <v>0</v>
      </c>
      <c r="AS41" s="647" t="s">
        <v>135</v>
      </c>
      <c r="AT41" s="647" t="s">
        <v>135</v>
      </c>
      <c r="AU41" s="642">
        <f t="shared" ref="AU41:BA41" si="9">COUNTIF(AU45:AU104,"〇")+countif(AU$11:AU$40,"〇")</f>
        <v>0</v>
      </c>
      <c r="AV41" s="642">
        <f t="shared" si="9"/>
        <v>0</v>
      </c>
      <c r="AW41" s="642">
        <f t="shared" si="9"/>
        <v>0</v>
      </c>
      <c r="AX41" s="642">
        <f t="shared" si="9"/>
        <v>0</v>
      </c>
      <c r="AY41" s="642">
        <f t="shared" si="9"/>
        <v>0</v>
      </c>
      <c r="AZ41" s="642">
        <f t="shared" si="9"/>
        <v>0</v>
      </c>
      <c r="BA41" s="642">
        <f t="shared" si="9"/>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3"/>
        <v>パブリック数</v>
      </c>
      <c r="C42" s="638">
        <f t="shared" si="4"/>
        <v>1</v>
      </c>
      <c r="D42" s="200"/>
      <c r="E42" s="637" t="str">
        <f t="shared" si="5"/>
        <v>パブリック数</v>
      </c>
      <c r="F42" s="638">
        <f t="shared" si="6"/>
        <v>2</v>
      </c>
      <c r="G42" s="200"/>
      <c r="H42" s="200"/>
      <c r="I42" s="172" t="b">
        <v>0</v>
      </c>
      <c r="J42" s="619"/>
      <c r="K42" s="639" t="s">
        <v>463</v>
      </c>
      <c r="L42" s="640" t="s">
        <v>449</v>
      </c>
      <c r="M42" s="641" t="s">
        <v>398</v>
      </c>
      <c r="N42" s="647">
        <f t="shared" ref="N42:AR42" si="10">COUNTIF(N45:N104,"共")+countif(N$11:N$40,"共")</f>
        <v>1</v>
      </c>
      <c r="O42" s="647">
        <f t="shared" si="10"/>
        <v>1</v>
      </c>
      <c r="P42" s="647">
        <f t="shared" si="10"/>
        <v>1</v>
      </c>
      <c r="Q42" s="647">
        <f t="shared" si="10"/>
        <v>0</v>
      </c>
      <c r="R42" s="647">
        <f t="shared" si="10"/>
        <v>1</v>
      </c>
      <c r="S42" s="647">
        <f t="shared" si="10"/>
        <v>1</v>
      </c>
      <c r="T42" s="647">
        <f t="shared" si="10"/>
        <v>1</v>
      </c>
      <c r="U42" s="647">
        <f t="shared" si="10"/>
        <v>2</v>
      </c>
      <c r="V42" s="647">
        <f t="shared" si="10"/>
        <v>1</v>
      </c>
      <c r="W42" s="647">
        <f t="shared" si="10"/>
        <v>1</v>
      </c>
      <c r="X42" s="647">
        <f t="shared" si="10"/>
        <v>0</v>
      </c>
      <c r="Y42" s="647">
        <f t="shared" si="10"/>
        <v>1</v>
      </c>
      <c r="Z42" s="647">
        <f t="shared" si="10"/>
        <v>1</v>
      </c>
      <c r="AA42" s="647">
        <f t="shared" si="10"/>
        <v>2</v>
      </c>
      <c r="AB42" s="647">
        <f t="shared" si="10"/>
        <v>2</v>
      </c>
      <c r="AC42" s="647">
        <f t="shared" si="10"/>
        <v>1</v>
      </c>
      <c r="AD42" s="647">
        <f t="shared" si="10"/>
        <v>1</v>
      </c>
      <c r="AE42" s="647">
        <f t="shared" si="10"/>
        <v>0</v>
      </c>
      <c r="AF42" s="647">
        <f t="shared" si="10"/>
        <v>1</v>
      </c>
      <c r="AG42" s="647">
        <f t="shared" si="10"/>
        <v>1</v>
      </c>
      <c r="AH42" s="647">
        <f t="shared" si="10"/>
        <v>2</v>
      </c>
      <c r="AI42" s="647">
        <f t="shared" si="10"/>
        <v>2</v>
      </c>
      <c r="AJ42" s="647">
        <f t="shared" si="10"/>
        <v>1</v>
      </c>
      <c r="AK42" s="647">
        <f t="shared" si="10"/>
        <v>1</v>
      </c>
      <c r="AL42" s="647">
        <f t="shared" si="10"/>
        <v>0</v>
      </c>
      <c r="AM42" s="647">
        <f t="shared" si="10"/>
        <v>1</v>
      </c>
      <c r="AN42" s="647">
        <f t="shared" si="10"/>
        <v>1</v>
      </c>
      <c r="AO42" s="647">
        <f t="shared" si="10"/>
        <v>1</v>
      </c>
      <c r="AP42" s="647">
        <f t="shared" si="10"/>
        <v>1</v>
      </c>
      <c r="AQ42" s="647">
        <f t="shared" si="10"/>
        <v>1</v>
      </c>
      <c r="AR42" s="647">
        <f t="shared" si="10"/>
        <v>0</v>
      </c>
      <c r="AS42" s="647" t="s">
        <v>135</v>
      </c>
      <c r="AT42" s="647" t="s">
        <v>135</v>
      </c>
      <c r="AU42" s="647">
        <f t="shared" ref="AU42:BA42" si="11">COUNTIF(AU45:AU104,"共")+countif(AU$11:AU$40,"共")</f>
        <v>0</v>
      </c>
      <c r="AV42" s="647">
        <f t="shared" si="11"/>
        <v>0</v>
      </c>
      <c r="AW42" s="647">
        <f t="shared" si="11"/>
        <v>0</v>
      </c>
      <c r="AX42" s="647">
        <f t="shared" si="11"/>
        <v>0</v>
      </c>
      <c r="AY42" s="647">
        <f t="shared" si="11"/>
        <v>0</v>
      </c>
      <c r="AZ42" s="647">
        <f t="shared" si="11"/>
        <v>0</v>
      </c>
      <c r="BA42" s="647">
        <f t="shared" si="11"/>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3"/>
        <v>合計清掃数</v>
      </c>
      <c r="C43" s="638">
        <f t="shared" si="4"/>
        <v>98</v>
      </c>
      <c r="D43" s="200"/>
      <c r="E43" s="637" t="str">
        <f t="shared" si="5"/>
        <v>合計清掃数</v>
      </c>
      <c r="F43" s="638">
        <f t="shared" si="6"/>
        <v>102</v>
      </c>
      <c r="G43" s="200"/>
      <c r="H43" s="200"/>
      <c r="I43" s="656" t="b">
        <v>0</v>
      </c>
      <c r="J43" s="619"/>
      <c r="K43" s="657" t="s">
        <v>464</v>
      </c>
      <c r="L43" s="658" t="s">
        <v>447</v>
      </c>
      <c r="M43" s="659"/>
      <c r="N43" s="642">
        <f t="shared" ref="N43:AR43" si="12">sumif(N45:N104,"〇",$J45:$J104)+sumif(N11:N40,"〇",$J11:$J40)</f>
        <v>102</v>
      </c>
      <c r="O43" s="642">
        <f t="shared" si="12"/>
        <v>95</v>
      </c>
      <c r="P43" s="642">
        <f t="shared" si="12"/>
        <v>111</v>
      </c>
      <c r="Q43" s="642">
        <f t="shared" si="12"/>
        <v>85</v>
      </c>
      <c r="R43" s="642">
        <f t="shared" si="12"/>
        <v>99</v>
      </c>
      <c r="S43" s="642">
        <f t="shared" si="12"/>
        <v>114</v>
      </c>
      <c r="T43" s="642">
        <f t="shared" si="12"/>
        <v>98</v>
      </c>
      <c r="U43" s="642">
        <f t="shared" si="12"/>
        <v>102</v>
      </c>
      <c r="V43" s="642">
        <f t="shared" si="12"/>
        <v>71</v>
      </c>
      <c r="W43" s="642">
        <f t="shared" si="12"/>
        <v>105</v>
      </c>
      <c r="X43" s="642">
        <f t="shared" si="12"/>
        <v>100</v>
      </c>
      <c r="Y43" s="642">
        <f t="shared" si="12"/>
        <v>99</v>
      </c>
      <c r="Z43" s="642">
        <f t="shared" si="12"/>
        <v>99</v>
      </c>
      <c r="AA43" s="642">
        <f t="shared" si="12"/>
        <v>98</v>
      </c>
      <c r="AB43" s="642">
        <f t="shared" si="12"/>
        <v>102</v>
      </c>
      <c r="AC43" s="642">
        <f t="shared" si="12"/>
        <v>86</v>
      </c>
      <c r="AD43" s="642">
        <f t="shared" si="12"/>
        <v>105</v>
      </c>
      <c r="AE43" s="642">
        <f t="shared" si="12"/>
        <v>100</v>
      </c>
      <c r="AF43" s="642">
        <f t="shared" si="12"/>
        <v>99</v>
      </c>
      <c r="AG43" s="642">
        <f t="shared" si="12"/>
        <v>129</v>
      </c>
      <c r="AH43" s="642">
        <f t="shared" si="12"/>
        <v>113</v>
      </c>
      <c r="AI43" s="642">
        <f t="shared" si="12"/>
        <v>117</v>
      </c>
      <c r="AJ43" s="642">
        <f t="shared" si="12"/>
        <v>86</v>
      </c>
      <c r="AK43" s="642">
        <f t="shared" si="12"/>
        <v>105</v>
      </c>
      <c r="AL43" s="642">
        <f t="shared" si="12"/>
        <v>86</v>
      </c>
      <c r="AM43" s="642">
        <f t="shared" si="12"/>
        <v>85</v>
      </c>
      <c r="AN43" s="642">
        <f t="shared" si="12"/>
        <v>115</v>
      </c>
      <c r="AO43" s="642">
        <f t="shared" si="12"/>
        <v>99</v>
      </c>
      <c r="AP43" s="642">
        <f t="shared" si="12"/>
        <v>103</v>
      </c>
      <c r="AQ43" s="642">
        <f t="shared" si="12"/>
        <v>86</v>
      </c>
      <c r="AR43" s="642">
        <f t="shared" si="12"/>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3"/>
        <v>稼働予定</v>
      </c>
      <c r="C44" s="638" t="str">
        <f t="shared" si="4"/>
        <v/>
      </c>
      <c r="D44" s="200"/>
      <c r="E44" s="637" t="str">
        <f t="shared" si="5"/>
        <v>稼働予定</v>
      </c>
      <c r="F44" s="638" t="str">
        <f t="shared" si="6"/>
        <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3"/>
        <v>早川</v>
      </c>
      <c r="C45" s="638" t="str">
        <f t="shared" si="4"/>
        <v>希</v>
      </c>
      <c r="D45" s="200"/>
      <c r="E45" s="637" t="str">
        <f t="shared" si="5"/>
        <v>早川</v>
      </c>
      <c r="F45" s="638" t="str">
        <f t="shared" si="6"/>
        <v>希</v>
      </c>
      <c r="G45" s="200"/>
      <c r="H45" s="200"/>
      <c r="I45" s="172" t="b">
        <v>0</v>
      </c>
      <c r="J45" s="619">
        <v>15.0</v>
      </c>
      <c r="K45" s="639" t="s">
        <v>467</v>
      </c>
      <c r="L45" s="640" t="s">
        <v>468</v>
      </c>
      <c r="M45" s="646"/>
      <c r="N45" s="647" t="s">
        <v>192</v>
      </c>
      <c r="O45" s="647" t="s">
        <v>192</v>
      </c>
      <c r="P45" s="647" t="s">
        <v>417</v>
      </c>
      <c r="Q45" s="647" t="s">
        <v>417</v>
      </c>
      <c r="R45" s="647" t="s">
        <v>417</v>
      </c>
      <c r="S45" s="647" t="s">
        <v>417</v>
      </c>
      <c r="T45" s="647" t="s">
        <v>417</v>
      </c>
      <c r="U45" s="647" t="s">
        <v>417</v>
      </c>
      <c r="V45" s="647" t="s">
        <v>417</v>
      </c>
      <c r="W45" s="647" t="s">
        <v>417</v>
      </c>
      <c r="X45" s="647" t="s">
        <v>417</v>
      </c>
      <c r="Y45" s="647" t="s">
        <v>417</v>
      </c>
      <c r="Z45" s="647" t="s">
        <v>417</v>
      </c>
      <c r="AA45" s="647" t="s">
        <v>417</v>
      </c>
      <c r="AB45" s="647" t="s">
        <v>417</v>
      </c>
      <c r="AC45" s="647" t="s">
        <v>417</v>
      </c>
      <c r="AD45" s="647" t="s">
        <v>417</v>
      </c>
      <c r="AE45" s="647" t="s">
        <v>417</v>
      </c>
      <c r="AF45" s="647" t="s">
        <v>417</v>
      </c>
      <c r="AG45" s="647" t="s">
        <v>192</v>
      </c>
      <c r="AH45" s="647" t="s">
        <v>192</v>
      </c>
      <c r="AI45" s="647" t="s">
        <v>192</v>
      </c>
      <c r="AJ45" s="647" t="s">
        <v>192</v>
      </c>
      <c r="AK45" s="647" t="s">
        <v>409</v>
      </c>
      <c r="AL45" s="647" t="s">
        <v>409</v>
      </c>
      <c r="AM45" s="647" t="s">
        <v>409</v>
      </c>
      <c r="AN45" s="647" t="s">
        <v>192</v>
      </c>
      <c r="AO45" s="647" t="s">
        <v>192</v>
      </c>
      <c r="AP45" s="647" t="s">
        <v>192</v>
      </c>
      <c r="AQ45" s="647" t="s">
        <v>192</v>
      </c>
      <c r="AR45" s="642"/>
      <c r="AS45" s="648">
        <f t="array" ref="AS45">SUM(COUNTIF(N45:AR45, {"◎","〇","☆","共","特","浴"}))</f>
        <v>10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3"/>
        <v>大沼</v>
      </c>
      <c r="C46" s="638" t="str">
        <f t="shared" si="4"/>
        <v>〇</v>
      </c>
      <c r="D46" s="200"/>
      <c r="E46" s="637" t="str">
        <f t="shared" si="5"/>
        <v>大沼</v>
      </c>
      <c r="F46" s="638" t="str">
        <f t="shared" si="6"/>
        <v>〇</v>
      </c>
      <c r="G46" s="200"/>
      <c r="H46" s="200"/>
      <c r="I46" s="172" t="b">
        <v>0</v>
      </c>
      <c r="J46" s="619">
        <v>15.0</v>
      </c>
      <c r="K46" s="639" t="s">
        <v>469</v>
      </c>
      <c r="L46" s="640" t="s">
        <v>468</v>
      </c>
      <c r="M46" s="646"/>
      <c r="N46" s="647" t="s">
        <v>192</v>
      </c>
      <c r="O46" s="647" t="s">
        <v>192</v>
      </c>
      <c r="P46" s="647" t="s">
        <v>192</v>
      </c>
      <c r="Q46" s="647" t="s">
        <v>409</v>
      </c>
      <c r="R46" s="647" t="s">
        <v>409</v>
      </c>
      <c r="S46" s="647" t="s">
        <v>192</v>
      </c>
      <c r="T46" s="647" t="s">
        <v>192</v>
      </c>
      <c r="U46" s="647" t="s">
        <v>192</v>
      </c>
      <c r="V46" s="647" t="s">
        <v>409</v>
      </c>
      <c r="W46" s="647" t="s">
        <v>192</v>
      </c>
      <c r="X46" s="647" t="s">
        <v>192</v>
      </c>
      <c r="Y46" s="647" t="s">
        <v>409</v>
      </c>
      <c r="Z46" s="647" t="s">
        <v>409</v>
      </c>
      <c r="AA46" s="647" t="s">
        <v>192</v>
      </c>
      <c r="AB46" s="647" t="s">
        <v>192</v>
      </c>
      <c r="AC46" s="647" t="s">
        <v>192</v>
      </c>
      <c r="AD46" s="647" t="s">
        <v>192</v>
      </c>
      <c r="AE46" s="647" t="s">
        <v>192</v>
      </c>
      <c r="AF46" s="647" t="s">
        <v>409</v>
      </c>
      <c r="AG46" s="647" t="s">
        <v>192</v>
      </c>
      <c r="AH46" s="647" t="s">
        <v>192</v>
      </c>
      <c r="AI46" s="647" t="s">
        <v>192</v>
      </c>
      <c r="AJ46" s="647" t="s">
        <v>409</v>
      </c>
      <c r="AK46" s="647" t="s">
        <v>192</v>
      </c>
      <c r="AL46" s="647" t="s">
        <v>192</v>
      </c>
      <c r="AM46" s="647" t="s">
        <v>409</v>
      </c>
      <c r="AN46" s="647" t="s">
        <v>192</v>
      </c>
      <c r="AO46" s="647" t="s">
        <v>192</v>
      </c>
      <c r="AP46" s="647" t="s">
        <v>192</v>
      </c>
      <c r="AQ46" s="647" t="s">
        <v>409</v>
      </c>
      <c r="AR46" s="642"/>
      <c r="AS46" s="648">
        <f t="array" ref="AS46">SUM(COUNTIF(N46:AR46, {"◎","〇","☆","共","特","浴"}))</f>
        <v>21</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3"/>
        <v>サンタ</v>
      </c>
      <c r="C47" s="638" t="str">
        <f t="shared" si="4"/>
        <v>〇</v>
      </c>
      <c r="D47" s="200"/>
      <c r="E47" s="637" t="str">
        <f t="shared" si="5"/>
        <v>サンタ</v>
      </c>
      <c r="F47" s="638" t="str">
        <f t="shared" si="6"/>
        <v>公</v>
      </c>
      <c r="G47" s="200"/>
      <c r="H47" s="200"/>
      <c r="I47" s="172" t="b">
        <v>0</v>
      </c>
      <c r="J47" s="619">
        <v>17.0</v>
      </c>
      <c r="K47" s="639" t="s">
        <v>113</v>
      </c>
      <c r="L47" s="640" t="s">
        <v>468</v>
      </c>
      <c r="M47" s="646"/>
      <c r="N47" s="647" t="s">
        <v>409</v>
      </c>
      <c r="O47" s="647" t="s">
        <v>192</v>
      </c>
      <c r="P47" s="647" t="s">
        <v>192</v>
      </c>
      <c r="Q47" s="647" t="s">
        <v>192</v>
      </c>
      <c r="R47" s="647" t="s">
        <v>192</v>
      </c>
      <c r="S47" s="647" t="s">
        <v>192</v>
      </c>
      <c r="T47" s="647" t="s">
        <v>192</v>
      </c>
      <c r="U47" s="647" t="s">
        <v>409</v>
      </c>
      <c r="V47" s="647" t="s">
        <v>192</v>
      </c>
      <c r="W47" s="647" t="s">
        <v>192</v>
      </c>
      <c r="X47" s="647" t="s">
        <v>192</v>
      </c>
      <c r="Y47" s="647" t="s">
        <v>192</v>
      </c>
      <c r="Z47" s="647" t="s">
        <v>192</v>
      </c>
      <c r="AA47" s="647" t="s">
        <v>192</v>
      </c>
      <c r="AB47" s="647" t="s">
        <v>409</v>
      </c>
      <c r="AC47" s="647" t="s">
        <v>192</v>
      </c>
      <c r="AD47" s="647" t="s">
        <v>192</v>
      </c>
      <c r="AE47" s="647" t="s">
        <v>192</v>
      </c>
      <c r="AF47" s="647" t="s">
        <v>192</v>
      </c>
      <c r="AG47" s="647" t="s">
        <v>192</v>
      </c>
      <c r="AH47" s="647" t="s">
        <v>192</v>
      </c>
      <c r="AI47" s="647" t="s">
        <v>409</v>
      </c>
      <c r="AJ47" s="647" t="s">
        <v>192</v>
      </c>
      <c r="AK47" s="647" t="s">
        <v>192</v>
      </c>
      <c r="AL47" s="647" t="s">
        <v>192</v>
      </c>
      <c r="AM47" s="647" t="s">
        <v>192</v>
      </c>
      <c r="AN47" s="647" t="s">
        <v>192</v>
      </c>
      <c r="AO47" s="647" t="s">
        <v>192</v>
      </c>
      <c r="AP47" s="647" t="s">
        <v>409</v>
      </c>
      <c r="AQ47" s="647" t="s">
        <v>192</v>
      </c>
      <c r="AR47" s="642"/>
      <c r="AS47" s="648">
        <f t="array" ref="AS47">SUM(COUNTIF(N47:AR47, {"◎","〇","☆","共","特","浴"}))</f>
        <v>25</v>
      </c>
      <c r="AT47" s="649"/>
      <c r="AU47" s="650"/>
      <c r="AV47" s="650"/>
      <c r="AW47" s="650"/>
      <c r="AX47" s="650"/>
      <c r="AY47" s="650"/>
      <c r="AZ47" s="650"/>
      <c r="BA47" s="650"/>
      <c r="BB47" s="653" t="s">
        <v>470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3"/>
        <v>タラ</v>
      </c>
      <c r="C48" s="638" t="str">
        <f t="shared" si="4"/>
        <v>公</v>
      </c>
      <c r="D48" s="200"/>
      <c r="E48" s="637" t="str">
        <f t="shared" si="5"/>
        <v>タラ</v>
      </c>
      <c r="F48" s="638" t="str">
        <f t="shared" si="6"/>
        <v>〇</v>
      </c>
      <c r="G48" s="200"/>
      <c r="H48" s="200"/>
      <c r="I48" s="172" t="b">
        <v>0</v>
      </c>
      <c r="J48" s="619">
        <v>16.0</v>
      </c>
      <c r="K48" s="639" t="s">
        <v>471</v>
      </c>
      <c r="L48" s="640" t="s">
        <v>468</v>
      </c>
      <c r="M48" s="646"/>
      <c r="N48" s="647" t="s">
        <v>192</v>
      </c>
      <c r="O48" s="647" t="s">
        <v>192</v>
      </c>
      <c r="P48" s="647" t="s">
        <v>192</v>
      </c>
      <c r="Q48" s="647" t="s">
        <v>192</v>
      </c>
      <c r="R48" s="647" t="s">
        <v>192</v>
      </c>
      <c r="S48" s="647" t="s">
        <v>409</v>
      </c>
      <c r="T48" s="647" t="s">
        <v>409</v>
      </c>
      <c r="U48" s="647" t="s">
        <v>192</v>
      </c>
      <c r="V48" s="647" t="s">
        <v>192</v>
      </c>
      <c r="W48" s="647" t="s">
        <v>192</v>
      </c>
      <c r="X48" s="647" t="s">
        <v>192</v>
      </c>
      <c r="Y48" s="647" t="s">
        <v>192</v>
      </c>
      <c r="Z48" s="647" t="s">
        <v>409</v>
      </c>
      <c r="AA48" s="647" t="s">
        <v>409</v>
      </c>
      <c r="AB48" s="647" t="s">
        <v>192</v>
      </c>
      <c r="AC48" s="647" t="s">
        <v>192</v>
      </c>
      <c r="AD48" s="647" t="s">
        <v>192</v>
      </c>
      <c r="AE48" s="647" t="s">
        <v>192</v>
      </c>
      <c r="AF48" s="647" t="s">
        <v>192</v>
      </c>
      <c r="AG48" s="647" t="s">
        <v>409</v>
      </c>
      <c r="AH48" s="647" t="s">
        <v>409</v>
      </c>
      <c r="AI48" s="647" t="s">
        <v>192</v>
      </c>
      <c r="AJ48" s="647" t="s">
        <v>192</v>
      </c>
      <c r="AK48" s="647" t="s">
        <v>192</v>
      </c>
      <c r="AL48" s="647" t="s">
        <v>192</v>
      </c>
      <c r="AM48" s="647" t="s">
        <v>192</v>
      </c>
      <c r="AN48" s="647" t="s">
        <v>409</v>
      </c>
      <c r="AO48" s="647" t="s">
        <v>409</v>
      </c>
      <c r="AP48" s="647" t="s">
        <v>192</v>
      </c>
      <c r="AQ48" s="647" t="s">
        <v>192</v>
      </c>
      <c r="AR48" s="642"/>
      <c r="AS48" s="648">
        <f t="array" ref="AS48">SUM(COUNTIF(N48:AR48, {"◎","〇","☆","共","特","浴"}))</f>
        <v>22</v>
      </c>
      <c r="AT48" s="652"/>
      <c r="AU48" s="650"/>
      <c r="AV48" s="650"/>
      <c r="AW48" s="650"/>
      <c r="AX48" s="650"/>
      <c r="AY48" s="650"/>
      <c r="AZ48" s="650"/>
      <c r="BA48" s="650"/>
      <c r="BB48" s="653" t="s">
        <v>459</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3"/>
        <v>タン</v>
      </c>
      <c r="C49" s="638" t="str">
        <f t="shared" si="4"/>
        <v>〇</v>
      </c>
      <c r="D49" s="200"/>
      <c r="E49" s="637" t="str">
        <f t="shared" si="5"/>
        <v>タン</v>
      </c>
      <c r="F49" s="638" t="str">
        <f t="shared" si="6"/>
        <v>〇</v>
      </c>
      <c r="G49" s="200"/>
      <c r="H49" s="200"/>
      <c r="I49" s="172" t="b">
        <v>0</v>
      </c>
      <c r="J49" s="619">
        <v>14.0</v>
      </c>
      <c r="K49" s="639" t="s">
        <v>472</v>
      </c>
      <c r="L49" s="640" t="s">
        <v>468</v>
      </c>
      <c r="M49" s="646"/>
      <c r="N49" s="647" t="s">
        <v>192</v>
      </c>
      <c r="O49" s="647" t="s">
        <v>409</v>
      </c>
      <c r="P49" s="647" t="s">
        <v>409</v>
      </c>
      <c r="Q49" s="647" t="s">
        <v>192</v>
      </c>
      <c r="R49" s="647" t="s">
        <v>192</v>
      </c>
      <c r="S49" s="647" t="s">
        <v>192</v>
      </c>
      <c r="T49" s="647" t="s">
        <v>192</v>
      </c>
      <c r="U49" s="647" t="s">
        <v>192</v>
      </c>
      <c r="V49" s="647" t="s">
        <v>409</v>
      </c>
      <c r="W49" s="647" t="s">
        <v>409</v>
      </c>
      <c r="X49" s="647" t="s">
        <v>192</v>
      </c>
      <c r="Y49" s="647" t="s">
        <v>192</v>
      </c>
      <c r="Z49" s="647" t="s">
        <v>192</v>
      </c>
      <c r="AA49" s="647" t="s">
        <v>192</v>
      </c>
      <c r="AB49" s="647" t="s">
        <v>192</v>
      </c>
      <c r="AC49" s="647" t="s">
        <v>409</v>
      </c>
      <c r="AD49" s="647" t="s">
        <v>409</v>
      </c>
      <c r="AE49" s="647" t="s">
        <v>192</v>
      </c>
      <c r="AF49" s="647" t="s">
        <v>192</v>
      </c>
      <c r="AG49" s="647" t="s">
        <v>192</v>
      </c>
      <c r="AH49" s="647" t="s">
        <v>192</v>
      </c>
      <c r="AI49" s="647" t="s">
        <v>192</v>
      </c>
      <c r="AJ49" s="647" t="s">
        <v>409</v>
      </c>
      <c r="AK49" s="647" t="s">
        <v>417</v>
      </c>
      <c r="AL49" s="647" t="s">
        <v>417</v>
      </c>
      <c r="AM49" s="647" t="s">
        <v>417</v>
      </c>
      <c r="AN49" s="647" t="s">
        <v>417</v>
      </c>
      <c r="AO49" s="647" t="s">
        <v>417</v>
      </c>
      <c r="AP49" s="647" t="s">
        <v>417</v>
      </c>
      <c r="AQ49" s="647" t="s">
        <v>417</v>
      </c>
      <c r="AR49" s="642"/>
      <c r="AS49" s="648">
        <f t="array" ref="AS49">SUM(COUNTIF(N49:AR49, {"◎","〇","☆","共","特","浴"}))</f>
        <v>16</v>
      </c>
      <c r="AT49" s="652"/>
      <c r="AU49" s="650"/>
      <c r="AV49" s="650"/>
      <c r="AW49" s="650"/>
      <c r="AX49" s="650"/>
      <c r="AY49" s="650"/>
      <c r="AZ49" s="650"/>
      <c r="BA49" s="650"/>
      <c r="BB49" s="653" t="s">
        <v>473</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3"/>
        <v>ウィン</v>
      </c>
      <c r="C50" s="638" t="str">
        <f t="shared" si="4"/>
        <v>公</v>
      </c>
      <c r="D50" s="200"/>
      <c r="E50" s="637" t="str">
        <f t="shared" si="5"/>
        <v>ウィン</v>
      </c>
      <c r="F50" s="638" t="str">
        <f t="shared" si="6"/>
        <v>〇</v>
      </c>
      <c r="G50" s="200"/>
      <c r="H50" s="200"/>
      <c r="I50" s="172" t="b">
        <v>0</v>
      </c>
      <c r="J50" s="619">
        <v>12.0</v>
      </c>
      <c r="K50" s="639" t="s">
        <v>474</v>
      </c>
      <c r="L50" s="640" t="s">
        <v>475</v>
      </c>
      <c r="M50" s="646"/>
      <c r="N50" s="647" t="s">
        <v>192</v>
      </c>
      <c r="O50" s="647" t="s">
        <v>192</v>
      </c>
      <c r="P50" s="647" t="s">
        <v>192</v>
      </c>
      <c r="Q50" s="647" t="s">
        <v>409</v>
      </c>
      <c r="R50" s="647" t="s">
        <v>409</v>
      </c>
      <c r="S50" s="647" t="s">
        <v>409</v>
      </c>
      <c r="T50" s="647" t="s">
        <v>409</v>
      </c>
      <c r="U50" s="647" t="s">
        <v>192</v>
      </c>
      <c r="V50" s="647" t="s">
        <v>192</v>
      </c>
      <c r="W50" s="647" t="s">
        <v>192</v>
      </c>
      <c r="X50" s="647" t="s">
        <v>409</v>
      </c>
      <c r="Y50" s="647" t="s">
        <v>409</v>
      </c>
      <c r="Z50" s="647" t="s">
        <v>409</v>
      </c>
      <c r="AA50" s="647" t="s">
        <v>409</v>
      </c>
      <c r="AB50" s="647" t="s">
        <v>192</v>
      </c>
      <c r="AC50" s="647" t="s">
        <v>192</v>
      </c>
      <c r="AD50" s="647" t="s">
        <v>192</v>
      </c>
      <c r="AE50" s="647" t="s">
        <v>409</v>
      </c>
      <c r="AF50" s="647" t="s">
        <v>409</v>
      </c>
      <c r="AG50" s="647" t="s">
        <v>409</v>
      </c>
      <c r="AH50" s="647" t="s">
        <v>409</v>
      </c>
      <c r="AI50" s="647" t="s">
        <v>192</v>
      </c>
      <c r="AJ50" s="647" t="s">
        <v>192</v>
      </c>
      <c r="AK50" s="647" t="s">
        <v>192</v>
      </c>
      <c r="AL50" s="647" t="s">
        <v>409</v>
      </c>
      <c r="AM50" s="647" t="s">
        <v>409</v>
      </c>
      <c r="AN50" s="647" t="s">
        <v>409</v>
      </c>
      <c r="AO50" s="647" t="s">
        <v>409</v>
      </c>
      <c r="AP50" s="647" t="s">
        <v>192</v>
      </c>
      <c r="AQ50" s="647" t="s">
        <v>192</v>
      </c>
      <c r="AR50" s="642"/>
      <c r="AS50" s="648">
        <f t="array" ref="AS50">SUM(COUNTIF(N50:AR50, {"◎","〇","☆","共","特","浴"}))</f>
        <v>14</v>
      </c>
      <c r="AT50" s="652"/>
      <c r="AU50" s="650"/>
      <c r="AV50" s="650"/>
      <c r="AW50" s="650"/>
      <c r="AX50" s="650"/>
      <c r="AY50" s="650"/>
      <c r="AZ50" s="650"/>
      <c r="BA50" s="650"/>
      <c r="BB50" s="653" t="s">
        <v>476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3"/>
        <v>スレスタ</v>
      </c>
      <c r="C51" s="638" t="str">
        <f t="shared" si="4"/>
        <v>〇</v>
      </c>
      <c r="D51" s="200"/>
      <c r="E51" s="637" t="str">
        <f t="shared" si="5"/>
        <v>スレスタ</v>
      </c>
      <c r="F51" s="638" t="str">
        <f t="shared" si="6"/>
        <v>〇</v>
      </c>
      <c r="G51" s="200"/>
      <c r="H51" s="200"/>
      <c r="I51" s="172" t="b">
        <v>0</v>
      </c>
      <c r="J51" s="619">
        <v>13.0</v>
      </c>
      <c r="K51" s="639" t="s">
        <v>477</v>
      </c>
      <c r="L51" s="640"/>
      <c r="M51" s="646"/>
      <c r="N51" s="647" t="s">
        <v>192</v>
      </c>
      <c r="O51" s="647" t="s">
        <v>192</v>
      </c>
      <c r="P51" s="647" t="s">
        <v>409</v>
      </c>
      <c r="Q51" s="647" t="s">
        <v>409</v>
      </c>
      <c r="R51" s="647" t="s">
        <v>409</v>
      </c>
      <c r="S51" s="647" t="s">
        <v>192</v>
      </c>
      <c r="T51" s="647" t="s">
        <v>192</v>
      </c>
      <c r="U51" s="647" t="s">
        <v>192</v>
      </c>
      <c r="V51" s="647" t="s">
        <v>192</v>
      </c>
      <c r="W51" s="647" t="s">
        <v>409</v>
      </c>
      <c r="X51" s="647" t="s">
        <v>409</v>
      </c>
      <c r="Y51" s="647" t="s">
        <v>409</v>
      </c>
      <c r="Z51" s="647" t="s">
        <v>192</v>
      </c>
      <c r="AA51" s="647" t="s">
        <v>192</v>
      </c>
      <c r="AB51" s="647" t="s">
        <v>192</v>
      </c>
      <c r="AC51" s="647" t="s">
        <v>192</v>
      </c>
      <c r="AD51" s="647" t="s">
        <v>409</v>
      </c>
      <c r="AE51" s="647" t="s">
        <v>409</v>
      </c>
      <c r="AF51" s="647" t="s">
        <v>409</v>
      </c>
      <c r="AG51" s="647" t="s">
        <v>192</v>
      </c>
      <c r="AH51" s="647" t="s">
        <v>192</v>
      </c>
      <c r="AI51" s="647" t="s">
        <v>192</v>
      </c>
      <c r="AJ51" s="647" t="s">
        <v>192</v>
      </c>
      <c r="AK51" s="647" t="s">
        <v>409</v>
      </c>
      <c r="AL51" s="647" t="s">
        <v>409</v>
      </c>
      <c r="AM51" s="647" t="s">
        <v>409</v>
      </c>
      <c r="AN51" s="647" t="s">
        <v>192</v>
      </c>
      <c r="AO51" s="647" t="s">
        <v>192</v>
      </c>
      <c r="AP51" s="647" t="s">
        <v>192</v>
      </c>
      <c r="AQ51" s="647" t="s">
        <v>192</v>
      </c>
      <c r="AR51" s="642"/>
      <c r="AS51" s="648">
        <f t="array" ref="AS51">SUM(COUNTIF(N51:AR51, {"◎","〇","☆","共","特","浴"}))</f>
        <v>18</v>
      </c>
      <c r="AT51" s="652"/>
      <c r="AU51" s="650"/>
      <c r="AV51" s="650"/>
      <c r="AW51" s="650"/>
      <c r="AX51" s="650"/>
      <c r="AY51" s="650"/>
      <c r="AZ51" s="650"/>
      <c r="BA51" s="650"/>
      <c r="BB51" s="653" t="s">
        <v>478</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3"/>
        <v>バンダリ</v>
      </c>
      <c r="C52" s="638" t="str">
        <f t="shared" si="4"/>
        <v>〇</v>
      </c>
      <c r="D52" s="200"/>
      <c r="E52" s="637" t="str">
        <f t="shared" si="5"/>
        <v>バンダリ</v>
      </c>
      <c r="F52" s="638" t="str">
        <f t="shared" si="6"/>
        <v>公</v>
      </c>
      <c r="G52" s="200"/>
      <c r="H52" s="200"/>
      <c r="I52" s="172" t="b">
        <v>0</v>
      </c>
      <c r="J52" s="619">
        <v>14.0</v>
      </c>
      <c r="K52" s="639" t="s">
        <v>479</v>
      </c>
      <c r="L52" s="640" t="s">
        <v>468</v>
      </c>
      <c r="M52" s="641"/>
      <c r="N52" s="647" t="s">
        <v>409</v>
      </c>
      <c r="O52" s="647" t="s">
        <v>409</v>
      </c>
      <c r="P52" s="647" t="s">
        <v>409</v>
      </c>
      <c r="Q52" s="647" t="s">
        <v>409</v>
      </c>
      <c r="R52" s="647" t="s">
        <v>192</v>
      </c>
      <c r="S52" s="647" t="s">
        <v>192</v>
      </c>
      <c r="T52" s="647" t="s">
        <v>192</v>
      </c>
      <c r="U52" s="647" t="s">
        <v>409</v>
      </c>
      <c r="V52" s="647" t="s">
        <v>409</v>
      </c>
      <c r="W52" s="647" t="s">
        <v>409</v>
      </c>
      <c r="X52" s="647" t="s">
        <v>409</v>
      </c>
      <c r="Y52" s="647" t="s">
        <v>192</v>
      </c>
      <c r="Z52" s="647" t="s">
        <v>192</v>
      </c>
      <c r="AA52" s="647" t="s">
        <v>192</v>
      </c>
      <c r="AB52" s="647" t="s">
        <v>409</v>
      </c>
      <c r="AC52" s="647" t="s">
        <v>409</v>
      </c>
      <c r="AD52" s="647" t="s">
        <v>409</v>
      </c>
      <c r="AE52" s="647" t="s">
        <v>409</v>
      </c>
      <c r="AF52" s="647" t="s">
        <v>192</v>
      </c>
      <c r="AG52" s="647" t="s">
        <v>192</v>
      </c>
      <c r="AH52" s="647" t="s">
        <v>192</v>
      </c>
      <c r="AI52" s="647" t="s">
        <v>409</v>
      </c>
      <c r="AJ52" s="647" t="s">
        <v>409</v>
      </c>
      <c r="AK52" s="647" t="s">
        <v>409</v>
      </c>
      <c r="AL52" s="647" t="s">
        <v>409</v>
      </c>
      <c r="AM52" s="647" t="s">
        <v>192</v>
      </c>
      <c r="AN52" s="647" t="s">
        <v>192</v>
      </c>
      <c r="AO52" s="647" t="s">
        <v>192</v>
      </c>
      <c r="AP52" s="647" t="s">
        <v>409</v>
      </c>
      <c r="AQ52" s="647" t="s">
        <v>409</v>
      </c>
      <c r="AR52" s="642"/>
      <c r="AS52" s="648">
        <f t="array" ref="AS52">SUM(COUNTIF(N52:AR52, {"◎","〇","☆","共","特","浴"}))</f>
        <v>12</v>
      </c>
      <c r="AT52" s="649"/>
      <c r="AU52" s="650"/>
      <c r="AV52" s="650"/>
      <c r="AW52" s="650"/>
      <c r="AX52" s="650"/>
      <c r="AY52" s="650"/>
      <c r="AZ52" s="650"/>
      <c r="BA52" s="650"/>
      <c r="BB52" s="653" t="s">
        <v>480</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3"/>
        <v>ランジュ</v>
      </c>
      <c r="C53" s="638" t="str">
        <f t="shared" si="4"/>
        <v/>
      </c>
      <c r="D53" s="200"/>
      <c r="E53" s="637" t="str">
        <f t="shared" si="5"/>
        <v>ランジュ</v>
      </c>
      <c r="F53" s="638" t="str">
        <f t="shared" si="6"/>
        <v/>
      </c>
      <c r="G53" s="200"/>
      <c r="H53" s="200"/>
      <c r="I53" s="172" t="b">
        <v>0</v>
      </c>
      <c r="J53" s="619">
        <v>10.0</v>
      </c>
      <c r="K53" s="639" t="s">
        <v>165</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3"/>
        <v>カトリ</v>
      </c>
      <c r="C54" s="638" t="str">
        <f t="shared" si="4"/>
        <v>公</v>
      </c>
      <c r="D54" s="200"/>
      <c r="E54" s="637" t="str">
        <f t="shared" si="5"/>
        <v>カトリ</v>
      </c>
      <c r="F54" s="638" t="str">
        <f t="shared" si="6"/>
        <v>公</v>
      </c>
      <c r="G54" s="200"/>
      <c r="H54" s="200"/>
      <c r="I54" s="172" t="b">
        <v>0</v>
      </c>
      <c r="J54" s="619">
        <v>13.0</v>
      </c>
      <c r="K54" s="639" t="s">
        <v>125</v>
      </c>
      <c r="L54" s="640"/>
      <c r="M54" s="646"/>
      <c r="N54" s="647" t="s">
        <v>409</v>
      </c>
      <c r="O54" s="647" t="s">
        <v>409</v>
      </c>
      <c r="P54" s="647" t="s">
        <v>192</v>
      </c>
      <c r="Q54" s="647" t="s">
        <v>192</v>
      </c>
      <c r="R54" s="647" t="s">
        <v>192</v>
      </c>
      <c r="S54" s="647" t="s">
        <v>192</v>
      </c>
      <c r="T54" s="647" t="s">
        <v>409</v>
      </c>
      <c r="U54" s="647" t="s">
        <v>409</v>
      </c>
      <c r="V54" s="647" t="s">
        <v>409</v>
      </c>
      <c r="W54" s="647" t="s">
        <v>192</v>
      </c>
      <c r="X54" s="647" t="s">
        <v>192</v>
      </c>
      <c r="Y54" s="647" t="s">
        <v>192</v>
      </c>
      <c r="Z54" s="647" t="s">
        <v>192</v>
      </c>
      <c r="AA54" s="647" t="s">
        <v>409</v>
      </c>
      <c r="AB54" s="647" t="s">
        <v>409</v>
      </c>
      <c r="AC54" s="647" t="s">
        <v>409</v>
      </c>
      <c r="AD54" s="647" t="s">
        <v>192</v>
      </c>
      <c r="AE54" s="647" t="s">
        <v>192</v>
      </c>
      <c r="AF54" s="647" t="s">
        <v>192</v>
      </c>
      <c r="AG54" s="647" t="s">
        <v>192</v>
      </c>
      <c r="AH54" s="647" t="s">
        <v>409</v>
      </c>
      <c r="AI54" s="647" t="s">
        <v>409</v>
      </c>
      <c r="AJ54" s="647" t="s">
        <v>409</v>
      </c>
      <c r="AK54" s="647" t="s">
        <v>192</v>
      </c>
      <c r="AL54" s="647" t="s">
        <v>192</v>
      </c>
      <c r="AM54" s="647" t="s">
        <v>192</v>
      </c>
      <c r="AN54" s="647" t="s">
        <v>192</v>
      </c>
      <c r="AO54" s="647" t="s">
        <v>409</v>
      </c>
      <c r="AP54" s="647" t="s">
        <v>409</v>
      </c>
      <c r="AQ54" s="647" t="s">
        <v>409</v>
      </c>
      <c r="AR54" s="642"/>
      <c r="AS54" s="648">
        <f t="array" ref="AS54">SUM(COUNTIF(N54:AR54, {"◎","〇","☆","共","特","浴"}))</f>
        <v>16</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3"/>
        <v>GT</v>
      </c>
      <c r="C55" s="638" t="str">
        <f t="shared" si="4"/>
        <v>公</v>
      </c>
      <c r="D55" s="200"/>
      <c r="E55" s="637" t="str">
        <f t="shared" si="5"/>
        <v>GT</v>
      </c>
      <c r="F55" s="638" t="str">
        <f t="shared" si="6"/>
        <v>公</v>
      </c>
      <c r="G55" s="200"/>
      <c r="H55" s="200"/>
      <c r="I55" s="172" t="b">
        <v>0</v>
      </c>
      <c r="J55" s="619">
        <v>15.0</v>
      </c>
      <c r="K55" s="639" t="s">
        <v>481</v>
      </c>
      <c r="L55" s="640"/>
      <c r="M55" s="646"/>
      <c r="N55" s="647" t="s">
        <v>409</v>
      </c>
      <c r="O55" s="647" t="s">
        <v>409</v>
      </c>
      <c r="P55" s="647" t="s">
        <v>192</v>
      </c>
      <c r="Q55" s="647" t="s">
        <v>192</v>
      </c>
      <c r="R55" s="647" t="s">
        <v>192</v>
      </c>
      <c r="S55" s="647" t="s">
        <v>192</v>
      </c>
      <c r="T55" s="647" t="s">
        <v>409</v>
      </c>
      <c r="U55" s="647" t="s">
        <v>409</v>
      </c>
      <c r="V55" s="647" t="s">
        <v>409</v>
      </c>
      <c r="W55" s="647" t="s">
        <v>192</v>
      </c>
      <c r="X55" s="647" t="s">
        <v>192</v>
      </c>
      <c r="Y55" s="647" t="s">
        <v>192</v>
      </c>
      <c r="Z55" s="647" t="s">
        <v>192</v>
      </c>
      <c r="AA55" s="647" t="s">
        <v>409</v>
      </c>
      <c r="AB55" s="647" t="s">
        <v>409</v>
      </c>
      <c r="AC55" s="647" t="s">
        <v>409</v>
      </c>
      <c r="AD55" s="647" t="s">
        <v>192</v>
      </c>
      <c r="AE55" s="647" t="s">
        <v>192</v>
      </c>
      <c r="AF55" s="647" t="s">
        <v>192</v>
      </c>
      <c r="AG55" s="647" t="s">
        <v>192</v>
      </c>
      <c r="AH55" s="647" t="s">
        <v>409</v>
      </c>
      <c r="AI55" s="647" t="s">
        <v>409</v>
      </c>
      <c r="AJ55" s="647" t="s">
        <v>409</v>
      </c>
      <c r="AK55" s="647" t="s">
        <v>192</v>
      </c>
      <c r="AL55" s="647" t="s">
        <v>192</v>
      </c>
      <c r="AM55" s="647" t="s">
        <v>192</v>
      </c>
      <c r="AN55" s="647" t="s">
        <v>192</v>
      </c>
      <c r="AO55" s="647" t="s">
        <v>409</v>
      </c>
      <c r="AP55" s="647" t="s">
        <v>409</v>
      </c>
      <c r="AQ55" s="647" t="s">
        <v>409</v>
      </c>
      <c r="AR55" s="647"/>
      <c r="AS55" s="648">
        <f t="array" ref="AS55">SUM(COUNTIF(N55:AR55, {"◎","〇","☆","共","特","浴"}))</f>
        <v>16</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3"/>
        <v>ギミレ</v>
      </c>
      <c r="C56" s="638" t="str">
        <f t="shared" si="4"/>
        <v>〇</v>
      </c>
      <c r="D56" s="200"/>
      <c r="E56" s="637" t="str">
        <f t="shared" si="5"/>
        <v>ギミレ</v>
      </c>
      <c r="F56" s="638" t="str">
        <f t="shared" si="6"/>
        <v>〇</v>
      </c>
      <c r="G56" s="200"/>
      <c r="H56" s="200"/>
      <c r="I56" s="172" t="b">
        <v>0</v>
      </c>
      <c r="J56" s="619">
        <v>10.0</v>
      </c>
      <c r="K56" s="639" t="s">
        <v>159</v>
      </c>
      <c r="L56" s="640"/>
      <c r="M56" s="646"/>
      <c r="N56" s="647" t="s">
        <v>192</v>
      </c>
      <c r="O56" s="647" t="s">
        <v>409</v>
      </c>
      <c r="P56" s="647" t="s">
        <v>192</v>
      </c>
      <c r="Q56" s="647" t="s">
        <v>192</v>
      </c>
      <c r="R56" s="647" t="s">
        <v>409</v>
      </c>
      <c r="S56" s="647" t="s">
        <v>409</v>
      </c>
      <c r="T56" s="647" t="s">
        <v>192</v>
      </c>
      <c r="U56" s="647" t="s">
        <v>192</v>
      </c>
      <c r="V56" s="647" t="s">
        <v>409</v>
      </c>
      <c r="W56" s="647" t="s">
        <v>192</v>
      </c>
      <c r="X56" s="647" t="s">
        <v>192</v>
      </c>
      <c r="Y56" s="647" t="s">
        <v>409</v>
      </c>
      <c r="Z56" s="647" t="s">
        <v>409</v>
      </c>
      <c r="AA56" s="647" t="s">
        <v>192</v>
      </c>
      <c r="AB56" s="647" t="s">
        <v>192</v>
      </c>
      <c r="AC56" s="647" t="s">
        <v>409</v>
      </c>
      <c r="AD56" s="647" t="s">
        <v>192</v>
      </c>
      <c r="AE56" s="647" t="s">
        <v>192</v>
      </c>
      <c r="AF56" s="647" t="s">
        <v>409</v>
      </c>
      <c r="AG56" s="647" t="s">
        <v>409</v>
      </c>
      <c r="AH56" s="647" t="s">
        <v>192</v>
      </c>
      <c r="AI56" s="647" t="s">
        <v>192</v>
      </c>
      <c r="AJ56" s="647" t="s">
        <v>409</v>
      </c>
      <c r="AK56" s="647" t="s">
        <v>192</v>
      </c>
      <c r="AL56" s="647" t="s">
        <v>192</v>
      </c>
      <c r="AM56" s="647" t="s">
        <v>409</v>
      </c>
      <c r="AN56" s="647" t="s">
        <v>409</v>
      </c>
      <c r="AO56" s="647" t="s">
        <v>192</v>
      </c>
      <c r="AP56" s="647" t="s">
        <v>192</v>
      </c>
      <c r="AQ56" s="647" t="s">
        <v>409</v>
      </c>
      <c r="AR56" s="642"/>
      <c r="AS56" s="648">
        <f t="array" ref="AS56">SUM(COUNTIF(N56:AR56, {"◎","〇","☆","共","特","浴"}))</f>
        <v>17</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3"/>
        <v>スザナ</v>
      </c>
      <c r="C57" s="638" t="str">
        <f t="shared" si="4"/>
        <v/>
      </c>
      <c r="D57" s="200"/>
      <c r="E57" s="637" t="str">
        <f t="shared" si="5"/>
        <v>スザナ</v>
      </c>
      <c r="F57" s="638" t="str">
        <f t="shared" si="6"/>
        <v>〇</v>
      </c>
      <c r="G57" s="200"/>
      <c r="H57" s="200"/>
      <c r="I57" s="172" t="b">
        <v>0</v>
      </c>
      <c r="J57" s="619">
        <v>7.0</v>
      </c>
      <c r="K57" s="639" t="s">
        <v>482</v>
      </c>
      <c r="L57" s="640" t="s">
        <v>475</v>
      </c>
      <c r="M57" s="646"/>
      <c r="N57" s="647" t="s">
        <v>192</v>
      </c>
      <c r="O57" s="647" t="s">
        <v>192</v>
      </c>
      <c r="P57" s="647" t="s">
        <v>192</v>
      </c>
      <c r="Q57" s="647"/>
      <c r="R57" s="647"/>
      <c r="S57" s="647" t="s">
        <v>192</v>
      </c>
      <c r="T57" s="647"/>
      <c r="U57" s="647" t="s">
        <v>192</v>
      </c>
      <c r="V57" s="647" t="s">
        <v>192</v>
      </c>
      <c r="W57" s="647" t="s">
        <v>192</v>
      </c>
      <c r="X57" s="647"/>
      <c r="Y57" s="647"/>
      <c r="Z57" s="647" t="s">
        <v>192</v>
      </c>
      <c r="AA57" s="647"/>
      <c r="AB57" s="647" t="s">
        <v>192</v>
      </c>
      <c r="AC57" s="647" t="s">
        <v>192</v>
      </c>
      <c r="AD57" s="647" t="s">
        <v>192</v>
      </c>
      <c r="AE57" s="647"/>
      <c r="AF57" s="647"/>
      <c r="AG57" s="647" t="s">
        <v>192</v>
      </c>
      <c r="AH57" s="647"/>
      <c r="AI57" s="647" t="s">
        <v>192</v>
      </c>
      <c r="AJ57" s="647" t="s">
        <v>192</v>
      </c>
      <c r="AK57" s="647" t="s">
        <v>192</v>
      </c>
      <c r="AL57" s="647"/>
      <c r="AM57" s="647"/>
      <c r="AN57" s="647" t="s">
        <v>192</v>
      </c>
      <c r="AO57" s="647"/>
      <c r="AP57" s="647" t="s">
        <v>192</v>
      </c>
      <c r="AQ57" s="647" t="s">
        <v>192</v>
      </c>
      <c r="AR57" s="642"/>
      <c r="AS57" s="648">
        <f t="array" ref="AS57">SUM(COUNTIF(N57:AR57, {"◎","〇","☆","共","特","浴"}))</f>
        <v>18</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3"/>
        <v>サナム</v>
      </c>
      <c r="C58" s="638" t="str">
        <f t="shared" si="4"/>
        <v>〇</v>
      </c>
      <c r="D58" s="200"/>
      <c r="E58" s="637" t="str">
        <f t="shared" si="5"/>
        <v>サナム</v>
      </c>
      <c r="F58" s="638" t="str">
        <f t="shared" si="6"/>
        <v>〇</v>
      </c>
      <c r="G58" s="200"/>
      <c r="H58" s="200"/>
      <c r="I58" s="172" t="b">
        <v>0</v>
      </c>
      <c r="J58" s="619">
        <v>9.0</v>
      </c>
      <c r="K58" s="639" t="s">
        <v>483</v>
      </c>
      <c r="L58" s="640" t="s">
        <v>475</v>
      </c>
      <c r="M58" s="646"/>
      <c r="N58" s="647"/>
      <c r="O58" s="647"/>
      <c r="P58" s="647"/>
      <c r="Q58" s="647"/>
      <c r="R58" s="647"/>
      <c r="S58" s="647"/>
      <c r="T58" s="647" t="s">
        <v>192</v>
      </c>
      <c r="U58" s="647" t="s">
        <v>192</v>
      </c>
      <c r="V58" s="647"/>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t="s">
        <v>192</v>
      </c>
      <c r="AP58" s="647" t="s">
        <v>192</v>
      </c>
      <c r="AQ58" s="647"/>
      <c r="AR58" s="642"/>
      <c r="AS58" s="648">
        <f t="array" ref="AS58">SUM(COUNTIF(N58:AR58, {"◎","〇","☆","共","特","浴"}))</f>
        <v>8</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3"/>
        <v>アリ</v>
      </c>
      <c r="C59" s="638" t="str">
        <f t="shared" si="4"/>
        <v>公</v>
      </c>
      <c r="D59" s="200"/>
      <c r="E59" s="637" t="str">
        <f t="shared" si="5"/>
        <v>アリ</v>
      </c>
      <c r="F59" s="638" t="str">
        <f t="shared" si="6"/>
        <v>公</v>
      </c>
      <c r="G59" s="200"/>
      <c r="H59" s="200"/>
      <c r="I59" s="172" t="b">
        <v>0</v>
      </c>
      <c r="J59" s="619">
        <v>10.0</v>
      </c>
      <c r="K59" s="639" t="s">
        <v>484</v>
      </c>
      <c r="L59" s="640" t="s">
        <v>475</v>
      </c>
      <c r="M59" s="646"/>
      <c r="N59" s="647" t="s">
        <v>409</v>
      </c>
      <c r="O59" s="647" t="s">
        <v>409</v>
      </c>
      <c r="P59" s="647" t="s">
        <v>409</v>
      </c>
      <c r="Q59" s="647" t="s">
        <v>409</v>
      </c>
      <c r="R59" s="647" t="s">
        <v>192</v>
      </c>
      <c r="S59" s="647" t="s">
        <v>409</v>
      </c>
      <c r="T59" s="647" t="s">
        <v>409</v>
      </c>
      <c r="U59" s="647" t="s">
        <v>409</v>
      </c>
      <c r="V59" s="647" t="s">
        <v>409</v>
      </c>
      <c r="W59" s="647" t="s">
        <v>409</v>
      </c>
      <c r="X59" s="647" t="s">
        <v>409</v>
      </c>
      <c r="Y59" s="647" t="s">
        <v>192</v>
      </c>
      <c r="Z59" s="647" t="s">
        <v>409</v>
      </c>
      <c r="AA59" s="647" t="s">
        <v>409</v>
      </c>
      <c r="AB59" s="647" t="s">
        <v>409</v>
      </c>
      <c r="AC59" s="647" t="s">
        <v>409</v>
      </c>
      <c r="AD59" s="647" t="s">
        <v>409</v>
      </c>
      <c r="AE59" s="647" t="s">
        <v>409</v>
      </c>
      <c r="AF59" s="647" t="s">
        <v>192</v>
      </c>
      <c r="AG59" s="647" t="s">
        <v>409</v>
      </c>
      <c r="AH59" s="647" t="s">
        <v>409</v>
      </c>
      <c r="AI59" s="647" t="s">
        <v>409</v>
      </c>
      <c r="AJ59" s="647" t="s">
        <v>409</v>
      </c>
      <c r="AK59" s="647" t="s">
        <v>409</v>
      </c>
      <c r="AL59" s="647" t="s">
        <v>409</v>
      </c>
      <c r="AM59" s="647" t="s">
        <v>192</v>
      </c>
      <c r="AN59" s="647" t="s">
        <v>409</v>
      </c>
      <c r="AO59" s="647" t="s">
        <v>409</v>
      </c>
      <c r="AP59" s="647" t="s">
        <v>409</v>
      </c>
      <c r="AQ59" s="647" t="s">
        <v>409</v>
      </c>
      <c r="AR59" s="642"/>
      <c r="AS59" s="648">
        <f t="array" ref="AS59">SUM(COUNTIF(N59:AR59, {"◎","〇","☆","共","特","浴"}))</f>
        <v>4</v>
      </c>
      <c r="AT59" s="652"/>
      <c r="AU59" s="650"/>
      <c r="AV59" s="650"/>
      <c r="AW59" s="650"/>
      <c r="AX59" s="650"/>
      <c r="AY59" s="650"/>
      <c r="AZ59" s="650"/>
      <c r="BA59" s="650"/>
      <c r="BB59" s="653" t="s">
        <v>485</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3"/>
        <v>アスミタ</v>
      </c>
      <c r="C60" s="638" t="str">
        <f t="shared" si="4"/>
        <v>〇</v>
      </c>
      <c r="D60" s="200"/>
      <c r="E60" s="637" t="str">
        <f t="shared" si="5"/>
        <v>アスミタ</v>
      </c>
      <c r="F60" s="638" t="str">
        <f t="shared" si="6"/>
        <v>〇</v>
      </c>
      <c r="G60" s="200"/>
      <c r="H60" s="200"/>
      <c r="I60" s="172" t="b">
        <v>0</v>
      </c>
      <c r="J60" s="619">
        <v>6.0</v>
      </c>
      <c r="K60" s="639" t="s">
        <v>486</v>
      </c>
      <c r="L60" s="640" t="s">
        <v>475</v>
      </c>
      <c r="M60" s="646"/>
      <c r="N60" s="647" t="s">
        <v>409</v>
      </c>
      <c r="O60" s="647" t="s">
        <v>409</v>
      </c>
      <c r="P60" s="647" t="s">
        <v>192</v>
      </c>
      <c r="Q60" s="647" t="s">
        <v>409</v>
      </c>
      <c r="R60" s="647" t="s">
        <v>409</v>
      </c>
      <c r="S60" s="647" t="s">
        <v>192</v>
      </c>
      <c r="T60" s="647" t="s">
        <v>192</v>
      </c>
      <c r="U60" s="647" t="s">
        <v>192</v>
      </c>
      <c r="V60" s="647" t="s">
        <v>192</v>
      </c>
      <c r="W60" s="647" t="s">
        <v>409</v>
      </c>
      <c r="X60" s="647" t="s">
        <v>409</v>
      </c>
      <c r="Y60" s="647" t="s">
        <v>409</v>
      </c>
      <c r="Z60" s="647" t="s">
        <v>192</v>
      </c>
      <c r="AA60" s="647" t="s">
        <v>192</v>
      </c>
      <c r="AB60" s="647" t="s">
        <v>192</v>
      </c>
      <c r="AC60" s="647" t="s">
        <v>192</v>
      </c>
      <c r="AD60" s="647" t="s">
        <v>409</v>
      </c>
      <c r="AE60" s="647" t="s">
        <v>409</v>
      </c>
      <c r="AF60" s="647" t="s">
        <v>409</v>
      </c>
      <c r="AG60" s="647" t="s">
        <v>192</v>
      </c>
      <c r="AH60" s="647" t="s">
        <v>192</v>
      </c>
      <c r="AI60" s="647" t="s">
        <v>192</v>
      </c>
      <c r="AJ60" s="647" t="s">
        <v>192</v>
      </c>
      <c r="AK60" s="647" t="s">
        <v>409</v>
      </c>
      <c r="AL60" s="647" t="s">
        <v>409</v>
      </c>
      <c r="AM60" s="647" t="s">
        <v>409</v>
      </c>
      <c r="AN60" s="647" t="s">
        <v>192</v>
      </c>
      <c r="AO60" s="647" t="s">
        <v>192</v>
      </c>
      <c r="AP60" s="647" t="s">
        <v>192</v>
      </c>
      <c r="AQ60" s="647" t="s">
        <v>192</v>
      </c>
      <c r="AR60" s="647"/>
      <c r="AS60" s="648">
        <f t="array" ref="AS60">SUM(COUNTIF(N60:AR60, {"◎","〇","☆","共","特","浴"}))</f>
        <v>17</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3"/>
        <v/>
      </c>
      <c r="C61" s="638" t="str">
        <f t="shared" si="4"/>
        <v/>
      </c>
      <c r="D61" s="200"/>
      <c r="E61" s="637" t="str">
        <f t="shared" si="5"/>
        <v/>
      </c>
      <c r="F61" s="638" t="str">
        <f t="shared" si="6"/>
        <v/>
      </c>
      <c r="G61" s="200"/>
      <c r="H61" s="200"/>
      <c r="I61" s="172" t="b">
        <v>0</v>
      </c>
      <c r="J61" s="619"/>
      <c r="K61" s="639"/>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3"/>
        <v/>
      </c>
      <c r="C62" s="638" t="str">
        <f t="shared" si="4"/>
        <v/>
      </c>
      <c r="D62" s="200"/>
      <c r="E62" s="637" t="str">
        <f t="shared" si="5"/>
        <v/>
      </c>
      <c r="F62" s="638" t="str">
        <f t="shared" si="6"/>
        <v/>
      </c>
      <c r="G62" s="200"/>
      <c r="H62" s="200"/>
      <c r="I62" s="172" t="b">
        <v>0</v>
      </c>
      <c r="J62" s="619"/>
      <c r="K62" s="639"/>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3"/>
        <v>ソノダ</v>
      </c>
      <c r="C63" s="638" t="str">
        <f t="shared" si="4"/>
        <v>公</v>
      </c>
      <c r="D63" s="200"/>
      <c r="E63" s="637" t="str">
        <f t="shared" si="5"/>
        <v>ソノダ</v>
      </c>
      <c r="F63" s="638" t="str">
        <f t="shared" si="6"/>
        <v>共</v>
      </c>
      <c r="G63" s="200"/>
      <c r="H63" s="200"/>
      <c r="I63" s="172" t="b">
        <v>0</v>
      </c>
      <c r="J63" s="619"/>
      <c r="K63" s="639" t="s">
        <v>487</v>
      </c>
      <c r="L63" s="640" t="s">
        <v>135</v>
      </c>
      <c r="M63" s="646"/>
      <c r="N63" s="647" t="s">
        <v>409</v>
      </c>
      <c r="O63" s="647" t="s">
        <v>398</v>
      </c>
      <c r="P63" s="647" t="s">
        <v>398</v>
      </c>
      <c r="Q63" s="647" t="s">
        <v>409</v>
      </c>
      <c r="R63" s="647" t="s">
        <v>398</v>
      </c>
      <c r="S63" s="647" t="s">
        <v>398</v>
      </c>
      <c r="T63" s="647" t="s">
        <v>409</v>
      </c>
      <c r="U63" s="647" t="s">
        <v>398</v>
      </c>
      <c r="V63" s="647" t="s">
        <v>398</v>
      </c>
      <c r="W63" s="647" t="s">
        <v>398</v>
      </c>
      <c r="X63" s="647" t="s">
        <v>409</v>
      </c>
      <c r="Y63" s="647" t="s">
        <v>398</v>
      </c>
      <c r="Z63" s="647" t="s">
        <v>398</v>
      </c>
      <c r="AA63" s="647" t="s">
        <v>398</v>
      </c>
      <c r="AB63" s="647" t="s">
        <v>398</v>
      </c>
      <c r="AC63" s="647" t="s">
        <v>398</v>
      </c>
      <c r="AD63" s="647" t="s">
        <v>398</v>
      </c>
      <c r="AE63" s="647" t="s">
        <v>409</v>
      </c>
      <c r="AF63" s="647" t="s">
        <v>398</v>
      </c>
      <c r="AG63" s="647" t="s">
        <v>398</v>
      </c>
      <c r="AH63" s="647" t="s">
        <v>398</v>
      </c>
      <c r="AI63" s="647" t="s">
        <v>398</v>
      </c>
      <c r="AJ63" s="647" t="s">
        <v>398</v>
      </c>
      <c r="AK63" s="647" t="s">
        <v>398</v>
      </c>
      <c r="AL63" s="647" t="s">
        <v>409</v>
      </c>
      <c r="AM63" s="647" t="s">
        <v>398</v>
      </c>
      <c r="AN63" s="647" t="s">
        <v>398</v>
      </c>
      <c r="AO63" s="647" t="s">
        <v>409</v>
      </c>
      <c r="AP63" s="647" t="s">
        <v>409</v>
      </c>
      <c r="AQ63" s="647" t="s">
        <v>398</v>
      </c>
      <c r="AR63" s="642"/>
      <c r="AS63" s="648">
        <f t="array" ref="AS63">SUM(COUNTIF(N63:AR63, {"◎","〇","☆","共","特","浴"}))</f>
        <v>22</v>
      </c>
      <c r="AT63" s="652"/>
      <c r="AU63" s="650"/>
      <c r="AV63" s="650"/>
      <c r="AW63" s="650"/>
      <c r="AX63" s="650"/>
      <c r="AY63" s="650"/>
      <c r="AZ63" s="650"/>
      <c r="BA63" s="650"/>
      <c r="BB63" s="653" t="s">
        <v>488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3"/>
        <v>サルマ</v>
      </c>
      <c r="C64" s="638" t="str">
        <f t="shared" si="4"/>
        <v>共</v>
      </c>
      <c r="D64" s="200"/>
      <c r="E64" s="637" t="str">
        <f t="shared" si="5"/>
        <v>サルマ</v>
      </c>
      <c r="F64" s="638" t="str">
        <f t="shared" si="6"/>
        <v>共</v>
      </c>
      <c r="G64" s="200"/>
      <c r="H64" s="200"/>
      <c r="I64" s="172" t="b">
        <v>0</v>
      </c>
      <c r="J64" s="619"/>
      <c r="K64" s="639" t="s">
        <v>489</v>
      </c>
      <c r="L64" s="640" t="s">
        <v>135</v>
      </c>
      <c r="M64" s="646"/>
      <c r="N64" s="647" t="s">
        <v>398</v>
      </c>
      <c r="O64" s="647" t="s">
        <v>409</v>
      </c>
      <c r="P64" s="647" t="s">
        <v>409</v>
      </c>
      <c r="Q64" s="647" t="s">
        <v>409</v>
      </c>
      <c r="R64" s="647" t="s">
        <v>409</v>
      </c>
      <c r="S64" s="647" t="s">
        <v>409</v>
      </c>
      <c r="T64" s="647" t="s">
        <v>398</v>
      </c>
      <c r="U64" s="647" t="s">
        <v>398</v>
      </c>
      <c r="V64" s="647" t="s">
        <v>409</v>
      </c>
      <c r="W64" s="647" t="s">
        <v>409</v>
      </c>
      <c r="X64" s="647" t="s">
        <v>409</v>
      </c>
      <c r="Y64" s="647" t="s">
        <v>409</v>
      </c>
      <c r="Z64" s="647" t="s">
        <v>409</v>
      </c>
      <c r="AA64" s="647" t="s">
        <v>398</v>
      </c>
      <c r="AB64" s="647" t="s">
        <v>398</v>
      </c>
      <c r="AC64" s="647" t="s">
        <v>409</v>
      </c>
      <c r="AD64" s="647" t="s">
        <v>409</v>
      </c>
      <c r="AE64" s="647" t="s">
        <v>409</v>
      </c>
      <c r="AF64" s="647" t="s">
        <v>409</v>
      </c>
      <c r="AG64" s="647" t="s">
        <v>409</v>
      </c>
      <c r="AH64" s="647" t="s">
        <v>398</v>
      </c>
      <c r="AI64" s="647" t="s">
        <v>398</v>
      </c>
      <c r="AJ64" s="647" t="s">
        <v>409</v>
      </c>
      <c r="AK64" s="647" t="s">
        <v>409</v>
      </c>
      <c r="AL64" s="647" t="s">
        <v>409</v>
      </c>
      <c r="AM64" s="647" t="s">
        <v>409</v>
      </c>
      <c r="AN64" s="647" t="s">
        <v>409</v>
      </c>
      <c r="AO64" s="647" t="s">
        <v>398</v>
      </c>
      <c r="AP64" s="647" t="s">
        <v>398</v>
      </c>
      <c r="AQ64" s="647" t="s">
        <v>409</v>
      </c>
      <c r="AR64" s="642"/>
      <c r="AS64" s="648">
        <f t="array" ref="AS64">SUM(COUNTIF(N64:AR64, {"◎","〇","☆","共","特","浴"}))</f>
        <v>9</v>
      </c>
      <c r="AT64" s="652"/>
      <c r="AU64" s="650"/>
      <c r="AV64" s="650"/>
      <c r="AW64" s="650"/>
      <c r="AX64" s="650"/>
      <c r="AY64" s="650"/>
      <c r="AZ64" s="650"/>
      <c r="BA64" s="650"/>
      <c r="BB64" s="653" t="s">
        <v>490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3"/>
        <v/>
      </c>
      <c r="C65" s="638" t="str">
        <f t="shared" si="4"/>
        <v/>
      </c>
      <c r="D65" s="200"/>
      <c r="E65" s="637" t="str">
        <f t="shared" si="5"/>
        <v/>
      </c>
      <c r="F65" s="638" t="str">
        <f t="shared" si="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3"/>
        <v/>
      </c>
      <c r="C66" s="638" t="str">
        <f t="shared" si="4"/>
        <v/>
      </c>
      <c r="D66" s="200"/>
      <c r="E66" s="637" t="str">
        <f t="shared" si="5"/>
        <v/>
      </c>
      <c r="F66" s="638" t="str">
        <f t="shared" si="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3"/>
        <v/>
      </c>
      <c r="C67" s="638" t="str">
        <f t="shared" si="4"/>
        <v/>
      </c>
      <c r="D67" s="200"/>
      <c r="E67" s="637" t="str">
        <f t="shared" si="5"/>
        <v/>
      </c>
      <c r="F67" s="638" t="str">
        <f t="shared" si="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3"/>
        <v/>
      </c>
      <c r="C68" s="638" t="str">
        <f t="shared" si="4"/>
        <v/>
      </c>
      <c r="D68" s="200"/>
      <c r="E68" s="637" t="str">
        <f t="shared" si="5"/>
        <v/>
      </c>
      <c r="F68" s="638" t="str">
        <f t="shared" si="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3"/>
        <v/>
      </c>
      <c r="C69" s="638" t="str">
        <f t="shared" si="4"/>
        <v/>
      </c>
      <c r="D69" s="200"/>
      <c r="E69" s="637" t="str">
        <f t="shared" si="5"/>
        <v/>
      </c>
      <c r="F69" s="638" t="str">
        <f t="shared" si="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3"/>
        <v/>
      </c>
      <c r="C70" s="638" t="str">
        <f t="shared" si="4"/>
        <v/>
      </c>
      <c r="D70" s="200"/>
      <c r="E70" s="637" t="str">
        <f t="shared" si="5"/>
        <v/>
      </c>
      <c r="F70" s="638" t="str">
        <f t="shared" si="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3"/>
        <v/>
      </c>
      <c r="C71" s="638" t="str">
        <f t="shared" si="4"/>
        <v/>
      </c>
      <c r="D71" s="200"/>
      <c r="E71" s="637" t="str">
        <f t="shared" si="5"/>
        <v/>
      </c>
      <c r="F71" s="638" t="str">
        <f t="shared" si="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3"/>
        <v/>
      </c>
      <c r="C72" s="638" t="str">
        <f t="shared" si="4"/>
        <v/>
      </c>
      <c r="D72" s="200"/>
      <c r="E72" s="637" t="str">
        <f t="shared" si="5"/>
        <v/>
      </c>
      <c r="F72" s="638" t="str">
        <f t="shared" si="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3"/>
        <v/>
      </c>
      <c r="C73" s="638" t="str">
        <f t="shared" si="4"/>
        <v/>
      </c>
      <c r="D73" s="200"/>
      <c r="E73" s="637" t="str">
        <f t="shared" si="5"/>
        <v/>
      </c>
      <c r="F73" s="638" t="str">
        <f t="shared" si="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3"/>
        <v/>
      </c>
      <c r="C74" s="638" t="str">
        <f t="shared" si="4"/>
        <v/>
      </c>
      <c r="D74" s="200"/>
      <c r="E74" s="637" t="str">
        <f t="shared" si="5"/>
        <v/>
      </c>
      <c r="F74" s="638" t="str">
        <f t="shared" si="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3"/>
        <v/>
      </c>
      <c r="C75" s="638" t="str">
        <f t="shared" si="4"/>
        <v/>
      </c>
      <c r="D75" s="200"/>
      <c r="E75" s="637" t="str">
        <f t="shared" si="5"/>
        <v/>
      </c>
      <c r="F75" s="638" t="str">
        <f t="shared" si="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3"/>
        <v/>
      </c>
      <c r="C76" s="638" t="str">
        <f t="shared" si="4"/>
        <v/>
      </c>
      <c r="D76" s="200"/>
      <c r="E76" s="637" t="str">
        <f t="shared" si="5"/>
        <v/>
      </c>
      <c r="F76" s="638" t="str">
        <f t="shared" si="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3"/>
        <v/>
      </c>
      <c r="C77" s="638" t="str">
        <f t="shared" si="4"/>
        <v/>
      </c>
      <c r="D77" s="200"/>
      <c r="E77" s="637" t="str">
        <f t="shared" si="5"/>
        <v/>
      </c>
      <c r="F77" s="638" t="str">
        <f t="shared" si="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3"/>
        <v/>
      </c>
      <c r="C78" s="638" t="str">
        <f t="shared" si="4"/>
        <v/>
      </c>
      <c r="D78" s="200"/>
      <c r="E78" s="637" t="str">
        <f t="shared" si="5"/>
        <v/>
      </c>
      <c r="F78" s="638" t="str">
        <f t="shared" si="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3"/>
        <v/>
      </c>
      <c r="C79" s="638" t="str">
        <f t="shared" si="4"/>
        <v/>
      </c>
      <c r="D79" s="200"/>
      <c r="E79" s="637" t="str">
        <f t="shared" si="5"/>
        <v/>
      </c>
      <c r="F79" s="638" t="str">
        <f t="shared" si="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3"/>
        <v/>
      </c>
      <c r="C80" s="638" t="str">
        <f t="shared" si="4"/>
        <v/>
      </c>
      <c r="D80" s="200"/>
      <c r="E80" s="637" t="str">
        <f t="shared" si="5"/>
        <v/>
      </c>
      <c r="F80" s="638" t="str">
        <f t="shared" si="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3"/>
        <v/>
      </c>
      <c r="C81" s="638" t="str">
        <f t="shared" si="4"/>
        <v/>
      </c>
      <c r="D81" s="200"/>
      <c r="E81" s="637" t="str">
        <f t="shared" si="5"/>
        <v/>
      </c>
      <c r="F81" s="638" t="str">
        <f t="shared" si="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3"/>
        <v/>
      </c>
      <c r="C82" s="638" t="str">
        <f t="shared" si="4"/>
        <v/>
      </c>
      <c r="D82" s="200"/>
      <c r="E82" s="637" t="str">
        <f t="shared" si="5"/>
        <v/>
      </c>
      <c r="F82" s="638" t="str">
        <f t="shared" si="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3"/>
        <v/>
      </c>
      <c r="C83" s="638" t="str">
        <f t="shared" si="4"/>
        <v/>
      </c>
      <c r="D83" s="200"/>
      <c r="E83" s="637" t="str">
        <f t="shared" si="5"/>
        <v/>
      </c>
      <c r="F83" s="638" t="str">
        <f t="shared" si="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3"/>
        <v/>
      </c>
      <c r="C84" s="638" t="str">
        <f t="shared" si="4"/>
        <v/>
      </c>
      <c r="D84" s="200"/>
      <c r="E84" s="637" t="str">
        <f t="shared" si="5"/>
        <v/>
      </c>
      <c r="F84" s="638" t="str">
        <f t="shared" si="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3"/>
        <v/>
      </c>
      <c r="C85" s="638" t="str">
        <f t="shared" si="4"/>
        <v/>
      </c>
      <c r="D85" s="200"/>
      <c r="E85" s="637" t="str">
        <f t="shared" si="5"/>
        <v/>
      </c>
      <c r="F85" s="638" t="str">
        <f t="shared" si="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3"/>
        <v/>
      </c>
      <c r="C86" s="638" t="str">
        <f t="shared" si="4"/>
        <v/>
      </c>
      <c r="D86" s="200"/>
      <c r="E86" s="637" t="str">
        <f t="shared" si="5"/>
        <v/>
      </c>
      <c r="F86" s="638" t="str">
        <f t="shared" si="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3"/>
        <v/>
      </c>
      <c r="C87" s="638" t="str">
        <f t="shared" si="4"/>
        <v/>
      </c>
      <c r="D87" s="200"/>
      <c r="E87" s="637" t="str">
        <f t="shared" si="5"/>
        <v/>
      </c>
      <c r="F87" s="638" t="str">
        <f t="shared" si="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3"/>
        <v/>
      </c>
      <c r="C88" s="638" t="str">
        <f t="shared" si="4"/>
        <v/>
      </c>
      <c r="D88" s="200"/>
      <c r="E88" s="637" t="str">
        <f t="shared" si="5"/>
        <v/>
      </c>
      <c r="F88" s="638" t="str">
        <f t="shared" si="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3"/>
        <v/>
      </c>
      <c r="C89" s="638" t="str">
        <f t="shared" si="4"/>
        <v/>
      </c>
      <c r="D89" s="200"/>
      <c r="E89" s="637" t="str">
        <f t="shared" si="5"/>
        <v/>
      </c>
      <c r="F89" s="638" t="str">
        <f t="shared" si="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3"/>
        <v/>
      </c>
      <c r="C90" s="638" t="str">
        <f t="shared" si="4"/>
        <v/>
      </c>
      <c r="D90" s="200"/>
      <c r="E90" s="637" t="str">
        <f t="shared" si="5"/>
        <v/>
      </c>
      <c r="F90" s="638" t="str">
        <f t="shared" si="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3"/>
        <v/>
      </c>
      <c r="C91" s="638" t="str">
        <f t="shared" si="4"/>
        <v/>
      </c>
      <c r="D91" s="200"/>
      <c r="E91" s="637" t="str">
        <f t="shared" si="5"/>
        <v/>
      </c>
      <c r="F91" s="638" t="str">
        <f t="shared" si="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3"/>
        <v/>
      </c>
      <c r="C92" s="638" t="str">
        <f t="shared" si="4"/>
        <v/>
      </c>
      <c r="D92" s="200"/>
      <c r="E92" s="637" t="str">
        <f t="shared" si="5"/>
        <v/>
      </c>
      <c r="F92" s="638" t="str">
        <f t="shared" si="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3"/>
        <v/>
      </c>
      <c r="C93" s="638" t="str">
        <f t="shared" si="4"/>
        <v/>
      </c>
      <c r="D93" s="200"/>
      <c r="E93" s="637" t="str">
        <f t="shared" si="5"/>
        <v/>
      </c>
      <c r="F93" s="638" t="str">
        <f t="shared" si="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3"/>
        <v/>
      </c>
      <c r="C94" s="638" t="str">
        <f t="shared" si="4"/>
        <v/>
      </c>
      <c r="D94" s="200"/>
      <c r="E94" s="637" t="str">
        <f t="shared" si="5"/>
        <v/>
      </c>
      <c r="F94" s="638" t="str">
        <f t="shared" si="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3"/>
        <v/>
      </c>
      <c r="C95" s="638" t="str">
        <f t="shared" si="4"/>
        <v/>
      </c>
      <c r="D95" s="200"/>
      <c r="E95" s="637" t="str">
        <f t="shared" si="5"/>
        <v/>
      </c>
      <c r="F95" s="638" t="str">
        <f t="shared" si="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3"/>
        <v/>
      </c>
      <c r="C96" s="638" t="str">
        <f t="shared" si="4"/>
        <v/>
      </c>
      <c r="D96" s="200"/>
      <c r="E96" s="637" t="str">
        <f t="shared" si="5"/>
        <v/>
      </c>
      <c r="F96" s="638" t="str">
        <f t="shared" si="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3"/>
        <v/>
      </c>
      <c r="C97" s="638" t="str">
        <f t="shared" si="4"/>
        <v/>
      </c>
      <c r="D97" s="200"/>
      <c r="E97" s="637" t="str">
        <f t="shared" si="5"/>
        <v/>
      </c>
      <c r="F97" s="638" t="str">
        <f t="shared" si="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3"/>
        <v/>
      </c>
      <c r="C98" s="638" t="str">
        <f t="shared" si="4"/>
        <v/>
      </c>
      <c r="D98" s="200"/>
      <c r="E98" s="637" t="str">
        <f t="shared" si="5"/>
        <v/>
      </c>
      <c r="F98" s="638" t="str">
        <f t="shared" si="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3"/>
        <v/>
      </c>
      <c r="C99" s="638" t="str">
        <f t="shared" si="4"/>
        <v/>
      </c>
      <c r="D99" s="200"/>
      <c r="E99" s="637" t="str">
        <f t="shared" si="5"/>
        <v/>
      </c>
      <c r="F99" s="638" t="str">
        <f t="shared" si="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3"/>
        <v/>
      </c>
      <c r="C100" s="638" t="str">
        <f t="shared" si="4"/>
        <v/>
      </c>
      <c r="D100" s="200"/>
      <c r="E100" s="637" t="str">
        <f t="shared" si="5"/>
        <v/>
      </c>
      <c r="F100" s="638" t="str">
        <f t="shared" si="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3"/>
        <v/>
      </c>
      <c r="C101" s="638" t="str">
        <f t="shared" si="4"/>
        <v/>
      </c>
      <c r="D101" s="200"/>
      <c r="E101" s="637" t="str">
        <f t="shared" si="5"/>
        <v/>
      </c>
      <c r="F101" s="638" t="str">
        <f t="shared" si="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3"/>
        <v/>
      </c>
      <c r="C102" s="638" t="str">
        <f t="shared" si="4"/>
        <v/>
      </c>
      <c r="D102" s="200"/>
      <c r="E102" s="637" t="str">
        <f t="shared" si="5"/>
        <v/>
      </c>
      <c r="F102" s="638" t="str">
        <f t="shared" si="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3"/>
        <v/>
      </c>
      <c r="C103" s="638" t="str">
        <f t="shared" si="4"/>
        <v/>
      </c>
      <c r="D103" s="200"/>
      <c r="E103" s="637" t="str">
        <f t="shared" si="5"/>
        <v/>
      </c>
      <c r="F103" s="638" t="str">
        <f t="shared" si="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3"/>
        <v/>
      </c>
      <c r="C104" s="638" t="str">
        <f t="shared" si="4"/>
        <v/>
      </c>
      <c r="D104" s="200"/>
      <c r="E104" s="637" t="str">
        <f t="shared" si="5"/>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497</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46113.0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4</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customHeight="1" outlineLevel="1">
      <c r="A9" s="662"/>
      <c r="B9" s="719"/>
      <c r="C9" s="720">
        <f>D5</f>
        <v>46113</v>
      </c>
      <c r="D9" s="721" t="str">
        <f>TEXT(C9,"ddd")</f>
        <v>水</v>
      </c>
      <c r="E9" s="722"/>
      <c r="F9" s="723" t="s">
        <v>132</v>
      </c>
      <c r="G9" s="724" t="s">
        <v>515</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t="48.0"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452</v>
      </c>
      <c r="W11" s="717"/>
      <c r="X11" s="718">
        <v>46143.0</v>
      </c>
      <c r="Y11" s="662"/>
      <c r="Z11" s="662"/>
    </row>
    <row r="12" ht="48.0"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454</v>
      </c>
      <c r="W12" s="717"/>
      <c r="X12" s="718">
        <v>46174.0</v>
      </c>
      <c r="Y12" s="662"/>
      <c r="Z12" s="662"/>
    </row>
    <row r="13" ht="48.0"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456</v>
      </c>
      <c r="W13" s="717"/>
      <c r="X13" s="718">
        <v>46204.0</v>
      </c>
      <c r="Y13" s="662"/>
      <c r="Z13" s="662"/>
    </row>
    <row r="14" ht="48.0"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t="48.0"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489</v>
      </c>
      <c r="W15" s="717"/>
      <c r="X15" s="718">
        <v>46266.0</v>
      </c>
      <c r="Y15" s="662"/>
      <c r="Z15" s="662"/>
    </row>
    <row r="16" ht="48.0"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517</v>
      </c>
      <c r="W16" s="717"/>
      <c r="X16" s="718">
        <v>46296.0</v>
      </c>
      <c r="Y16" s="662"/>
      <c r="Z16" s="662"/>
    </row>
    <row r="17" ht="48.0"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458</v>
      </c>
      <c r="W17" s="717"/>
      <c r="X17" s="718">
        <v>46327.0</v>
      </c>
      <c r="Y17" s="662"/>
      <c r="Z17" s="662"/>
    </row>
    <row r="18" ht="48.0"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460</v>
      </c>
      <c r="W18" s="717"/>
      <c r="X18" s="718">
        <v>46357.0</v>
      </c>
      <c r="Y18" s="662"/>
      <c r="Z18" s="662"/>
    </row>
    <row r="19" ht="18.0" customHeight="1" outlineLevel="1">
      <c r="B19" s="739"/>
      <c r="C19" s="698"/>
      <c r="D19" s="698"/>
      <c r="E19" s="698"/>
      <c r="F19" s="740" t="s">
        <v>518</v>
      </c>
      <c r="G19" s="741" t="s">
        <v>519</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469</v>
      </c>
      <c r="W19" s="717"/>
      <c r="X19" s="718">
        <v>46388.0</v>
      </c>
      <c r="Y19" s="662"/>
      <c r="Z19" s="662"/>
    </row>
    <row r="20" ht="29.25" customHeight="1" outlineLevel="1">
      <c r="A20" s="662"/>
      <c r="B20" s="744"/>
      <c r="C20" s="745">
        <f>IF(C9="","",IF(DAY(C9+1)=1,"",C9+1))</f>
        <v>46114</v>
      </c>
      <c r="D20" s="746" t="str">
        <f>TEXT(C20,"ddd")</f>
        <v>木</v>
      </c>
      <c r="E20" s="747"/>
      <c r="F20" s="748" t="s">
        <v>142</v>
      </c>
      <c r="G20" s="749" t="s">
        <v>520</v>
      </c>
      <c r="H20" s="750"/>
      <c r="I20" s="751">
        <v>0.625</v>
      </c>
      <c r="J20" s="750">
        <v>8.0</v>
      </c>
      <c r="K20" s="750">
        <v>3.0</v>
      </c>
      <c r="L20" s="752" t="s">
        <v>112</v>
      </c>
      <c r="M20" s="752" t="s">
        <v>521</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467</v>
      </c>
      <c r="W20" s="717"/>
      <c r="X20" s="718"/>
      <c r="Y20" s="662"/>
      <c r="Z20" s="662"/>
    </row>
    <row r="21" ht="29.25"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522</v>
      </c>
      <c r="W22" s="717"/>
      <c r="X22" s="718"/>
      <c r="Y22" s="662"/>
      <c r="Z22" s="662"/>
    </row>
    <row r="23" ht="29.25"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29.25"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474</v>
      </c>
      <c r="W24" s="662"/>
      <c r="X24" s="757"/>
      <c r="Y24" s="662"/>
      <c r="Z24" s="662"/>
    </row>
    <row r="25" ht="29.25"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472</v>
      </c>
      <c r="W25" s="662"/>
      <c r="X25" s="757"/>
      <c r="Y25" s="662"/>
      <c r="Z25" s="662"/>
    </row>
    <row r="26" ht="29.25"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t="29.25"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477</v>
      </c>
      <c r="W28" s="662"/>
      <c r="X28" s="757"/>
      <c r="Y28" s="662"/>
      <c r="Z28" s="662"/>
    </row>
    <row r="29" ht="29.25"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484</v>
      </c>
      <c r="W29" s="662"/>
      <c r="X29" s="757"/>
      <c r="Y29" s="662"/>
      <c r="Z29" s="662"/>
    </row>
    <row r="30" ht="18.0" customHeight="1" outlineLevel="1">
      <c r="A30" s="662"/>
      <c r="B30" s="739"/>
      <c r="C30" s="698"/>
      <c r="D30" s="698"/>
      <c r="E30" s="698"/>
      <c r="F30" s="758" t="s">
        <v>518</v>
      </c>
      <c r="G30" s="759" t="s">
        <v>523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customHeight="1" outlineLevel="1">
      <c r="A31" s="662"/>
      <c r="B31" s="761"/>
      <c r="C31" s="762">
        <f>IF(C20="","",IF(DAY(C20+1)=1,"",C20+1))</f>
        <v>46115</v>
      </c>
      <c r="D31" s="763" t="str">
        <f>TEXT(C31,"ddd")</f>
        <v>金</v>
      </c>
      <c r="E31" s="764"/>
      <c r="F31" s="765" t="s">
        <v>132</v>
      </c>
      <c r="G31" s="766" t="s">
        <v>524</v>
      </c>
      <c r="H31" s="767"/>
      <c r="I31" s="768">
        <v>0.7083333333333334</v>
      </c>
      <c r="J31" s="767">
        <v>9.0</v>
      </c>
      <c r="K31" s="767">
        <v>1.0</v>
      </c>
      <c r="L31" s="769" t="s">
        <v>467</v>
      </c>
      <c r="M31" s="769" t="s">
        <v>525</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481</v>
      </c>
      <c r="W32" s="662"/>
      <c r="X32" s="757"/>
      <c r="Y32" s="662"/>
      <c r="Z32" s="662"/>
    </row>
    <row r="33" ht="31.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526</v>
      </c>
      <c r="W34" s="662"/>
      <c r="X34" s="757"/>
      <c r="Y34" s="662"/>
      <c r="Z34" s="662"/>
    </row>
    <row r="35" ht="31.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482</v>
      </c>
      <c r="W35" s="662"/>
      <c r="X35" s="757"/>
      <c r="Y35" s="662"/>
      <c r="Z35" s="662"/>
    </row>
    <row r="36" ht="31.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483</v>
      </c>
      <c r="W36" s="662"/>
      <c r="X36" s="757"/>
      <c r="Y36" s="662"/>
      <c r="Z36" s="662"/>
    </row>
    <row r="37" ht="31.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486</v>
      </c>
      <c r="W37" s="662"/>
      <c r="X37" s="757"/>
      <c r="Y37" s="662"/>
      <c r="Z37" s="662"/>
    </row>
    <row r="38" ht="31.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31.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31.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518</v>
      </c>
      <c r="G41" s="741" t="s">
        <v>527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outlineLevel="1">
      <c r="A42" s="662"/>
      <c r="B42" s="744"/>
      <c r="C42" s="745">
        <f>IF(C31="","",IF(DAY(C31+1)=1,"",C31+1))</f>
        <v>46116</v>
      </c>
      <c r="D42" s="746" t="str">
        <f>TEXT(C42,"ddd")</f>
        <v>土</v>
      </c>
      <c r="E42" s="747"/>
      <c r="F42" s="775" t="s">
        <v>132</v>
      </c>
      <c r="G42" s="776" t="s">
        <v>528</v>
      </c>
      <c r="H42" s="777"/>
      <c r="I42" s="778">
        <v>0.65625</v>
      </c>
      <c r="J42" s="777">
        <v>6.0</v>
      </c>
      <c r="K42" s="777">
        <v>3.0</v>
      </c>
      <c r="L42" s="755" t="s">
        <v>165</v>
      </c>
      <c r="M42" s="755" t="s">
        <v>529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518</v>
      </c>
      <c r="G52" s="759" t="s">
        <v>530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customHeight="1" outlineLevel="1">
      <c r="A53" s="662"/>
      <c r="B53" s="761"/>
      <c r="C53" s="762">
        <f>IF(C42="","",IF(DAY(C42+1)=1,"",C42+1))</f>
        <v>46117</v>
      </c>
      <c r="D53" s="763" t="str">
        <f>TEXT(C53,"ddd")</f>
        <v>日</v>
      </c>
      <c r="E53" s="764"/>
      <c r="F53" s="765" t="s">
        <v>132</v>
      </c>
      <c r="G53" s="766" t="s">
        <v>531</v>
      </c>
      <c r="H53" s="767"/>
      <c r="I53" s="768">
        <v>0.6875</v>
      </c>
      <c r="J53" s="767">
        <v>7.0</v>
      </c>
      <c r="K53" s="767">
        <v>3.0</v>
      </c>
      <c r="L53" s="769" t="s">
        <v>165</v>
      </c>
      <c r="M53" s="769" t="s">
        <v>532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533</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customHeight="1" outlineLevel="1">
      <c r="A65" s="662"/>
      <c r="B65" s="744"/>
      <c r="C65" s="745">
        <f>IF(C53="","",IF(DAY(C53+1)=1,"",C53+1))</f>
        <v>46118</v>
      </c>
      <c r="D65" s="746" t="str">
        <f>TEXT(C65,"ddd")</f>
        <v>月</v>
      </c>
      <c r="E65" s="747"/>
      <c r="F65" s="775" t="s">
        <v>142</v>
      </c>
      <c r="G65" s="776" t="s">
        <v>534</v>
      </c>
      <c r="H65" s="777"/>
      <c r="I65" s="778">
        <v>0.6666666666666666</v>
      </c>
      <c r="J65" s="777" t="s">
        <v>535</v>
      </c>
      <c r="K65" s="777" t="s">
        <v>536</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outlineLevel="1">
      <c r="A76" s="662"/>
      <c r="B76" s="761"/>
      <c r="C76" s="762">
        <f>IF(C65="","",IF(DAY(C65+1)=1,"",C65+1))</f>
        <v>46119</v>
      </c>
      <c r="D76" s="763" t="str">
        <f>TEXT(C76,"ddd")</f>
        <v>火</v>
      </c>
      <c r="E76" s="764"/>
      <c r="F76" s="765" t="s">
        <v>537</v>
      </c>
      <c r="G76" s="766" t="s">
        <v>538</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outlineLevel="1">
      <c r="A87" s="662"/>
      <c r="B87" s="744"/>
      <c r="C87" s="745">
        <f>IF(C76="","",IF(DAY(C76+1)=1,"",C76+1))</f>
        <v>46120</v>
      </c>
      <c r="D87" s="746" t="str">
        <f>TEXT(C87,"ddd")</f>
        <v>水</v>
      </c>
      <c r="E87" s="747"/>
      <c r="F87" s="775" t="s">
        <v>537</v>
      </c>
      <c r="G87" s="776" t="s">
        <v>538</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46121</v>
      </c>
      <c r="D98" s="763" t="str">
        <f>TEXT(C98,"ddd")</f>
        <v>木</v>
      </c>
      <c r="E98" s="764"/>
      <c r="F98" s="765" t="s">
        <v>537</v>
      </c>
      <c r="G98" s="766" t="s">
        <v>538</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46122</v>
      </c>
      <c r="D109" s="746" t="str">
        <f>TEXT(C109,"ddd")</f>
        <v>金</v>
      </c>
      <c r="E109" s="747"/>
      <c r="F109" s="775" t="s">
        <v>537</v>
      </c>
      <c r="G109" s="776" t="s">
        <v>538</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539</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46123</v>
      </c>
      <c r="D121" s="763" t="str">
        <f>TEXT(C121,"ddd")</f>
        <v>土</v>
      </c>
      <c r="E121" s="764"/>
      <c r="F121" s="765" t="s">
        <v>537</v>
      </c>
      <c r="G121" s="766" t="s">
        <v>538</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46124</v>
      </c>
      <c r="D132" s="746" t="str">
        <f>TEXT(C132,"ddd")</f>
        <v>日</v>
      </c>
      <c r="E132" s="747"/>
      <c r="F132" s="775" t="s">
        <v>537</v>
      </c>
      <c r="G132" s="776" t="s">
        <v>538</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46125</v>
      </c>
      <c r="D143" s="763" t="str">
        <f>TEXT(C143,"ddd")</f>
        <v>月</v>
      </c>
      <c r="E143" s="764"/>
      <c r="F143" s="765" t="s">
        <v>537</v>
      </c>
      <c r="G143" s="766" t="s">
        <v>538</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46126</v>
      </c>
      <c r="D154" s="746" t="str">
        <f>TEXT(C154,"ddd")</f>
        <v>火</v>
      </c>
      <c r="E154" s="747"/>
      <c r="F154" s="775" t="s">
        <v>537</v>
      </c>
      <c r="G154" s="776" t="s">
        <v>538</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46127</v>
      </c>
      <c r="D165" s="763" t="str">
        <f>TEXT(C165,"ddd")</f>
        <v>水</v>
      </c>
      <c r="E165" s="764"/>
      <c r="F165" s="765" t="s">
        <v>537</v>
      </c>
      <c r="G165" s="766" t="s">
        <v>538</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540</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537</v>
      </c>
      <c r="G177" s="776" t="s">
        <v>538</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537</v>
      </c>
      <c r="G188" s="766" t="s">
        <v>538</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537</v>
      </c>
      <c r="G199" s="776" t="s">
        <v>538</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537</v>
      </c>
      <c r="G210" s="766" t="s">
        <v>538</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537</v>
      </c>
      <c r="G221" s="776" t="s">
        <v>538</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541</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537</v>
      </c>
      <c r="G233" s="766" t="s">
        <v>538</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537</v>
      </c>
      <c r="G244" s="776" t="s">
        <v>538</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537</v>
      </c>
      <c r="G255" s="766" t="s">
        <v>538</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537</v>
      </c>
      <c r="G266" s="776" t="s">
        <v>538</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537</v>
      </c>
      <c r="G277" s="766" t="s">
        <v>538</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542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537</v>
      </c>
      <c r="G289" s="776" t="s">
        <v>538</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537</v>
      </c>
      <c r="G300" s="766" t="s">
        <v>538</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537</v>
      </c>
      <c r="G311" s="776" t="s">
        <v>538</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537</v>
      </c>
      <c r="G322" s="766" t="s">
        <v>538</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537</v>
      </c>
      <c r="G333" s="776" t="s">
        <v>538</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537</v>
      </c>
      <c r="G344" s="766" t="s">
        <v>538</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544</v>
      </c>
      <c r="C4" s="806"/>
      <c r="D4" s="807" t="s">
        <v>545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546</v>
      </c>
      <c r="G5" s="812"/>
      <c r="H5" s="813" t="b">
        <v>0</v>
      </c>
      <c r="J5" s="814"/>
      <c r="K5" s="798"/>
      <c r="L5" s="815" t="s">
        <v>547</v>
      </c>
      <c r="T5" s="814"/>
      <c r="U5" s="816" t="s">
        <v>548</v>
      </c>
      <c r="AC5" s="799"/>
      <c r="AD5" s="817" t="s">
        <v>96</v>
      </c>
      <c r="AE5" s="817" t="s">
        <v>549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550</v>
      </c>
      <c r="M7" s="236"/>
      <c r="N7" s="236"/>
      <c r="O7" s="236"/>
      <c r="P7" s="236"/>
      <c r="Q7" s="236"/>
      <c r="R7" s="236"/>
      <c r="S7" s="113"/>
      <c r="T7" s="821" t="s">
        <v>551</v>
      </c>
      <c r="U7" s="822" t="s">
        <v>552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553</v>
      </c>
      <c r="C8" s="824"/>
      <c r="D8" s="825" t="s">
        <v>51</v>
      </c>
      <c r="E8" s="826" t="str">
        <f>IFERROR(__xludf.DUMMYFUNCTION("IFERROR(INDEX(FILTER($AE$6:$AE$200, $AD$6:$AD$200=$B$5, REGEXMATCH($AE$6:$AE$200, ""集計"")), 1), """")
"),"①R8_4集計")</f>
        <v>①R8_4集計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0.2543239357</v>
      </c>
      <c r="D10" s="833">
        <f t="array" ref="D10">INDIRECT($E$8 &amp; "!E8")</f>
        <v>0.580013969</v>
      </c>
      <c r="E10" s="833">
        <f t="array" ref="E10">INDIRECT($E$8 &amp; "!G8")</f>
        <v>0.8695238095</v>
      </c>
      <c r="F10" s="834">
        <f t="array" ref="F10">INDIRECT($E$8 &amp; "!H8")</f>
        <v>964040</v>
      </c>
      <c r="G10" s="834">
        <f t="array" ref="G10">INDIRECT($E$8 &amp; "!K8")</f>
        <v>0</v>
      </c>
      <c r="H10" s="834">
        <f t="array" ref="H10">INDIRECT($E$8 &amp; "!M8")</f>
        <v>245178.447</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0.238528187</v>
      </c>
      <c r="D11" s="837"/>
      <c r="E11" s="838"/>
      <c r="F11" s="839">
        <f t="array" ref="F11">INDIRECT($E$8 &amp; "!H7")</f>
        <v>4850400</v>
      </c>
      <c r="G11" s="837"/>
      <c r="H11" s="840">
        <f t="array" ref="H11">INDIRECT($E$8 &amp; "!M7")</f>
        <v>1156957.118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554</v>
      </c>
      <c r="C13" s="844"/>
      <c r="D13" s="845" t="s">
        <v>51</v>
      </c>
      <c r="E13" s="846" t="s">
        <v>555</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556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557</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558</v>
      </c>
      <c r="C20" s="830" t="s">
        <v>559</v>
      </c>
      <c r="D20" s="830" t="s">
        <v>89</v>
      </c>
      <c r="E20" s="830" t="s">
        <v>90</v>
      </c>
      <c r="F20" s="830" t="s">
        <v>560</v>
      </c>
      <c r="G20" s="830" t="s">
        <v>135</v>
      </c>
      <c r="H20" s="830" t="s">
        <v>135</v>
      </c>
      <c r="I20" s="830" t="s">
        <v>561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562</v>
      </c>
      <c r="M21" s="232"/>
      <c r="N21" s="232"/>
      <c r="O21" s="232"/>
      <c r="P21" s="232"/>
      <c r="Q21" s="232"/>
      <c r="R21" s="232"/>
      <c r="S21" s="3"/>
      <c r="T21" s="821" t="s">
        <v>551</v>
      </c>
      <c r="U21" s="822" t="s">
        <v>563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565</v>
      </c>
      <c r="C25" s="870" t="s">
        <v>566</v>
      </c>
      <c r="D25" s="3"/>
      <c r="E25" s="870" t="s">
        <v>567</v>
      </c>
      <c r="F25" s="232"/>
      <c r="G25" s="232"/>
      <c r="H25" s="870" t="s">
        <v>568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569</v>
      </c>
      <c r="M35" s="232"/>
      <c r="N35" s="232"/>
      <c r="O35" s="232"/>
      <c r="P35" s="232"/>
      <c r="Q35" s="232"/>
      <c r="R35" s="232"/>
      <c r="S35" s="3"/>
      <c r="T35" s="821" t="s">
        <v>551</v>
      </c>
      <c r="U35" s="822" t="s">
        <v>569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570</v>
      </c>
      <c r="C37" s="877"/>
      <c r="D37" s="878">
        <f>counta(C39:D48)</f>
        <v>0</v>
      </c>
      <c r="E37" s="879" t="s">
        <v>571</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567</v>
      </c>
      <c r="F38" s="883"/>
      <c r="G38" s="882" t="s">
        <v>572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573</v>
      </c>
      <c r="M49" s="232"/>
      <c r="N49" s="232"/>
      <c r="O49" s="232"/>
      <c r="P49" s="232"/>
      <c r="Q49" s="232"/>
      <c r="R49" s="232"/>
      <c r="S49" s="3"/>
      <c r="T49" s="821" t="s">
        <v>551</v>
      </c>
      <c r="U49" s="822" t="s">
        <v>574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575</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576</v>
      </c>
      <c r="C51" s="882" t="s">
        <v>434</v>
      </c>
      <c r="D51" s="883"/>
      <c r="E51" s="881" t="s">
        <v>577</v>
      </c>
      <c r="F51" s="881" t="s">
        <v>578</v>
      </c>
      <c r="G51" s="881" t="s">
        <v>579</v>
      </c>
      <c r="H51" s="882" t="s">
        <v>580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581</v>
      </c>
      <c r="M63" s="232"/>
      <c r="N63" s="232"/>
      <c r="O63" s="232"/>
      <c r="P63" s="232"/>
      <c r="Q63" s="232"/>
      <c r="R63" s="232"/>
      <c r="S63" s="3"/>
      <c r="T63" s="821" t="s">
        <v>551</v>
      </c>
      <c r="U63" s="822" t="s">
        <v>582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583</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576</v>
      </c>
      <c r="C65" s="882" t="s">
        <v>434</v>
      </c>
      <c r="D65" s="883"/>
      <c r="E65" s="881" t="s">
        <v>584</v>
      </c>
      <c r="F65" s="882" t="s">
        <v>585</v>
      </c>
      <c r="G65" s="883"/>
      <c r="H65" s="882" t="s">
        <v>580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586</v>
      </c>
      <c r="M77" s="232"/>
      <c r="N77" s="232"/>
      <c r="O77" s="232"/>
      <c r="P77" s="232"/>
      <c r="Q77" s="232"/>
      <c r="R77" s="232"/>
      <c r="S77" s="3"/>
      <c r="T77" s="814"/>
      <c r="U77" s="906" t="s">
        <v>587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3180262.5</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0.2467493589</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1410043.864</v>
      </c>
      <c r="M8" s="364">
        <f>L8-I8</f>
        <v>1305383.068</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589</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0" t="s">
        <v>369</v>
      </c>
      <c r="AZ34" s="426">
        <f>BA34/$G$5*COUNTIFS($E$13:$E$43,"&gt;0")</f>
        <v>15200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0"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70" t="s">
        <v>339</v>
      </c>
      <c r="AY40" s="471" t="s">
        <v>590</v>
      </c>
      <c r="AZ40" s="461">
        <v>113950.0</v>
      </c>
      <c r="BA40" s="472">
        <v>46092.0</v>
      </c>
      <c r="BB40" s="443">
        <f>SUM(AZ40:AZ45)</f>
        <v>189200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6"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70" t="s">
        <v>339</v>
      </c>
      <c r="AY41" s="471" t="s">
        <v>591</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8" t="b">
        <v>0</v>
      </c>
      <c r="C42" s="400">
        <f t="shared" si="8"/>
        <v>46111</v>
      </c>
      <c r="D42" s="401" t="str">
        <f t="shared" si="2"/>
        <v>月</v>
      </c>
      <c r="E42" s="418">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6"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5425</v>
      </c>
      <c r="F44" s="482">
        <f t="shared" ref="F44:AB44" si="15">SUM(F13:F43)</f>
        <v>4976</v>
      </c>
      <c r="G44" s="482">
        <f t="shared" si="15"/>
        <v>4819</v>
      </c>
      <c r="H44" s="482">
        <f t="shared" si="15"/>
        <v>2248</v>
      </c>
      <c r="I44" s="482">
        <f t="shared" si="15"/>
        <v>222</v>
      </c>
      <c r="J44" s="482">
        <f t="shared" si="15"/>
        <v>727</v>
      </c>
      <c r="K44" s="482">
        <f t="shared" si="15"/>
        <v>1622</v>
      </c>
      <c r="L44" s="482">
        <f t="shared" si="15"/>
        <v>157</v>
      </c>
      <c r="M44" s="482">
        <f t="shared" si="15"/>
        <v>146</v>
      </c>
      <c r="N44" s="482">
        <f t="shared" si="15"/>
        <v>1516</v>
      </c>
      <c r="O44" s="482">
        <f t="shared" si="15"/>
        <v>308</v>
      </c>
      <c r="P44" s="482">
        <f t="shared" si="15"/>
        <v>17</v>
      </c>
      <c r="Q44" s="482">
        <f t="shared" si="15"/>
        <v>10</v>
      </c>
      <c r="R44" s="482">
        <f t="shared" si="15"/>
        <v>32</v>
      </c>
      <c r="S44" s="482">
        <f t="shared" si="15"/>
        <v>0</v>
      </c>
      <c r="T44" s="482">
        <f t="shared" si="15"/>
        <v>31</v>
      </c>
      <c r="U44" s="482">
        <f t="shared" si="15"/>
        <v>36</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4803520</v>
      </c>
      <c r="AT44" s="485">
        <f t="shared" si="16"/>
        <v>2994260.5</v>
      </c>
      <c r="AU44" s="486">
        <f>AVERAGE(AU13:AU43)</f>
        <v>0.6262877126</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2394120</v>
      </c>
      <c r="I46" s="507">
        <f t="shared" si="18"/>
        <v>264180</v>
      </c>
      <c r="J46" s="507">
        <f t="shared" si="18"/>
        <v>974180</v>
      </c>
      <c r="K46" s="507">
        <f t="shared" si="18"/>
        <v>486600</v>
      </c>
      <c r="L46" s="507">
        <f t="shared" si="18"/>
        <v>15700</v>
      </c>
      <c r="M46" s="507">
        <f t="shared" si="18"/>
        <v>14600</v>
      </c>
      <c r="N46" s="507">
        <f t="shared" si="18"/>
        <v>151600</v>
      </c>
      <c r="O46" s="507">
        <f t="shared" si="18"/>
        <v>77000</v>
      </c>
      <c r="P46" s="507">
        <f t="shared" si="18"/>
        <v>4250</v>
      </c>
      <c r="Q46" s="507">
        <f t="shared" si="18"/>
        <v>1000</v>
      </c>
      <c r="R46" s="507">
        <f t="shared" si="18"/>
        <v>4800</v>
      </c>
      <c r="S46" s="507">
        <f t="shared" si="18"/>
        <v>0</v>
      </c>
      <c r="T46" s="507">
        <f t="shared" si="18"/>
        <v>4650</v>
      </c>
      <c r="U46" s="507">
        <f t="shared" si="18"/>
        <v>396000</v>
      </c>
      <c r="V46" s="507">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0.8882949309</v>
      </c>
      <c r="H47" s="514">
        <f t="shared" si="19"/>
        <v>0.4143778802</v>
      </c>
      <c r="I47" s="514">
        <f t="shared" si="19"/>
        <v>0.04092165899</v>
      </c>
      <c r="J47" s="514">
        <f t="shared" si="19"/>
        <v>0.1340092166</v>
      </c>
      <c r="K47" s="514">
        <f t="shared" si="19"/>
        <v>0.2989861751</v>
      </c>
      <c r="L47" s="514">
        <f t="shared" si="19"/>
        <v>0.02894009217</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592</v>
      </c>
      <c r="O2" s="535"/>
      <c r="P2" s="536"/>
      <c r="Q2" s="537"/>
      <c r="R2" s="537"/>
      <c r="S2" s="538"/>
      <c r="T2" s="537"/>
      <c r="U2" s="537"/>
      <c r="V2" s="537"/>
      <c r="W2" s="537"/>
      <c r="X2" s="537"/>
      <c r="Y2" s="539"/>
      <c r="Z2" s="281"/>
      <c r="AA2" s="281"/>
      <c r="AB2" s="281"/>
      <c r="AC2" s="281"/>
      <c r="AD2" s="281"/>
      <c r="AE2" s="281"/>
      <c r="AF2" s="540"/>
      <c r="AG2" s="541"/>
      <c r="AH2" s="542"/>
      <c r="AI2" s="543" t="s">
        <v>593</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119</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1</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46119</v>
      </c>
      <c r="C7" s="615"/>
      <c r="D7" s="530"/>
      <c r="E7" s="616">
        <f>today()+1</f>
        <v>46120</v>
      </c>
      <c r="F7" s="617"/>
      <c r="G7" s="530"/>
      <c r="H7" s="530"/>
      <c r="I7" s="618" t="s">
        <v>422</v>
      </c>
      <c r="J7" s="619" t="s">
        <v>423</v>
      </c>
      <c r="K7" s="620">
        <v>46082.0</v>
      </c>
      <c r="L7" s="621" t="s">
        <v>424</v>
      </c>
      <c r="M7" s="622" t="s">
        <v>425</v>
      </c>
      <c r="N7" s="623">
        <f>K7</f>
        <v>46082</v>
      </c>
      <c r="O7" s="623">
        <f t="shared" ref="O7:AR7" si="2">IF(N7="","",IF(DAY(N7+1)=1,"",N7+1))</f>
        <v>46083</v>
      </c>
      <c r="P7" s="623">
        <f t="shared" si="2"/>
        <v>46084</v>
      </c>
      <c r="Q7" s="623">
        <f t="shared" si="2"/>
        <v>46085</v>
      </c>
      <c r="R7" s="623">
        <f t="shared" si="2"/>
        <v>46086</v>
      </c>
      <c r="S7" s="623">
        <f t="shared" si="2"/>
        <v>46087</v>
      </c>
      <c r="T7" s="623">
        <f t="shared" si="2"/>
        <v>46088</v>
      </c>
      <c r="U7" s="623">
        <f t="shared" si="2"/>
        <v>46089</v>
      </c>
      <c r="V7" s="623">
        <f t="shared" si="2"/>
        <v>46090</v>
      </c>
      <c r="W7" s="623">
        <f t="shared" si="2"/>
        <v>46091</v>
      </c>
      <c r="X7" s="623">
        <f t="shared" si="2"/>
        <v>46092</v>
      </c>
      <c r="Y7" s="623">
        <f t="shared" si="2"/>
        <v>46093</v>
      </c>
      <c r="Z7" s="623">
        <f t="shared" si="2"/>
        <v>46094</v>
      </c>
      <c r="AA7" s="623">
        <f t="shared" si="2"/>
        <v>46095</v>
      </c>
      <c r="AB7" s="623">
        <f t="shared" si="2"/>
        <v>46096</v>
      </c>
      <c r="AC7" s="623">
        <f t="shared" si="2"/>
        <v>46097</v>
      </c>
      <c r="AD7" s="623">
        <f t="shared" si="2"/>
        <v>46098</v>
      </c>
      <c r="AE7" s="623">
        <f t="shared" si="2"/>
        <v>46099</v>
      </c>
      <c r="AF7" s="623">
        <f t="shared" si="2"/>
        <v>46100</v>
      </c>
      <c r="AG7" s="623">
        <f t="shared" si="2"/>
        <v>46101</v>
      </c>
      <c r="AH7" s="623">
        <f t="shared" si="2"/>
        <v>46102</v>
      </c>
      <c r="AI7" s="623">
        <f t="shared" si="2"/>
        <v>46103</v>
      </c>
      <c r="AJ7" s="623">
        <f t="shared" si="2"/>
        <v>46104</v>
      </c>
      <c r="AK7" s="623">
        <f t="shared" si="2"/>
        <v>46105</v>
      </c>
      <c r="AL7" s="623">
        <f t="shared" si="2"/>
        <v>46106</v>
      </c>
      <c r="AM7" s="623">
        <f t="shared" si="2"/>
        <v>46107</v>
      </c>
      <c r="AN7" s="623">
        <f t="shared" si="2"/>
        <v>46108</v>
      </c>
      <c r="AO7" s="623">
        <f t="shared" si="2"/>
        <v>46109</v>
      </c>
      <c r="AP7" s="623">
        <f t="shared" si="2"/>
        <v>46110</v>
      </c>
      <c r="AQ7" s="623">
        <f t="shared" si="2"/>
        <v>46111</v>
      </c>
      <c r="AR7" s="910">
        <f t="shared" si="2"/>
        <v>46112</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37" t="s">
        <v>292</v>
      </c>
      <c r="C8" s="911" t="str">
        <f>TEXT(B7,"ddd")</f>
        <v>火</v>
      </c>
      <c r="D8" s="200"/>
      <c r="E8" s="912" t="s">
        <v>292</v>
      </c>
      <c r="F8" s="913" t="str">
        <f>TEXT(E7,"ddd")</f>
        <v>水</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日</v>
      </c>
      <c r="AQ8" s="624" t="str">
        <f t="shared" si="3"/>
        <v>月</v>
      </c>
      <c r="AR8" s="624" t="str">
        <f t="shared" si="3"/>
        <v>火</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23" si="5">if(B9="","", xlookup($B$7,$N$7:$AR$7,$N9:$AR9))</f>
        <v>#N/A</v>
      </c>
      <c r="D9" s="200"/>
      <c r="E9" s="637" t="str">
        <f t="shared" ref="E9:E104" si="6">K9</f>
        <v>出勤者数合計</v>
      </c>
      <c r="F9" s="638" t="str">
        <f t="shared" ref="F9:F23" si="7">if(E9="","", xlookup($E$7,$N$7:$AR$7,$N9:$AR9))</f>
        <v>#N/A</v>
      </c>
      <c r="G9" s="200"/>
      <c r="H9" s="200"/>
      <c r="I9" s="172" t="b">
        <v>0</v>
      </c>
      <c r="J9" s="633"/>
      <c r="K9" s="639" t="s">
        <v>436</v>
      </c>
      <c r="L9" s="640" t="s">
        <v>135</v>
      </c>
      <c r="M9" s="641" t="s">
        <v>437</v>
      </c>
      <c r="N9" s="642">
        <f t="array" ref="N9">SUM(COUNTIF(N11:N104, {"◎","〇","☆","共","特","浴"}))</f>
        <v>12</v>
      </c>
      <c r="O9" s="642">
        <f t="array" ref="O9">SUM(COUNTIF(O11:O104, {"◎","〇","☆","共","特","浴"}))</f>
        <v>12</v>
      </c>
      <c r="P9" s="642">
        <f t="array" ref="P9">SUM(COUNTIF(P11:P104, {"◎","〇","☆","共","特","浴"}))</f>
        <v>14</v>
      </c>
      <c r="Q9" s="642">
        <f t="array" ref="Q9">SUM(COUNTIF(Q11:Q104, {"◎","〇","☆","共","特","浴"}))</f>
        <v>11</v>
      </c>
      <c r="R9" s="642">
        <f t="array" ref="R9">SUM(COUNTIF(R11:R104, {"◎","〇","☆","共","特","浴"}))</f>
        <v>12</v>
      </c>
      <c r="S9" s="642">
        <f t="array" ref="S9">SUM(COUNTIF(S11:S104, {"◎","〇","☆","共","特","浴"}))</f>
        <v>14</v>
      </c>
      <c r="T9" s="642">
        <f t="array" ref="T9">SUM(COUNTIF(T11:T104, {"◎","〇","☆","共","特","浴"}))</f>
        <v>14</v>
      </c>
      <c r="U9" s="642">
        <f t="array" ref="U9">SUM(COUNTIF(U11:U104, {"◎","〇","☆","共","特","浴"}))</f>
        <v>12</v>
      </c>
      <c r="V9" s="642">
        <f t="array" ref="V9">SUM(COUNTIF(V11:V104, {"◎","〇","☆","共","特","浴"}))</f>
        <v>11</v>
      </c>
      <c r="W9" s="642">
        <f t="array" ref="W9">SUM(COUNTIF(W11:W104, {"◎","〇","☆","共","特","浴"}))</f>
        <v>14</v>
      </c>
      <c r="X9" s="642">
        <f t="array" ref="X9">SUM(COUNTIF(X11:X104, {"◎","〇","☆","共","特","浴"}))</f>
        <v>11</v>
      </c>
      <c r="Y9" s="642">
        <f t="array" ref="Y9">SUM(COUNTIF(Y11:Y104, {"◎","〇","☆","共","特","浴"}))</f>
        <v>13</v>
      </c>
      <c r="Z9" s="642">
        <f t="array" ref="Z9">SUM(COUNTIF(Z11:Z104, {"◎","〇","☆","共","特","浴"}))</f>
        <v>15</v>
      </c>
      <c r="AA9" s="642">
        <f t="array" ref="AA9">SUM(COUNTIF(AA11:AA104, {"◎","〇","☆","共","特","浴"}))</f>
        <v>15</v>
      </c>
      <c r="AB9" s="642">
        <f t="array" ref="AB9">SUM(COUNTIF(AB11:AB104, {"◎","〇","☆","共","特","浴"}))</f>
        <v>14</v>
      </c>
      <c r="AC9" s="642">
        <f t="array" ref="AC9">SUM(COUNTIF(AC11:AC104, {"◎","〇","☆","共","特","浴"}))</f>
        <v>13</v>
      </c>
      <c r="AD9" s="642">
        <f t="array" ref="AD9">SUM(COUNTIF(AD11:AD104, {"◎","〇","☆","共","特","浴"}))</f>
        <v>14</v>
      </c>
      <c r="AE9" s="642">
        <f t="array" ref="AE9">SUM(COUNTIF(AE11:AE104, {"◎","〇","☆","共","特","浴"}))</f>
        <v>13</v>
      </c>
      <c r="AF9" s="642">
        <f t="array" ref="AF9">SUM(COUNTIF(AF11:AF104, {"◎","〇","☆","共","特","浴"}))</f>
        <v>15</v>
      </c>
      <c r="AG9" s="642">
        <f t="array" ref="AG9">SUM(COUNTIF(AG11:AG104, {"◎","〇","☆","共","特","浴"}))</f>
        <v>15</v>
      </c>
      <c r="AH9" s="642">
        <f t="array" ref="AH9">SUM(COUNTIF(AH11:AH104, {"◎","〇","☆","共","特","浴"}))</f>
        <v>15</v>
      </c>
      <c r="AI9" s="642">
        <f t="array" ref="AI9">SUM(COUNTIF(AI11:AI104, {"◎","〇","☆","共","特","浴"}))</f>
        <v>12</v>
      </c>
      <c r="AJ9" s="642">
        <f t="array" ref="AJ9">SUM(COUNTIF(AJ11:AJ104, {"◎","〇","☆","共","特","浴"}))</f>
        <v>13</v>
      </c>
      <c r="AK9" s="642">
        <f t="array" ref="AK9">SUM(COUNTIF(AK11:AK104, {"◎","〇","☆","共","特","浴"}))</f>
        <v>14</v>
      </c>
      <c r="AL9" s="642">
        <f t="array" ref="AL9">SUM(COUNTIF(AL11:AL104, {"◎","〇","☆","共","特","浴"}))</f>
        <v>15</v>
      </c>
      <c r="AM9" s="642">
        <f t="array" ref="AM9">SUM(COUNTIF(AM11:AM104, {"◎","〇","☆","共","特","浴"}))</f>
        <v>13</v>
      </c>
      <c r="AN9" s="642">
        <f t="array" ref="AN9">SUM(COUNTIF(AN11:AN104, {"◎","〇","☆","共","特","浴"}))</f>
        <v>14</v>
      </c>
      <c r="AO9" s="642">
        <f t="array" ref="AO9">SUM(COUNTIF(AO11:AO104, {"◎","〇","☆","共","特","浴"}))</f>
        <v>15</v>
      </c>
      <c r="AP9" s="642">
        <f t="array" ref="AP9">SUM(COUNTIF(AP11:AP104, {"◎","〇","☆","共","特","浴"}))</f>
        <v>12</v>
      </c>
      <c r="AQ9" s="642">
        <f t="array" ref="AQ9">SUM(COUNTIF(AQ11:AQ104, {"◎","〇","☆","共","特","浴"}))</f>
        <v>13</v>
      </c>
      <c r="AR9" s="642">
        <f t="array" ref="AR9">SUM(COUNTIF(AR11:AR104, {"◎","〇","☆","共","特","浴"}))</f>
        <v>14</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3</v>
      </c>
      <c r="O10" s="642">
        <f t="array" ref="O10">SUM(COUNTIF(O11:O104, {"◎","☆"}))</f>
        <v>4</v>
      </c>
      <c r="P10" s="642">
        <f t="array" ref="P10">SUM(COUNTIF(P11:P104, {"◎","☆"}))</f>
        <v>5</v>
      </c>
      <c r="Q10" s="642">
        <f t="array" ref="Q10">SUM(COUNTIF(Q11:Q104, {"◎","☆"}))</f>
        <v>4</v>
      </c>
      <c r="R10" s="642">
        <f t="array" ref="R10">SUM(COUNTIF(R11:R104, {"◎","☆"}))</f>
        <v>4</v>
      </c>
      <c r="S10" s="642">
        <f t="array" ref="S10">SUM(COUNTIF(S11:S104, {"◎","☆"}))</f>
        <v>5</v>
      </c>
      <c r="T10" s="642">
        <f t="array" ref="T10">SUM(COUNTIF(T11:T104, {"◎","☆"}))</f>
        <v>4</v>
      </c>
      <c r="U10" s="642">
        <f t="array" ref="U10">SUM(COUNTIF(U11:U104, {"◎","☆"}))</f>
        <v>4</v>
      </c>
      <c r="V10" s="642">
        <f t="array" ref="V10">SUM(COUNTIF(V11:V104, {"◎","☆"}))</f>
        <v>5</v>
      </c>
      <c r="W10" s="642">
        <f t="array" ref="W10">SUM(COUNTIF(W11:W104, {"◎","☆"}))</f>
        <v>5</v>
      </c>
      <c r="X10" s="642">
        <f t="array" ref="X10">SUM(COUNTIF(X11:X104, {"◎","☆"}))</f>
        <v>4</v>
      </c>
      <c r="Y10" s="642">
        <f t="array" ref="Y10">SUM(COUNTIF(Y11:Y104, {"◎","☆"}))</f>
        <v>4</v>
      </c>
      <c r="Z10" s="642">
        <f t="array" ref="Z10">SUM(COUNTIF(Z11:Z104, {"◎","☆"}))</f>
        <v>4</v>
      </c>
      <c r="AA10" s="642">
        <f t="array" ref="AA10">SUM(COUNTIF(AA11:AA104, {"◎","☆"}))</f>
        <v>4</v>
      </c>
      <c r="AB10" s="642">
        <f t="array" ref="AB10">SUM(COUNTIF(AB11:AB104, {"◎","☆"}))</f>
        <v>5</v>
      </c>
      <c r="AC10" s="642">
        <f t="array" ref="AC10">SUM(COUNTIF(AC11:AC104, {"◎","☆"}))</f>
        <v>4</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4</v>
      </c>
      <c r="AI10" s="642">
        <f t="array" ref="AI10">SUM(COUNTIF(AI11:AI104, {"◎","☆"}))</f>
        <v>3</v>
      </c>
      <c r="AJ10" s="642">
        <f t="array" ref="AJ10">SUM(COUNTIF(AJ11:AJ104, {"◎","☆"}))</f>
        <v>4</v>
      </c>
      <c r="AK10" s="642">
        <f t="array" ref="AK10">SUM(COUNTIF(AK11:AK104, {"◎","☆"}))</f>
        <v>5</v>
      </c>
      <c r="AL10" s="642">
        <f t="array" ref="AL10">SUM(COUNTIF(AL11:AL104, {"◎","☆"}))</f>
        <v>6</v>
      </c>
      <c r="AM10" s="642">
        <f t="array" ref="AM10">SUM(COUNTIF(AM11:AM104, {"◎","☆"}))</f>
        <v>4</v>
      </c>
      <c r="AN10" s="642">
        <f t="array" ref="AN10">SUM(COUNTIF(AN11:AN104, {"◎","☆"}))</f>
        <v>4</v>
      </c>
      <c r="AO10" s="642">
        <f t="array" ref="AO10">SUM(COUNTIF(AO11:AO104, {"◎","☆"}))</f>
        <v>5</v>
      </c>
      <c r="AP10" s="642">
        <f t="array" ref="AP10">SUM(COUNTIF(AP11:AP104, {"◎","☆"}))</f>
        <v>3</v>
      </c>
      <c r="AQ10" s="642">
        <f t="array" ref="AQ10">SUM(COUNTIF(AQ11:AQ104, {"◎","☆"}))</f>
        <v>3</v>
      </c>
      <c r="AR10" s="642">
        <f t="array" ref="AR10">SUM(COUNTIF(AR11:AR104, {"◎","☆"}))</f>
        <v>5</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梅川</v>
      </c>
      <c r="C11" s="638" t="str">
        <f t="shared" si="5"/>
        <v>#N/A</v>
      </c>
      <c r="D11" s="200"/>
      <c r="E11" s="637" t="str">
        <f t="shared" si="6"/>
        <v>梅川</v>
      </c>
      <c r="F11" s="638" t="str">
        <f t="shared" si="7"/>
        <v>#N/A</v>
      </c>
      <c r="G11" s="200"/>
      <c r="H11" s="200"/>
      <c r="I11" s="172" t="b">
        <v>0</v>
      </c>
      <c r="J11" s="619"/>
      <c r="K11" s="639" t="s">
        <v>132</v>
      </c>
      <c r="L11" s="640" t="s">
        <v>442</v>
      </c>
      <c r="M11" s="646"/>
      <c r="N11" s="647" t="s">
        <v>417</v>
      </c>
      <c r="O11" s="647" t="s">
        <v>417</v>
      </c>
      <c r="P11" s="647" t="s">
        <v>393</v>
      </c>
      <c r="Q11" s="647" t="s">
        <v>393</v>
      </c>
      <c r="R11" s="647" t="s">
        <v>393</v>
      </c>
      <c r="S11" s="647" t="s">
        <v>393</v>
      </c>
      <c r="T11" s="647" t="s">
        <v>409</v>
      </c>
      <c r="U11" s="647" t="s">
        <v>393</v>
      </c>
      <c r="V11" s="647" t="s">
        <v>409</v>
      </c>
      <c r="W11" s="647" t="s">
        <v>409</v>
      </c>
      <c r="X11" s="647" t="s">
        <v>393</v>
      </c>
      <c r="Y11" s="647" t="s">
        <v>393</v>
      </c>
      <c r="Z11" s="647" t="s">
        <v>393</v>
      </c>
      <c r="AA11" s="647" t="s">
        <v>393</v>
      </c>
      <c r="AB11" s="647" t="s">
        <v>393</v>
      </c>
      <c r="AC11" s="647" t="s">
        <v>393</v>
      </c>
      <c r="AD11" s="647" t="s">
        <v>409</v>
      </c>
      <c r="AE11" s="647" t="s">
        <v>393</v>
      </c>
      <c r="AF11" s="647" t="s">
        <v>393</v>
      </c>
      <c r="AG11" s="647" t="s">
        <v>393</v>
      </c>
      <c r="AH11" s="647" t="s">
        <v>393</v>
      </c>
      <c r="AI11" s="647" t="s">
        <v>393</v>
      </c>
      <c r="AJ11" s="647" t="s">
        <v>393</v>
      </c>
      <c r="AK11" s="647" t="s">
        <v>409</v>
      </c>
      <c r="AL11" s="647" t="s">
        <v>393</v>
      </c>
      <c r="AM11" s="647" t="s">
        <v>393</v>
      </c>
      <c r="AN11" s="647" t="s">
        <v>393</v>
      </c>
      <c r="AO11" s="647" t="s">
        <v>393</v>
      </c>
      <c r="AP11" s="647" t="s">
        <v>417</v>
      </c>
      <c r="AQ11" s="647" t="s">
        <v>417</v>
      </c>
      <c r="AR11" s="647" t="s">
        <v>393</v>
      </c>
      <c r="AS11" s="648">
        <f t="array" ref="AS11">SUM(COUNTIF(N11:AR11, {"◎","〇","☆","共","特","浴"}))</f>
        <v>22</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メイ</v>
      </c>
      <c r="C12" s="638" t="str">
        <f t="shared" si="5"/>
        <v>#N/A</v>
      </c>
      <c r="D12" s="200"/>
      <c r="E12" s="637" t="str">
        <f t="shared" si="6"/>
        <v>メイ</v>
      </c>
      <c r="F12" s="638" t="str">
        <f t="shared" si="7"/>
        <v>#N/A</v>
      </c>
      <c r="G12" s="200"/>
      <c r="H12" s="200"/>
      <c r="I12" s="172" t="b">
        <v>0</v>
      </c>
      <c r="J12" s="619"/>
      <c r="K12" s="639" t="s">
        <v>142</v>
      </c>
      <c r="L12" s="640" t="s">
        <v>442</v>
      </c>
      <c r="M12" s="646"/>
      <c r="N12" s="914" t="s">
        <v>395</v>
      </c>
      <c r="O12" s="915" t="s">
        <v>395</v>
      </c>
      <c r="P12" s="915" t="s">
        <v>395</v>
      </c>
      <c r="Q12" s="915" t="s">
        <v>409</v>
      </c>
      <c r="R12" s="915" t="s">
        <v>409</v>
      </c>
      <c r="S12" s="915" t="s">
        <v>395</v>
      </c>
      <c r="T12" s="916" t="s">
        <v>395</v>
      </c>
      <c r="U12" s="914" t="s">
        <v>395</v>
      </c>
      <c r="V12" s="915" t="s">
        <v>395</v>
      </c>
      <c r="W12" s="915" t="s">
        <v>395</v>
      </c>
      <c r="X12" s="915" t="s">
        <v>417</v>
      </c>
      <c r="Y12" s="915" t="s">
        <v>417</v>
      </c>
      <c r="Z12" s="915" t="s">
        <v>395</v>
      </c>
      <c r="AA12" s="916" t="s">
        <v>395</v>
      </c>
      <c r="AB12" s="914" t="s">
        <v>395</v>
      </c>
      <c r="AC12" s="915" t="s">
        <v>409</v>
      </c>
      <c r="AD12" s="915" t="s">
        <v>395</v>
      </c>
      <c r="AE12" s="915" t="s">
        <v>395</v>
      </c>
      <c r="AF12" s="915" t="s">
        <v>409</v>
      </c>
      <c r="AG12" s="915" t="s">
        <v>395</v>
      </c>
      <c r="AH12" s="916" t="s">
        <v>395</v>
      </c>
      <c r="AI12" s="914" t="s">
        <v>395</v>
      </c>
      <c r="AJ12" s="915" t="s">
        <v>409</v>
      </c>
      <c r="AK12" s="915" t="s">
        <v>395</v>
      </c>
      <c r="AL12" s="915" t="s">
        <v>395</v>
      </c>
      <c r="AM12" s="915" t="s">
        <v>409</v>
      </c>
      <c r="AN12" s="915" t="s">
        <v>395</v>
      </c>
      <c r="AO12" s="916" t="s">
        <v>395</v>
      </c>
      <c r="AP12" s="647" t="s">
        <v>395</v>
      </c>
      <c r="AQ12" s="647" t="s">
        <v>395</v>
      </c>
      <c r="AR12" s="647" t="s">
        <v>409</v>
      </c>
      <c r="AS12" s="648">
        <f t="array" ref="AS12">SUM(COUNTIF(N12:AR12, {"◎","〇","☆","共","特","浴"}))</f>
        <v>22</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ビマル</v>
      </c>
      <c r="C13" s="638" t="str">
        <f t="shared" si="5"/>
        <v>#N/A</v>
      </c>
      <c r="D13" s="200"/>
      <c r="E13" s="637" t="str">
        <f t="shared" si="6"/>
        <v>ビマル</v>
      </c>
      <c r="F13" s="638" t="str">
        <f t="shared" si="7"/>
        <v>#N/A</v>
      </c>
      <c r="G13" s="200"/>
      <c r="H13" s="200"/>
      <c r="I13" s="172" t="b">
        <v>0</v>
      </c>
      <c r="J13" s="619"/>
      <c r="K13" s="639" t="s">
        <v>119</v>
      </c>
      <c r="L13" s="640" t="s">
        <v>442</v>
      </c>
      <c r="M13" s="646"/>
      <c r="N13" s="917"/>
      <c r="O13" s="918"/>
      <c r="P13" s="915" t="s">
        <v>395</v>
      </c>
      <c r="Q13" s="918"/>
      <c r="R13" s="918"/>
      <c r="S13" s="915"/>
      <c r="T13" s="919"/>
      <c r="U13" s="917"/>
      <c r="V13" s="915" t="s">
        <v>395</v>
      </c>
      <c r="W13" s="915" t="s">
        <v>395</v>
      </c>
      <c r="X13" s="918"/>
      <c r="Y13" s="918"/>
      <c r="Z13" s="915" t="s">
        <v>395</v>
      </c>
      <c r="AA13" s="919"/>
      <c r="AB13" s="917"/>
      <c r="AC13" s="918"/>
      <c r="AD13" s="915" t="s">
        <v>395</v>
      </c>
      <c r="AE13" s="918"/>
      <c r="AF13" s="918"/>
      <c r="AG13" s="915" t="s">
        <v>395</v>
      </c>
      <c r="AH13" s="919"/>
      <c r="AI13" s="917"/>
      <c r="AJ13" s="920"/>
      <c r="AK13" s="915" t="s">
        <v>395</v>
      </c>
      <c r="AL13" s="918"/>
      <c r="AM13" s="918"/>
      <c r="AN13" s="915"/>
      <c r="AO13" s="919"/>
      <c r="AP13" s="647"/>
      <c r="AQ13" s="647"/>
      <c r="AR13" s="647" t="s">
        <v>395</v>
      </c>
      <c r="AS13" s="648">
        <f t="array" ref="AS13">SUM(COUNTIF(N13:AR13, {"◎","〇","☆","共","特","浴"}))</f>
        <v>8</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
      </c>
      <c r="C14" s="638" t="str">
        <f t="shared" si="5"/>
        <v/>
      </c>
      <c r="D14" s="200"/>
      <c r="E14" s="637" t="str">
        <f t="shared" si="6"/>
        <v/>
      </c>
      <c r="F14" s="638" t="str">
        <f t="shared" si="7"/>
        <v/>
      </c>
      <c r="G14" s="200"/>
      <c r="H14" s="200"/>
      <c r="I14" s="172" t="b">
        <v>0</v>
      </c>
      <c r="J14" s="619"/>
      <c r="K14" s="639"/>
      <c r="L14" s="640"/>
      <c r="M14" s="646"/>
      <c r="N14" s="647"/>
      <c r="O14" s="647"/>
      <c r="P14" s="647"/>
      <c r="Q14" s="647"/>
      <c r="R14" s="647"/>
      <c r="S14" s="647"/>
      <c r="T14" s="647"/>
      <c r="U14" s="647"/>
      <c r="V14" s="647"/>
      <c r="W14" s="647"/>
      <c r="X14" s="647"/>
      <c r="Y14" s="647"/>
      <c r="Z14" s="647"/>
      <c r="AA14" s="920"/>
      <c r="AB14" s="915"/>
      <c r="AC14" s="647"/>
      <c r="AD14" s="921"/>
      <c r="AE14" s="915" t="s">
        <v>594</v>
      </c>
      <c r="AF14" s="647"/>
      <c r="AG14" s="647"/>
      <c r="AH14" s="920"/>
      <c r="AI14" s="915"/>
      <c r="AJ14" s="647"/>
      <c r="AK14" s="647"/>
      <c r="AL14" s="647"/>
      <c r="AM14" s="915"/>
      <c r="AN14" s="920"/>
      <c r="AO14" s="920"/>
      <c r="AP14" s="647" t="s">
        <v>594</v>
      </c>
      <c r="AQ14" s="647"/>
      <c r="AR14" s="642"/>
      <c r="AS14" s="648">
        <f t="array" ref="AS14">SUM(COUNTIF(N14:AR14, {"◎","〇","☆","共","特","浴"}))</f>
        <v>0</v>
      </c>
      <c r="AT14" s="649"/>
      <c r="AU14" s="650"/>
      <c r="AV14" s="650"/>
      <c r="AW14" s="650"/>
      <c r="AX14" s="650"/>
      <c r="AY14" s="650"/>
      <c r="AZ14" s="650"/>
      <c r="BA14" s="650"/>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鈴木</v>
      </c>
      <c r="C15" s="638" t="str">
        <f t="shared" si="5"/>
        <v>#N/A</v>
      </c>
      <c r="D15" s="200"/>
      <c r="E15" s="637" t="str">
        <f t="shared" si="6"/>
        <v>鈴木</v>
      </c>
      <c r="F15" s="638" t="str">
        <f t="shared" si="7"/>
        <v>#N/A</v>
      </c>
      <c r="G15" s="200"/>
      <c r="H15" s="200"/>
      <c r="I15" s="172" t="b">
        <v>0</v>
      </c>
      <c r="J15" s="619"/>
      <c r="K15" s="639" t="s">
        <v>446</v>
      </c>
      <c r="L15" s="640" t="s">
        <v>442</v>
      </c>
      <c r="M15" s="646"/>
      <c r="N15" s="647"/>
      <c r="O15" s="647"/>
      <c r="P15" s="647"/>
      <c r="Q15" s="647"/>
      <c r="R15" s="647"/>
      <c r="S15" s="647"/>
      <c r="T15" s="647"/>
      <c r="U15" s="647"/>
      <c r="V15" s="647"/>
      <c r="W15" s="647"/>
      <c r="X15" s="647" t="s">
        <v>402</v>
      </c>
      <c r="Y15" s="647" t="s">
        <v>402</v>
      </c>
      <c r="Z15" s="647" t="s">
        <v>402</v>
      </c>
      <c r="AA15" s="647"/>
      <c r="AB15" s="647"/>
      <c r="AC15" s="647"/>
      <c r="AD15" s="647"/>
      <c r="AE15" s="647" t="s">
        <v>402</v>
      </c>
      <c r="AF15" s="647" t="s">
        <v>402</v>
      </c>
      <c r="AG15" s="647" t="s">
        <v>402</v>
      </c>
      <c r="AH15" s="647"/>
      <c r="AI15" s="24"/>
      <c r="AJ15" s="647"/>
      <c r="AK15" s="647"/>
      <c r="AL15" s="647" t="s">
        <v>402</v>
      </c>
      <c r="AM15" s="647" t="s">
        <v>402</v>
      </c>
      <c r="AN15" s="647"/>
      <c r="AO15" s="647"/>
      <c r="AP15" s="647"/>
      <c r="AQ15" s="921" t="s">
        <v>402</v>
      </c>
      <c r="AR15" s="642"/>
      <c r="AS15" s="648">
        <f t="array" ref="AS15">SUM(COUNTIF(N15:AR15, {"◎","〇","☆","共","特","浴"}))</f>
        <v>9</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t="s">
        <v>449</v>
      </c>
      <c r="M17" s="646"/>
      <c r="N17" s="647" t="s">
        <v>409</v>
      </c>
      <c r="O17" s="647" t="s">
        <v>417</v>
      </c>
      <c r="P17" s="647" t="s">
        <v>417</v>
      </c>
      <c r="Q17" s="647" t="s">
        <v>395</v>
      </c>
      <c r="R17" s="647" t="s">
        <v>409</v>
      </c>
      <c r="S17" s="647" t="s">
        <v>395</v>
      </c>
      <c r="T17" s="647" t="s">
        <v>409</v>
      </c>
      <c r="U17" s="647" t="s">
        <v>409</v>
      </c>
      <c r="V17" s="647" t="s">
        <v>395</v>
      </c>
      <c r="W17" s="647" t="s">
        <v>395</v>
      </c>
      <c r="X17" s="647" t="s">
        <v>395</v>
      </c>
      <c r="Y17" s="647" t="s">
        <v>409</v>
      </c>
      <c r="Z17" s="647" t="s">
        <v>395</v>
      </c>
      <c r="AA17" s="647" t="s">
        <v>409</v>
      </c>
      <c r="AB17" s="647" t="s">
        <v>409</v>
      </c>
      <c r="AC17" s="647" t="s">
        <v>409</v>
      </c>
      <c r="AD17" s="647" t="s">
        <v>395</v>
      </c>
      <c r="AE17" s="647" t="s">
        <v>395</v>
      </c>
      <c r="AF17" s="647" t="s">
        <v>409</v>
      </c>
      <c r="AG17" s="647" t="s">
        <v>409</v>
      </c>
      <c r="AH17" s="647" t="s">
        <v>409</v>
      </c>
      <c r="AI17" s="647" t="s">
        <v>409</v>
      </c>
      <c r="AJ17" s="647" t="s">
        <v>409</v>
      </c>
      <c r="AK17" s="647" t="s">
        <v>395</v>
      </c>
      <c r="AL17" s="647" t="s">
        <v>395</v>
      </c>
      <c r="AM17" s="647" t="s">
        <v>409</v>
      </c>
      <c r="AN17" s="647" t="s">
        <v>395</v>
      </c>
      <c r="AO17" s="647" t="s">
        <v>409</v>
      </c>
      <c r="AP17" s="647" t="s">
        <v>409</v>
      </c>
      <c r="AQ17" s="647" t="s">
        <v>409</v>
      </c>
      <c r="AR17" s="647" t="s">
        <v>395</v>
      </c>
      <c r="AS17" s="648">
        <f t="array" ref="AS17">SUM(COUNTIF(N17:AR17, {"◎","〇","☆","共","特","浴"}))</f>
        <v>12</v>
      </c>
      <c r="AT17" s="652"/>
      <c r="AU17" s="650"/>
      <c r="AV17" s="650"/>
      <c r="AW17" s="650"/>
      <c r="AX17" s="650"/>
      <c r="AY17" s="650"/>
      <c r="AZ17" s="650"/>
      <c r="BA17" s="650"/>
      <c r="BB17" s="653" t="s">
        <v>595</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t="s">
        <v>449</v>
      </c>
      <c r="M18" s="646"/>
      <c r="N18" s="647" t="s">
        <v>409</v>
      </c>
      <c r="O18" s="647" t="s">
        <v>395</v>
      </c>
      <c r="P18" s="647" t="s">
        <v>395</v>
      </c>
      <c r="Q18" s="647" t="s">
        <v>409</v>
      </c>
      <c r="R18" s="647" t="s">
        <v>395</v>
      </c>
      <c r="S18" s="647" t="s">
        <v>409</v>
      </c>
      <c r="T18" s="647" t="s">
        <v>409</v>
      </c>
      <c r="U18" s="647" t="s">
        <v>409</v>
      </c>
      <c r="V18" s="647" t="s">
        <v>417</v>
      </c>
      <c r="W18" s="647" t="s">
        <v>417</v>
      </c>
      <c r="X18" s="647" t="s">
        <v>409</v>
      </c>
      <c r="Y18" s="647" t="s">
        <v>395</v>
      </c>
      <c r="Z18" s="647" t="s">
        <v>409</v>
      </c>
      <c r="AA18" s="647" t="s">
        <v>409</v>
      </c>
      <c r="AB18" s="647" t="s">
        <v>409</v>
      </c>
      <c r="AC18" s="647" t="s">
        <v>395</v>
      </c>
      <c r="AD18" s="647" t="s">
        <v>395</v>
      </c>
      <c r="AE18" s="647" t="s">
        <v>409</v>
      </c>
      <c r="AF18" s="647" t="s">
        <v>395</v>
      </c>
      <c r="AG18" s="647" t="s">
        <v>409</v>
      </c>
      <c r="AH18" s="647" t="s">
        <v>409</v>
      </c>
      <c r="AI18" s="647" t="s">
        <v>409</v>
      </c>
      <c r="AJ18" s="647" t="s">
        <v>395</v>
      </c>
      <c r="AK18" s="647" t="s">
        <v>395</v>
      </c>
      <c r="AL18" s="647" t="s">
        <v>409</v>
      </c>
      <c r="AM18" s="647" t="s">
        <v>395</v>
      </c>
      <c r="AN18" s="647" t="s">
        <v>409</v>
      </c>
      <c r="AO18" s="647" t="s">
        <v>409</v>
      </c>
      <c r="AP18" s="647" t="s">
        <v>409</v>
      </c>
      <c r="AQ18" s="647" t="s">
        <v>417</v>
      </c>
      <c r="AR18" s="647" t="s">
        <v>395</v>
      </c>
      <c r="AS18" s="648">
        <f t="array" ref="AS18">SUM(COUNTIF(N18:AR18, {"◎","〇","☆","共","特","浴"}))</f>
        <v>11</v>
      </c>
      <c r="AT18" s="649"/>
      <c r="AU18" s="650"/>
      <c r="AV18" s="650"/>
      <c r="AW18" s="650"/>
      <c r="AX18" s="650"/>
      <c r="AY18" s="650"/>
      <c r="AZ18" s="650"/>
      <c r="BA18" s="650"/>
      <c r="BB18" s="653" t="s">
        <v>596</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t="s">
        <v>449</v>
      </c>
      <c r="M19" s="646"/>
      <c r="N19" s="647" t="s">
        <v>409</v>
      </c>
      <c r="O19" s="647" t="s">
        <v>409</v>
      </c>
      <c r="P19" s="647" t="s">
        <v>409</v>
      </c>
      <c r="Q19" s="647" t="s">
        <v>395</v>
      </c>
      <c r="R19" s="647" t="s">
        <v>395</v>
      </c>
      <c r="S19" s="647" t="s">
        <v>395</v>
      </c>
      <c r="T19" s="647" t="s">
        <v>409</v>
      </c>
      <c r="U19" s="647" t="s">
        <v>409</v>
      </c>
      <c r="V19" s="647" t="s">
        <v>409</v>
      </c>
      <c r="W19" s="647" t="s">
        <v>395</v>
      </c>
      <c r="X19" s="647" t="s">
        <v>395</v>
      </c>
      <c r="Y19" s="647" t="s">
        <v>395</v>
      </c>
      <c r="Z19" s="647" t="s">
        <v>409</v>
      </c>
      <c r="AA19" s="647" t="s">
        <v>409</v>
      </c>
      <c r="AB19" s="647" t="s">
        <v>409</v>
      </c>
      <c r="AC19" s="647" t="s">
        <v>409</v>
      </c>
      <c r="AD19" s="647" t="s">
        <v>395</v>
      </c>
      <c r="AE19" s="647" t="s">
        <v>395</v>
      </c>
      <c r="AF19" s="647" t="s">
        <v>395</v>
      </c>
      <c r="AG19" s="647" t="s">
        <v>409</v>
      </c>
      <c r="AH19" s="647" t="s">
        <v>409</v>
      </c>
      <c r="AI19" s="647" t="s">
        <v>409</v>
      </c>
      <c r="AJ19" s="647" t="s">
        <v>409</v>
      </c>
      <c r="AK19" s="647" t="s">
        <v>395</v>
      </c>
      <c r="AL19" s="647" t="s">
        <v>395</v>
      </c>
      <c r="AM19" s="647" t="s">
        <v>395</v>
      </c>
      <c r="AN19" s="647" t="s">
        <v>409</v>
      </c>
      <c r="AO19" s="647" t="s">
        <v>409</v>
      </c>
      <c r="AP19" s="647" t="s">
        <v>409</v>
      </c>
      <c r="AQ19" s="647" t="s">
        <v>409</v>
      </c>
      <c r="AR19" s="647" t="s">
        <v>417</v>
      </c>
      <c r="AS19" s="648">
        <f t="array" ref="AS19">SUM(COUNTIF(N19:AR19, {"◎","〇","☆","共","特","浴"}))</f>
        <v>12</v>
      </c>
      <c r="AT19" s="652"/>
      <c r="AU19" s="650"/>
      <c r="AV19" s="650"/>
      <c r="AW19" s="650"/>
      <c r="AX19" s="650"/>
      <c r="AY19" s="650"/>
      <c r="AZ19" s="650"/>
      <c r="BA19" s="650"/>
      <c r="BB19" s="653" t="s">
        <v>597</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t="s">
        <v>449</v>
      </c>
      <c r="M20" s="646"/>
      <c r="N20" s="647" t="s">
        <v>395</v>
      </c>
      <c r="O20" s="647" t="s">
        <v>395</v>
      </c>
      <c r="P20" s="647" t="s">
        <v>409</v>
      </c>
      <c r="Q20" s="647" t="s">
        <v>409</v>
      </c>
      <c r="R20" s="647" t="s">
        <v>395</v>
      </c>
      <c r="S20" s="647" t="s">
        <v>409</v>
      </c>
      <c r="T20" s="647" t="s">
        <v>395</v>
      </c>
      <c r="U20" s="647" t="s">
        <v>395</v>
      </c>
      <c r="V20" s="647" t="s">
        <v>395</v>
      </c>
      <c r="W20" s="647" t="s">
        <v>409</v>
      </c>
      <c r="X20" s="647" t="s">
        <v>409</v>
      </c>
      <c r="Y20" s="647" t="s">
        <v>395</v>
      </c>
      <c r="Z20" s="647" t="s">
        <v>409</v>
      </c>
      <c r="AA20" s="647" t="s">
        <v>395</v>
      </c>
      <c r="AB20" s="647" t="s">
        <v>395</v>
      </c>
      <c r="AC20" s="647" t="s">
        <v>395</v>
      </c>
      <c r="AD20" s="647" t="s">
        <v>409</v>
      </c>
      <c r="AE20" s="647" t="s">
        <v>409</v>
      </c>
      <c r="AF20" s="647" t="s">
        <v>395</v>
      </c>
      <c r="AG20" s="647" t="s">
        <v>409</v>
      </c>
      <c r="AH20" s="647" t="s">
        <v>395</v>
      </c>
      <c r="AI20" s="647" t="s">
        <v>395</v>
      </c>
      <c r="AJ20" s="647" t="s">
        <v>395</v>
      </c>
      <c r="AK20" s="647" t="s">
        <v>409</v>
      </c>
      <c r="AL20" s="647" t="s">
        <v>409</v>
      </c>
      <c r="AM20" s="647" t="s">
        <v>395</v>
      </c>
      <c r="AN20" s="647" t="s">
        <v>409</v>
      </c>
      <c r="AO20" s="647" t="s">
        <v>395</v>
      </c>
      <c r="AP20" s="647" t="s">
        <v>395</v>
      </c>
      <c r="AQ20" s="647" t="s">
        <v>395</v>
      </c>
      <c r="AR20" s="647" t="s">
        <v>409</v>
      </c>
      <c r="AS20" s="648">
        <f t="array" ref="AS20">SUM(COUNTIF(N20:AR20, {"◎","〇","☆","共","特","浴"}))</f>
        <v>18</v>
      </c>
      <c r="AT20" s="652"/>
      <c r="AU20" s="650"/>
      <c r="AV20" s="650"/>
      <c r="AW20" s="650"/>
      <c r="AX20" s="650"/>
      <c r="AY20" s="650"/>
      <c r="AZ20" s="650"/>
      <c r="BA20" s="650"/>
      <c r="BB20" s="922" t="s">
        <v>598</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t="s">
        <v>449</v>
      </c>
      <c r="M21" s="646"/>
      <c r="N21" s="647" t="s">
        <v>395</v>
      </c>
      <c r="O21" s="647" t="s">
        <v>395</v>
      </c>
      <c r="P21" s="647" t="s">
        <v>409</v>
      </c>
      <c r="Q21" s="647" t="s">
        <v>417</v>
      </c>
      <c r="R21" s="647" t="s">
        <v>409</v>
      </c>
      <c r="S21" s="647" t="s">
        <v>409</v>
      </c>
      <c r="T21" s="647" t="s">
        <v>395</v>
      </c>
      <c r="U21" s="647" t="s">
        <v>409</v>
      </c>
      <c r="V21" s="647" t="s">
        <v>395</v>
      </c>
      <c r="W21" s="647" t="s">
        <v>409</v>
      </c>
      <c r="X21" s="925" t="s">
        <v>395</v>
      </c>
      <c r="Y21" s="647" t="s">
        <v>409</v>
      </c>
      <c r="Z21" s="647" t="s">
        <v>409</v>
      </c>
      <c r="AA21" s="647" t="s">
        <v>395</v>
      </c>
      <c r="AB21" s="647" t="s">
        <v>395</v>
      </c>
      <c r="AC21" s="647" t="s">
        <v>395</v>
      </c>
      <c r="AD21" s="647" t="s">
        <v>409</v>
      </c>
      <c r="AE21" s="647" t="s">
        <v>417</v>
      </c>
      <c r="AF21" s="647" t="s">
        <v>409</v>
      </c>
      <c r="AG21" s="647" t="s">
        <v>409</v>
      </c>
      <c r="AH21" s="647" t="s">
        <v>395</v>
      </c>
      <c r="AI21" s="647" t="s">
        <v>409</v>
      </c>
      <c r="AJ21" s="647" t="s">
        <v>395</v>
      </c>
      <c r="AK21" s="647" t="s">
        <v>409</v>
      </c>
      <c r="AL21" s="647" t="s">
        <v>395</v>
      </c>
      <c r="AM21" s="647" t="s">
        <v>409</v>
      </c>
      <c r="AN21" s="647" t="s">
        <v>409</v>
      </c>
      <c r="AO21" s="647" t="s">
        <v>395</v>
      </c>
      <c r="AP21" s="647" t="s">
        <v>409</v>
      </c>
      <c r="AQ21" s="647" t="s">
        <v>395</v>
      </c>
      <c r="AR21" s="647" t="s">
        <v>409</v>
      </c>
      <c r="AS21" s="648">
        <f t="array" ref="AS21">SUM(COUNTIF(N21:AR21, {"◎","〇","☆","共","特","浴"}))</f>
        <v>13</v>
      </c>
      <c r="AT21" s="652"/>
      <c r="AU21" s="650"/>
      <c r="AV21" s="650"/>
      <c r="AW21" s="650"/>
      <c r="AX21" s="650"/>
      <c r="AY21" s="650"/>
      <c r="AZ21" s="650"/>
      <c r="BA21" s="650"/>
      <c r="BB21" s="653" t="s">
        <v>599</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梅澤</v>
      </c>
      <c r="C22" s="638" t="str">
        <f t="shared" si="5"/>
        <v>#N/A</v>
      </c>
      <c r="D22" s="200"/>
      <c r="E22" s="637" t="str">
        <f t="shared" si="6"/>
        <v>梅澤</v>
      </c>
      <c r="F22" s="638" t="str">
        <f t="shared" si="7"/>
        <v>#N/A</v>
      </c>
      <c r="G22" s="200"/>
      <c r="H22" s="200"/>
      <c r="I22" s="172" t="b">
        <v>0</v>
      </c>
      <c r="J22" s="619"/>
      <c r="K22" s="639" t="s">
        <v>456</v>
      </c>
      <c r="L22" s="640" t="s">
        <v>449</v>
      </c>
      <c r="M22" s="646"/>
      <c r="N22" s="647" t="s">
        <v>417</v>
      </c>
      <c r="O22" s="647" t="s">
        <v>409</v>
      </c>
      <c r="P22" s="647" t="s">
        <v>395</v>
      </c>
      <c r="Q22" s="647" t="s">
        <v>395</v>
      </c>
      <c r="R22" s="647" t="s">
        <v>417</v>
      </c>
      <c r="S22" s="647" t="s">
        <v>395</v>
      </c>
      <c r="T22" s="647" t="s">
        <v>395</v>
      </c>
      <c r="U22" s="647" t="s">
        <v>395</v>
      </c>
      <c r="V22" s="647" t="s">
        <v>409</v>
      </c>
      <c r="W22" s="926" t="s">
        <v>395</v>
      </c>
      <c r="X22" s="927" t="s">
        <v>409</v>
      </c>
      <c r="Y22" s="928" t="s">
        <v>417</v>
      </c>
      <c r="Z22" s="647" t="s">
        <v>417</v>
      </c>
      <c r="AA22" s="647" t="s">
        <v>409</v>
      </c>
      <c r="AB22" s="647" t="s">
        <v>395</v>
      </c>
      <c r="AC22" s="647" t="s">
        <v>409</v>
      </c>
      <c r="AD22" s="647" t="s">
        <v>409</v>
      </c>
      <c r="AE22" s="647" t="s">
        <v>409</v>
      </c>
      <c r="AF22" s="647" t="s">
        <v>409</v>
      </c>
      <c r="AG22" s="647" t="s">
        <v>395</v>
      </c>
      <c r="AH22" s="647" t="s">
        <v>409</v>
      </c>
      <c r="AI22" s="647" t="s">
        <v>409</v>
      </c>
      <c r="AJ22" s="647" t="s">
        <v>409</v>
      </c>
      <c r="AK22" s="647" t="s">
        <v>409</v>
      </c>
      <c r="AL22" s="647" t="s">
        <v>395</v>
      </c>
      <c r="AM22" s="647" t="s">
        <v>409</v>
      </c>
      <c r="AN22" s="647" t="s">
        <v>395</v>
      </c>
      <c r="AO22" s="647" t="s">
        <v>395</v>
      </c>
      <c r="AP22" s="647" t="s">
        <v>395</v>
      </c>
      <c r="AQ22" s="647" t="s">
        <v>409</v>
      </c>
      <c r="AR22" s="647" t="s">
        <v>395</v>
      </c>
      <c r="AS22" s="648">
        <f t="array" ref="AS22">SUM(COUNTIF(N22:AR22, {"◎","〇","☆","共","特","浴"}))</f>
        <v>13</v>
      </c>
      <c r="AT22" s="649"/>
      <c r="AU22" s="650"/>
      <c r="AV22" s="650"/>
      <c r="AW22" s="650"/>
      <c r="AX22" s="650"/>
      <c r="AY22" s="650"/>
      <c r="AZ22" s="650"/>
      <c r="BA22" s="650"/>
      <c r="BB22" s="653" t="s">
        <v>600</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
      </c>
      <c r="C23" s="638" t="str">
        <f t="shared" si="5"/>
        <v/>
      </c>
      <c r="D23" s="200"/>
      <c r="E23" s="637" t="str">
        <f t="shared" si="6"/>
        <v/>
      </c>
      <c r="F23" s="638" t="str">
        <f t="shared" si="7"/>
        <v/>
      </c>
      <c r="G23" s="200"/>
      <c r="H23" s="200"/>
      <c r="I23" s="172" t="b">
        <v>0</v>
      </c>
      <c r="J23" s="619"/>
      <c r="K23" s="639"/>
      <c r="L23" s="640"/>
      <c r="M23" s="646"/>
      <c r="N23" s="647"/>
      <c r="O23" s="647"/>
      <c r="P23" s="647"/>
      <c r="Q23" s="647"/>
      <c r="R23" s="647"/>
      <c r="S23" s="647"/>
      <c r="T23" s="647"/>
      <c r="U23" s="647"/>
      <c r="V23" s="647"/>
      <c r="W23" s="647"/>
      <c r="X23" s="929"/>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c r="D24" s="200"/>
      <c r="E24" s="637" t="str">
        <f t="shared" si="6"/>
        <v/>
      </c>
      <c r="F24" s="638"/>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
      </c>
      <c r="C25" s="638" t="str">
        <f t="shared" ref="C25:C60" si="8">if(B25="","", xlookup($B$7,$N$7:$AR$7,$N25:$AR25))</f>
        <v/>
      </c>
      <c r="D25" s="200"/>
      <c r="E25" s="637" t="str">
        <f t="shared" si="6"/>
        <v/>
      </c>
      <c r="F25" s="638" t="str">
        <f t="shared" ref="F25:F60" si="9">if(E25="","", xlookup($E$7,$N$7:$AR$7,$N25:$AR25))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526"/>
      <c r="BM25" s="200"/>
      <c r="BN25" s="200"/>
      <c r="BO25" s="200"/>
      <c r="BP25" s="200"/>
      <c r="BQ25" s="200"/>
      <c r="BR25" s="200"/>
      <c r="BS25" s="200"/>
      <c r="BT25" s="200"/>
      <c r="BU25" s="200"/>
      <c r="BV25" s="200"/>
      <c r="BW25" s="200"/>
      <c r="BX25" s="200"/>
    </row>
    <row r="26">
      <c r="A26" s="200"/>
      <c r="B26" s="637" t="str">
        <f t="shared" si="4"/>
        <v>ガルセス</v>
      </c>
      <c r="C26" s="638" t="str">
        <f t="shared" si="8"/>
        <v>#N/A</v>
      </c>
      <c r="D26" s="200"/>
      <c r="E26" s="637" t="str">
        <f t="shared" si="6"/>
        <v>ガルセス</v>
      </c>
      <c r="F26" s="638" t="str">
        <f t="shared" si="9"/>
        <v>#N/A</v>
      </c>
      <c r="G26" s="200"/>
      <c r="H26" s="200"/>
      <c r="I26" s="172" t="b">
        <v>0</v>
      </c>
      <c r="J26" s="619"/>
      <c r="K26" s="639" t="s">
        <v>458</v>
      </c>
      <c r="L26" s="640" t="s">
        <v>589</v>
      </c>
      <c r="M26" s="646"/>
      <c r="N26" s="647" t="s">
        <v>441</v>
      </c>
      <c r="O26" s="647" t="s">
        <v>409</v>
      </c>
      <c r="P26" s="647" t="s">
        <v>409</v>
      </c>
      <c r="Q26" s="647" t="s">
        <v>441</v>
      </c>
      <c r="R26" s="647" t="s">
        <v>441</v>
      </c>
      <c r="S26" s="647" t="s">
        <v>441</v>
      </c>
      <c r="T26" s="647" t="s">
        <v>441</v>
      </c>
      <c r="U26" s="647" t="s">
        <v>441</v>
      </c>
      <c r="V26" s="647" t="s">
        <v>409</v>
      </c>
      <c r="W26" s="647" t="s">
        <v>409</v>
      </c>
      <c r="X26" s="647" t="s">
        <v>441</v>
      </c>
      <c r="Y26" s="647" t="s">
        <v>441</v>
      </c>
      <c r="Z26" s="647" t="s">
        <v>441</v>
      </c>
      <c r="AA26" s="647" t="s">
        <v>441</v>
      </c>
      <c r="AB26" s="647" t="s">
        <v>441</v>
      </c>
      <c r="AC26" s="647" t="s">
        <v>409</v>
      </c>
      <c r="AD26" s="647" t="s">
        <v>409</v>
      </c>
      <c r="AE26" s="647" t="s">
        <v>441</v>
      </c>
      <c r="AF26" s="647" t="s">
        <v>441</v>
      </c>
      <c r="AG26" s="647" t="s">
        <v>441</v>
      </c>
      <c r="AH26" s="647" t="s">
        <v>441</v>
      </c>
      <c r="AI26" s="647" t="s">
        <v>441</v>
      </c>
      <c r="AJ26" s="647" t="s">
        <v>409</v>
      </c>
      <c r="AK26" s="647" t="s">
        <v>409</v>
      </c>
      <c r="AL26" s="647" t="s">
        <v>441</v>
      </c>
      <c r="AM26" s="647" t="s">
        <v>441</v>
      </c>
      <c r="AN26" s="647" t="s">
        <v>441</v>
      </c>
      <c r="AO26" s="647" t="s">
        <v>441</v>
      </c>
      <c r="AP26" s="647" t="s">
        <v>441</v>
      </c>
      <c r="AQ26" s="647" t="s">
        <v>409</v>
      </c>
      <c r="AR26" s="647" t="s">
        <v>409</v>
      </c>
      <c r="AS26" s="648">
        <f t="array" ref="AS26">SUM(COUNTIF(N26:AR26, {"◎","〇","☆","共","特","浴"}))</f>
        <v>0</v>
      </c>
      <c r="AT26" s="649"/>
      <c r="AU26" s="650"/>
      <c r="AV26" s="650"/>
      <c r="AW26" s="650"/>
      <c r="AX26" s="650"/>
      <c r="AY26" s="650"/>
      <c r="AZ26" s="650"/>
      <c r="BA26" s="650"/>
      <c r="BB26" s="653" t="s">
        <v>601</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グレース</v>
      </c>
      <c r="C27" s="638" t="str">
        <f t="shared" si="8"/>
        <v>#N/A</v>
      </c>
      <c r="D27" s="200"/>
      <c r="E27" s="637" t="str">
        <f t="shared" si="6"/>
        <v>グレース</v>
      </c>
      <c r="F27" s="638" t="str">
        <f t="shared" si="9"/>
        <v>#N/A</v>
      </c>
      <c r="G27" s="200"/>
      <c r="H27" s="200"/>
      <c r="I27" s="172" t="b">
        <v>0</v>
      </c>
      <c r="J27" s="619"/>
      <c r="K27" s="639" t="s">
        <v>460</v>
      </c>
      <c r="L27" s="640" t="s">
        <v>589</v>
      </c>
      <c r="M27" s="646"/>
      <c r="N27" s="647" t="s">
        <v>409</v>
      </c>
      <c r="O27" s="647" t="s">
        <v>441</v>
      </c>
      <c r="P27" s="647" t="s">
        <v>441</v>
      </c>
      <c r="Q27" s="647" t="s">
        <v>409</v>
      </c>
      <c r="R27" s="647" t="s">
        <v>409</v>
      </c>
      <c r="S27" s="647" t="s">
        <v>409</v>
      </c>
      <c r="T27" s="647" t="s">
        <v>409</v>
      </c>
      <c r="U27" s="647" t="s">
        <v>409</v>
      </c>
      <c r="V27" s="647" t="s">
        <v>441</v>
      </c>
      <c r="W27" s="647" t="s">
        <v>441</v>
      </c>
      <c r="X27" s="647" t="s">
        <v>409</v>
      </c>
      <c r="Y27" s="647" t="s">
        <v>409</v>
      </c>
      <c r="Z27" s="647" t="s">
        <v>409</v>
      </c>
      <c r="AA27" s="647" t="s">
        <v>409</v>
      </c>
      <c r="AB27" s="647" t="s">
        <v>409</v>
      </c>
      <c r="AC27" s="647" t="s">
        <v>441</v>
      </c>
      <c r="AD27" s="647" t="s">
        <v>441</v>
      </c>
      <c r="AE27" s="647" t="s">
        <v>409</v>
      </c>
      <c r="AF27" s="647" t="s">
        <v>409</v>
      </c>
      <c r="AG27" s="647" t="s">
        <v>409</v>
      </c>
      <c r="AH27" s="647" t="s">
        <v>409</v>
      </c>
      <c r="AI27" s="647" t="s">
        <v>409</v>
      </c>
      <c r="AJ27" s="647" t="s">
        <v>441</v>
      </c>
      <c r="AK27" s="647" t="s">
        <v>441</v>
      </c>
      <c r="AL27" s="647" t="s">
        <v>409</v>
      </c>
      <c r="AM27" s="647" t="s">
        <v>409</v>
      </c>
      <c r="AN27" s="647" t="s">
        <v>409</v>
      </c>
      <c r="AO27" s="647" t="s">
        <v>409</v>
      </c>
      <c r="AP27" s="647" t="s">
        <v>409</v>
      </c>
      <c r="AQ27" s="647" t="s">
        <v>441</v>
      </c>
      <c r="AR27" s="647" t="s">
        <v>441</v>
      </c>
      <c r="AS27" s="648">
        <f t="array" ref="AS27">SUM(COUNTIF(N27:AR27, {"◎","〇","☆","共","特","浴"}))</f>
        <v>0</v>
      </c>
      <c r="AT27" s="649"/>
      <c r="AU27" s="650"/>
      <c r="AV27" s="650"/>
      <c r="AW27" s="650"/>
      <c r="AX27" s="650"/>
      <c r="AY27" s="650"/>
      <c r="AZ27" s="650"/>
      <c r="BA27" s="650"/>
      <c r="BB27" s="653" t="s">
        <v>602</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8"/>
        <v/>
      </c>
      <c r="D28" s="200"/>
      <c r="E28" s="637" t="str">
        <f t="shared" si="6"/>
        <v/>
      </c>
      <c r="F28" s="638" t="str">
        <f t="shared" si="9"/>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8"/>
        <v/>
      </c>
      <c r="D29" s="200"/>
      <c r="E29" s="637" t="str">
        <f t="shared" si="6"/>
        <v/>
      </c>
      <c r="F29" s="638" t="str">
        <f t="shared" si="9"/>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7" t="str">
        <f t="shared" si="4"/>
        <v/>
      </c>
      <c r="C30" s="638" t="str">
        <f t="shared" si="8"/>
        <v/>
      </c>
      <c r="D30" s="200"/>
      <c r="E30" s="637" t="str">
        <f t="shared" si="6"/>
        <v/>
      </c>
      <c r="F30" s="638" t="str">
        <f t="shared" si="9"/>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7" t="str">
        <f t="shared" si="4"/>
        <v/>
      </c>
      <c r="C31" s="638" t="str">
        <f t="shared" si="8"/>
        <v/>
      </c>
      <c r="D31" s="200"/>
      <c r="E31" s="637" t="str">
        <f t="shared" si="6"/>
        <v/>
      </c>
      <c r="F31" s="638" t="str">
        <f t="shared" si="9"/>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8"/>
        <v/>
      </c>
      <c r="D32" s="200"/>
      <c r="E32" s="637" t="str">
        <f t="shared" si="6"/>
        <v/>
      </c>
      <c r="F32" s="638" t="str">
        <f t="shared" si="9"/>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8"/>
        <v/>
      </c>
      <c r="D33" s="200"/>
      <c r="E33" s="637" t="str">
        <f t="shared" si="6"/>
        <v/>
      </c>
      <c r="F33" s="638" t="str">
        <f t="shared" si="9"/>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8"/>
        <v/>
      </c>
      <c r="D34" s="200"/>
      <c r="E34" s="637" t="str">
        <f t="shared" si="6"/>
        <v/>
      </c>
      <c r="F34" s="638" t="str">
        <f t="shared" si="9"/>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2"/>
      <c r="AS34" s="648">
        <f t="array" ref="AS34">SUM(COUNTIF(N34:AR34, {"◎","〇","☆","共","特","浴"}))</f>
        <v>0</v>
      </c>
      <c r="AT34" s="649"/>
      <c r="AU34" s="650"/>
      <c r="AV34" s="650"/>
      <c r="AW34" s="650"/>
      <c r="AX34" s="650"/>
      <c r="AY34" s="650"/>
      <c r="AZ34" s="650"/>
      <c r="BA34" s="650"/>
      <c r="BB34" s="651"/>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8"/>
        <v/>
      </c>
      <c r="D35" s="200"/>
      <c r="E35" s="637" t="str">
        <f t="shared" si="6"/>
        <v/>
      </c>
      <c r="F35" s="638" t="str">
        <f t="shared" si="9"/>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8"/>
        <v/>
      </c>
      <c r="D36" s="200"/>
      <c r="E36" s="637" t="str">
        <f t="shared" si="6"/>
        <v/>
      </c>
      <c r="F36" s="638" t="str">
        <f t="shared" si="9"/>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8"/>
        <v/>
      </c>
      <c r="D37" s="200"/>
      <c r="E37" s="637" t="str">
        <f t="shared" si="6"/>
        <v/>
      </c>
      <c r="F37" s="638" t="str">
        <f t="shared" si="9"/>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8"/>
        <v/>
      </c>
      <c r="D38" s="200"/>
      <c r="E38" s="637" t="str">
        <f t="shared" si="6"/>
        <v/>
      </c>
      <c r="F38" s="638" t="str">
        <f t="shared" si="9"/>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8"/>
        <v/>
      </c>
      <c r="D39" s="200"/>
      <c r="E39" s="637" t="str">
        <f t="shared" si="6"/>
        <v/>
      </c>
      <c r="F39" s="638" t="str">
        <f t="shared" si="9"/>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8"/>
        <v/>
      </c>
      <c r="D40" s="200"/>
      <c r="E40" s="637" t="str">
        <f t="shared" si="6"/>
        <v/>
      </c>
      <c r="F40" s="638" t="str">
        <f t="shared" si="9"/>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7" t="str">
        <f t="shared" si="4"/>
        <v/>
      </c>
      <c r="C41" s="638" t="str">
        <f t="shared" si="8"/>
        <v/>
      </c>
      <c r="D41" s="200"/>
      <c r="E41" s="637" t="str">
        <f t="shared" si="6"/>
        <v/>
      </c>
      <c r="F41" s="638" t="str">
        <f t="shared" si="9"/>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2"/>
      <c r="AQ41" s="642"/>
      <c r="AR41" s="642"/>
      <c r="AS41" s="648">
        <f t="array" ref="AS41">SUM(COUNTIF(N41:AR41, {"◎","〇","☆","共","特","浴"}))</f>
        <v>0</v>
      </c>
      <c r="AT41" s="652"/>
      <c r="AU41" s="650"/>
      <c r="AV41" s="650"/>
      <c r="AW41" s="650"/>
      <c r="AX41" s="650"/>
      <c r="AY41" s="650"/>
      <c r="AZ41" s="650"/>
      <c r="BA41" s="650"/>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メイド数</v>
      </c>
      <c r="C42" s="638" t="str">
        <f t="shared" si="8"/>
        <v>#N/A</v>
      </c>
      <c r="D42" s="200"/>
      <c r="E42" s="637" t="str">
        <f t="shared" si="6"/>
        <v>メイド数</v>
      </c>
      <c r="F42" s="638" t="str">
        <f t="shared" si="9"/>
        <v>#N/A</v>
      </c>
      <c r="G42" s="200"/>
      <c r="H42" s="200"/>
      <c r="I42" s="172" t="b">
        <v>0</v>
      </c>
      <c r="J42" s="619"/>
      <c r="K42" s="639" t="s">
        <v>462</v>
      </c>
      <c r="L42" s="640" t="s">
        <v>449</v>
      </c>
      <c r="M42" s="641" t="s">
        <v>192</v>
      </c>
      <c r="N42" s="642">
        <f t="shared" ref="N42:P42" si="10">COUNTIF(N46:N104,"〇")+countif(N14:N41,"〇")</f>
        <v>9</v>
      </c>
      <c r="O42" s="642">
        <f t="shared" si="10"/>
        <v>8</v>
      </c>
      <c r="P42" s="642">
        <f t="shared" si="10"/>
        <v>9</v>
      </c>
      <c r="Q42" s="642">
        <f t="shared" ref="Q42:AR42" si="11">COUNTIF(Q46:Q104,"〇")+countif(Q$11:Q$41,"〇")</f>
        <v>7</v>
      </c>
      <c r="R42" s="642">
        <f t="shared" si="11"/>
        <v>8</v>
      </c>
      <c r="S42" s="642">
        <f t="shared" si="11"/>
        <v>9</v>
      </c>
      <c r="T42" s="642">
        <f t="shared" si="11"/>
        <v>10</v>
      </c>
      <c r="U42" s="642">
        <f t="shared" si="11"/>
        <v>8</v>
      </c>
      <c r="V42" s="642">
        <f t="shared" si="11"/>
        <v>6</v>
      </c>
      <c r="W42" s="642">
        <f t="shared" si="11"/>
        <v>9</v>
      </c>
      <c r="X42" s="642">
        <f t="shared" si="11"/>
        <v>6</v>
      </c>
      <c r="Y42" s="642">
        <f t="shared" si="11"/>
        <v>8</v>
      </c>
      <c r="Z42" s="642">
        <f t="shared" si="11"/>
        <v>10</v>
      </c>
      <c r="AA42" s="642">
        <f t="shared" si="11"/>
        <v>11</v>
      </c>
      <c r="AB42" s="642">
        <f t="shared" si="11"/>
        <v>9</v>
      </c>
      <c r="AC42" s="642">
        <f t="shared" si="11"/>
        <v>9</v>
      </c>
      <c r="AD42" s="642">
        <f t="shared" si="11"/>
        <v>9</v>
      </c>
      <c r="AE42" s="642">
        <f t="shared" si="11"/>
        <v>8</v>
      </c>
      <c r="AF42" s="642">
        <f t="shared" si="11"/>
        <v>10</v>
      </c>
      <c r="AG42" s="642">
        <f t="shared" si="11"/>
        <v>10</v>
      </c>
      <c r="AH42" s="642">
        <f t="shared" si="11"/>
        <v>11</v>
      </c>
      <c r="AI42" s="642">
        <f t="shared" si="11"/>
        <v>9</v>
      </c>
      <c r="AJ42" s="642">
        <f t="shared" si="11"/>
        <v>9</v>
      </c>
      <c r="AK42" s="642">
        <f t="shared" si="11"/>
        <v>9</v>
      </c>
      <c r="AL42" s="642">
        <f t="shared" si="11"/>
        <v>8</v>
      </c>
      <c r="AM42" s="642">
        <f t="shared" si="11"/>
        <v>8</v>
      </c>
      <c r="AN42" s="642">
        <f t="shared" si="11"/>
        <v>10</v>
      </c>
      <c r="AO42" s="642">
        <f t="shared" si="11"/>
        <v>10</v>
      </c>
      <c r="AP42" s="642">
        <f t="shared" si="11"/>
        <v>9</v>
      </c>
      <c r="AQ42" s="642">
        <f t="shared" si="11"/>
        <v>9</v>
      </c>
      <c r="AR42" s="642">
        <f t="shared" si="11"/>
        <v>9</v>
      </c>
      <c r="AS42" s="647" t="s">
        <v>135</v>
      </c>
      <c r="AT42" s="647" t="s">
        <v>135</v>
      </c>
      <c r="AU42" s="642">
        <f t="shared" ref="AU42:BA42" si="12">COUNTIF(AU46:AU104,"〇")+countif(AU$11:AU$41,"〇")</f>
        <v>0</v>
      </c>
      <c r="AV42" s="642">
        <f t="shared" si="12"/>
        <v>0</v>
      </c>
      <c r="AW42" s="642">
        <f t="shared" si="12"/>
        <v>0</v>
      </c>
      <c r="AX42" s="642">
        <f t="shared" si="12"/>
        <v>0</v>
      </c>
      <c r="AY42" s="642">
        <f t="shared" si="12"/>
        <v>0</v>
      </c>
      <c r="AZ42" s="642">
        <f t="shared" si="12"/>
        <v>0</v>
      </c>
      <c r="BA42" s="642">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パブリック数</v>
      </c>
      <c r="C43" s="638" t="str">
        <f t="shared" si="8"/>
        <v>#N/A</v>
      </c>
      <c r="D43" s="200"/>
      <c r="E43" s="637" t="str">
        <f t="shared" si="6"/>
        <v>パブリック数</v>
      </c>
      <c r="F43" s="638" t="str">
        <f t="shared" si="9"/>
        <v>#N/A</v>
      </c>
      <c r="G43" s="200"/>
      <c r="H43" s="200"/>
      <c r="I43" s="172" t="b">
        <v>0</v>
      </c>
      <c r="J43" s="619"/>
      <c r="K43" s="639" t="s">
        <v>463</v>
      </c>
      <c r="L43" s="640" t="s">
        <v>449</v>
      </c>
      <c r="M43" s="641" t="s">
        <v>398</v>
      </c>
      <c r="N43" s="647">
        <f t="shared" ref="N43:AR43" si="13">COUNTIF(N46:N104,"共")+countif(N$11:N$41,"共")</f>
        <v>0</v>
      </c>
      <c r="O43" s="647">
        <f t="shared" si="13"/>
        <v>0</v>
      </c>
      <c r="P43" s="647">
        <f t="shared" si="13"/>
        <v>0</v>
      </c>
      <c r="Q43" s="647">
        <f t="shared" si="13"/>
        <v>0</v>
      </c>
      <c r="R43" s="647">
        <f t="shared" si="13"/>
        <v>0</v>
      </c>
      <c r="S43" s="647">
        <f t="shared" si="13"/>
        <v>0</v>
      </c>
      <c r="T43" s="647">
        <f t="shared" si="13"/>
        <v>0</v>
      </c>
      <c r="U43" s="647">
        <f t="shared" si="13"/>
        <v>0</v>
      </c>
      <c r="V43" s="647">
        <f t="shared" si="13"/>
        <v>0</v>
      </c>
      <c r="W43" s="647">
        <f t="shared" si="13"/>
        <v>0</v>
      </c>
      <c r="X43" s="647">
        <f t="shared" si="13"/>
        <v>0</v>
      </c>
      <c r="Y43" s="647">
        <f t="shared" si="13"/>
        <v>0</v>
      </c>
      <c r="Z43" s="647">
        <f t="shared" si="13"/>
        <v>0</v>
      </c>
      <c r="AA43" s="647">
        <f t="shared" si="13"/>
        <v>0</v>
      </c>
      <c r="AB43" s="647">
        <f t="shared" si="13"/>
        <v>0</v>
      </c>
      <c r="AC43" s="647">
        <f t="shared" si="13"/>
        <v>0</v>
      </c>
      <c r="AD43" s="647">
        <f t="shared" si="13"/>
        <v>0</v>
      </c>
      <c r="AE43" s="647">
        <f t="shared" si="13"/>
        <v>0</v>
      </c>
      <c r="AF43" s="647">
        <f t="shared" si="13"/>
        <v>0</v>
      </c>
      <c r="AG43" s="647">
        <f t="shared" si="13"/>
        <v>0</v>
      </c>
      <c r="AH43" s="647">
        <f t="shared" si="13"/>
        <v>0</v>
      </c>
      <c r="AI43" s="647">
        <f t="shared" si="13"/>
        <v>0</v>
      </c>
      <c r="AJ43" s="647">
        <f t="shared" si="13"/>
        <v>0</v>
      </c>
      <c r="AK43" s="647">
        <f t="shared" si="13"/>
        <v>0</v>
      </c>
      <c r="AL43" s="647">
        <f t="shared" si="13"/>
        <v>0</v>
      </c>
      <c r="AM43" s="647">
        <f t="shared" si="13"/>
        <v>0</v>
      </c>
      <c r="AN43" s="647">
        <f t="shared" si="13"/>
        <v>0</v>
      </c>
      <c r="AO43" s="647">
        <f t="shared" si="13"/>
        <v>0</v>
      </c>
      <c r="AP43" s="647">
        <f t="shared" si="13"/>
        <v>0</v>
      </c>
      <c r="AQ43" s="647">
        <f t="shared" si="13"/>
        <v>0</v>
      </c>
      <c r="AR43" s="647">
        <f t="shared" si="13"/>
        <v>0</v>
      </c>
      <c r="AS43" s="647" t="s">
        <v>135</v>
      </c>
      <c r="AT43" s="647" t="s">
        <v>135</v>
      </c>
      <c r="AU43" s="647">
        <f t="shared" ref="AU43:BA43" si="14">COUNTIF(AU46:AU104,"共")+countif(AU$11:AU$41,"共")</f>
        <v>0</v>
      </c>
      <c r="AV43" s="647">
        <f t="shared" si="14"/>
        <v>0</v>
      </c>
      <c r="AW43" s="647">
        <f t="shared" si="14"/>
        <v>0</v>
      </c>
      <c r="AX43" s="647">
        <f t="shared" si="14"/>
        <v>0</v>
      </c>
      <c r="AY43" s="647">
        <f t="shared" si="14"/>
        <v>0</v>
      </c>
      <c r="AZ43" s="647">
        <f t="shared" si="14"/>
        <v>0</v>
      </c>
      <c r="BA43" s="647">
        <f t="shared" si="14"/>
        <v>0</v>
      </c>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合計清掃数</v>
      </c>
      <c r="C44" s="638" t="str">
        <f t="shared" si="8"/>
        <v>#N/A</v>
      </c>
      <c r="D44" s="200"/>
      <c r="E44" s="637" t="str">
        <f t="shared" si="6"/>
        <v>合計清掃数</v>
      </c>
      <c r="F44" s="638" t="str">
        <f t="shared" si="9"/>
        <v>#N/A</v>
      </c>
      <c r="G44" s="200"/>
      <c r="H44" s="200"/>
      <c r="I44" s="656" t="b">
        <v>0</v>
      </c>
      <c r="J44" s="619"/>
      <c r="K44" s="657" t="s">
        <v>464</v>
      </c>
      <c r="L44" s="658" t="s">
        <v>447</v>
      </c>
      <c r="M44" s="659"/>
      <c r="N44" s="642">
        <f t="shared" ref="N44:AR44" si="15">sumif(N46:N104,"〇",$J46:$J104)+sumif(N11:N41,"〇",$J11:$J41)</f>
        <v>120</v>
      </c>
      <c r="O44" s="642">
        <f t="shared" si="15"/>
        <v>111</v>
      </c>
      <c r="P44" s="642">
        <f t="shared" si="15"/>
        <v>122</v>
      </c>
      <c r="Q44" s="642">
        <f t="shared" si="15"/>
        <v>94</v>
      </c>
      <c r="R44" s="642">
        <f t="shared" si="15"/>
        <v>105</v>
      </c>
      <c r="S44" s="642">
        <f t="shared" si="15"/>
        <v>120</v>
      </c>
      <c r="T44" s="642">
        <f t="shared" si="15"/>
        <v>132</v>
      </c>
      <c r="U44" s="642">
        <f t="shared" si="15"/>
        <v>113</v>
      </c>
      <c r="V44" s="642">
        <f t="shared" si="15"/>
        <v>90</v>
      </c>
      <c r="W44" s="642">
        <f t="shared" si="15"/>
        <v>122</v>
      </c>
      <c r="X44" s="642">
        <f t="shared" si="15"/>
        <v>80</v>
      </c>
      <c r="Y44" s="642">
        <f t="shared" si="15"/>
        <v>105</v>
      </c>
      <c r="Z44" s="642">
        <f t="shared" si="15"/>
        <v>125</v>
      </c>
      <c r="AA44" s="642">
        <f t="shared" si="15"/>
        <v>139</v>
      </c>
      <c r="AB44" s="642">
        <f t="shared" si="15"/>
        <v>120</v>
      </c>
      <c r="AC44" s="642">
        <f t="shared" si="15"/>
        <v>116</v>
      </c>
      <c r="AD44" s="642">
        <f t="shared" si="15"/>
        <v>108</v>
      </c>
      <c r="AE44" s="642">
        <f t="shared" si="15"/>
        <v>95</v>
      </c>
      <c r="AF44" s="642">
        <f t="shared" si="15"/>
        <v>124</v>
      </c>
      <c r="AG44" s="642">
        <f t="shared" si="15"/>
        <v>125</v>
      </c>
      <c r="AH44" s="642">
        <f t="shared" si="15"/>
        <v>139</v>
      </c>
      <c r="AI44" s="642">
        <f t="shared" si="15"/>
        <v>120</v>
      </c>
      <c r="AJ44" s="642">
        <f t="shared" si="15"/>
        <v>116</v>
      </c>
      <c r="AK44" s="642">
        <f t="shared" si="15"/>
        <v>114</v>
      </c>
      <c r="AL44" s="642">
        <f t="shared" si="15"/>
        <v>94</v>
      </c>
      <c r="AM44" s="642">
        <f t="shared" si="15"/>
        <v>105</v>
      </c>
      <c r="AN44" s="642">
        <f t="shared" si="15"/>
        <v>125</v>
      </c>
      <c r="AO44" s="642">
        <f t="shared" si="15"/>
        <v>125</v>
      </c>
      <c r="AP44" s="642">
        <f t="shared" si="15"/>
        <v>120</v>
      </c>
      <c r="AQ44" s="642">
        <f t="shared" si="15"/>
        <v>116</v>
      </c>
      <c r="AR44" s="642">
        <f t="shared" si="15"/>
        <v>104</v>
      </c>
      <c r="AS44" s="625" t="s">
        <v>135</v>
      </c>
      <c r="AT44" s="647" t="s">
        <v>135</v>
      </c>
      <c r="AU44" s="660"/>
      <c r="AV44" s="660"/>
      <c r="AW44" s="660"/>
      <c r="AX44" s="660"/>
      <c r="AY44" s="660"/>
      <c r="AZ44" s="660"/>
      <c r="BA44" s="66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稼働予定</v>
      </c>
      <c r="C45" s="638" t="str">
        <f t="shared" si="8"/>
        <v>#N/A</v>
      </c>
      <c r="D45" s="200"/>
      <c r="E45" s="637" t="str">
        <f t="shared" si="6"/>
        <v>稼働予定</v>
      </c>
      <c r="F45" s="638" t="str">
        <f t="shared" si="9"/>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25" t="s">
        <v>135</v>
      </c>
      <c r="AT45" s="647" t="s">
        <v>135</v>
      </c>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早川</v>
      </c>
      <c r="C46" s="638" t="str">
        <f t="shared" si="8"/>
        <v>#N/A</v>
      </c>
      <c r="D46" s="200"/>
      <c r="E46" s="637" t="str">
        <f t="shared" si="6"/>
        <v>早川</v>
      </c>
      <c r="F46" s="638" t="str">
        <f t="shared" si="9"/>
        <v>#N/A</v>
      </c>
      <c r="G46" s="200"/>
      <c r="H46" s="200"/>
      <c r="I46" s="172" t="b">
        <v>0</v>
      </c>
      <c r="J46" s="619">
        <v>14.0</v>
      </c>
      <c r="K46" s="639" t="s">
        <v>467</v>
      </c>
      <c r="L46" s="640" t="s">
        <v>468</v>
      </c>
      <c r="M46" s="646"/>
      <c r="N46" s="647" t="s">
        <v>409</v>
      </c>
      <c r="O46" s="647" t="s">
        <v>192</v>
      </c>
      <c r="P46" s="647" t="s">
        <v>192</v>
      </c>
      <c r="Q46" s="647" t="s">
        <v>192</v>
      </c>
      <c r="R46" s="647" t="s">
        <v>409</v>
      </c>
      <c r="S46" s="647" t="s">
        <v>192</v>
      </c>
      <c r="T46" s="647" t="s">
        <v>192</v>
      </c>
      <c r="U46" s="647" t="s">
        <v>409</v>
      </c>
      <c r="V46" s="647" t="s">
        <v>192</v>
      </c>
      <c r="W46" s="647" t="s">
        <v>192</v>
      </c>
      <c r="X46" s="647" t="s">
        <v>417</v>
      </c>
      <c r="Y46" s="647" t="s">
        <v>409</v>
      </c>
      <c r="Z46" s="647" t="s">
        <v>192</v>
      </c>
      <c r="AA46" s="647" t="s">
        <v>192</v>
      </c>
      <c r="AB46" s="647" t="s">
        <v>409</v>
      </c>
      <c r="AC46" s="647" t="s">
        <v>192</v>
      </c>
      <c r="AD46" s="647" t="s">
        <v>409</v>
      </c>
      <c r="AE46" s="647" t="s">
        <v>192</v>
      </c>
      <c r="AF46" s="647" t="s">
        <v>192</v>
      </c>
      <c r="AG46" s="647" t="s">
        <v>192</v>
      </c>
      <c r="AH46" s="647" t="s">
        <v>192</v>
      </c>
      <c r="AI46" s="647" t="s">
        <v>409</v>
      </c>
      <c r="AJ46" s="647" t="s">
        <v>192</v>
      </c>
      <c r="AK46" s="647" t="s">
        <v>192</v>
      </c>
      <c r="AL46" s="647" t="s">
        <v>192</v>
      </c>
      <c r="AM46" s="647" t="s">
        <v>409</v>
      </c>
      <c r="AN46" s="647" t="s">
        <v>192</v>
      </c>
      <c r="AO46" s="647" t="s">
        <v>192</v>
      </c>
      <c r="AP46" s="647" t="s">
        <v>409</v>
      </c>
      <c r="AQ46" s="647" t="s">
        <v>192</v>
      </c>
      <c r="AR46" s="647" t="s">
        <v>603</v>
      </c>
      <c r="AS46" s="648">
        <f t="array" ref="AS46">SUM(COUNTIF(N46:AR46, {"◎","〇","☆","共","特","浴"}))</f>
        <v>20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大沼</v>
      </c>
      <c r="C47" s="638" t="str">
        <f t="shared" si="8"/>
        <v>#N/A</v>
      </c>
      <c r="D47" s="200"/>
      <c r="E47" s="637" t="str">
        <f t="shared" si="6"/>
        <v>大沼</v>
      </c>
      <c r="F47" s="638" t="str">
        <f t="shared" si="9"/>
        <v>#N/A</v>
      </c>
      <c r="G47" s="200"/>
      <c r="H47" s="200"/>
      <c r="I47" s="172" t="b">
        <v>0</v>
      </c>
      <c r="J47" s="619">
        <v>14.0</v>
      </c>
      <c r="K47" s="639" t="s">
        <v>469</v>
      </c>
      <c r="L47" s="640" t="s">
        <v>468</v>
      </c>
      <c r="M47" s="646"/>
      <c r="N47" s="647" t="s">
        <v>409</v>
      </c>
      <c r="O47" s="647" t="s">
        <v>192</v>
      </c>
      <c r="P47" s="647" t="s">
        <v>192</v>
      </c>
      <c r="Q47" s="647" t="s">
        <v>192</v>
      </c>
      <c r="R47" s="647" t="s">
        <v>409</v>
      </c>
      <c r="S47" s="647" t="s">
        <v>192</v>
      </c>
      <c r="T47" s="647" t="s">
        <v>192</v>
      </c>
      <c r="U47" s="647" t="s">
        <v>409</v>
      </c>
      <c r="V47" s="647" t="s">
        <v>409</v>
      </c>
      <c r="W47" s="647" t="s">
        <v>192</v>
      </c>
      <c r="X47" s="647" t="s">
        <v>192</v>
      </c>
      <c r="Y47" s="647" t="s">
        <v>192</v>
      </c>
      <c r="Z47" s="647" t="s">
        <v>192</v>
      </c>
      <c r="AA47" s="647" t="s">
        <v>192</v>
      </c>
      <c r="AB47" s="647" t="s">
        <v>409</v>
      </c>
      <c r="AC47" s="647" t="s">
        <v>192</v>
      </c>
      <c r="AD47" s="647" t="s">
        <v>192</v>
      </c>
      <c r="AE47" s="647" t="s">
        <v>409</v>
      </c>
      <c r="AF47" s="647" t="s">
        <v>192</v>
      </c>
      <c r="AG47" s="647" t="s">
        <v>192</v>
      </c>
      <c r="AH47" s="647" t="s">
        <v>192</v>
      </c>
      <c r="AI47" s="647" t="s">
        <v>409</v>
      </c>
      <c r="AJ47" s="647" t="s">
        <v>192</v>
      </c>
      <c r="AK47" s="647" t="s">
        <v>192</v>
      </c>
      <c r="AL47" s="647" t="s">
        <v>192</v>
      </c>
      <c r="AM47" s="647" t="s">
        <v>192</v>
      </c>
      <c r="AN47" s="647" t="s">
        <v>192</v>
      </c>
      <c r="AO47" s="647" t="s">
        <v>409</v>
      </c>
      <c r="AP47" s="647" t="s">
        <v>409</v>
      </c>
      <c r="AQ47" s="647" t="s">
        <v>192</v>
      </c>
      <c r="AR47" s="647" t="s">
        <v>192</v>
      </c>
      <c r="AS47" s="648">
        <f t="array" ref="AS47">SUM(COUNTIF(N47:AR47, {"◎","〇","☆","共","特","浴"}))</f>
        <v>22</v>
      </c>
      <c r="AT47" s="652"/>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サンタ</v>
      </c>
      <c r="C48" s="638" t="str">
        <f t="shared" si="8"/>
        <v>#N/A</v>
      </c>
      <c r="D48" s="200"/>
      <c r="E48" s="637" t="str">
        <f t="shared" si="6"/>
        <v>サンタ</v>
      </c>
      <c r="F48" s="638" t="str">
        <f t="shared" si="9"/>
        <v>#N/A</v>
      </c>
      <c r="G48" s="200"/>
      <c r="H48" s="200"/>
      <c r="I48" s="172" t="b">
        <v>0</v>
      </c>
      <c r="J48" s="619">
        <v>18.0</v>
      </c>
      <c r="K48" s="639" t="s">
        <v>113</v>
      </c>
      <c r="L48" s="640" t="s">
        <v>468</v>
      </c>
      <c r="M48" s="646"/>
      <c r="N48" s="647" t="s">
        <v>192</v>
      </c>
      <c r="O48" s="647" t="s">
        <v>192</v>
      </c>
      <c r="P48" s="647" t="s">
        <v>192</v>
      </c>
      <c r="Q48" s="647" t="s">
        <v>409</v>
      </c>
      <c r="R48" s="647" t="s">
        <v>192</v>
      </c>
      <c r="S48" s="647" t="s">
        <v>192</v>
      </c>
      <c r="T48" s="647" t="s">
        <v>192</v>
      </c>
      <c r="U48" s="647" t="s">
        <v>192</v>
      </c>
      <c r="V48" s="647" t="s">
        <v>192</v>
      </c>
      <c r="W48" s="647" t="s">
        <v>192</v>
      </c>
      <c r="X48" s="647" t="s">
        <v>409</v>
      </c>
      <c r="Y48" s="647" t="s">
        <v>192</v>
      </c>
      <c r="Z48" s="647" t="s">
        <v>192</v>
      </c>
      <c r="AA48" s="647" t="s">
        <v>192</v>
      </c>
      <c r="AB48" s="647" t="s">
        <v>192</v>
      </c>
      <c r="AC48" s="647" t="s">
        <v>192</v>
      </c>
      <c r="AD48" s="647" t="s">
        <v>192</v>
      </c>
      <c r="AE48" s="647" t="s">
        <v>409</v>
      </c>
      <c r="AF48" s="647" t="s">
        <v>192</v>
      </c>
      <c r="AG48" s="647" t="s">
        <v>192</v>
      </c>
      <c r="AH48" s="647" t="s">
        <v>192</v>
      </c>
      <c r="AI48" s="647" t="s">
        <v>192</v>
      </c>
      <c r="AJ48" s="647" t="s">
        <v>192</v>
      </c>
      <c r="AK48" s="647" t="s">
        <v>192</v>
      </c>
      <c r="AL48" s="647" t="s">
        <v>409</v>
      </c>
      <c r="AM48" s="647" t="s">
        <v>192</v>
      </c>
      <c r="AN48" s="647" t="s">
        <v>192</v>
      </c>
      <c r="AO48" s="647" t="s">
        <v>192</v>
      </c>
      <c r="AP48" s="647" t="s">
        <v>192</v>
      </c>
      <c r="AQ48" s="647" t="s">
        <v>192</v>
      </c>
      <c r="AR48" s="647" t="s">
        <v>192</v>
      </c>
      <c r="AS48" s="648">
        <f t="array" ref="AS48">SUM(COUNTIF(N48:AR48, {"◎","〇","☆","共","特","浴"}))</f>
        <v>27</v>
      </c>
      <c r="AT48" s="649"/>
      <c r="AU48" s="650"/>
      <c r="AV48" s="650"/>
      <c r="AW48" s="650"/>
      <c r="AX48" s="650"/>
      <c r="AY48" s="650"/>
      <c r="AZ48" s="650"/>
      <c r="BA48" s="650"/>
      <c r="BB48" s="653" t="s">
        <v>604</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タン</v>
      </c>
      <c r="C49" s="638" t="str">
        <f t="shared" si="8"/>
        <v>#N/A</v>
      </c>
      <c r="D49" s="200"/>
      <c r="E49" s="637" t="str">
        <f t="shared" si="6"/>
        <v>タン</v>
      </c>
      <c r="F49" s="638" t="str">
        <f t="shared" si="9"/>
        <v>#N/A</v>
      </c>
      <c r="G49" s="200"/>
      <c r="H49" s="200"/>
      <c r="I49" s="172" t="b">
        <v>0</v>
      </c>
      <c r="J49" s="619">
        <v>14.0</v>
      </c>
      <c r="K49" s="639" t="s">
        <v>472</v>
      </c>
      <c r="L49" s="640" t="s">
        <v>468</v>
      </c>
      <c r="M49" s="646"/>
      <c r="N49" s="647" t="s">
        <v>192</v>
      </c>
      <c r="O49" s="647" t="s">
        <v>192</v>
      </c>
      <c r="P49" s="647" t="s">
        <v>192</v>
      </c>
      <c r="Q49" s="647" t="s">
        <v>192</v>
      </c>
      <c r="R49" s="647" t="s">
        <v>192</v>
      </c>
      <c r="S49" s="647" t="s">
        <v>409</v>
      </c>
      <c r="T49" s="647" t="s">
        <v>192</v>
      </c>
      <c r="U49" s="647" t="s">
        <v>192</v>
      </c>
      <c r="V49" s="647" t="s">
        <v>192</v>
      </c>
      <c r="W49" s="647" t="s">
        <v>192</v>
      </c>
      <c r="X49" s="647" t="s">
        <v>192</v>
      </c>
      <c r="Y49" s="647" t="s">
        <v>409</v>
      </c>
      <c r="Z49" s="647" t="s">
        <v>409</v>
      </c>
      <c r="AA49" s="647" t="s">
        <v>192</v>
      </c>
      <c r="AB49" s="647" t="s">
        <v>192</v>
      </c>
      <c r="AC49" s="647" t="s">
        <v>192</v>
      </c>
      <c r="AD49" s="647" t="s">
        <v>192</v>
      </c>
      <c r="AE49" s="647" t="s">
        <v>192</v>
      </c>
      <c r="AF49" s="647" t="s">
        <v>409</v>
      </c>
      <c r="AG49" s="647" t="s">
        <v>409</v>
      </c>
      <c r="AH49" s="647" t="s">
        <v>192</v>
      </c>
      <c r="AI49" s="647" t="s">
        <v>192</v>
      </c>
      <c r="AJ49" s="647" t="s">
        <v>192</v>
      </c>
      <c r="AK49" s="647" t="s">
        <v>192</v>
      </c>
      <c r="AL49" s="647" t="s">
        <v>192</v>
      </c>
      <c r="AM49" s="647" t="s">
        <v>409</v>
      </c>
      <c r="AN49" s="647" t="s">
        <v>409</v>
      </c>
      <c r="AO49" s="647" t="s">
        <v>192</v>
      </c>
      <c r="AP49" s="647" t="s">
        <v>192</v>
      </c>
      <c r="AQ49" s="647" t="s">
        <v>192</v>
      </c>
      <c r="AR49" s="647" t="s">
        <v>192</v>
      </c>
      <c r="AS49" s="648">
        <f t="array" ref="AS49">SUM(COUNTIF(N49:AR49, {"◎","〇","☆","共","特","浴"}))</f>
        <v>24</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8"/>
        <v>#N/A</v>
      </c>
      <c r="D50" s="200"/>
      <c r="E50" s="637" t="str">
        <f t="shared" si="6"/>
        <v>タラ</v>
      </c>
      <c r="F50" s="638" t="str">
        <f t="shared" si="9"/>
        <v>#N/A</v>
      </c>
      <c r="G50" s="200"/>
      <c r="H50" s="200"/>
      <c r="I50" s="172" t="b">
        <v>0</v>
      </c>
      <c r="J50" s="619">
        <v>17.0</v>
      </c>
      <c r="K50" s="639" t="s">
        <v>471</v>
      </c>
      <c r="L50" s="640" t="s">
        <v>468</v>
      </c>
      <c r="M50" s="646"/>
      <c r="N50" s="647" t="s">
        <v>192</v>
      </c>
      <c r="O50" s="647" t="s">
        <v>409</v>
      </c>
      <c r="P50" s="647" t="s">
        <v>409</v>
      </c>
      <c r="Q50" s="647" t="s">
        <v>192</v>
      </c>
      <c r="R50" s="647" t="s">
        <v>192</v>
      </c>
      <c r="S50" s="647" t="s">
        <v>192</v>
      </c>
      <c r="T50" s="647" t="s">
        <v>192</v>
      </c>
      <c r="U50" s="647" t="s">
        <v>192</v>
      </c>
      <c r="V50" s="647" t="s">
        <v>409</v>
      </c>
      <c r="W50" s="647" t="s">
        <v>409</v>
      </c>
      <c r="X50" s="647" t="s">
        <v>192</v>
      </c>
      <c r="Y50" s="647" t="s">
        <v>192</v>
      </c>
      <c r="Z50" s="647" t="s">
        <v>192</v>
      </c>
      <c r="AA50" s="647" t="s">
        <v>192</v>
      </c>
      <c r="AB50" s="647" t="s">
        <v>192</v>
      </c>
      <c r="AC50" s="647" t="s">
        <v>409</v>
      </c>
      <c r="AD50" s="647" t="s">
        <v>409</v>
      </c>
      <c r="AE50" s="647" t="s">
        <v>192</v>
      </c>
      <c r="AF50" s="647" t="s">
        <v>192</v>
      </c>
      <c r="AG50" s="647" t="s">
        <v>192</v>
      </c>
      <c r="AH50" s="647" t="s">
        <v>192</v>
      </c>
      <c r="AI50" s="647" t="s">
        <v>192</v>
      </c>
      <c r="AJ50" s="647" t="s">
        <v>409</v>
      </c>
      <c r="AK50" s="647" t="s">
        <v>409</v>
      </c>
      <c r="AL50" s="647" t="s">
        <v>192</v>
      </c>
      <c r="AM50" s="647" t="s">
        <v>192</v>
      </c>
      <c r="AN50" s="647" t="s">
        <v>192</v>
      </c>
      <c r="AO50" s="647" t="s">
        <v>192</v>
      </c>
      <c r="AP50" s="647" t="s">
        <v>192</v>
      </c>
      <c r="AQ50" s="647" t="s">
        <v>409</v>
      </c>
      <c r="AR50" s="647" t="s">
        <v>409</v>
      </c>
      <c r="AS50" s="648">
        <f t="array" ref="AS50">SUM(COUNTIF(N50:AR50, {"◎","〇","☆","共","特","浴"}))</f>
        <v>21</v>
      </c>
      <c r="AT50" s="652"/>
      <c r="AU50" s="650"/>
      <c r="AV50" s="650"/>
      <c r="AW50" s="650"/>
      <c r="AX50" s="650"/>
      <c r="AY50" s="650"/>
      <c r="AZ50" s="650"/>
      <c r="BA50" s="650"/>
      <c r="BB50" s="653" t="s">
        <v>605</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8"/>
        <v>#N/A</v>
      </c>
      <c r="D51" s="200"/>
      <c r="E51" s="637" t="str">
        <f t="shared" si="6"/>
        <v>スレスタ</v>
      </c>
      <c r="F51" s="638" t="str">
        <f t="shared" si="9"/>
        <v>#N/A</v>
      </c>
      <c r="G51" s="200"/>
      <c r="H51" s="200"/>
      <c r="I51" s="172" t="b">
        <v>0</v>
      </c>
      <c r="J51" s="619">
        <v>15.0</v>
      </c>
      <c r="K51" s="639" t="s">
        <v>477</v>
      </c>
      <c r="L51" s="640" t="s">
        <v>468</v>
      </c>
      <c r="M51" s="646"/>
      <c r="N51" s="647" t="s">
        <v>409</v>
      </c>
      <c r="O51" s="647" t="s">
        <v>192</v>
      </c>
      <c r="P51" s="647" t="s">
        <v>192</v>
      </c>
      <c r="Q51" s="647" t="s">
        <v>192</v>
      </c>
      <c r="R51" s="647" t="s">
        <v>192</v>
      </c>
      <c r="S51" s="647" t="s">
        <v>409</v>
      </c>
      <c r="T51" s="647" t="s">
        <v>409</v>
      </c>
      <c r="U51" s="647" t="s">
        <v>409</v>
      </c>
      <c r="V51" s="647" t="s">
        <v>192</v>
      </c>
      <c r="W51" s="647" t="s">
        <v>192</v>
      </c>
      <c r="X51" s="647" t="s">
        <v>192</v>
      </c>
      <c r="Y51" s="647" t="s">
        <v>192</v>
      </c>
      <c r="Z51" s="647" t="s">
        <v>409</v>
      </c>
      <c r="AA51" s="647" t="s">
        <v>409</v>
      </c>
      <c r="AB51" s="647" t="s">
        <v>409</v>
      </c>
      <c r="AC51" s="647" t="s">
        <v>192</v>
      </c>
      <c r="AD51" s="647" t="s">
        <v>192</v>
      </c>
      <c r="AE51" s="647" t="s">
        <v>192</v>
      </c>
      <c r="AF51" s="647" t="s">
        <v>192</v>
      </c>
      <c r="AG51" s="647" t="s">
        <v>409</v>
      </c>
      <c r="AH51" s="647" t="s">
        <v>409</v>
      </c>
      <c r="AI51" s="647" t="s">
        <v>409</v>
      </c>
      <c r="AJ51" s="647" t="s">
        <v>192</v>
      </c>
      <c r="AK51" s="647" t="s">
        <v>192</v>
      </c>
      <c r="AL51" s="647" t="s">
        <v>192</v>
      </c>
      <c r="AM51" s="647" t="s">
        <v>192</v>
      </c>
      <c r="AN51" s="647" t="s">
        <v>409</v>
      </c>
      <c r="AO51" s="647" t="s">
        <v>409</v>
      </c>
      <c r="AP51" s="647" t="s">
        <v>409</v>
      </c>
      <c r="AQ51" s="647" t="s">
        <v>192</v>
      </c>
      <c r="AR51" s="647" t="s">
        <v>192</v>
      </c>
      <c r="AS51" s="648">
        <f t="array" ref="AS51">SUM(COUNTIF(N51:AR51, {"◎","〇","☆","共","特","浴"}))</f>
        <v>18</v>
      </c>
      <c r="AT51" s="652"/>
      <c r="AU51" s="650"/>
      <c r="AV51" s="650"/>
      <c r="AW51" s="650"/>
      <c r="AX51" s="650"/>
      <c r="AY51" s="650"/>
      <c r="AZ51" s="650"/>
      <c r="BA51" s="650"/>
      <c r="BB51" s="653" t="s">
        <v>606</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8"/>
        <v>#N/A</v>
      </c>
      <c r="D52" s="200"/>
      <c r="E52" s="637" t="str">
        <f t="shared" si="6"/>
        <v>アリ</v>
      </c>
      <c r="F52" s="638" t="str">
        <f t="shared" si="9"/>
        <v>#N/A</v>
      </c>
      <c r="G52" s="200"/>
      <c r="H52" s="200"/>
      <c r="I52" s="172" t="b">
        <v>0</v>
      </c>
      <c r="J52" s="619">
        <v>10.0</v>
      </c>
      <c r="K52" s="639" t="s">
        <v>484</v>
      </c>
      <c r="L52" s="640" t="s">
        <v>475</v>
      </c>
      <c r="M52" s="641"/>
      <c r="N52" s="647" t="s">
        <v>192</v>
      </c>
      <c r="O52" s="647" t="s">
        <v>409</v>
      </c>
      <c r="P52" s="647" t="s">
        <v>409</v>
      </c>
      <c r="Q52" s="647" t="s">
        <v>409</v>
      </c>
      <c r="R52" s="647" t="s">
        <v>409</v>
      </c>
      <c r="S52" s="647" t="s">
        <v>409</v>
      </c>
      <c r="T52" s="647" t="s">
        <v>409</v>
      </c>
      <c r="U52" s="647" t="s">
        <v>192</v>
      </c>
      <c r="V52" s="647" t="s">
        <v>409</v>
      </c>
      <c r="W52" s="647" t="s">
        <v>409</v>
      </c>
      <c r="X52" s="647" t="s">
        <v>409</v>
      </c>
      <c r="Y52" s="647" t="s">
        <v>409</v>
      </c>
      <c r="Z52" s="647" t="s">
        <v>409</v>
      </c>
      <c r="AA52" s="647" t="s">
        <v>409</v>
      </c>
      <c r="AB52" s="647" t="s">
        <v>192</v>
      </c>
      <c r="AC52" s="647" t="s">
        <v>409</v>
      </c>
      <c r="AD52" s="647" t="s">
        <v>409</v>
      </c>
      <c r="AE52" s="647" t="s">
        <v>409</v>
      </c>
      <c r="AF52" s="647" t="s">
        <v>409</v>
      </c>
      <c r="AG52" s="647" t="s">
        <v>409</v>
      </c>
      <c r="AH52" s="647" t="s">
        <v>409</v>
      </c>
      <c r="AI52" s="647" t="s">
        <v>192</v>
      </c>
      <c r="AJ52" s="647" t="s">
        <v>409</v>
      </c>
      <c r="AK52" s="647" t="s">
        <v>409</v>
      </c>
      <c r="AL52" s="647" t="s">
        <v>409</v>
      </c>
      <c r="AM52" s="647" t="s">
        <v>409</v>
      </c>
      <c r="AN52" s="647" t="s">
        <v>409</v>
      </c>
      <c r="AO52" s="647" t="s">
        <v>409</v>
      </c>
      <c r="AP52" s="647" t="s">
        <v>192</v>
      </c>
      <c r="AQ52" s="647" t="s">
        <v>409</v>
      </c>
      <c r="AR52" s="647" t="s">
        <v>192</v>
      </c>
      <c r="AS52" s="648">
        <f t="array" ref="AS52">SUM(COUNTIF(N52:AR52, {"◎","〇","☆","共","特","浴"}))</f>
        <v>6</v>
      </c>
      <c r="AT52" s="649"/>
      <c r="AU52" s="650"/>
      <c r="AV52" s="650"/>
      <c r="AW52" s="650"/>
      <c r="AX52" s="650"/>
      <c r="AY52" s="650"/>
      <c r="AZ52" s="650"/>
      <c r="BA52" s="650"/>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8"/>
        <v>#N/A</v>
      </c>
      <c r="D53" s="200"/>
      <c r="E53" s="637" t="str">
        <f t="shared" si="6"/>
        <v>バンダリ</v>
      </c>
      <c r="F53" s="638" t="str">
        <f t="shared" si="9"/>
        <v>#N/A</v>
      </c>
      <c r="G53" s="200"/>
      <c r="H53" s="200"/>
      <c r="I53" s="172" t="b">
        <v>0</v>
      </c>
      <c r="J53" s="619">
        <v>14.0</v>
      </c>
      <c r="K53" s="639" t="s">
        <v>479</v>
      </c>
      <c r="L53" s="640" t="s">
        <v>468</v>
      </c>
      <c r="M53" s="641"/>
      <c r="N53" s="647" t="s">
        <v>192</v>
      </c>
      <c r="O53" s="647" t="s">
        <v>192</v>
      </c>
      <c r="P53" s="647" t="s">
        <v>192</v>
      </c>
      <c r="Q53" s="647" t="s">
        <v>409</v>
      </c>
      <c r="R53" s="647" t="s">
        <v>409</v>
      </c>
      <c r="S53" s="647" t="s">
        <v>409</v>
      </c>
      <c r="T53" s="647" t="s">
        <v>409</v>
      </c>
      <c r="U53" s="647" t="s">
        <v>192</v>
      </c>
      <c r="V53" s="647" t="s">
        <v>192</v>
      </c>
      <c r="W53" s="647" t="s">
        <v>192</v>
      </c>
      <c r="X53" s="647" t="s">
        <v>409</v>
      </c>
      <c r="Y53" s="647" t="s">
        <v>409</v>
      </c>
      <c r="Z53" s="647" t="s">
        <v>409</v>
      </c>
      <c r="AA53" s="647" t="s">
        <v>409</v>
      </c>
      <c r="AB53" s="647" t="s">
        <v>192</v>
      </c>
      <c r="AC53" s="647" t="s">
        <v>192</v>
      </c>
      <c r="AD53" s="647" t="s">
        <v>192</v>
      </c>
      <c r="AE53" s="647" t="s">
        <v>409</v>
      </c>
      <c r="AF53" s="647" t="s">
        <v>409</v>
      </c>
      <c r="AG53" s="647" t="s">
        <v>409</v>
      </c>
      <c r="AH53" s="647" t="s">
        <v>409</v>
      </c>
      <c r="AI53" s="647" t="s">
        <v>192</v>
      </c>
      <c r="AJ53" s="647" t="s">
        <v>192</v>
      </c>
      <c r="AK53" s="647" t="s">
        <v>192</v>
      </c>
      <c r="AL53" s="647" t="s">
        <v>409</v>
      </c>
      <c r="AM53" s="647" t="s">
        <v>409</v>
      </c>
      <c r="AN53" s="647" t="s">
        <v>409</v>
      </c>
      <c r="AO53" s="647" t="s">
        <v>409</v>
      </c>
      <c r="AP53" s="647" t="s">
        <v>192</v>
      </c>
      <c r="AQ53" s="647" t="s">
        <v>192</v>
      </c>
      <c r="AS53" s="648">
        <f t="array" ref="AS53">SUM(COUNTIF(N53:AR53, {"◎","〇","☆","共","特","浴"}))</f>
        <v>14</v>
      </c>
      <c r="AT53" s="649"/>
      <c r="AU53" s="650"/>
      <c r="AV53" s="650"/>
      <c r="AW53" s="650"/>
      <c r="AX53" s="650"/>
      <c r="AY53" s="650"/>
      <c r="AZ53" s="650"/>
      <c r="BA53" s="650"/>
      <c r="BB53" s="653" t="s">
        <v>607</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ランジュ</v>
      </c>
      <c r="C54" s="638" t="str">
        <f t="shared" si="8"/>
        <v>#N/A</v>
      </c>
      <c r="D54" s="200"/>
      <c r="E54" s="637" t="str">
        <f t="shared" si="6"/>
        <v>ランジュ</v>
      </c>
      <c r="F54" s="638" t="str">
        <f t="shared" si="9"/>
        <v>#N/A</v>
      </c>
      <c r="G54" s="200"/>
      <c r="H54" s="200"/>
      <c r="I54" s="172" t="b">
        <v>0</v>
      </c>
      <c r="J54" s="619">
        <v>10.0</v>
      </c>
      <c r="K54" s="639" t="s">
        <v>165</v>
      </c>
      <c r="L54" s="640" t="s">
        <v>475</v>
      </c>
      <c r="M54" s="646"/>
      <c r="N54" s="647" t="s">
        <v>192</v>
      </c>
      <c r="O54" s="647" t="s">
        <v>409</v>
      </c>
      <c r="P54" s="647" t="s">
        <v>192</v>
      </c>
      <c r="Q54" s="647" t="s">
        <v>409</v>
      </c>
      <c r="R54" s="647" t="s">
        <v>409</v>
      </c>
      <c r="S54" s="647" t="s">
        <v>409</v>
      </c>
      <c r="T54" s="647" t="s">
        <v>192</v>
      </c>
      <c r="U54" s="647" t="s">
        <v>192</v>
      </c>
      <c r="V54" s="647" t="s">
        <v>409</v>
      </c>
      <c r="W54" s="647" t="s">
        <v>192</v>
      </c>
      <c r="X54" s="647" t="s">
        <v>409</v>
      </c>
      <c r="Y54" s="647" t="s">
        <v>409</v>
      </c>
      <c r="Z54" s="647" t="s">
        <v>409</v>
      </c>
      <c r="AA54" s="647" t="s">
        <v>192</v>
      </c>
      <c r="AB54" s="647" t="s">
        <v>192</v>
      </c>
      <c r="AC54" s="647" t="s">
        <v>409</v>
      </c>
      <c r="AD54" s="647" t="s">
        <v>192</v>
      </c>
      <c r="AE54" s="647" t="s">
        <v>192</v>
      </c>
      <c r="AF54" s="647" t="s">
        <v>409</v>
      </c>
      <c r="AG54" s="647" t="s">
        <v>409</v>
      </c>
      <c r="AH54" s="647" t="s">
        <v>192</v>
      </c>
      <c r="AI54" s="647" t="s">
        <v>192</v>
      </c>
      <c r="AJ54" s="647" t="s">
        <v>409</v>
      </c>
      <c r="AK54" s="647" t="s">
        <v>192</v>
      </c>
      <c r="AL54" s="647" t="s">
        <v>409</v>
      </c>
      <c r="AM54" s="647" t="s">
        <v>409</v>
      </c>
      <c r="AN54" s="647" t="s">
        <v>409</v>
      </c>
      <c r="AO54" s="647" t="s">
        <v>192</v>
      </c>
      <c r="AP54" s="647" t="s">
        <v>192</v>
      </c>
      <c r="AQ54" s="647" t="s">
        <v>409</v>
      </c>
      <c r="AR54" s="647" t="s">
        <v>192</v>
      </c>
      <c r="AS54" s="648">
        <f t="array" ref="AS54">SUM(COUNTIF(N54:AR54, {"◎","〇","☆","共","特","浴"}))</f>
        <v>15</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ウィン</v>
      </c>
      <c r="C55" s="638" t="str">
        <f t="shared" si="8"/>
        <v>#N/A</v>
      </c>
      <c r="D55" s="200"/>
      <c r="E55" s="637" t="str">
        <f t="shared" si="6"/>
        <v>ウィン</v>
      </c>
      <c r="F55" s="638" t="str">
        <f t="shared" si="9"/>
        <v>#N/A</v>
      </c>
      <c r="G55" s="200"/>
      <c r="H55" s="200"/>
      <c r="I55" s="172" t="b">
        <v>0</v>
      </c>
      <c r="J55" s="619">
        <v>12.0</v>
      </c>
      <c r="K55" s="639" t="s">
        <v>474</v>
      </c>
      <c r="L55" s="640" t="s">
        <v>475</v>
      </c>
      <c r="M55" s="646"/>
      <c r="N55" s="647" t="s">
        <v>409</v>
      </c>
      <c r="O55" s="647" t="s">
        <v>409</v>
      </c>
      <c r="P55" s="647" t="s">
        <v>409</v>
      </c>
      <c r="Q55" s="647" t="s">
        <v>192</v>
      </c>
      <c r="R55" s="647" t="s">
        <v>192</v>
      </c>
      <c r="S55" s="647" t="s">
        <v>192</v>
      </c>
      <c r="T55" s="647" t="s">
        <v>409</v>
      </c>
      <c r="U55" s="647" t="s">
        <v>409</v>
      </c>
      <c r="V55" s="647" t="s">
        <v>409</v>
      </c>
      <c r="W55" s="647" t="s">
        <v>409</v>
      </c>
      <c r="X55" s="647" t="s">
        <v>192</v>
      </c>
      <c r="Y55" s="647" t="s">
        <v>192</v>
      </c>
      <c r="Z55" s="647" t="s">
        <v>192</v>
      </c>
      <c r="AA55" s="647" t="s">
        <v>409</v>
      </c>
      <c r="AB55" s="647" t="s">
        <v>409</v>
      </c>
      <c r="AC55" s="647" t="s">
        <v>409</v>
      </c>
      <c r="AD55" s="647" t="s">
        <v>409</v>
      </c>
      <c r="AE55" s="647" t="s">
        <v>192</v>
      </c>
      <c r="AF55" s="647" t="s">
        <v>192</v>
      </c>
      <c r="AG55" s="647" t="s">
        <v>192</v>
      </c>
      <c r="AH55" s="647" t="s">
        <v>409</v>
      </c>
      <c r="AI55" s="647" t="s">
        <v>409</v>
      </c>
      <c r="AJ55" s="647" t="s">
        <v>409</v>
      </c>
      <c r="AK55" s="647" t="s">
        <v>409</v>
      </c>
      <c r="AL55" s="647" t="s">
        <v>192</v>
      </c>
      <c r="AM55" s="647" t="s">
        <v>192</v>
      </c>
      <c r="AN55" s="647" t="s">
        <v>192</v>
      </c>
      <c r="AO55" s="647" t="s">
        <v>409</v>
      </c>
      <c r="AP55" s="647" t="s">
        <v>409</v>
      </c>
      <c r="AQ55" s="647" t="s">
        <v>409</v>
      </c>
      <c r="AR55" s="647" t="s">
        <v>409</v>
      </c>
      <c r="AS55" s="648">
        <f t="array" ref="AS55">SUM(COUNTIF(N55:AR55, {"◎","〇","☆","共","特","浴"}))</f>
        <v>12</v>
      </c>
      <c r="AT55" s="652"/>
      <c r="AU55" s="650"/>
      <c r="AV55" s="650"/>
      <c r="AW55" s="650"/>
      <c r="AX55" s="650"/>
      <c r="AY55" s="650"/>
      <c r="AZ55" s="650"/>
      <c r="BA55" s="650"/>
      <c r="BB55" s="653" t="s">
        <v>608</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ギミレ</v>
      </c>
      <c r="C56" s="638" t="str">
        <f t="shared" si="8"/>
        <v>#N/A</v>
      </c>
      <c r="D56" s="200"/>
      <c r="E56" s="637" t="str">
        <f t="shared" si="6"/>
        <v>ギミレ</v>
      </c>
      <c r="F56" s="638" t="str">
        <f t="shared" si="9"/>
        <v>#N/A</v>
      </c>
      <c r="G56" s="200"/>
      <c r="H56" s="200"/>
      <c r="I56" s="172" t="b">
        <v>0</v>
      </c>
      <c r="J56" s="619">
        <v>8.0</v>
      </c>
      <c r="K56" s="639" t="s">
        <v>159</v>
      </c>
      <c r="L56" s="640" t="s">
        <v>475</v>
      </c>
      <c r="M56" s="646"/>
      <c r="N56" s="647" t="s">
        <v>409</v>
      </c>
      <c r="O56" s="647" t="s">
        <v>409</v>
      </c>
      <c r="P56" s="647" t="s">
        <v>192</v>
      </c>
      <c r="Q56" s="647" t="s">
        <v>192</v>
      </c>
      <c r="R56" s="647" t="s">
        <v>409</v>
      </c>
      <c r="S56" s="647" t="s">
        <v>192</v>
      </c>
      <c r="T56" s="647" t="s">
        <v>192</v>
      </c>
      <c r="U56" s="647" t="s">
        <v>409</v>
      </c>
      <c r="V56" s="647" t="s">
        <v>409</v>
      </c>
      <c r="W56" s="647" t="s">
        <v>192</v>
      </c>
      <c r="X56" s="647" t="s">
        <v>192</v>
      </c>
      <c r="Y56" s="647" t="s">
        <v>409</v>
      </c>
      <c r="Z56" s="647" t="s">
        <v>192</v>
      </c>
      <c r="AA56" s="647" t="s">
        <v>192</v>
      </c>
      <c r="AB56" s="647" t="s">
        <v>409</v>
      </c>
      <c r="AC56" s="647" t="s">
        <v>409</v>
      </c>
      <c r="AD56" s="647" t="s">
        <v>192</v>
      </c>
      <c r="AE56" s="647" t="s">
        <v>192</v>
      </c>
      <c r="AF56" s="647" t="s">
        <v>409</v>
      </c>
      <c r="AG56" s="647" t="s">
        <v>192</v>
      </c>
      <c r="AH56" s="647" t="s">
        <v>192</v>
      </c>
      <c r="AI56" s="647" t="s">
        <v>409</v>
      </c>
      <c r="AJ56" s="647" t="s">
        <v>409</v>
      </c>
      <c r="AK56" s="647"/>
      <c r="AL56" s="647" t="s">
        <v>192</v>
      </c>
      <c r="AM56" s="647" t="s">
        <v>409</v>
      </c>
      <c r="AN56" s="647" t="s">
        <v>192</v>
      </c>
      <c r="AO56" s="647" t="s">
        <v>192</v>
      </c>
      <c r="AP56" s="647" t="s">
        <v>409</v>
      </c>
      <c r="AQ56" s="647" t="s">
        <v>409</v>
      </c>
      <c r="AR56" s="647" t="s">
        <v>192</v>
      </c>
      <c r="AS56" s="648">
        <f t="array" ref="AS56">SUM(COUNTIF(N56:AR56, {"◎","〇","☆","共","特","浴"}))</f>
        <v>16</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GT</v>
      </c>
      <c r="C57" s="638" t="str">
        <f t="shared" si="8"/>
        <v>#N/A</v>
      </c>
      <c r="D57" s="200"/>
      <c r="E57" s="637" t="str">
        <f t="shared" si="6"/>
        <v>GT</v>
      </c>
      <c r="F57" s="638" t="str">
        <f t="shared" si="9"/>
        <v>#N/A</v>
      </c>
      <c r="G57" s="200"/>
      <c r="H57" s="200"/>
      <c r="I57" s="172" t="b">
        <v>0</v>
      </c>
      <c r="J57" s="619">
        <v>15.0</v>
      </c>
      <c r="K57" s="639" t="s">
        <v>481</v>
      </c>
      <c r="L57" s="640" t="s">
        <v>475</v>
      </c>
      <c r="M57" s="646"/>
      <c r="N57" s="647" t="s">
        <v>192</v>
      </c>
      <c r="O57" s="647" t="s">
        <v>409</v>
      </c>
      <c r="P57" s="647" t="s">
        <v>192</v>
      </c>
      <c r="Q57" s="647" t="s">
        <v>409</v>
      </c>
      <c r="R57" s="647" t="s">
        <v>192</v>
      </c>
      <c r="S57" s="647" t="s">
        <v>192</v>
      </c>
      <c r="T57" s="647" t="s">
        <v>192</v>
      </c>
      <c r="U57" s="647" t="s">
        <v>192</v>
      </c>
      <c r="V57" s="647" t="s">
        <v>409</v>
      </c>
      <c r="W57" s="647" t="s">
        <v>192</v>
      </c>
      <c r="X57" s="647" t="s">
        <v>409</v>
      </c>
      <c r="Y57" s="647" t="s">
        <v>192</v>
      </c>
      <c r="Z57" s="647" t="s">
        <v>192</v>
      </c>
      <c r="AA57" s="647" t="s">
        <v>192</v>
      </c>
      <c r="AB57" s="647" t="s">
        <v>192</v>
      </c>
      <c r="AC57" s="647" t="s">
        <v>409</v>
      </c>
      <c r="AD57" s="647" t="s">
        <v>192</v>
      </c>
      <c r="AE57" s="647" t="s">
        <v>409</v>
      </c>
      <c r="AF57" s="647" t="s">
        <v>192</v>
      </c>
      <c r="AG57" s="647" t="s">
        <v>192</v>
      </c>
      <c r="AH57" s="647" t="s">
        <v>192</v>
      </c>
      <c r="AI57" s="647" t="s">
        <v>192</v>
      </c>
      <c r="AJ57" s="647" t="s">
        <v>409</v>
      </c>
      <c r="AK57" s="647" t="s">
        <v>192</v>
      </c>
      <c r="AL57" s="647" t="s">
        <v>409</v>
      </c>
      <c r="AM57" s="647" t="s">
        <v>192</v>
      </c>
      <c r="AN57" s="647" t="s">
        <v>192</v>
      </c>
      <c r="AO57" s="647" t="s">
        <v>192</v>
      </c>
      <c r="AP57" s="647" t="s">
        <v>192</v>
      </c>
      <c r="AQ57" s="647" t="s">
        <v>409</v>
      </c>
      <c r="AR57" s="647" t="s">
        <v>192</v>
      </c>
      <c r="AS57" s="648">
        <f t="array" ref="AS57">SUM(COUNTIF(N57:AR57, {"◎","〇","☆","共","特","浴"}))</f>
        <v>22</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アラム</v>
      </c>
      <c r="C58" s="638" t="str">
        <f t="shared" si="8"/>
        <v>#N/A</v>
      </c>
      <c r="D58" s="200"/>
      <c r="E58" s="637" t="str">
        <f t="shared" si="6"/>
        <v>アラム</v>
      </c>
      <c r="F58" s="638" t="str">
        <f t="shared" si="9"/>
        <v>#N/A</v>
      </c>
      <c r="G58" s="200"/>
      <c r="H58" s="200"/>
      <c r="I58" s="172" t="b">
        <v>0</v>
      </c>
      <c r="J58" s="619">
        <v>7.0</v>
      </c>
      <c r="K58" s="639" t="s">
        <v>112</v>
      </c>
      <c r="L58" s="640" t="s">
        <v>475</v>
      </c>
      <c r="M58" s="646"/>
      <c r="N58" s="647" t="s">
        <v>192</v>
      </c>
      <c r="O58" s="647" t="s">
        <v>192</v>
      </c>
      <c r="P58" s="647" t="s">
        <v>409</v>
      </c>
      <c r="Q58" s="647" t="s">
        <v>409</v>
      </c>
      <c r="R58" s="647" t="s">
        <v>192</v>
      </c>
      <c r="S58" s="647" t="s">
        <v>409</v>
      </c>
      <c r="T58" s="647" t="s">
        <v>419</v>
      </c>
      <c r="U58" s="647" t="s">
        <v>419</v>
      </c>
      <c r="V58" s="647" t="s">
        <v>419</v>
      </c>
      <c r="W58" s="647" t="s">
        <v>409</v>
      </c>
      <c r="X58" s="647" t="s">
        <v>409</v>
      </c>
      <c r="Y58" s="647" t="s">
        <v>192</v>
      </c>
      <c r="Z58" s="647" t="s">
        <v>409</v>
      </c>
      <c r="AA58" s="647" t="s">
        <v>192</v>
      </c>
      <c r="AB58" s="647" t="s">
        <v>192</v>
      </c>
      <c r="AC58" s="647" t="s">
        <v>192</v>
      </c>
      <c r="AD58" s="647" t="s">
        <v>409</v>
      </c>
      <c r="AE58" s="647" t="s">
        <v>409</v>
      </c>
      <c r="AF58" s="647" t="s">
        <v>192</v>
      </c>
      <c r="AG58" s="647" t="s">
        <v>409</v>
      </c>
      <c r="AH58" s="647" t="s">
        <v>192</v>
      </c>
      <c r="AI58" s="647" t="s">
        <v>192</v>
      </c>
      <c r="AJ58" s="647" t="s">
        <v>192</v>
      </c>
      <c r="AK58" s="647" t="s">
        <v>409</v>
      </c>
      <c r="AL58" s="647" t="s">
        <v>409</v>
      </c>
      <c r="AM58" s="647" t="s">
        <v>192</v>
      </c>
      <c r="AN58" s="647" t="s">
        <v>409</v>
      </c>
      <c r="AO58" s="647" t="s">
        <v>192</v>
      </c>
      <c r="AP58" s="647" t="s">
        <v>192</v>
      </c>
      <c r="AQ58" s="647" t="s">
        <v>192</v>
      </c>
      <c r="AR58" s="647" t="s">
        <v>409</v>
      </c>
      <c r="AS58" s="648">
        <f t="array" ref="AS58">SUM(COUNTIF(N58:AR58, {"◎","〇","☆","共","特","浴"}))</f>
        <v>15</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カトリ</v>
      </c>
      <c r="C59" s="638" t="str">
        <f t="shared" si="8"/>
        <v>#N/A</v>
      </c>
      <c r="D59" s="200"/>
      <c r="E59" s="637" t="str">
        <f t="shared" si="6"/>
        <v>カトリ</v>
      </c>
      <c r="F59" s="638" t="str">
        <f t="shared" si="9"/>
        <v>#N/A</v>
      </c>
      <c r="G59" s="200"/>
      <c r="H59" s="200"/>
      <c r="I59" s="172" t="b">
        <v>0</v>
      </c>
      <c r="J59" s="619">
        <v>15.0</v>
      </c>
      <c r="K59" s="639" t="s">
        <v>125</v>
      </c>
      <c r="L59" s="640" t="s">
        <v>475</v>
      </c>
      <c r="M59" s="646"/>
      <c r="N59" s="647" t="s">
        <v>192</v>
      </c>
      <c r="O59" s="647" t="s">
        <v>192</v>
      </c>
      <c r="P59" s="647" t="s">
        <v>409</v>
      </c>
      <c r="Q59" s="647" t="s">
        <v>409</v>
      </c>
      <c r="R59" s="647" t="s">
        <v>409</v>
      </c>
      <c r="S59" s="647" t="s">
        <v>192</v>
      </c>
      <c r="T59" s="647" t="s">
        <v>192</v>
      </c>
      <c r="U59" s="647" t="s">
        <v>192</v>
      </c>
      <c r="V59" s="647" t="s">
        <v>192</v>
      </c>
      <c r="W59" s="647" t="s">
        <v>409</v>
      </c>
      <c r="X59" s="647" t="s">
        <v>409</v>
      </c>
      <c r="Y59" s="647" t="s">
        <v>409</v>
      </c>
      <c r="Z59" s="647" t="s">
        <v>192</v>
      </c>
      <c r="AA59" s="647" t="s">
        <v>192</v>
      </c>
      <c r="AB59" s="647" t="s">
        <v>192</v>
      </c>
      <c r="AC59" s="647" t="s">
        <v>192</v>
      </c>
      <c r="AD59" s="647" t="s">
        <v>409</v>
      </c>
      <c r="AE59" s="647" t="s">
        <v>409</v>
      </c>
      <c r="AF59" s="647" t="s">
        <v>409</v>
      </c>
      <c r="AG59" s="647" t="s">
        <v>192</v>
      </c>
      <c r="AH59" s="647" t="s">
        <v>192</v>
      </c>
      <c r="AI59" s="647" t="s">
        <v>192</v>
      </c>
      <c r="AJ59" s="647" t="s">
        <v>192</v>
      </c>
      <c r="AK59" s="647" t="s">
        <v>409</v>
      </c>
      <c r="AL59" s="647" t="s">
        <v>409</v>
      </c>
      <c r="AM59" s="647" t="s">
        <v>409</v>
      </c>
      <c r="AN59" s="647" t="s">
        <v>192</v>
      </c>
      <c r="AO59" s="647" t="s">
        <v>192</v>
      </c>
      <c r="AP59" s="647" t="s">
        <v>192</v>
      </c>
      <c r="AQ59" s="647" t="s">
        <v>192</v>
      </c>
      <c r="AR59" s="647" t="s">
        <v>409</v>
      </c>
      <c r="AS59" s="648">
        <f t="array" ref="AS59">SUM(COUNTIF(N59:AR59, {"◎","〇","☆","共","特","浴"}))</f>
        <v>18</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ライン</v>
      </c>
      <c r="C60" s="638" t="str">
        <f t="shared" si="8"/>
        <v>#N/A</v>
      </c>
      <c r="D60" s="200"/>
      <c r="E60" s="637" t="str">
        <f t="shared" si="6"/>
        <v>ライン</v>
      </c>
      <c r="F60" s="638" t="str">
        <f t="shared" si="9"/>
        <v>#N/A</v>
      </c>
      <c r="G60" s="200"/>
      <c r="H60" s="200"/>
      <c r="I60" s="172" t="b">
        <v>0</v>
      </c>
      <c r="J60" s="619">
        <v>7.0</v>
      </c>
      <c r="K60" s="639" t="s">
        <v>526</v>
      </c>
      <c r="L60" s="640" t="s">
        <v>475</v>
      </c>
      <c r="M60" s="646"/>
      <c r="N60" s="647" t="s">
        <v>409</v>
      </c>
      <c r="O60" s="647" t="s">
        <v>409</v>
      </c>
      <c r="P60" s="647" t="s">
        <v>409</v>
      </c>
      <c r="Q60" s="647" t="s">
        <v>409</v>
      </c>
      <c r="R60" s="647" t="s">
        <v>192</v>
      </c>
      <c r="S60" s="647" t="s">
        <v>192</v>
      </c>
      <c r="T60" s="647" t="s">
        <v>192</v>
      </c>
      <c r="U60" s="647" t="s">
        <v>409</v>
      </c>
      <c r="V60" s="647" t="s">
        <v>409</v>
      </c>
      <c r="W60" s="647" t="s">
        <v>409</v>
      </c>
      <c r="X60" s="647" t="s">
        <v>409</v>
      </c>
      <c r="Y60" s="647" t="s">
        <v>192</v>
      </c>
      <c r="Z60" s="647" t="s">
        <v>192</v>
      </c>
      <c r="AA60" s="647" t="s">
        <v>192</v>
      </c>
      <c r="AB60" s="647" t="s">
        <v>409</v>
      </c>
      <c r="AC60" s="647" t="s">
        <v>409</v>
      </c>
      <c r="AD60" s="647" t="s">
        <v>409</v>
      </c>
      <c r="AE60" s="647" t="s">
        <v>409</v>
      </c>
      <c r="AF60" s="647" t="s">
        <v>192</v>
      </c>
      <c r="AG60" s="647" t="s">
        <v>192</v>
      </c>
      <c r="AH60" s="647" t="s">
        <v>192</v>
      </c>
      <c r="AI60" s="647" t="s">
        <v>409</v>
      </c>
      <c r="AJ60" s="647" t="s">
        <v>409</v>
      </c>
      <c r="AK60" s="647" t="s">
        <v>409</v>
      </c>
      <c r="AL60" s="647" t="s">
        <v>409</v>
      </c>
      <c r="AM60" s="647" t="s">
        <v>192</v>
      </c>
      <c r="AN60" s="647" t="s">
        <v>192</v>
      </c>
      <c r="AO60" s="647" t="s">
        <v>192</v>
      </c>
      <c r="AP60" s="647" t="s">
        <v>409</v>
      </c>
      <c r="AQ60" s="647" t="s">
        <v>409</v>
      </c>
      <c r="AR60" s="647" t="s">
        <v>409</v>
      </c>
      <c r="AS60" s="648">
        <f t="array" ref="AS60">SUM(COUNTIF(N60:AR60, {"◎","〇","☆","共","特","浴"}))</f>
        <v>12</v>
      </c>
      <c r="AT60" s="652"/>
      <c r="AU60" s="650"/>
      <c r="AV60" s="650"/>
      <c r="AW60" s="650"/>
      <c r="AX60" s="650"/>
      <c r="AY60" s="650"/>
      <c r="AZ60" s="650"/>
      <c r="BA60" s="650"/>
      <c r="BB60" s="653" t="s">
        <v>609</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スザナ</v>
      </c>
      <c r="C61" s="638"/>
      <c r="D61" s="200"/>
      <c r="E61" s="637" t="str">
        <f t="shared" si="6"/>
        <v>スザナ</v>
      </c>
      <c r="F61" s="638"/>
      <c r="G61" s="200"/>
      <c r="H61" s="200"/>
      <c r="I61" s="172" t="b">
        <v>0</v>
      </c>
      <c r="J61" s="619">
        <v>5.0</v>
      </c>
      <c r="K61" s="639" t="s">
        <v>482</v>
      </c>
      <c r="L61" s="640" t="s">
        <v>475</v>
      </c>
      <c r="M61" s="641"/>
      <c r="N61" s="647"/>
      <c r="O61" s="647"/>
      <c r="P61" s="647"/>
      <c r="Q61" s="647"/>
      <c r="R61" s="647"/>
      <c r="S61" s="647"/>
      <c r="T61" s="647"/>
      <c r="U61" s="647"/>
      <c r="V61" s="647"/>
      <c r="W61" s="647"/>
      <c r="X61" s="647"/>
      <c r="Y61" s="647"/>
      <c r="Z61" s="647" t="s">
        <v>192</v>
      </c>
      <c r="AA61" s="647"/>
      <c r="AB61" s="647"/>
      <c r="AC61" s="647" t="s">
        <v>192</v>
      </c>
      <c r="AD61" s="647"/>
      <c r="AE61" s="647" t="s">
        <v>192</v>
      </c>
      <c r="AF61" s="647" t="s">
        <v>192</v>
      </c>
      <c r="AG61" s="647" t="s">
        <v>192</v>
      </c>
      <c r="AH61" s="647"/>
      <c r="AI61" s="647"/>
      <c r="AJ61" s="647" t="s">
        <v>192</v>
      </c>
      <c r="AK61" s="647"/>
      <c r="AL61" s="647"/>
      <c r="AM61" s="647"/>
      <c r="AN61" s="647" t="s">
        <v>192</v>
      </c>
      <c r="AO61" s="647"/>
      <c r="AP61" s="647"/>
      <c r="AQ61" s="647" t="s">
        <v>192</v>
      </c>
      <c r="AR61" s="642"/>
      <c r="AS61" s="648">
        <f t="array" ref="AS61">SUM(COUNTIF(N61:AR61, {"◎","〇","☆","共","特","浴"}))</f>
        <v>8</v>
      </c>
      <c r="AT61" s="652"/>
      <c r="AU61" s="650"/>
      <c r="AV61" s="650"/>
      <c r="AW61" s="650"/>
      <c r="AX61" s="650"/>
      <c r="AY61" s="650"/>
      <c r="AZ61" s="650"/>
      <c r="BA61" s="650"/>
      <c r="BB61" s="651"/>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サナム</v>
      </c>
      <c r="C62" s="638" t="str">
        <f t="shared" ref="C62:C104" si="16">if(B62="","", xlookup($B$7,$N$7:$AR$7,$N62:$AR62))</f>
        <v>#N/A</v>
      </c>
      <c r="D62" s="200"/>
      <c r="E62" s="637" t="str">
        <f t="shared" si="6"/>
        <v>サナム</v>
      </c>
      <c r="F62" s="638" t="str">
        <f t="shared" ref="F62:F103" si="17">if(E62="","", xlookup($E$7,$N$7:$AR$7,$N62:$AR62))</f>
        <v>#N/A</v>
      </c>
      <c r="G62" s="200"/>
      <c r="H62" s="200"/>
      <c r="I62" s="172" t="b">
        <v>0</v>
      </c>
      <c r="J62" s="619"/>
      <c r="K62" s="639" t="s">
        <v>483</v>
      </c>
      <c r="L62" s="640" t="s">
        <v>475</v>
      </c>
      <c r="M62" s="646"/>
      <c r="N62" s="647"/>
      <c r="O62" s="647"/>
      <c r="P62" s="647"/>
      <c r="Q62" s="647"/>
      <c r="R62" s="647"/>
      <c r="S62" s="647"/>
      <c r="T62" s="647"/>
      <c r="U62" s="647"/>
      <c r="V62" s="647"/>
      <c r="W62" s="647"/>
      <c r="X62" s="647"/>
      <c r="Y62" s="647"/>
      <c r="Z62" s="647"/>
      <c r="AA62" s="647"/>
      <c r="AB62" s="647"/>
      <c r="AC62" s="647"/>
      <c r="AD62" s="647" t="s">
        <v>192</v>
      </c>
      <c r="AE62" s="647"/>
      <c r="AF62" s="647"/>
      <c r="AG62" s="647"/>
      <c r="AH62" s="647"/>
      <c r="AI62" s="647"/>
      <c r="AJ62" s="647"/>
      <c r="AK62" s="647" t="s">
        <v>192</v>
      </c>
      <c r="AL62" s="647" t="s">
        <v>192</v>
      </c>
      <c r="AM62" s="647"/>
      <c r="AN62" s="647"/>
      <c r="AO62" s="647"/>
      <c r="AP62" s="647"/>
      <c r="AQ62" s="647"/>
      <c r="AR62" s="647" t="s">
        <v>192</v>
      </c>
      <c r="AS62" s="648">
        <f t="array" ref="AS62">SUM(COUNTIF(N62:AR62, {"◎","〇","☆","共","特","浴"}))</f>
        <v>4</v>
      </c>
      <c r="AT62" s="652"/>
      <c r="AU62" s="650"/>
      <c r="AV62" s="650"/>
      <c r="AW62" s="650"/>
      <c r="AX62" s="650"/>
      <c r="AY62" s="650"/>
      <c r="AZ62" s="650"/>
      <c r="BA62" s="650"/>
      <c r="BB62" s="653" t="s">
        <v>610</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カヴィンダ</v>
      </c>
      <c r="C63" s="638" t="str">
        <f t="shared" si="16"/>
        <v>#N/A</v>
      </c>
      <c r="D63" s="200"/>
      <c r="E63" s="637" t="str">
        <f t="shared" si="6"/>
        <v>カヴィンダ</v>
      </c>
      <c r="F63" s="638" t="str">
        <f t="shared" si="17"/>
        <v>#N/A</v>
      </c>
      <c r="G63" s="200"/>
      <c r="H63" s="200"/>
      <c r="I63" s="172" t="b">
        <v>0</v>
      </c>
      <c r="J63" s="619"/>
      <c r="K63" s="639" t="s">
        <v>517</v>
      </c>
      <c r="L63" s="640"/>
      <c r="M63" s="646"/>
      <c r="N63" s="647" t="s">
        <v>415</v>
      </c>
      <c r="O63" s="647" t="s">
        <v>409</v>
      </c>
      <c r="P63" s="647" t="s">
        <v>409</v>
      </c>
      <c r="Q63" s="647" t="s">
        <v>409</v>
      </c>
      <c r="R63" s="647" t="s">
        <v>409</v>
      </c>
      <c r="S63" s="647" t="s">
        <v>409</v>
      </c>
      <c r="T63" s="647" t="s">
        <v>611</v>
      </c>
      <c r="U63" s="647" t="s">
        <v>611</v>
      </c>
      <c r="V63" s="647" t="s">
        <v>409</v>
      </c>
      <c r="W63" s="647" t="s">
        <v>409</v>
      </c>
      <c r="X63" s="647" t="s">
        <v>409</v>
      </c>
      <c r="Y63" s="647" t="s">
        <v>409</v>
      </c>
      <c r="Z63" s="647" t="s">
        <v>409</v>
      </c>
      <c r="AA63" s="647" t="s">
        <v>611</v>
      </c>
      <c r="AB63" s="647" t="s">
        <v>611</v>
      </c>
      <c r="AC63" s="647" t="s">
        <v>409</v>
      </c>
      <c r="AD63" s="647" t="s">
        <v>409</v>
      </c>
      <c r="AE63" s="647" t="s">
        <v>409</v>
      </c>
      <c r="AF63" s="647" t="s">
        <v>409</v>
      </c>
      <c r="AG63" s="647" t="s">
        <v>409</v>
      </c>
      <c r="AH63" s="647" t="s">
        <v>611</v>
      </c>
      <c r="AI63" s="647" t="s">
        <v>611</v>
      </c>
      <c r="AJ63" s="647" t="s">
        <v>409</v>
      </c>
      <c r="AK63" s="647" t="s">
        <v>409</v>
      </c>
      <c r="AL63" s="647" t="s">
        <v>409</v>
      </c>
      <c r="AM63" s="647" t="s">
        <v>409</v>
      </c>
      <c r="AN63" s="647" t="s">
        <v>409</v>
      </c>
      <c r="AO63" s="647" t="s">
        <v>611</v>
      </c>
      <c r="AP63" s="647" t="s">
        <v>611</v>
      </c>
      <c r="AQ63" s="647" t="s">
        <v>409</v>
      </c>
      <c r="AR63" s="647" t="s">
        <v>409</v>
      </c>
      <c r="AS63" s="648">
        <f t="array" ref="AS63">SUM(COUNTIF(N63:AR63, {"◎","〇","☆","共","特","浴"}))</f>
        <v>0</v>
      </c>
      <c r="AT63" s="652"/>
      <c r="AU63" s="650"/>
      <c r="AV63" s="650"/>
      <c r="AW63" s="650"/>
      <c r="AX63" s="650"/>
      <c r="AY63" s="650"/>
      <c r="AZ63" s="650"/>
      <c r="BA63" s="650"/>
      <c r="BB63" s="653" t="s">
        <v>612</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ソノダ</v>
      </c>
      <c r="C64" s="638" t="str">
        <f t="shared" si="16"/>
        <v>#N/A</v>
      </c>
      <c r="D64" s="200"/>
      <c r="E64" s="637" t="str">
        <f t="shared" si="6"/>
        <v>ソノダ</v>
      </c>
      <c r="F64" s="638" t="str">
        <f t="shared" si="17"/>
        <v>#N/A</v>
      </c>
      <c r="G64" s="200"/>
      <c r="H64" s="200"/>
      <c r="I64" s="172" t="b">
        <v>0</v>
      </c>
      <c r="J64" s="619"/>
      <c r="K64" s="639" t="s">
        <v>487</v>
      </c>
      <c r="L64" s="640"/>
      <c r="M64" s="646"/>
      <c r="N64" s="647" t="s">
        <v>613</v>
      </c>
      <c r="O64" s="647" t="s">
        <v>613</v>
      </c>
      <c r="P64" s="647" t="s">
        <v>409</v>
      </c>
      <c r="Q64" s="647" t="s">
        <v>409</v>
      </c>
      <c r="R64" s="647" t="s">
        <v>613</v>
      </c>
      <c r="S64" s="647" t="s">
        <v>613</v>
      </c>
      <c r="T64" s="647" t="s">
        <v>409</v>
      </c>
      <c r="U64" s="647" t="s">
        <v>613</v>
      </c>
      <c r="V64" s="647" t="s">
        <v>613</v>
      </c>
      <c r="W64" s="647" t="s">
        <v>409</v>
      </c>
      <c r="X64" s="647" t="s">
        <v>409</v>
      </c>
      <c r="Y64" s="647" t="s">
        <v>613</v>
      </c>
      <c r="Z64" s="647" t="s">
        <v>613</v>
      </c>
      <c r="AA64" s="647" t="s">
        <v>409</v>
      </c>
      <c r="AB64" s="647" t="s">
        <v>613</v>
      </c>
      <c r="AC64" s="647" t="s">
        <v>613</v>
      </c>
      <c r="AD64" s="647" t="s">
        <v>409</v>
      </c>
      <c r="AE64" s="647" t="s">
        <v>409</v>
      </c>
      <c r="AF64" s="647" t="s">
        <v>613</v>
      </c>
      <c r="AG64" s="647" t="s">
        <v>613</v>
      </c>
      <c r="AH64" s="647" t="s">
        <v>409</v>
      </c>
      <c r="AI64" s="647" t="s">
        <v>613</v>
      </c>
      <c r="AJ64" s="647" t="s">
        <v>613</v>
      </c>
      <c r="AK64" s="647" t="s">
        <v>409</v>
      </c>
      <c r="AL64" s="647" t="s">
        <v>409</v>
      </c>
      <c r="AM64" s="647" t="s">
        <v>613</v>
      </c>
      <c r="AN64" s="647" t="s">
        <v>613</v>
      </c>
      <c r="AO64" s="647" t="s">
        <v>409</v>
      </c>
      <c r="AP64" s="647" t="s">
        <v>613</v>
      </c>
      <c r="AQ64" s="647" t="s">
        <v>613</v>
      </c>
      <c r="AR64" s="647" t="s">
        <v>409</v>
      </c>
      <c r="AS64" s="648">
        <f t="array" ref="AS64">SUM(COUNTIF(N64:AR64, {"◎","〇","☆","共","特","浴"}))</f>
        <v>0</v>
      </c>
      <c r="AT64" s="652"/>
      <c r="AU64" s="650"/>
      <c r="AV64" s="650"/>
      <c r="AW64" s="650"/>
      <c r="AX64" s="650"/>
      <c r="AY64" s="650"/>
      <c r="AZ64" s="650"/>
      <c r="BA64" s="650"/>
      <c r="BB64" s="653" t="s">
        <v>614</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サルマ</v>
      </c>
      <c r="C65" s="638" t="str">
        <f t="shared" si="16"/>
        <v>#N/A</v>
      </c>
      <c r="D65" s="200"/>
      <c r="E65" s="637" t="str">
        <f t="shared" si="6"/>
        <v>サルマ</v>
      </c>
      <c r="F65" s="638" t="str">
        <f t="shared" si="17"/>
        <v>#N/A</v>
      </c>
      <c r="G65" s="200"/>
      <c r="H65" s="200"/>
      <c r="I65" s="172" t="b">
        <v>0</v>
      </c>
      <c r="J65" s="619"/>
      <c r="K65" s="639" t="s">
        <v>489</v>
      </c>
      <c r="L65" s="640"/>
      <c r="M65" s="641" t="s">
        <v>615</v>
      </c>
      <c r="N65" s="647" t="s">
        <v>409</v>
      </c>
      <c r="O65" s="647" t="s">
        <v>409</v>
      </c>
      <c r="P65" s="647" t="s">
        <v>613</v>
      </c>
      <c r="Q65" s="647" t="s">
        <v>613</v>
      </c>
      <c r="R65" s="647" t="s">
        <v>409</v>
      </c>
      <c r="S65" s="647" t="s">
        <v>409</v>
      </c>
      <c r="T65" s="647" t="s">
        <v>409</v>
      </c>
      <c r="U65" s="647" t="s">
        <v>409</v>
      </c>
      <c r="V65" s="647" t="s">
        <v>409</v>
      </c>
      <c r="W65" s="647" t="s">
        <v>613</v>
      </c>
      <c r="X65" s="647" t="s">
        <v>613</v>
      </c>
      <c r="Y65" s="647" t="s">
        <v>409</v>
      </c>
      <c r="Z65" s="647" t="s">
        <v>409</v>
      </c>
      <c r="AA65" s="647" t="s">
        <v>409</v>
      </c>
      <c r="AB65" s="647" t="s">
        <v>409</v>
      </c>
      <c r="AC65" s="647" t="s">
        <v>409</v>
      </c>
      <c r="AD65" s="647" t="s">
        <v>613</v>
      </c>
      <c r="AE65" s="647" t="s">
        <v>613</v>
      </c>
      <c r="AF65" s="647" t="s">
        <v>409</v>
      </c>
      <c r="AG65" s="647" t="s">
        <v>409</v>
      </c>
      <c r="AH65" s="647" t="s">
        <v>409</v>
      </c>
      <c r="AI65" s="647" t="s">
        <v>409</v>
      </c>
      <c r="AJ65" s="647" t="s">
        <v>409</v>
      </c>
      <c r="AK65" s="647" t="s">
        <v>613</v>
      </c>
      <c r="AL65" s="647" t="s">
        <v>613</v>
      </c>
      <c r="AM65" s="647" t="s">
        <v>409</v>
      </c>
      <c r="AN65" s="647" t="s">
        <v>409</v>
      </c>
      <c r="AO65" s="647" t="s">
        <v>409</v>
      </c>
      <c r="AP65" s="647" t="s">
        <v>409</v>
      </c>
      <c r="AQ65" s="647" t="s">
        <v>409</v>
      </c>
      <c r="AR65" s="647" t="s">
        <v>613</v>
      </c>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16"/>
        <v/>
      </c>
      <c r="D66" s="200"/>
      <c r="E66" s="637" t="str">
        <f t="shared" si="6"/>
        <v/>
      </c>
      <c r="F66" s="638" t="str">
        <f t="shared" si="17"/>
        <v/>
      </c>
      <c r="G66" s="200"/>
      <c r="H66" s="200"/>
      <c r="I66" s="172" t="b">
        <v>0</v>
      </c>
      <c r="J66" s="619"/>
      <c r="K66" s="639"/>
      <c r="L66" s="640"/>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7"/>
      <c r="AL66" s="647"/>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16"/>
        <v/>
      </c>
      <c r="D67" s="200"/>
      <c r="E67" s="637" t="str">
        <f t="shared" si="6"/>
        <v/>
      </c>
      <c r="F67" s="638" t="str">
        <f t="shared" si="1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16"/>
        <v/>
      </c>
      <c r="D68" s="200"/>
      <c r="E68" s="637" t="str">
        <f t="shared" si="6"/>
        <v/>
      </c>
      <c r="F68" s="638" t="str">
        <f t="shared" si="1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16"/>
        <v/>
      </c>
      <c r="D69" s="200"/>
      <c r="E69" s="637" t="str">
        <f t="shared" si="6"/>
        <v/>
      </c>
      <c r="F69" s="638" t="str">
        <f t="shared" si="1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16"/>
        <v/>
      </c>
      <c r="D70" s="200"/>
      <c r="E70" s="637" t="str">
        <f t="shared" si="6"/>
        <v/>
      </c>
      <c r="F70" s="638" t="str">
        <f t="shared" si="1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16"/>
        <v/>
      </c>
      <c r="D71" s="200"/>
      <c r="E71" s="637" t="str">
        <f t="shared" si="6"/>
        <v/>
      </c>
      <c r="F71" s="638" t="str">
        <f t="shared" si="1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16"/>
        <v/>
      </c>
      <c r="D72" s="200"/>
      <c r="E72" s="637" t="str">
        <f t="shared" si="6"/>
        <v/>
      </c>
      <c r="F72" s="638" t="str">
        <f t="shared" si="1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16"/>
        <v/>
      </c>
      <c r="D73" s="200"/>
      <c r="E73" s="637" t="str">
        <f t="shared" si="6"/>
        <v/>
      </c>
      <c r="F73" s="638" t="str">
        <f t="shared" si="1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16"/>
        <v/>
      </c>
      <c r="D74" s="200"/>
      <c r="E74" s="637" t="str">
        <f t="shared" si="6"/>
        <v/>
      </c>
      <c r="F74" s="638" t="str">
        <f t="shared" si="1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16"/>
        <v/>
      </c>
      <c r="D75" s="200"/>
      <c r="E75" s="637" t="str">
        <f t="shared" si="6"/>
        <v/>
      </c>
      <c r="F75" s="638" t="str">
        <f t="shared" si="1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16"/>
        <v/>
      </c>
      <c r="D76" s="200"/>
      <c r="E76" s="637" t="str">
        <f t="shared" si="6"/>
        <v/>
      </c>
      <c r="F76" s="638" t="str">
        <f t="shared" si="1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16"/>
        <v/>
      </c>
      <c r="D77" s="200"/>
      <c r="E77" s="637" t="str">
        <f t="shared" si="6"/>
        <v/>
      </c>
      <c r="F77" s="638" t="str">
        <f t="shared" si="1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16"/>
        <v/>
      </c>
      <c r="D78" s="200"/>
      <c r="E78" s="637" t="str">
        <f t="shared" si="6"/>
        <v/>
      </c>
      <c r="F78" s="638" t="str">
        <f t="shared" si="1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16"/>
        <v/>
      </c>
      <c r="D79" s="200"/>
      <c r="E79" s="637" t="str">
        <f t="shared" si="6"/>
        <v/>
      </c>
      <c r="F79" s="638" t="str">
        <f t="shared" si="1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16"/>
        <v/>
      </c>
      <c r="D80" s="200"/>
      <c r="E80" s="637" t="str">
        <f t="shared" si="6"/>
        <v/>
      </c>
      <c r="F80" s="638" t="str">
        <f t="shared" si="1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16"/>
        <v/>
      </c>
      <c r="D81" s="200"/>
      <c r="E81" s="637" t="str">
        <f t="shared" si="6"/>
        <v/>
      </c>
      <c r="F81" s="638" t="str">
        <f t="shared" si="1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16"/>
        <v/>
      </c>
      <c r="D82" s="200"/>
      <c r="E82" s="637" t="str">
        <f t="shared" si="6"/>
        <v/>
      </c>
      <c r="F82" s="638" t="str">
        <f t="shared" si="1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16"/>
        <v/>
      </c>
      <c r="D83" s="200"/>
      <c r="E83" s="637" t="str">
        <f t="shared" si="6"/>
        <v/>
      </c>
      <c r="F83" s="638" t="str">
        <f t="shared" si="1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16"/>
        <v/>
      </c>
      <c r="D84" s="200"/>
      <c r="E84" s="637" t="str">
        <f t="shared" si="6"/>
        <v/>
      </c>
      <c r="F84" s="638" t="str">
        <f t="shared" si="1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16"/>
        <v/>
      </c>
      <c r="D85" s="200"/>
      <c r="E85" s="637" t="str">
        <f t="shared" si="6"/>
        <v/>
      </c>
      <c r="F85" s="638" t="str">
        <f t="shared" si="1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16"/>
        <v/>
      </c>
      <c r="D86" s="200"/>
      <c r="E86" s="637" t="str">
        <f t="shared" si="6"/>
        <v/>
      </c>
      <c r="F86" s="638" t="str">
        <f t="shared" si="1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16"/>
        <v/>
      </c>
      <c r="D87" s="200"/>
      <c r="E87" s="637" t="str">
        <f t="shared" si="6"/>
        <v/>
      </c>
      <c r="F87" s="638" t="str">
        <f t="shared" si="1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16"/>
        <v/>
      </c>
      <c r="D88" s="200"/>
      <c r="E88" s="637" t="str">
        <f t="shared" si="6"/>
        <v/>
      </c>
      <c r="F88" s="638" t="str">
        <f t="shared" si="1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16"/>
        <v/>
      </c>
      <c r="D89" s="200"/>
      <c r="E89" s="637" t="str">
        <f t="shared" si="6"/>
        <v/>
      </c>
      <c r="F89" s="638" t="str">
        <f t="shared" si="1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16"/>
        <v/>
      </c>
      <c r="D90" s="200"/>
      <c r="E90" s="637" t="str">
        <f t="shared" si="6"/>
        <v/>
      </c>
      <c r="F90" s="638" t="str">
        <f t="shared" si="1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16"/>
        <v/>
      </c>
      <c r="D91" s="200"/>
      <c r="E91" s="637" t="str">
        <f t="shared" si="6"/>
        <v/>
      </c>
      <c r="F91" s="638" t="str">
        <f t="shared" si="1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16"/>
        <v/>
      </c>
      <c r="D92" s="200"/>
      <c r="E92" s="637" t="str">
        <f t="shared" si="6"/>
        <v/>
      </c>
      <c r="F92" s="638" t="str">
        <f t="shared" si="1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16"/>
        <v/>
      </c>
      <c r="D93" s="200"/>
      <c r="E93" s="637" t="str">
        <f t="shared" si="6"/>
        <v/>
      </c>
      <c r="F93" s="638" t="str">
        <f t="shared" si="1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16"/>
        <v/>
      </c>
      <c r="D94" s="200"/>
      <c r="E94" s="637" t="str">
        <f t="shared" si="6"/>
        <v/>
      </c>
      <c r="F94" s="638" t="str">
        <f t="shared" si="1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16"/>
        <v/>
      </c>
      <c r="D95" s="200"/>
      <c r="E95" s="637" t="str">
        <f t="shared" si="6"/>
        <v/>
      </c>
      <c r="F95" s="638" t="str">
        <f t="shared" si="1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16"/>
        <v/>
      </c>
      <c r="D96" s="200"/>
      <c r="E96" s="637" t="str">
        <f t="shared" si="6"/>
        <v/>
      </c>
      <c r="F96" s="638" t="str">
        <f t="shared" si="1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16"/>
        <v/>
      </c>
      <c r="D97" s="200"/>
      <c r="E97" s="637" t="str">
        <f t="shared" si="6"/>
        <v/>
      </c>
      <c r="F97" s="638" t="str">
        <f t="shared" si="1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16"/>
        <v/>
      </c>
      <c r="D98" s="200"/>
      <c r="E98" s="637" t="str">
        <f t="shared" si="6"/>
        <v/>
      </c>
      <c r="F98" s="638" t="str">
        <f t="shared" si="1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16"/>
        <v/>
      </c>
      <c r="D99" s="200"/>
      <c r="E99" s="637" t="str">
        <f t="shared" si="6"/>
        <v/>
      </c>
      <c r="F99" s="638" t="str">
        <f t="shared" si="1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16"/>
        <v/>
      </c>
      <c r="D100" s="200"/>
      <c r="E100" s="637" t="str">
        <f t="shared" si="6"/>
        <v/>
      </c>
      <c r="F100" s="638" t="str">
        <f t="shared" si="1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16"/>
        <v/>
      </c>
      <c r="D101" s="200"/>
      <c r="E101" s="637" t="str">
        <f t="shared" si="6"/>
        <v/>
      </c>
      <c r="F101" s="638" t="str">
        <f t="shared" si="1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16"/>
        <v/>
      </c>
      <c r="D102" s="200"/>
      <c r="E102" s="637" t="str">
        <f t="shared" si="6"/>
        <v/>
      </c>
      <c r="F102" s="638" t="str">
        <f t="shared" si="1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16"/>
        <v/>
      </c>
      <c r="D103" s="200"/>
      <c r="E103" s="637" t="str">
        <f t="shared" si="6"/>
        <v/>
      </c>
      <c r="F103" s="638" t="str">
        <f t="shared" si="1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16"/>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616</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46082.0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3</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617</v>
      </c>
      <c r="H9" s="725"/>
      <c r="I9" s="726">
        <v>0.7083333333333334</v>
      </c>
      <c r="J9" s="725" t="s">
        <v>618</v>
      </c>
      <c r="K9" s="725" t="s">
        <v>619</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452</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454</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456</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516</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489</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458</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460</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469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467</v>
      </c>
      <c r="W18" s="717"/>
      <c r="X18" s="718">
        <v>46357.0</v>
      </c>
      <c r="Y18" s="662"/>
      <c r="Z18" s="662"/>
    </row>
    <row r="19" ht="18.0" customHeight="1" outlineLevel="1">
      <c r="B19" s="739"/>
      <c r="C19" s="698"/>
      <c r="D19" s="698"/>
      <c r="E19" s="698"/>
      <c r="F19" s="740" t="s">
        <v>518</v>
      </c>
      <c r="G19" s="741" t="s">
        <v>620</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621</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479</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474</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472</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471</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477</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484</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481</v>
      </c>
      <c r="W29" s="662"/>
      <c r="X29" s="757"/>
      <c r="Y29" s="662"/>
      <c r="Z29" s="662"/>
    </row>
    <row r="30" ht="18.0" customHeight="1" outlineLevel="1">
      <c r="A30" s="662"/>
      <c r="B30" s="739"/>
      <c r="C30" s="698"/>
      <c r="D30" s="698"/>
      <c r="E30" s="698"/>
      <c r="F30" s="758" t="s">
        <v>518</v>
      </c>
      <c r="G30" s="759" t="s">
        <v>622</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623</v>
      </c>
      <c r="H31" s="767"/>
      <c r="I31" s="768">
        <v>0.0</v>
      </c>
      <c r="J31" s="767" t="s">
        <v>535</v>
      </c>
      <c r="K31" s="767" t="s">
        <v>536</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482</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483</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517</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522</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526</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624</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518</v>
      </c>
      <c r="G41" s="741" t="s">
        <v>625</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626</v>
      </c>
      <c r="H42" s="777"/>
      <c r="I42" s="778">
        <v>0.65625</v>
      </c>
      <c r="J42" s="777">
        <v>6.0</v>
      </c>
      <c r="K42" s="777">
        <v>3.0</v>
      </c>
      <c r="L42" s="755" t="s">
        <v>469</v>
      </c>
      <c r="M42" s="755" t="s">
        <v>627</v>
      </c>
      <c r="N42" s="775" t="s">
        <v>628</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518</v>
      </c>
      <c r="G52" s="759" t="s">
        <v>629</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630</v>
      </c>
      <c r="H53" s="767"/>
      <c r="I53" s="768">
        <v>0.6666666666666666</v>
      </c>
      <c r="J53" s="767">
        <v>6.0</v>
      </c>
      <c r="K53" s="767">
        <v>3.0</v>
      </c>
      <c r="L53" s="769" t="s">
        <v>526</v>
      </c>
      <c r="M53" s="769" t="s">
        <v>631</v>
      </c>
      <c r="N53" s="765" t="s">
        <v>632</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481</v>
      </c>
      <c r="M54" s="769" t="s">
        <v>633</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518</v>
      </c>
      <c r="G63" s="741" t="s">
        <v>634</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533</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635</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636</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637</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518</v>
      </c>
      <c r="G86" s="741" t="s">
        <v>638</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639</v>
      </c>
      <c r="H87" s="777"/>
      <c r="I87" s="778">
        <v>0.65625</v>
      </c>
      <c r="J87" s="777">
        <v>8.0</v>
      </c>
      <c r="K87" s="777">
        <v>2.0</v>
      </c>
      <c r="L87" s="755"/>
      <c r="M87" s="755"/>
      <c r="N87" s="775" t="s">
        <v>632</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518</v>
      </c>
      <c r="G97" s="759" t="s">
        <v>640</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641</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518</v>
      </c>
      <c r="G108" s="741" t="s">
        <v>642</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643</v>
      </c>
      <c r="H109" s="777">
        <v>1.0</v>
      </c>
      <c r="I109" s="778">
        <v>0.625</v>
      </c>
      <c r="J109" s="777" t="s">
        <v>618</v>
      </c>
      <c r="K109" s="777" t="s">
        <v>619</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518</v>
      </c>
      <c r="G119" s="759" t="s">
        <v>644</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539</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645</v>
      </c>
      <c r="H121" s="767">
        <v>1.0</v>
      </c>
      <c r="I121" s="768">
        <v>0.7083333333333334</v>
      </c>
      <c r="J121" s="767">
        <v>6.0</v>
      </c>
      <c r="K121" s="767">
        <v>3.0</v>
      </c>
      <c r="L121" s="769" t="s">
        <v>113</v>
      </c>
      <c r="M121" s="769" t="s">
        <v>646</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518</v>
      </c>
      <c r="G131" s="741" t="s">
        <v>647</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648</v>
      </c>
      <c r="H132" s="777"/>
      <c r="I132" s="778">
        <v>0.6666666666666666</v>
      </c>
      <c r="J132" s="777">
        <v>7.0</v>
      </c>
      <c r="K132" s="777">
        <v>3.0</v>
      </c>
      <c r="L132" s="755" t="s">
        <v>526</v>
      </c>
      <c r="M132" s="755" t="s">
        <v>649</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518</v>
      </c>
      <c r="G142" s="759" t="s">
        <v>650</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651</v>
      </c>
      <c r="H143" s="767"/>
      <c r="I143" s="768">
        <v>0.65625</v>
      </c>
      <c r="J143" s="767">
        <v>9.0</v>
      </c>
      <c r="K143" s="767">
        <v>1.0</v>
      </c>
      <c r="L143" s="769" t="s">
        <v>526</v>
      </c>
      <c r="M143" s="769" t="s">
        <v>652</v>
      </c>
      <c r="N143" s="775" t="s">
        <v>653</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518</v>
      </c>
      <c r="G153" s="741" t="s">
        <v>654</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655</v>
      </c>
      <c r="H154" s="777">
        <v>1.0</v>
      </c>
      <c r="I154" s="778">
        <v>0.6666666666666666</v>
      </c>
      <c r="J154" s="777">
        <v>10.0</v>
      </c>
      <c r="K154" s="777">
        <v>2.0</v>
      </c>
      <c r="L154" s="755"/>
      <c r="M154" s="755"/>
      <c r="N154" s="775" t="s">
        <v>656</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518</v>
      </c>
      <c r="G164" s="759" t="s">
        <v>657</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658</v>
      </c>
      <c r="H165" s="767"/>
      <c r="I165" s="768">
        <v>0.6458333333333334</v>
      </c>
      <c r="J165" s="767">
        <v>8.0</v>
      </c>
      <c r="K165" s="767">
        <v>3.0</v>
      </c>
      <c r="L165" s="769" t="s">
        <v>112</v>
      </c>
      <c r="M165" s="769" t="s">
        <v>659</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518</v>
      </c>
      <c r="G175" s="741" t="s">
        <v>660</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540</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661</v>
      </c>
      <c r="H177" s="777"/>
      <c r="I177" s="778">
        <v>0.6666666666666666</v>
      </c>
      <c r="J177" s="777">
        <v>8.0</v>
      </c>
      <c r="K177" s="777">
        <v>3.0</v>
      </c>
      <c r="L177" s="755" t="s">
        <v>112</v>
      </c>
      <c r="M177" s="755" t="s">
        <v>659</v>
      </c>
      <c r="N177" s="775" t="s">
        <v>662</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663</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664</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665</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666</v>
      </c>
      <c r="H199" s="777"/>
      <c r="I199" s="778">
        <v>0.6458333333333334</v>
      </c>
      <c r="J199" s="777">
        <v>8.0</v>
      </c>
      <c r="K199" s="777">
        <v>2.0</v>
      </c>
      <c r="L199" s="755"/>
      <c r="M199" s="755"/>
      <c r="N199" s="775" t="s">
        <v>667</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668</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669</v>
      </c>
      <c r="H210" s="767"/>
      <c r="I210" s="768">
        <v>0.6666666666666666</v>
      </c>
      <c r="J210" s="767">
        <v>8.0</v>
      </c>
      <c r="K210" s="767">
        <v>3.0</v>
      </c>
      <c r="L210" s="769"/>
      <c r="M210" s="769"/>
      <c r="N210" s="765" t="s">
        <v>670</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671</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672</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673</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541</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674</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518</v>
      </c>
      <c r="G243" s="741" t="s">
        <v>675</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676</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518</v>
      </c>
      <c r="G254" s="759" t="s">
        <v>677</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678</v>
      </c>
      <c r="H255" s="767"/>
      <c r="I255" s="768">
        <v>0.625</v>
      </c>
      <c r="J255" s="767">
        <v>8.0</v>
      </c>
      <c r="K255" s="767">
        <v>3.0</v>
      </c>
      <c r="L255" s="769" t="s">
        <v>482</v>
      </c>
      <c r="M255" s="769" t="s">
        <v>529</v>
      </c>
      <c r="N255" s="765" t="s">
        <v>679</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518</v>
      </c>
      <c r="G265" s="741" t="s">
        <v>680</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681</v>
      </c>
      <c r="H266" s="777"/>
      <c r="I266" s="777" t="s">
        <v>682</v>
      </c>
      <c r="J266" s="777" t="s">
        <v>618</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518</v>
      </c>
      <c r="G276" s="759" t="s">
        <v>683</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684</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518</v>
      </c>
      <c r="G287" s="741" t="s">
        <v>685</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542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686</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687</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688</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689</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690</v>
      </c>
      <c r="H311" s="777"/>
      <c r="I311" s="778">
        <v>0.65625</v>
      </c>
      <c r="J311" s="777">
        <v>7.0</v>
      </c>
      <c r="K311" s="777">
        <v>3.0</v>
      </c>
      <c r="L311" s="755" t="s">
        <v>471</v>
      </c>
      <c r="M311" s="755" t="s">
        <v>691</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692</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537</v>
      </c>
      <c r="G322" s="766" t="s">
        <v>693</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518</v>
      </c>
      <c r="G332" s="741" t="s">
        <v>694</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695</v>
      </c>
      <c r="H333" s="777"/>
      <c r="I333" s="778">
        <v>0.6979166666666666</v>
      </c>
      <c r="J333" s="777">
        <v>8.0</v>
      </c>
      <c r="K333" s="777">
        <v>3.0</v>
      </c>
      <c r="L333" s="755" t="s">
        <v>467</v>
      </c>
      <c r="M333" s="755" t="s">
        <v>696</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469</v>
      </c>
      <c r="M334" s="755" t="s">
        <v>697</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518</v>
      </c>
      <c r="G343" s="759" t="s">
        <v>698</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699</v>
      </c>
      <c r="H344" s="767"/>
      <c r="I344" s="768">
        <v>0.6875</v>
      </c>
      <c r="J344" s="767">
        <v>8.0</v>
      </c>
      <c r="K344" s="767">
        <v>3.0</v>
      </c>
      <c r="L344" s="769" t="s">
        <v>477</v>
      </c>
      <c r="M344" s="769" t="s">
        <v>700</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518</v>
      </c>
      <c r="G354" s="792" t="s">
        <v>701</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544</v>
      </c>
      <c r="C4" s="806"/>
      <c r="D4" s="807" t="s">
        <v>545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546</v>
      </c>
      <c r="G5" s="812" t="s">
        <v>188</v>
      </c>
      <c r="H5" s="813" t="b">
        <v>1</v>
      </c>
      <c r="J5" s="814"/>
      <c r="K5" s="798"/>
      <c r="L5" s="815" t="s">
        <v>547</v>
      </c>
      <c r="T5" s="814"/>
      <c r="U5" s="816" t="s">
        <v>548</v>
      </c>
      <c r="AC5" s="799"/>
      <c r="AD5" s="817" t="s">
        <v>96</v>
      </c>
      <c r="AE5" s="817" t="s">
        <v>549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550</v>
      </c>
      <c r="M7" s="236"/>
      <c r="N7" s="236"/>
      <c r="O7" s="236"/>
      <c r="P7" s="236"/>
      <c r="Q7" s="236"/>
      <c r="R7" s="236"/>
      <c r="S7" s="113"/>
      <c r="T7" s="821" t="s">
        <v>551</v>
      </c>
      <c r="U7" s="822" t="s">
        <v>552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553</v>
      </c>
      <c r="C8" s="824"/>
      <c r="D8" s="825" t="s">
        <v>51</v>
      </c>
      <c r="E8" s="826" t="str">
        <f>IFERROR(__xludf.DUMMYFUNCTION("IFERROR(INDEX(FILTER($AE$6:$AE$200, $AD$6:$AD$200=$B$5, REGEXMATCH($AE$6:$AE$200, ""集計"")), 1), """")
"),"①R8_3集計")</f>
        <v>①R8_3集計</v>
      </c>
      <c r="F8" s="527"/>
      <c r="G8" s="223"/>
      <c r="H8" s="223"/>
      <c r="I8" s="200"/>
      <c r="J8" s="814"/>
      <c r="K8" s="798"/>
      <c r="L8" s="827" t="s">
        <v>702</v>
      </c>
      <c r="M8" s="247"/>
      <c r="N8" s="247"/>
      <c r="O8" s="247"/>
      <c r="P8" s="247"/>
      <c r="Q8" s="247"/>
      <c r="R8" s="247"/>
      <c r="S8" s="250"/>
      <c r="U8" s="827" t="s">
        <v>703</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0.2467493589</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1305383.068</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554</v>
      </c>
      <c r="C13" s="844"/>
      <c r="D13" s="845" t="s">
        <v>51</v>
      </c>
      <c r="E13" s="846" t="s">
        <v>555</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556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557</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558</v>
      </c>
      <c r="C20" s="830" t="s">
        <v>559</v>
      </c>
      <c r="D20" s="830" t="s">
        <v>89</v>
      </c>
      <c r="E20" s="830" t="s">
        <v>90</v>
      </c>
      <c r="F20" s="830" t="s">
        <v>560</v>
      </c>
      <c r="G20" s="830" t="s">
        <v>589</v>
      </c>
      <c r="H20" s="830" t="s">
        <v>135</v>
      </c>
      <c r="I20" s="830" t="s">
        <v>561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562</v>
      </c>
      <c r="M21" s="232"/>
      <c r="N21" s="232"/>
      <c r="O21" s="232"/>
      <c r="P21" s="232"/>
      <c r="Q21" s="232"/>
      <c r="R21" s="232"/>
      <c r="S21" s="3"/>
      <c r="T21" s="821" t="s">
        <v>551</v>
      </c>
      <c r="U21" s="822" t="s">
        <v>563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704</v>
      </c>
      <c r="M22" s="247"/>
      <c r="N22" s="247"/>
      <c r="O22" s="247"/>
      <c r="P22" s="247"/>
      <c r="Q22" s="247"/>
      <c r="R22" s="247"/>
      <c r="S22" s="250"/>
      <c r="U22" s="827" t="s">
        <v>705</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565</v>
      </c>
      <c r="C25" s="870" t="s">
        <v>566</v>
      </c>
      <c r="D25" s="3"/>
      <c r="E25" s="870" t="s">
        <v>567</v>
      </c>
      <c r="F25" s="232"/>
      <c r="G25" s="232"/>
      <c r="H25" s="870" t="s">
        <v>568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706</v>
      </c>
      <c r="C26" s="872" t="s">
        <v>90</v>
      </c>
      <c r="D26" s="3"/>
      <c r="E26" s="872" t="s">
        <v>707</v>
      </c>
      <c r="F26" s="232"/>
      <c r="G26" s="232"/>
      <c r="H26" s="873" t="s">
        <v>708</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569</v>
      </c>
      <c r="M35" s="232"/>
      <c r="N35" s="232"/>
      <c r="O35" s="232"/>
      <c r="P35" s="232"/>
      <c r="Q35" s="232"/>
      <c r="R35" s="232"/>
      <c r="S35" s="3"/>
      <c r="T35" s="821" t="s">
        <v>551</v>
      </c>
      <c r="U35" s="822" t="s">
        <v>569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709</v>
      </c>
      <c r="M36" s="247"/>
      <c r="N36" s="247"/>
      <c r="O36" s="247"/>
      <c r="P36" s="247"/>
      <c r="Q36" s="247"/>
      <c r="R36" s="247"/>
      <c r="S36" s="250"/>
      <c r="U36" s="827" t="s">
        <v>710</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570</v>
      </c>
      <c r="C37" s="877"/>
      <c r="D37" s="878">
        <f>counta(C39:D48)</f>
        <v>8</v>
      </c>
      <c r="E37" s="879" t="s">
        <v>571</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567</v>
      </c>
      <c r="F38" s="883"/>
      <c r="G38" s="882" t="s">
        <v>572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711</v>
      </c>
      <c r="D39" s="883"/>
      <c r="E39" s="887" t="s">
        <v>712</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713</v>
      </c>
      <c r="D40" s="883"/>
      <c r="E40" s="887" t="s">
        <v>714</v>
      </c>
      <c r="F40" s="883"/>
      <c r="G40" s="931" t="s">
        <v>715</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479</v>
      </c>
      <c r="D41" s="883"/>
      <c r="E41" s="887" t="s">
        <v>712</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716</v>
      </c>
      <c r="D42" s="883"/>
      <c r="E42" s="887" t="s">
        <v>717</v>
      </c>
      <c r="F42" s="883"/>
      <c r="G42" s="931" t="s">
        <v>718</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719</v>
      </c>
      <c r="D43" s="883"/>
      <c r="E43" s="887" t="s">
        <v>717</v>
      </c>
      <c r="F43" s="883"/>
      <c r="G43" s="931" t="s">
        <v>720</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721</v>
      </c>
      <c r="D44" s="883"/>
      <c r="E44" s="887" t="s">
        <v>712</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722</v>
      </c>
      <c r="D45" s="883"/>
      <c r="E45" s="887" t="s">
        <v>717</v>
      </c>
      <c r="F45" s="883"/>
      <c r="G45" s="931" t="s">
        <v>723</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486</v>
      </c>
      <c r="D46" s="883"/>
      <c r="E46" s="887" t="s">
        <v>724</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573</v>
      </c>
      <c r="M49" s="232"/>
      <c r="N49" s="232"/>
      <c r="O49" s="232"/>
      <c r="P49" s="232"/>
      <c r="Q49" s="232"/>
      <c r="R49" s="232"/>
      <c r="S49" s="3"/>
      <c r="T49" s="821" t="s">
        <v>551</v>
      </c>
      <c r="U49" s="822" t="s">
        <v>574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575</v>
      </c>
      <c r="C50" s="896"/>
      <c r="D50" s="897">
        <f>COUNTA(C52:D62)</f>
        <v>2</v>
      </c>
      <c r="E50" s="860"/>
      <c r="F50" s="860"/>
      <c r="G50" s="860"/>
      <c r="H50" s="860"/>
      <c r="I50" s="799"/>
      <c r="J50" s="799"/>
      <c r="K50" s="798"/>
      <c r="L50" s="827" t="s">
        <v>725</v>
      </c>
      <c r="M50" s="247"/>
      <c r="N50" s="247"/>
      <c r="O50" s="247"/>
      <c r="P50" s="247"/>
      <c r="Q50" s="247"/>
      <c r="R50" s="247"/>
      <c r="S50" s="250"/>
      <c r="U50" s="827" t="s">
        <v>726</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576</v>
      </c>
      <c r="C51" s="882" t="s">
        <v>434</v>
      </c>
      <c r="D51" s="883"/>
      <c r="E51" s="881" t="s">
        <v>577</v>
      </c>
      <c r="F51" s="881" t="s">
        <v>578</v>
      </c>
      <c r="G51" s="881" t="s">
        <v>579</v>
      </c>
      <c r="H51" s="882" t="s">
        <v>580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482</v>
      </c>
      <c r="D52" s="883"/>
      <c r="E52" s="932">
        <v>46094.0</v>
      </c>
      <c r="F52" s="900" t="s">
        <v>727</v>
      </c>
      <c r="G52" s="900" t="s">
        <v>728</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483</v>
      </c>
      <c r="D53" s="883"/>
      <c r="E53" s="932">
        <v>46098.0</v>
      </c>
      <c r="F53" s="900" t="s">
        <v>727</v>
      </c>
      <c r="G53" s="900" t="s">
        <v>729</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581</v>
      </c>
      <c r="M63" s="232"/>
      <c r="N63" s="232"/>
      <c r="O63" s="232"/>
      <c r="P63" s="232"/>
      <c r="Q63" s="232"/>
      <c r="R63" s="232"/>
      <c r="S63" s="3"/>
      <c r="T63" s="821" t="s">
        <v>551</v>
      </c>
      <c r="U63" s="822" t="s">
        <v>582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583</v>
      </c>
      <c r="C64" s="903"/>
      <c r="D64" s="897">
        <f>COUNTA(C66:D76)</f>
        <v>2</v>
      </c>
      <c r="E64" s="860"/>
      <c r="F64" s="860"/>
      <c r="G64" s="860"/>
      <c r="H64" s="860"/>
      <c r="I64" s="860"/>
      <c r="J64" s="799"/>
      <c r="K64" s="798"/>
      <c r="L64" s="827" t="s">
        <v>730</v>
      </c>
      <c r="M64" s="247"/>
      <c r="N64" s="247"/>
      <c r="O64" s="247"/>
      <c r="P64" s="247"/>
      <c r="Q64" s="247"/>
      <c r="R64" s="247"/>
      <c r="S64" s="250"/>
      <c r="U64" s="827" t="s">
        <v>731</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576</v>
      </c>
      <c r="C65" s="882" t="s">
        <v>434</v>
      </c>
      <c r="D65" s="883"/>
      <c r="E65" s="881" t="s">
        <v>584</v>
      </c>
      <c r="F65" s="882" t="s">
        <v>585</v>
      </c>
      <c r="G65" s="883"/>
      <c r="H65" s="882" t="s">
        <v>580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732</v>
      </c>
      <c r="D66" s="883"/>
      <c r="E66" s="934">
        <v>46112.0</v>
      </c>
      <c r="F66" s="931" t="s">
        <v>733</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526</v>
      </c>
      <c r="D67" s="883"/>
      <c r="E67" s="934">
        <v>46112.0</v>
      </c>
      <c r="F67" s="931" t="s">
        <v>734</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586</v>
      </c>
      <c r="M77" s="232"/>
      <c r="N77" s="232"/>
      <c r="O77" s="232"/>
      <c r="P77" s="232"/>
      <c r="Q77" s="232"/>
      <c r="R77" s="232"/>
      <c r="S77" s="3"/>
      <c r="T77" s="814"/>
      <c r="U77" s="906" t="s">
        <v>587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735</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t="s">
        <v>736</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17.0"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589</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0" t="s">
        <v>369</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0"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737</v>
      </c>
      <c r="AZ40" s="461">
        <v>92750.0</v>
      </c>
      <c r="BA40" s="935"/>
      <c r="BB40" s="443">
        <f>SUM(AZ40:AZ45)</f>
        <v>92750</v>
      </c>
      <c r="BC40" s="315"/>
      <c r="BD40" s="473" t="s">
        <v>365</v>
      </c>
      <c r="BE40" s="474">
        <v>60000.0</v>
      </c>
      <c r="BF40" s="936"/>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524"/>
      <c r="AS1" s="200"/>
      <c r="AT1" s="200"/>
      <c r="AU1" s="200"/>
      <c r="AV1" s="200"/>
      <c r="AW1" s="200"/>
      <c r="AX1" s="200"/>
      <c r="AY1" s="200"/>
      <c r="AZ1" s="200"/>
      <c r="BA1" s="200"/>
      <c r="BB1" s="200"/>
      <c r="BC1" s="200"/>
      <c r="BD1" s="200"/>
      <c r="BE1" s="200"/>
      <c r="BF1" s="200"/>
      <c r="BG1" s="200"/>
      <c r="BH1" s="200"/>
      <c r="BI1" s="200"/>
      <c r="BJ1" s="200"/>
      <c r="BK1" s="200"/>
      <c r="BL1" s="200"/>
      <c r="BM1" s="526">
        <v>46054.0</v>
      </c>
      <c r="BN1" s="200"/>
      <c r="BO1" s="200"/>
      <c r="BP1" s="200"/>
      <c r="BQ1" s="200"/>
      <c r="BR1" s="200"/>
      <c r="BS1" s="200"/>
      <c r="BT1" s="200"/>
      <c r="BU1" s="200"/>
      <c r="BV1" s="200"/>
      <c r="BW1" s="200"/>
      <c r="BX1" s="200"/>
      <c r="BY1" s="200"/>
    </row>
    <row r="2" ht="22.5" customHeight="1">
      <c r="A2" s="527"/>
      <c r="B2" s="528"/>
      <c r="C2" s="529"/>
      <c r="D2" s="530"/>
      <c r="E2" s="531"/>
      <c r="F2" s="529"/>
      <c r="G2" s="530"/>
      <c r="H2" s="530"/>
      <c r="I2" s="532" t="s">
        <v>381</v>
      </c>
      <c r="M2" s="533"/>
      <c r="N2" s="534" t="s">
        <v>738</v>
      </c>
      <c r="O2" s="535"/>
      <c r="P2" s="536"/>
      <c r="Q2" s="537"/>
      <c r="R2" s="537"/>
      <c r="S2" s="538"/>
      <c r="T2" s="537"/>
      <c r="U2" s="537"/>
      <c r="V2" s="537"/>
      <c r="W2" s="537"/>
      <c r="X2" s="537"/>
      <c r="Y2" s="539"/>
      <c r="Z2" s="281"/>
      <c r="AA2" s="281"/>
      <c r="AB2" s="281"/>
      <c r="AC2" s="281"/>
      <c r="AD2" s="281"/>
      <c r="AE2" s="281"/>
      <c r="AF2" s="540"/>
      <c r="AG2" s="541"/>
      <c r="AH2" s="542"/>
      <c r="AI2" s="543" t="s">
        <v>739</v>
      </c>
      <c r="AJ2" s="281"/>
      <c r="AK2" s="281"/>
      <c r="AT2" s="281"/>
      <c r="AU2" s="544" t="s">
        <v>384</v>
      </c>
      <c r="AV2" s="200"/>
      <c r="AW2" s="200"/>
      <c r="AX2" s="200"/>
      <c r="AY2" s="200"/>
      <c r="AZ2" s="200"/>
      <c r="BA2" s="200"/>
      <c r="BB2" s="200"/>
      <c r="BC2" s="200"/>
      <c r="BD2" s="200"/>
      <c r="BE2" s="200"/>
      <c r="BF2" s="200"/>
      <c r="BG2" s="200"/>
      <c r="BH2" s="200"/>
      <c r="BI2" s="200"/>
      <c r="BJ2" s="200"/>
      <c r="BK2" s="200"/>
      <c r="BL2" s="200"/>
      <c r="BM2" s="526">
        <v>46082.0</v>
      </c>
      <c r="BN2" s="200"/>
      <c r="BO2" s="200"/>
      <c r="BP2" s="200"/>
      <c r="BQ2" s="200"/>
      <c r="BR2" s="200"/>
      <c r="BS2" s="200"/>
      <c r="BT2" s="200"/>
      <c r="BU2" s="200"/>
      <c r="BV2" s="200"/>
      <c r="BW2" s="200"/>
      <c r="BX2" s="200"/>
      <c r="BY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43"/>
      <c r="AL3" s="557"/>
      <c r="AM3" s="543"/>
      <c r="AN3" s="543"/>
      <c r="AO3" s="543"/>
      <c r="AP3" s="543"/>
      <c r="AQ3" s="543"/>
      <c r="AR3" s="557"/>
      <c r="AS3" s="558"/>
      <c r="AT3" s="200"/>
      <c r="AU3" s="559" t="s">
        <v>386</v>
      </c>
      <c r="AV3" s="560"/>
      <c r="AW3" s="561" t="s">
        <v>52</v>
      </c>
      <c r="AX3" s="561" t="s">
        <v>54</v>
      </c>
      <c r="AY3" s="561" t="s">
        <v>34</v>
      </c>
      <c r="AZ3" s="561" t="s">
        <v>57</v>
      </c>
      <c r="BA3" s="561" t="s">
        <v>59</v>
      </c>
      <c r="BB3" s="561" t="s">
        <v>61</v>
      </c>
      <c r="BC3" s="561" t="s">
        <v>63</v>
      </c>
      <c r="BD3" s="561" t="s">
        <v>65</v>
      </c>
      <c r="BE3" s="561" t="s">
        <v>67</v>
      </c>
      <c r="BF3" s="561" t="s">
        <v>69</v>
      </c>
      <c r="BG3" s="561" t="s">
        <v>71</v>
      </c>
      <c r="BH3" s="562" t="s">
        <v>73</v>
      </c>
      <c r="BI3" s="563" t="s">
        <v>345</v>
      </c>
      <c r="BJ3" s="200"/>
      <c r="BK3" s="564" t="s">
        <v>387</v>
      </c>
      <c r="BL3" s="3"/>
      <c r="BM3" s="565">
        <v>46113.0</v>
      </c>
      <c r="BU3" s="200"/>
      <c r="BV3" s="200"/>
      <c r="BW3" s="200"/>
      <c r="BX3" s="200"/>
      <c r="BY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937"/>
      <c r="AL4" s="577" t="s">
        <v>403</v>
      </c>
      <c r="AM4" s="575"/>
      <c r="AN4" s="581"/>
      <c r="AO4" s="582"/>
      <c r="AP4" s="582"/>
      <c r="AQ4" s="556"/>
      <c r="AR4" s="583"/>
      <c r="AS4" s="558"/>
      <c r="AT4" s="200"/>
      <c r="AU4" s="584" t="s">
        <v>119</v>
      </c>
      <c r="AV4" s="585" t="s">
        <v>213</v>
      </c>
      <c r="AW4" s="586">
        <v>8.0</v>
      </c>
      <c r="AX4" s="586">
        <v>9.0</v>
      </c>
      <c r="AY4" s="586">
        <v>8.0</v>
      </c>
      <c r="AZ4" s="586">
        <v>9.0</v>
      </c>
      <c r="BA4" s="586">
        <v>9.0</v>
      </c>
      <c r="BB4" s="586">
        <v>9.0</v>
      </c>
      <c r="BC4" s="586">
        <v>9.0</v>
      </c>
      <c r="BD4" s="586">
        <v>8.0</v>
      </c>
      <c r="BE4" s="586">
        <v>9.0</v>
      </c>
      <c r="BF4" s="586">
        <v>9.0</v>
      </c>
      <c r="BG4" s="586">
        <v>9.0</v>
      </c>
      <c r="BH4" s="587">
        <v>9.0</v>
      </c>
      <c r="BI4" s="588">
        <f t="shared" ref="BI4:BI5" si="1">SUM(AW4:BH4)</f>
        <v>105</v>
      </c>
      <c r="BJ4" s="527"/>
      <c r="BK4" s="589" t="s">
        <v>405</v>
      </c>
      <c r="BL4" s="250"/>
      <c r="BM4" s="565">
        <v>46143.0</v>
      </c>
      <c r="BU4" s="527"/>
      <c r="BV4" s="527"/>
      <c r="BW4" s="527"/>
      <c r="BX4" s="527"/>
      <c r="BY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938"/>
      <c r="AL5" s="577" t="s">
        <v>420</v>
      </c>
      <c r="AM5" s="575"/>
      <c r="AN5" s="581"/>
      <c r="AO5" s="582"/>
      <c r="AP5" s="582"/>
      <c r="AQ5" s="556"/>
      <c r="AR5" s="583"/>
      <c r="AS5" s="558"/>
      <c r="AT5" s="200"/>
      <c r="AU5" s="599" t="s">
        <v>421</v>
      </c>
      <c r="AV5" s="585" t="s">
        <v>216</v>
      </c>
      <c r="AW5" s="600">
        <v>8.0</v>
      </c>
      <c r="AX5" s="600">
        <v>9.0</v>
      </c>
      <c r="AY5" s="600">
        <v>9.0</v>
      </c>
      <c r="AZ5" s="586">
        <v>9.0</v>
      </c>
      <c r="BA5" s="586">
        <v>8.0</v>
      </c>
      <c r="BB5" s="586">
        <v>9.0</v>
      </c>
      <c r="BC5" s="586">
        <v>9.0</v>
      </c>
      <c r="BD5" s="586">
        <v>9.0</v>
      </c>
      <c r="BE5" s="586">
        <v>9.0</v>
      </c>
      <c r="BF5" s="586">
        <v>8.0</v>
      </c>
      <c r="BG5" s="586">
        <v>9.0</v>
      </c>
      <c r="BH5" s="587">
        <v>9.0</v>
      </c>
      <c r="BI5" s="588">
        <f t="shared" si="1"/>
        <v>105</v>
      </c>
      <c r="BJ5" s="527"/>
      <c r="BK5" s="601"/>
      <c r="BL5" s="113"/>
      <c r="BM5" s="526">
        <v>46174.0</v>
      </c>
      <c r="BN5" s="527"/>
      <c r="BO5" s="527"/>
      <c r="BP5" s="527"/>
      <c r="BQ5" s="527"/>
      <c r="BR5" s="527"/>
      <c r="BS5" s="527"/>
      <c r="BT5" s="527"/>
      <c r="BU5" s="527"/>
      <c r="BV5" s="527"/>
      <c r="BW5" s="527"/>
      <c r="BX5" s="527"/>
      <c r="BY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1"/>
      <c r="AT6" s="612"/>
      <c r="AU6" s="612"/>
      <c r="AV6" s="612"/>
      <c r="AW6" s="612"/>
      <c r="AX6" s="612"/>
      <c r="AY6" s="612"/>
      <c r="AZ6" s="612"/>
      <c r="BA6" s="612"/>
      <c r="BB6" s="612"/>
      <c r="BC6" s="612"/>
      <c r="BD6" s="612"/>
      <c r="BE6" s="612"/>
      <c r="BF6" s="612"/>
      <c r="BG6" s="612"/>
      <c r="BH6" s="612"/>
      <c r="BI6" s="612"/>
      <c r="BJ6" s="612"/>
      <c r="BK6" s="612"/>
      <c r="BL6" s="612"/>
      <c r="BM6" s="613">
        <v>46204.0</v>
      </c>
      <c r="BN6" s="612"/>
      <c r="BO6" s="612"/>
      <c r="BP6" s="612"/>
      <c r="BQ6" s="612"/>
      <c r="BR6" s="612"/>
      <c r="BS6" s="612"/>
      <c r="BT6" s="612"/>
      <c r="BU6" s="612"/>
      <c r="BV6" s="612"/>
      <c r="BW6" s="612"/>
      <c r="BX6" s="612"/>
      <c r="BY6" s="612"/>
    </row>
    <row r="7" ht="19.5" customHeight="1">
      <c r="A7" s="530"/>
      <c r="B7" s="614">
        <f>today()</f>
        <v>46119</v>
      </c>
      <c r="C7" s="615"/>
      <c r="D7" s="530"/>
      <c r="E7" s="616">
        <f>today()+1</f>
        <v>46120</v>
      </c>
      <c r="F7" s="617"/>
      <c r="G7" s="530"/>
      <c r="H7" s="530"/>
      <c r="I7" s="618" t="s">
        <v>422</v>
      </c>
      <c r="J7" s="619" t="s">
        <v>423</v>
      </c>
      <c r="K7" s="620">
        <v>46054.0</v>
      </c>
      <c r="L7" s="621" t="s">
        <v>424</v>
      </c>
      <c r="M7" s="622" t="s">
        <v>425</v>
      </c>
      <c r="N7" s="623">
        <f>K7</f>
        <v>46054</v>
      </c>
      <c r="O7" s="623">
        <f t="shared" ref="O7:AJ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44"/>
      <c r="AL7" s="623">
        <f>IF(AJ7="","",IF(DAY(AJ7+1)=1,"",AJ7+1))</f>
        <v>46077</v>
      </c>
      <c r="AM7" s="623">
        <f t="shared" ref="AM7:AS7" si="3">IF(AL7="","",IF(DAY(AL7+1)=1,"",AL7+1))</f>
        <v>46078</v>
      </c>
      <c r="AN7" s="623">
        <f t="shared" si="3"/>
        <v>46079</v>
      </c>
      <c r="AO7" s="623">
        <f t="shared" si="3"/>
        <v>46080</v>
      </c>
      <c r="AP7" s="623">
        <f t="shared" si="3"/>
        <v>46081</v>
      </c>
      <c r="AQ7" s="644" t="str">
        <f t="shared" si="3"/>
        <v/>
      </c>
      <c r="AR7" s="644" t="str">
        <f t="shared" si="3"/>
        <v/>
      </c>
      <c r="AS7" s="624" t="str">
        <f t="shared" si="3"/>
        <v/>
      </c>
      <c r="AT7" s="625" t="s">
        <v>426</v>
      </c>
      <c r="AU7" s="626" t="s">
        <v>427</v>
      </c>
      <c r="AV7" s="627" t="s">
        <v>81</v>
      </c>
      <c r="AW7" s="627" t="s">
        <v>428</v>
      </c>
      <c r="AX7" s="627" t="s">
        <v>429</v>
      </c>
      <c r="AY7" s="627" t="s">
        <v>430</v>
      </c>
      <c r="AZ7" s="627" t="s">
        <v>431</v>
      </c>
      <c r="BA7" s="627" t="s">
        <v>432</v>
      </c>
      <c r="BB7" s="627" t="s">
        <v>82</v>
      </c>
      <c r="BC7" s="628" t="s">
        <v>343</v>
      </c>
      <c r="BD7" s="80"/>
      <c r="BE7" s="80"/>
      <c r="BF7" s="80"/>
      <c r="BG7" s="80"/>
      <c r="BH7" s="80"/>
      <c r="BI7" s="77"/>
      <c r="BJ7" s="200"/>
      <c r="BK7" s="200"/>
      <c r="BL7" s="200"/>
      <c r="BM7" s="526">
        <v>46235.0</v>
      </c>
      <c r="BN7" s="200"/>
      <c r="BO7" s="200"/>
      <c r="BP7" s="200"/>
      <c r="BQ7" s="200"/>
      <c r="BR7" s="200"/>
      <c r="BS7" s="200"/>
      <c r="BT7" s="200"/>
      <c r="BU7" s="200"/>
      <c r="BV7" s="200"/>
      <c r="BW7" s="200"/>
      <c r="BX7" s="200"/>
      <c r="BY7" s="200"/>
    </row>
    <row r="8" ht="12.75" customHeight="1">
      <c r="A8" s="200"/>
      <c r="B8" s="637" t="s">
        <v>292</v>
      </c>
      <c r="C8" s="911" t="str">
        <f>TEXT(B7,"ddd")</f>
        <v>火</v>
      </c>
      <c r="D8" s="200"/>
      <c r="E8" s="912" t="s">
        <v>292</v>
      </c>
      <c r="F8" s="913" t="str">
        <f>TEXT(E7,"ddd")</f>
        <v>水</v>
      </c>
      <c r="G8" s="200"/>
      <c r="H8" s="200"/>
      <c r="I8" s="618"/>
      <c r="J8" s="633" t="s">
        <v>433</v>
      </c>
      <c r="K8" s="621" t="s">
        <v>434</v>
      </c>
      <c r="L8" s="634" t="s">
        <v>435</v>
      </c>
      <c r="M8" s="622"/>
      <c r="N8" s="624" t="str">
        <f t="shared" ref="N8:AJ8" si="4">TEXT(N7,"ddd")</f>
        <v>日</v>
      </c>
      <c r="O8" s="624" t="str">
        <f t="shared" si="4"/>
        <v>月</v>
      </c>
      <c r="P8" s="624" t="str">
        <f t="shared" si="4"/>
        <v>火</v>
      </c>
      <c r="Q8" s="624" t="str">
        <f t="shared" si="4"/>
        <v>水</v>
      </c>
      <c r="R8" s="624" t="str">
        <f t="shared" si="4"/>
        <v>木</v>
      </c>
      <c r="S8" s="624" t="str">
        <f t="shared" si="4"/>
        <v>金</v>
      </c>
      <c r="T8" s="624" t="str">
        <f t="shared" si="4"/>
        <v>土</v>
      </c>
      <c r="U8" s="624" t="str">
        <f t="shared" si="4"/>
        <v>日</v>
      </c>
      <c r="V8" s="624" t="str">
        <f t="shared" si="4"/>
        <v>月</v>
      </c>
      <c r="W8" s="624" t="str">
        <f t="shared" si="4"/>
        <v>火</v>
      </c>
      <c r="X8" s="624" t="str">
        <f t="shared" si="4"/>
        <v>水</v>
      </c>
      <c r="Y8" s="624" t="str">
        <f t="shared" si="4"/>
        <v>木</v>
      </c>
      <c r="Z8" s="624" t="str">
        <f t="shared" si="4"/>
        <v>金</v>
      </c>
      <c r="AA8" s="624" t="str">
        <f t="shared" si="4"/>
        <v>土</v>
      </c>
      <c r="AB8" s="624" t="str">
        <f t="shared" si="4"/>
        <v>日</v>
      </c>
      <c r="AC8" s="624" t="str">
        <f t="shared" si="4"/>
        <v>月</v>
      </c>
      <c r="AD8" s="624" t="str">
        <f t="shared" si="4"/>
        <v>火</v>
      </c>
      <c r="AE8" s="624" t="str">
        <f t="shared" si="4"/>
        <v>水</v>
      </c>
      <c r="AF8" s="624" t="str">
        <f t="shared" si="4"/>
        <v>木</v>
      </c>
      <c r="AG8" s="624" t="str">
        <f t="shared" si="4"/>
        <v>金</v>
      </c>
      <c r="AH8" s="624" t="str">
        <f t="shared" si="4"/>
        <v>土</v>
      </c>
      <c r="AI8" s="624" t="str">
        <f t="shared" si="4"/>
        <v>日</v>
      </c>
      <c r="AJ8" s="624" t="str">
        <f t="shared" si="4"/>
        <v>月</v>
      </c>
      <c r="AK8" s="624"/>
      <c r="AL8" s="624" t="str">
        <f t="shared" ref="AL8:AS8" si="5">TEXT(AL7,"ddd")</f>
        <v>火</v>
      </c>
      <c r="AM8" s="624" t="str">
        <f t="shared" si="5"/>
        <v>水</v>
      </c>
      <c r="AN8" s="624" t="str">
        <f t="shared" si="5"/>
        <v>木</v>
      </c>
      <c r="AO8" s="624" t="str">
        <f t="shared" si="5"/>
        <v>金</v>
      </c>
      <c r="AP8" s="624" t="str">
        <f t="shared" si="5"/>
        <v>土</v>
      </c>
      <c r="AQ8" s="624" t="str">
        <f t="shared" si="5"/>
        <v/>
      </c>
      <c r="AR8" s="624" t="str">
        <f t="shared" si="5"/>
        <v/>
      </c>
      <c r="AS8" s="624" t="str">
        <f t="shared" si="5"/>
        <v/>
      </c>
      <c r="AT8" s="635"/>
      <c r="AU8" s="626"/>
      <c r="AV8" s="626"/>
      <c r="AW8" s="626"/>
      <c r="AX8" s="626"/>
      <c r="AY8" s="626"/>
      <c r="AZ8" s="626"/>
      <c r="BA8" s="626"/>
      <c r="BB8" s="626"/>
      <c r="BC8" s="636"/>
      <c r="BD8" s="80"/>
      <c r="BE8" s="80"/>
      <c r="BF8" s="80"/>
      <c r="BG8" s="80"/>
      <c r="BH8" s="80"/>
      <c r="BI8" s="77"/>
      <c r="BJ8" s="200"/>
      <c r="BK8" s="200"/>
      <c r="BL8" s="200"/>
      <c r="BM8" s="526">
        <v>46266.0</v>
      </c>
      <c r="BN8" s="200"/>
      <c r="BO8" s="200"/>
      <c r="BP8" s="200"/>
      <c r="BQ8" s="200"/>
      <c r="BR8" s="200"/>
      <c r="BS8" s="200"/>
      <c r="BT8" s="200"/>
      <c r="BU8" s="200"/>
      <c r="BV8" s="200"/>
      <c r="BW8" s="200"/>
      <c r="BX8" s="200"/>
      <c r="BY8" s="200"/>
    </row>
    <row r="9">
      <c r="A9" s="200"/>
      <c r="B9" s="637" t="str">
        <f t="shared" ref="B9:B23" si="6">K9</f>
        <v>出勤者数合計</v>
      </c>
      <c r="C9" s="638" t="str">
        <f t="shared" ref="C9:C23" si="7">if(B9="","", xlookup($B$7,$N$7:$AS$7,$N9:$AS9))</f>
        <v>#N/A</v>
      </c>
      <c r="D9" s="200"/>
      <c r="E9" s="637" t="str">
        <f t="shared" ref="E9:E23" si="8">K9</f>
        <v>出勤者数合計</v>
      </c>
      <c r="F9" s="638" t="str">
        <f t="shared" ref="F9:F23" si="9">if(E9="","", xlookup($E$7,$N$7:$AS$7,$N9:$AS9))</f>
        <v>#N/A</v>
      </c>
      <c r="G9" s="200"/>
      <c r="H9" s="200"/>
      <c r="I9" s="172" t="b">
        <v>0</v>
      </c>
      <c r="J9" s="633"/>
      <c r="K9" s="639" t="s">
        <v>436</v>
      </c>
      <c r="L9" s="640" t="s">
        <v>135</v>
      </c>
      <c r="M9" s="641" t="s">
        <v>437</v>
      </c>
      <c r="N9" s="642">
        <f t="array" ref="N9">SUM(COUNTIF(N11:N104, {"◎","〇","☆","共","特","浴"}))</f>
        <v>11</v>
      </c>
      <c r="O9" s="642">
        <f t="array" ref="O9">SUM(COUNTIF(O11:O104, {"◎","〇","☆","共","特","浴"}))</f>
        <v>12</v>
      </c>
      <c r="P9" s="642">
        <f t="array" ref="P9">SUM(COUNTIF(P11:P104, {"◎","〇","☆","共","特","浴"}))</f>
        <v>14</v>
      </c>
      <c r="Q9" s="642">
        <f t="array" ref="Q9">SUM(COUNTIF(Q11:Q104, {"◎","〇","☆","共","特","浴"}))</f>
        <v>13</v>
      </c>
      <c r="R9" s="642">
        <f t="array" ref="R9">SUM(COUNTIF(R11:R104, {"◎","〇","☆","共","特","浴"}))</f>
        <v>14</v>
      </c>
      <c r="S9" s="642">
        <f t="array" ref="S9">SUM(COUNTIF(S11:S104, {"◎","〇","☆","共","特","浴"}))</f>
        <v>10</v>
      </c>
      <c r="T9" s="642">
        <f t="array" ref="T9">SUM(COUNTIF(T11:T104, {"◎","〇","☆","共","特","浴"}))</f>
        <v>12</v>
      </c>
      <c r="U9" s="642">
        <f t="array" ref="U9">SUM(COUNTIF(U11:U104, {"◎","〇","☆","共","特","浴"}))</f>
        <v>13</v>
      </c>
      <c r="V9" s="642">
        <f t="array" ref="V9">SUM(COUNTIF(V11:V104, {"◎","〇","☆","共","特","浴"}))</f>
        <v>14</v>
      </c>
      <c r="W9" s="642">
        <f t="array" ref="W9">SUM(COUNTIF(W11:W104, {"◎","〇","☆","共","特","浴"}))</f>
        <v>14</v>
      </c>
      <c r="X9" s="642">
        <f t="array" ref="X9">SUM(COUNTIF(X11:X104, {"◎","〇","☆","共","特","浴"}))</f>
        <v>13</v>
      </c>
      <c r="Y9" s="642">
        <f t="array" ref="Y9">SUM(COUNTIF(Y11:Y104, {"◎","〇","☆","共","特","浴"}))</f>
        <v>16</v>
      </c>
      <c r="Z9" s="642">
        <f t="array" ref="Z9">SUM(COUNTIF(Z11:Z104, {"◎","〇","☆","共","特","浴"}))</f>
        <v>12</v>
      </c>
      <c r="AA9" s="642">
        <f t="array" ref="AA9">SUM(COUNTIF(AA11:AA104, {"◎","〇","☆","共","特","浴"}))</f>
        <v>14</v>
      </c>
      <c r="AB9" s="642">
        <f t="array" ref="AB9">SUM(COUNTIF(AB11:AB104, {"◎","〇","☆","共","特","浴"}))</f>
        <v>13</v>
      </c>
      <c r="AC9" s="642">
        <f t="array" ref="AC9">SUM(COUNTIF(AC11:AC104, {"◎","〇","☆","共","特","浴"}))</f>
        <v>11</v>
      </c>
      <c r="AD9" s="642">
        <f t="array" ref="AD9">SUM(COUNTIF(AD11:AD104, {"◎","〇","☆","共","特","浴"}))</f>
        <v>13</v>
      </c>
      <c r="AE9" s="642">
        <f t="array" ref="AE9">SUM(COUNTIF(AE11:AE104, {"◎","〇","☆","共","特","浴"}))</f>
        <v>13</v>
      </c>
      <c r="AF9" s="642">
        <f t="array" ref="AF9">SUM(COUNTIF(AF11:AF104, {"◎","〇","☆","共","特","浴"}))</f>
        <v>15</v>
      </c>
      <c r="AG9" s="642">
        <f t="array" ref="AG9">SUM(COUNTIF(AG11:AG104, {"◎","〇","☆","共","特","浴"}))</f>
        <v>12</v>
      </c>
      <c r="AH9" s="642">
        <f t="array" ref="AH9">SUM(COUNTIF(AH11:AH104, {"◎","〇","☆","共","特","浴"}))</f>
        <v>14</v>
      </c>
      <c r="AI9" s="642">
        <f t="array" ref="AI9">SUM(COUNTIF(AI11:AI104, {"◎","〇","☆","共","特","浴"}))</f>
        <v>13</v>
      </c>
      <c r="AJ9" s="642">
        <f t="array" ref="AJ9">SUM(COUNTIF(AJ11:AJ104, {"◎","〇","☆","共","特","浴"}))</f>
        <v>13</v>
      </c>
      <c r="AK9" s="642"/>
      <c r="AL9" s="642">
        <f t="array" ref="AL9">SUM(COUNTIF(AL11:AL104, {"◎","〇","☆","共","特","浴"}))</f>
        <v>13</v>
      </c>
      <c r="AM9" s="642">
        <f t="array" ref="AM9">SUM(COUNTIF(AM11:AM104, {"◎","〇","☆","共","特","浴"}))</f>
        <v>14</v>
      </c>
      <c r="AN9" s="642">
        <f t="array" ref="AN9">SUM(COUNTIF(AN11:AN104, {"◎","〇","☆","共","特","浴"}))</f>
        <v>15</v>
      </c>
      <c r="AO9" s="642">
        <f t="array" ref="AO9">SUM(COUNTIF(AO11:AO104, {"◎","〇","☆","共","特","浴"}))</f>
        <v>13</v>
      </c>
      <c r="AP9" s="642">
        <f t="array" ref="AP9">SUM(COUNTIF(AP11:AP104, {"◎","〇","☆","共","特","浴"}))</f>
        <v>15</v>
      </c>
      <c r="AQ9" s="642">
        <f t="array" ref="AQ9">SUM(COUNTIF(AQ11:AQ104, {"◎","〇","☆","共","特","浴"}))</f>
        <v>0</v>
      </c>
      <c r="AR9" s="642">
        <f t="array" ref="AR9">SUM(COUNTIF(AR11:AR104, {"◎","〇","☆","共","特","浴"}))</f>
        <v>0</v>
      </c>
      <c r="AS9" s="642">
        <f t="array" ref="AS9">SUM(COUNTIF(AS11:AS104, {"◎","〇","☆","共","特","浴"}))</f>
        <v>0</v>
      </c>
      <c r="AT9" s="635" t="s">
        <v>135</v>
      </c>
      <c r="AU9" s="643" t="s">
        <v>135</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4">
        <f t="array" ref="BB9">SUM(COUNTIF(BB11:BB104, {"◎","〇","☆","共","特","浴"}))</f>
        <v>0</v>
      </c>
      <c r="BC9" s="645"/>
      <c r="BD9" s="80"/>
      <c r="BE9" s="80"/>
      <c r="BF9" s="80"/>
      <c r="BG9" s="80"/>
      <c r="BH9" s="80"/>
      <c r="BI9" s="77"/>
      <c r="BJ9" s="200"/>
      <c r="BK9" s="215" t="s">
        <v>96</v>
      </c>
      <c r="BL9" s="215" t="s">
        <v>97</v>
      </c>
      <c r="BM9" s="526">
        <v>46296.0</v>
      </c>
      <c r="BN9" s="200"/>
      <c r="BO9" s="200"/>
      <c r="BP9" s="200"/>
      <c r="BQ9" s="200"/>
      <c r="BR9" s="200"/>
      <c r="BS9" s="200"/>
      <c r="BT9" s="200"/>
      <c r="BU9" s="200"/>
      <c r="BV9" s="200"/>
      <c r="BW9" s="200"/>
      <c r="BX9" s="200"/>
      <c r="BY9" s="200"/>
    </row>
    <row r="10">
      <c r="A10" s="200"/>
      <c r="B10" s="637" t="str">
        <f t="shared" si="6"/>
        <v>チェッカー数</v>
      </c>
      <c r="C10" s="638" t="str">
        <f t="shared" si="7"/>
        <v>#N/A</v>
      </c>
      <c r="D10" s="200"/>
      <c r="E10" s="637" t="str">
        <f t="shared" si="8"/>
        <v>チェッカー数</v>
      </c>
      <c r="F10" s="638" t="str">
        <f t="shared" si="9"/>
        <v>#N/A</v>
      </c>
      <c r="G10" s="200"/>
      <c r="H10" s="200"/>
      <c r="I10" s="172" t="b">
        <v>0</v>
      </c>
      <c r="J10" s="633"/>
      <c r="K10" s="639" t="s">
        <v>438</v>
      </c>
      <c r="L10" s="640" t="s">
        <v>135</v>
      </c>
      <c r="M10" s="641" t="s">
        <v>439</v>
      </c>
      <c r="N10" s="642">
        <f t="array" ref="N10">SUM(COUNTIF(N11:N104, {"◎","☆"}))</f>
        <v>2</v>
      </c>
      <c r="O10" s="642">
        <f t="array" ref="O10">SUM(COUNTIF(O11:O104, {"◎","☆"}))</f>
        <v>4</v>
      </c>
      <c r="P10" s="642">
        <f t="array" ref="P10">SUM(COUNTIF(P11:P104, {"◎","☆"}))</f>
        <v>4</v>
      </c>
      <c r="Q10" s="642">
        <f t="array" ref="Q10">SUM(COUNTIF(Q11:Q104, {"◎","☆"}))</f>
        <v>3</v>
      </c>
      <c r="R10" s="642">
        <f t="array" ref="R10">SUM(COUNTIF(R11:R104, {"◎","☆"}))</f>
        <v>4</v>
      </c>
      <c r="S10" s="642">
        <f t="array" ref="S10">SUM(COUNTIF(S11:S104, {"◎","☆"}))</f>
        <v>2</v>
      </c>
      <c r="T10" s="642">
        <f t="array" ref="T10">SUM(COUNTIF(T11:T104, {"◎","☆"}))</f>
        <v>3</v>
      </c>
      <c r="U10" s="642">
        <f t="array" ref="U10">SUM(COUNTIF(U11:U104, {"◎","☆"}))</f>
        <v>3</v>
      </c>
      <c r="V10" s="642">
        <f t="array" ref="V10">SUM(COUNTIF(V11:V104, {"◎","☆"}))</f>
        <v>4</v>
      </c>
      <c r="W10" s="642">
        <f t="array" ref="W10">SUM(COUNTIF(W11:W104, {"◎","☆"}))</f>
        <v>3</v>
      </c>
      <c r="X10" s="642">
        <f t="array" ref="X10">SUM(COUNTIF(X11:X104, {"◎","☆"}))</f>
        <v>3</v>
      </c>
      <c r="Y10" s="642">
        <f t="array" ref="Y10">SUM(COUNTIF(Y11:Y104, {"◎","☆"}))</f>
        <v>4</v>
      </c>
      <c r="Z10" s="642">
        <f t="array" ref="Z10">SUM(COUNTIF(Z11:Z104, {"◎","☆"}))</f>
        <v>3</v>
      </c>
      <c r="AA10" s="642">
        <f t="array" ref="AA10">SUM(COUNTIF(AA11:AA104, {"◎","☆"}))</f>
        <v>4</v>
      </c>
      <c r="AB10" s="642">
        <f t="array" ref="AB10">SUM(COUNTIF(AB11:AB104, {"◎","☆"}))</f>
        <v>4</v>
      </c>
      <c r="AC10" s="642">
        <f t="array" ref="AC10">SUM(COUNTIF(AC11:AC104, {"◎","☆"}))</f>
        <v>4</v>
      </c>
      <c r="AD10" s="642">
        <f t="array" ref="AD10">SUM(COUNTIF(AD11:AD104, {"◎","☆"}))</f>
        <v>4</v>
      </c>
      <c r="AE10" s="642">
        <f t="array" ref="AE10">SUM(COUNTIF(AE11:AE104, {"◎","☆"}))</f>
        <v>4</v>
      </c>
      <c r="AF10" s="642">
        <f t="array" ref="AF10">SUM(COUNTIF(AF11:AF104, {"◎","☆"}))</f>
        <v>5</v>
      </c>
      <c r="AG10" s="642">
        <f t="array" ref="AG10">SUM(COUNTIF(AG11:AG104, {"◎","☆"}))</f>
        <v>4</v>
      </c>
      <c r="AH10" s="642">
        <f t="array" ref="AH10">SUM(COUNTIF(AH11:AH104, {"◎","☆"}))</f>
        <v>4</v>
      </c>
      <c r="AI10" s="642">
        <f t="array" ref="AI10">SUM(COUNTIF(AI11:AI104, {"◎","☆"}))</f>
        <v>4</v>
      </c>
      <c r="AJ10" s="642">
        <f t="array" ref="AJ10">SUM(COUNTIF(AJ11:AJ104, {"◎","☆"}))</f>
        <v>4</v>
      </c>
      <c r="AK10" s="642"/>
      <c r="AL10" s="642">
        <f t="array" ref="AL10">SUM(COUNTIF(AL11:AL104, {"◎","☆"}))</f>
        <v>4</v>
      </c>
      <c r="AM10" s="642">
        <f t="array" ref="AM10">SUM(COUNTIF(AM11:AM104, {"◎","☆"}))</f>
        <v>4</v>
      </c>
      <c r="AN10" s="642">
        <f t="array" ref="AN10">SUM(COUNTIF(AN11:AN104, {"◎","☆"}))</f>
        <v>3</v>
      </c>
      <c r="AO10" s="642">
        <f t="array" ref="AO10">SUM(COUNTIF(AO11:AO104, {"◎","☆"}))</f>
        <v>4</v>
      </c>
      <c r="AP10" s="642">
        <f t="array" ref="AP10">SUM(COUNTIF(AP11:AP104, {"◎","☆"}))</f>
        <v>5</v>
      </c>
      <c r="AQ10" s="642">
        <f t="array" ref="AQ10">SUM(COUNTIF(AQ11:AQ104, {"◎","☆"}))</f>
        <v>0</v>
      </c>
      <c r="AR10" s="642">
        <f t="array" ref="AR10">SUM(COUNTIF(AR11:AR104, {"◎","☆"}))</f>
        <v>0</v>
      </c>
      <c r="AS10" s="642">
        <f t="array" ref="AS10">SUM(COUNTIF(AS11:AS104, {"◎","☆"}))</f>
        <v>0</v>
      </c>
      <c r="AT10" s="635" t="s">
        <v>135</v>
      </c>
      <c r="AU10" s="643" t="s">
        <v>135</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4">
        <f t="array" ref="BB10">SUM(COUNTIF(BB11:BB104, {"◎","☆"}))</f>
        <v>0</v>
      </c>
      <c r="BC10" s="645"/>
      <c r="BD10" s="80"/>
      <c r="BE10" s="80"/>
      <c r="BF10" s="80"/>
      <c r="BG10" s="80"/>
      <c r="BH10" s="80"/>
      <c r="BI10" s="77"/>
      <c r="BJ10" s="200"/>
      <c r="BK10" s="222"/>
      <c r="BL10" s="222"/>
      <c r="BM10" s="526">
        <v>46327.0</v>
      </c>
      <c r="BN10" s="200"/>
      <c r="BO10" s="200"/>
      <c r="BP10" s="200"/>
      <c r="BQ10" s="200"/>
      <c r="BR10" s="200"/>
      <c r="BS10" s="200"/>
      <c r="BT10" s="200"/>
      <c r="BU10" s="200"/>
      <c r="BV10" s="200"/>
      <c r="BW10" s="200"/>
      <c r="BX10" s="200"/>
      <c r="BY10" s="200"/>
    </row>
    <row r="11">
      <c r="A11" s="200"/>
      <c r="B11" s="637" t="str">
        <f t="shared" si="6"/>
        <v>シャキラ</v>
      </c>
      <c r="C11" s="638" t="str">
        <f t="shared" si="7"/>
        <v>#N/A</v>
      </c>
      <c r="D11" s="200"/>
      <c r="E11" s="637" t="str">
        <f t="shared" si="8"/>
        <v>シャキラ</v>
      </c>
      <c r="F11" s="638" t="str">
        <f t="shared" si="9"/>
        <v>#N/A</v>
      </c>
      <c r="G11" s="200"/>
      <c r="H11" s="200"/>
      <c r="I11" s="172" t="b">
        <v>0</v>
      </c>
      <c r="J11" s="619"/>
      <c r="K11" s="639" t="s">
        <v>100</v>
      </c>
      <c r="L11" s="640"/>
      <c r="M11" s="646"/>
      <c r="N11" s="647" t="s">
        <v>395</v>
      </c>
      <c r="O11" s="647" t="s">
        <v>409</v>
      </c>
      <c r="P11" s="647" t="s">
        <v>409</v>
      </c>
      <c r="Q11" s="647" t="s">
        <v>409</v>
      </c>
      <c r="R11" s="647" t="s">
        <v>395</v>
      </c>
      <c r="S11" s="647" t="s">
        <v>409</v>
      </c>
      <c r="T11" s="647" t="s">
        <v>395</v>
      </c>
      <c r="U11" s="647" t="s">
        <v>395</v>
      </c>
      <c r="V11" s="647" t="s">
        <v>409</v>
      </c>
      <c r="W11" s="647" t="s">
        <v>409</v>
      </c>
      <c r="X11" s="647" t="s">
        <v>395</v>
      </c>
      <c r="Y11" s="647" t="s">
        <v>395</v>
      </c>
      <c r="Z11" s="647" t="s">
        <v>409</v>
      </c>
      <c r="AA11" s="647" t="s">
        <v>395</v>
      </c>
      <c r="AB11" s="647" t="s">
        <v>395</v>
      </c>
      <c r="AC11" s="647" t="s">
        <v>409</v>
      </c>
      <c r="AD11" s="647" t="s">
        <v>411</v>
      </c>
      <c r="AE11" s="647" t="s">
        <v>411</v>
      </c>
      <c r="AF11" s="647" t="s">
        <v>395</v>
      </c>
      <c r="AG11" s="647" t="s">
        <v>411</v>
      </c>
      <c r="AH11" s="647" t="s">
        <v>411</v>
      </c>
      <c r="AI11" s="647" t="s">
        <v>411</v>
      </c>
      <c r="AJ11" s="647" t="s">
        <v>411</v>
      </c>
      <c r="AK11" s="647"/>
      <c r="AL11" s="647" t="s">
        <v>411</v>
      </c>
      <c r="AM11" s="647" t="s">
        <v>411</v>
      </c>
      <c r="AN11" s="647" t="s">
        <v>395</v>
      </c>
      <c r="AO11" s="647" t="s">
        <v>411</v>
      </c>
      <c r="AP11" s="647" t="s">
        <v>395</v>
      </c>
      <c r="AQ11" s="647"/>
      <c r="AR11" s="647"/>
      <c r="AS11" s="647"/>
      <c r="AT11" s="648">
        <f t="array" ref="AT11">SUM(COUNTIF(N11:AS11, {"◎","〇","☆","共","特","浴"}))</f>
        <v>11</v>
      </c>
      <c r="AU11" s="649"/>
      <c r="AV11" s="650"/>
      <c r="AW11" s="650"/>
      <c r="AX11" s="650"/>
      <c r="AY11" s="650"/>
      <c r="AZ11" s="650"/>
      <c r="BA11" s="650"/>
      <c r="BB11" s="650"/>
      <c r="BC11" s="651"/>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6">
        <v>46357.0</v>
      </c>
      <c r="BN11" s="200"/>
      <c r="BO11" s="200"/>
      <c r="BP11" s="200"/>
      <c r="BQ11" s="200"/>
      <c r="BR11" s="200"/>
      <c r="BS11" s="200"/>
      <c r="BT11" s="200"/>
      <c r="BU11" s="200"/>
      <c r="BV11" s="200"/>
      <c r="BW11" s="200"/>
      <c r="BX11" s="200"/>
      <c r="BY11" s="200"/>
    </row>
    <row r="12">
      <c r="A12" s="200"/>
      <c r="B12" s="637" t="str">
        <f t="shared" si="6"/>
        <v>メイ</v>
      </c>
      <c r="C12" s="638" t="str">
        <f t="shared" si="7"/>
        <v>#N/A</v>
      </c>
      <c r="D12" s="200"/>
      <c r="E12" s="637" t="str">
        <f t="shared" si="8"/>
        <v>メイ</v>
      </c>
      <c r="F12" s="638" t="str">
        <f t="shared" si="9"/>
        <v>#N/A</v>
      </c>
      <c r="G12" s="200"/>
      <c r="H12" s="200"/>
      <c r="I12" s="172" t="b">
        <v>0</v>
      </c>
      <c r="J12" s="619"/>
      <c r="K12" s="639" t="s">
        <v>142</v>
      </c>
      <c r="L12" s="640"/>
      <c r="M12" s="646"/>
      <c r="N12" s="939" t="s">
        <v>740</v>
      </c>
      <c r="O12" s="920" t="s">
        <v>395</v>
      </c>
      <c r="P12" s="920" t="s">
        <v>395</v>
      </c>
      <c r="Q12" s="920" t="s">
        <v>395</v>
      </c>
      <c r="R12" s="920" t="s">
        <v>395</v>
      </c>
      <c r="S12" s="920" t="s">
        <v>741</v>
      </c>
      <c r="T12" s="940" t="s">
        <v>409</v>
      </c>
      <c r="U12" s="939" t="s">
        <v>740</v>
      </c>
      <c r="V12" s="920" t="s">
        <v>395</v>
      </c>
      <c r="W12" s="920" t="s">
        <v>409</v>
      </c>
      <c r="X12" s="920" t="s">
        <v>395</v>
      </c>
      <c r="Y12" s="920" t="s">
        <v>409</v>
      </c>
      <c r="Z12" s="920" t="s">
        <v>395</v>
      </c>
      <c r="AA12" s="940" t="s">
        <v>740</v>
      </c>
      <c r="AB12" s="939" t="s">
        <v>740</v>
      </c>
      <c r="AC12" s="920" t="s">
        <v>395</v>
      </c>
      <c r="AD12" s="920" t="s">
        <v>409</v>
      </c>
      <c r="AE12" s="920" t="s">
        <v>395</v>
      </c>
      <c r="AF12" s="920" t="s">
        <v>409</v>
      </c>
      <c r="AG12" s="920" t="s">
        <v>395</v>
      </c>
      <c r="AH12" s="940" t="s">
        <v>395</v>
      </c>
      <c r="AI12" s="939" t="s">
        <v>395</v>
      </c>
      <c r="AJ12" s="920" t="s">
        <v>395</v>
      </c>
      <c r="AK12" s="920"/>
      <c r="AL12" s="920" t="s">
        <v>409</v>
      </c>
      <c r="AM12" s="920" t="s">
        <v>395</v>
      </c>
      <c r="AN12" s="920" t="s">
        <v>409</v>
      </c>
      <c r="AO12" s="920" t="s">
        <v>395</v>
      </c>
      <c r="AP12" s="940" t="s">
        <v>395</v>
      </c>
      <c r="AQ12" s="647"/>
      <c r="AR12" s="647"/>
      <c r="AS12" s="647"/>
      <c r="AT12" s="648">
        <f t="array" ref="AT12">SUM(COUNTIF(N12:AS12, {"◎","〇","☆","共","特","浴"}))</f>
        <v>16</v>
      </c>
      <c r="AU12" s="649"/>
      <c r="AV12" s="650"/>
      <c r="AW12" s="650"/>
      <c r="AX12" s="650"/>
      <c r="AY12" s="650"/>
      <c r="AZ12" s="650"/>
      <c r="BA12" s="650"/>
      <c r="BB12" s="650"/>
      <c r="BC12" s="651"/>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6">
        <v>46388.0</v>
      </c>
      <c r="BN12" s="200"/>
      <c r="BO12" s="200"/>
      <c r="BP12" s="200"/>
      <c r="BQ12" s="200"/>
      <c r="BR12" s="200"/>
      <c r="BS12" s="200"/>
      <c r="BT12" s="200"/>
      <c r="BU12" s="200"/>
      <c r="BV12" s="200"/>
      <c r="BW12" s="200"/>
      <c r="BX12" s="200"/>
      <c r="BY12" s="200"/>
    </row>
    <row r="13">
      <c r="A13" s="200"/>
      <c r="B13" s="637" t="str">
        <f t="shared" si="6"/>
        <v>ビマル</v>
      </c>
      <c r="C13" s="638" t="str">
        <f t="shared" si="7"/>
        <v>#N/A</v>
      </c>
      <c r="D13" s="200"/>
      <c r="E13" s="637" t="str">
        <f t="shared" si="8"/>
        <v>ビマル</v>
      </c>
      <c r="F13" s="638" t="str">
        <f t="shared" si="9"/>
        <v>#N/A</v>
      </c>
      <c r="G13" s="200"/>
      <c r="H13" s="200"/>
      <c r="I13" s="172" t="b">
        <v>0</v>
      </c>
      <c r="J13" s="619"/>
      <c r="K13" s="639" t="s">
        <v>119</v>
      </c>
      <c r="L13" s="640"/>
      <c r="M13" s="646"/>
      <c r="N13" s="917"/>
      <c r="O13" s="918"/>
      <c r="P13" s="920" t="s">
        <v>395</v>
      </c>
      <c r="Q13" s="918"/>
      <c r="R13" s="918"/>
      <c r="S13" s="920" t="s">
        <v>415</v>
      </c>
      <c r="T13" s="919"/>
      <c r="U13" s="917"/>
      <c r="V13" s="920" t="s">
        <v>395</v>
      </c>
      <c r="W13" s="920" t="s">
        <v>395</v>
      </c>
      <c r="X13" s="918"/>
      <c r="Y13" s="918"/>
      <c r="Z13" s="920" t="s">
        <v>395</v>
      </c>
      <c r="AA13" s="919"/>
      <c r="AB13" s="917"/>
      <c r="AC13" s="918"/>
      <c r="AD13" s="920" t="s">
        <v>395</v>
      </c>
      <c r="AE13" s="918"/>
      <c r="AF13" s="918"/>
      <c r="AG13" s="920" t="s">
        <v>395</v>
      </c>
      <c r="AH13" s="919"/>
      <c r="AI13" s="917"/>
      <c r="AJ13" s="920" t="s">
        <v>395</v>
      </c>
      <c r="AK13" s="920"/>
      <c r="AL13" s="920" t="s">
        <v>395</v>
      </c>
      <c r="AM13" s="918"/>
      <c r="AN13" s="918"/>
      <c r="AO13" s="920" t="s">
        <v>395</v>
      </c>
      <c r="AP13" s="919"/>
      <c r="AQ13" s="647"/>
      <c r="AR13" s="647"/>
      <c r="AS13" s="642"/>
      <c r="AT13" s="648">
        <f t="array" ref="AT13">SUM(COUNTIF(N13:AS13, {"◎","〇","☆","共","特","浴"}))</f>
        <v>9</v>
      </c>
      <c r="AU13" s="652"/>
      <c r="AV13" s="650"/>
      <c r="AW13" s="650"/>
      <c r="AX13" s="650"/>
      <c r="AY13" s="650"/>
      <c r="AZ13" s="650"/>
      <c r="BA13" s="650"/>
      <c r="BB13" s="650"/>
      <c r="BC13" s="651"/>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6"/>
      <c r="BN13" s="200"/>
      <c r="BO13" s="200"/>
      <c r="BP13" s="200"/>
      <c r="BQ13" s="200"/>
      <c r="BR13" s="200"/>
      <c r="BS13" s="200"/>
      <c r="BT13" s="200"/>
      <c r="BU13" s="200"/>
      <c r="BV13" s="200"/>
      <c r="BW13" s="200"/>
      <c r="BX13" s="200"/>
      <c r="BY13" s="200"/>
    </row>
    <row r="14">
      <c r="A14" s="200"/>
      <c r="B14" s="637" t="str">
        <f t="shared" si="6"/>
        <v>梅川</v>
      </c>
      <c r="C14" s="638" t="str">
        <f t="shared" si="7"/>
        <v>#N/A</v>
      </c>
      <c r="D14" s="200"/>
      <c r="E14" s="637" t="str">
        <f t="shared" si="8"/>
        <v>梅川</v>
      </c>
      <c r="F14" s="638" t="str">
        <f t="shared" si="9"/>
        <v>#N/A</v>
      </c>
      <c r="G14" s="200"/>
      <c r="H14" s="200"/>
      <c r="I14" s="172" t="b">
        <v>0</v>
      </c>
      <c r="J14" s="619"/>
      <c r="K14" s="639" t="s">
        <v>132</v>
      </c>
      <c r="L14" s="640"/>
      <c r="M14" s="646"/>
      <c r="N14" s="647"/>
      <c r="O14" s="647"/>
      <c r="P14" s="647"/>
      <c r="Q14" s="647"/>
      <c r="R14" s="647"/>
      <c r="S14" s="647"/>
      <c r="T14" s="647"/>
      <c r="U14" s="647"/>
      <c r="V14" s="647"/>
      <c r="W14" s="647"/>
      <c r="X14" s="647"/>
      <c r="Y14" s="647" t="s">
        <v>395</v>
      </c>
      <c r="Z14" s="647" t="s">
        <v>409</v>
      </c>
      <c r="AA14" s="920" t="s">
        <v>395</v>
      </c>
      <c r="AB14" s="920" t="s">
        <v>395</v>
      </c>
      <c r="AC14" s="647" t="s">
        <v>409</v>
      </c>
      <c r="AD14" s="921" t="s">
        <v>395</v>
      </c>
      <c r="AE14" s="920" t="s">
        <v>395</v>
      </c>
      <c r="AF14" s="647" t="s">
        <v>395</v>
      </c>
      <c r="AG14" s="647" t="s">
        <v>395</v>
      </c>
      <c r="AH14" s="920" t="s">
        <v>395</v>
      </c>
      <c r="AI14" s="920" t="s">
        <v>395</v>
      </c>
      <c r="AJ14" s="647" t="s">
        <v>409</v>
      </c>
      <c r="AK14" s="647"/>
      <c r="AL14" s="647" t="s">
        <v>409</v>
      </c>
      <c r="AM14" s="647" t="s">
        <v>742</v>
      </c>
      <c r="AN14" s="915" t="s">
        <v>409</v>
      </c>
      <c r="AO14" s="920" t="s">
        <v>395</v>
      </c>
      <c r="AP14" s="920" t="s">
        <v>395</v>
      </c>
      <c r="AQ14" s="647"/>
      <c r="AR14" s="647"/>
      <c r="AS14" s="642"/>
      <c r="AT14" s="648">
        <f t="array" ref="AT14">SUM(COUNTIF(N14:AS14, {"◎","〇","☆","共","特","浴"}))</f>
        <v>11</v>
      </c>
      <c r="AU14" s="649"/>
      <c r="AV14" s="650"/>
      <c r="AW14" s="650"/>
      <c r="AX14" s="650"/>
      <c r="AY14" s="650"/>
      <c r="AZ14" s="650"/>
      <c r="BA14" s="650"/>
      <c r="BB14" s="650"/>
      <c r="BC14" s="651"/>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6"/>
      <c r="BN14" s="200"/>
      <c r="BO14" s="200"/>
      <c r="BP14" s="200"/>
      <c r="BQ14" s="200"/>
      <c r="BR14" s="200"/>
      <c r="BS14" s="200"/>
      <c r="BT14" s="200"/>
      <c r="BU14" s="200"/>
      <c r="BV14" s="200"/>
      <c r="BW14" s="200"/>
      <c r="BX14" s="200"/>
      <c r="BY14" s="200"/>
    </row>
    <row r="15">
      <c r="A15" s="200"/>
      <c r="B15" s="637" t="str">
        <f t="shared" si="6"/>
        <v/>
      </c>
      <c r="C15" s="638" t="str">
        <f t="shared" si="7"/>
        <v/>
      </c>
      <c r="D15" s="200"/>
      <c r="E15" s="637" t="str">
        <f t="shared" si="8"/>
        <v/>
      </c>
      <c r="F15" s="638" t="str">
        <f t="shared" si="9"/>
        <v/>
      </c>
      <c r="G15" s="200"/>
      <c r="H15" s="200"/>
      <c r="I15" s="172" t="b">
        <v>0</v>
      </c>
      <c r="J15" s="619"/>
      <c r="K15" s="639"/>
      <c r="L15" s="640"/>
      <c r="M15" s="646"/>
      <c r="N15" s="647"/>
      <c r="O15" s="647"/>
      <c r="P15" s="647" t="s">
        <v>743</v>
      </c>
      <c r="Q15" s="647"/>
      <c r="R15" s="647" t="s">
        <v>744</v>
      </c>
      <c r="S15" s="647"/>
      <c r="T15" s="647"/>
      <c r="U15" s="647"/>
      <c r="V15" s="647"/>
      <c r="W15" s="647"/>
      <c r="X15" s="647"/>
      <c r="Y15" s="647"/>
      <c r="Z15" s="647"/>
      <c r="AA15" s="647"/>
      <c r="AB15" s="647"/>
      <c r="AC15" s="647"/>
      <c r="AD15" s="647"/>
      <c r="AE15" s="647"/>
      <c r="AF15" s="647" t="s">
        <v>745</v>
      </c>
      <c r="AG15" s="647"/>
      <c r="AH15" s="647"/>
      <c r="AI15" s="24"/>
      <c r="AJ15" s="647"/>
      <c r="AK15" s="647"/>
      <c r="AL15" s="647"/>
      <c r="AM15" s="647"/>
      <c r="AN15" s="647"/>
      <c r="AO15" s="647"/>
      <c r="AP15" s="647"/>
      <c r="AQ15" s="647"/>
      <c r="AS15" s="642"/>
      <c r="AT15" s="648">
        <f t="array" ref="AT15">SUM(COUNTIF(N15:AS15, {"◎","〇","☆","共","特","浴"}))</f>
        <v>0</v>
      </c>
      <c r="AU15" s="649"/>
      <c r="AV15" s="650"/>
      <c r="AW15" s="650"/>
      <c r="AX15" s="650"/>
      <c r="AY15" s="650"/>
      <c r="AZ15" s="650"/>
      <c r="BA15" s="650"/>
      <c r="BB15" s="650"/>
      <c r="BC15" s="651"/>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6"/>
      <c r="BN15" s="200"/>
      <c r="BO15" s="200"/>
      <c r="BP15" s="200"/>
      <c r="BQ15" s="200"/>
      <c r="BR15" s="200"/>
      <c r="BS15" s="200"/>
      <c r="BT15" s="200"/>
      <c r="BU15" s="200"/>
      <c r="BV15" s="200"/>
      <c r="BW15" s="200"/>
      <c r="BX15" s="200"/>
      <c r="BY15" s="200"/>
    </row>
    <row r="16">
      <c r="A16" s="200"/>
      <c r="B16" s="637" t="str">
        <f t="shared" si="6"/>
        <v/>
      </c>
      <c r="C16" s="638" t="str">
        <f t="shared" si="7"/>
        <v/>
      </c>
      <c r="D16" s="200"/>
      <c r="E16" s="637" t="str">
        <f t="shared" si="8"/>
        <v/>
      </c>
      <c r="F16" s="638" t="str">
        <f t="shared" si="9"/>
        <v/>
      </c>
      <c r="G16" s="200"/>
      <c r="H16" s="200"/>
      <c r="I16" s="172" t="b">
        <v>0</v>
      </c>
      <c r="J16" s="619"/>
      <c r="K16" s="639"/>
      <c r="L16" s="640"/>
      <c r="M16" s="646"/>
      <c r="N16" s="647"/>
      <c r="O16" s="647"/>
      <c r="P16" s="647" t="s">
        <v>746</v>
      </c>
      <c r="Q16" s="647"/>
      <c r="R16" s="647" t="s">
        <v>747</v>
      </c>
      <c r="S16" s="647"/>
      <c r="T16" s="647"/>
      <c r="U16" s="647"/>
      <c r="V16" s="647"/>
      <c r="W16" s="647"/>
      <c r="X16" s="647"/>
      <c r="Y16" s="647"/>
      <c r="Z16" s="647"/>
      <c r="AA16" s="647"/>
      <c r="AB16" s="647"/>
      <c r="AC16" s="647"/>
      <c r="AD16" s="647"/>
      <c r="AE16" s="647"/>
      <c r="AF16" s="647" t="s">
        <v>746</v>
      </c>
      <c r="AG16" s="647"/>
      <c r="AH16" s="647"/>
      <c r="AI16" s="647"/>
      <c r="AJ16" s="647"/>
      <c r="AK16" s="647"/>
      <c r="AL16" s="647"/>
      <c r="AM16" s="647"/>
      <c r="AN16" s="647"/>
      <c r="AO16" s="647"/>
      <c r="AP16" s="647"/>
      <c r="AQ16" s="647"/>
      <c r="AR16" s="647"/>
      <c r="AS16" s="642"/>
      <c r="AT16" s="648">
        <f t="array" ref="AT16">SUM(COUNTIF(N16:AS16, {"◎","〇","☆","共","特","浴"}))</f>
        <v>0</v>
      </c>
      <c r="AU16" s="649"/>
      <c r="AV16" s="650"/>
      <c r="AW16" s="650"/>
      <c r="AX16" s="650"/>
      <c r="AY16" s="650"/>
      <c r="AZ16" s="650"/>
      <c r="BA16" s="650"/>
      <c r="BB16" s="650"/>
      <c r="BC16" s="651"/>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6"/>
      <c r="BN16" s="200"/>
      <c r="BO16" s="200"/>
      <c r="BP16" s="200"/>
      <c r="BQ16" s="200"/>
      <c r="BR16" s="200"/>
      <c r="BS16" s="200"/>
      <c r="BT16" s="200"/>
      <c r="BU16" s="200"/>
      <c r="BV16" s="200"/>
      <c r="BW16" s="200"/>
      <c r="BX16" s="200"/>
      <c r="BY16" s="200"/>
    </row>
    <row r="17">
      <c r="A17" s="200"/>
      <c r="B17" s="637" t="str">
        <f t="shared" si="6"/>
        <v>宇佐見</v>
      </c>
      <c r="C17" s="638" t="str">
        <f t="shared" si="7"/>
        <v>#N/A</v>
      </c>
      <c r="D17" s="200"/>
      <c r="E17" s="637" t="str">
        <f t="shared" si="8"/>
        <v>宇佐見</v>
      </c>
      <c r="F17" s="638" t="str">
        <f t="shared" si="9"/>
        <v>#N/A</v>
      </c>
      <c r="G17" s="200"/>
      <c r="H17" s="200"/>
      <c r="I17" s="172" t="b">
        <v>0</v>
      </c>
      <c r="J17" s="619"/>
      <c r="K17" s="639" t="s">
        <v>448</v>
      </c>
      <c r="L17" s="640" t="s">
        <v>449</v>
      </c>
      <c r="M17" s="646"/>
      <c r="N17" s="647" t="s">
        <v>415</v>
      </c>
      <c r="O17" s="647" t="s">
        <v>395</v>
      </c>
      <c r="P17" s="647" t="s">
        <v>395</v>
      </c>
      <c r="Q17" s="647"/>
      <c r="R17" s="647"/>
      <c r="S17" s="647" t="s">
        <v>395</v>
      </c>
      <c r="T17" s="647" t="s">
        <v>415</v>
      </c>
      <c r="U17" s="647" t="s">
        <v>415</v>
      </c>
      <c r="V17" s="647" t="s">
        <v>395</v>
      </c>
      <c r="W17" s="647" t="s">
        <v>395</v>
      </c>
      <c r="X17" s="647" t="s">
        <v>415</v>
      </c>
      <c r="Y17" s="647"/>
      <c r="Z17" s="647" t="s">
        <v>415</v>
      </c>
      <c r="AA17" s="647" t="s">
        <v>415</v>
      </c>
      <c r="AB17" s="647" t="s">
        <v>415</v>
      </c>
      <c r="AC17" s="647" t="s">
        <v>395</v>
      </c>
      <c r="AD17" s="647" t="s">
        <v>395</v>
      </c>
      <c r="AE17" s="647"/>
      <c r="AF17" s="647" t="s">
        <v>395</v>
      </c>
      <c r="AG17" s="647"/>
      <c r="AH17" s="647" t="s">
        <v>415</v>
      </c>
      <c r="AI17" s="647" t="s">
        <v>415</v>
      </c>
      <c r="AJ17" s="647" t="s">
        <v>415</v>
      </c>
      <c r="AK17" s="647"/>
      <c r="AL17" s="647" t="s">
        <v>395</v>
      </c>
      <c r="AM17" s="647" t="s">
        <v>395</v>
      </c>
      <c r="AN17" s="647" t="s">
        <v>395</v>
      </c>
      <c r="AO17" s="647" t="s">
        <v>415</v>
      </c>
      <c r="AP17" s="647" t="s">
        <v>415</v>
      </c>
      <c r="AQ17" s="647"/>
      <c r="AR17" s="647"/>
      <c r="AS17" s="642"/>
      <c r="AT17" s="648">
        <f t="array" ref="AT17">SUM(COUNTIF(N17:AS17, {"◎","〇","☆","共","特","浴"}))</f>
        <v>11</v>
      </c>
      <c r="AU17" s="652"/>
      <c r="AV17" s="650"/>
      <c r="AW17" s="650"/>
      <c r="AX17" s="650"/>
      <c r="AY17" s="650"/>
      <c r="AZ17" s="650"/>
      <c r="BA17" s="650"/>
      <c r="BB17" s="650"/>
      <c r="BC17" s="653" t="s">
        <v>595</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6"/>
      <c r="BN17" s="200"/>
      <c r="BO17" s="200"/>
      <c r="BP17" s="200"/>
      <c r="BQ17" s="200"/>
      <c r="BR17" s="200"/>
      <c r="BS17" s="200"/>
      <c r="BT17" s="200"/>
      <c r="BU17" s="200"/>
      <c r="BV17" s="200"/>
      <c r="BW17" s="200"/>
      <c r="BX17" s="200"/>
      <c r="BY17" s="200"/>
    </row>
    <row r="18">
      <c r="A18" s="200"/>
      <c r="B18" s="637" t="str">
        <f t="shared" si="6"/>
        <v>小田原</v>
      </c>
      <c r="C18" s="638" t="str">
        <f t="shared" si="7"/>
        <v>#N/A</v>
      </c>
      <c r="D18" s="200"/>
      <c r="E18" s="637" t="str">
        <f t="shared" si="8"/>
        <v>小田原</v>
      </c>
      <c r="F18" s="638" t="str">
        <f t="shared" si="9"/>
        <v>#N/A</v>
      </c>
      <c r="G18" s="200"/>
      <c r="H18" s="200"/>
      <c r="I18" s="172" t="b">
        <v>0</v>
      </c>
      <c r="J18" s="619"/>
      <c r="K18" s="639" t="s">
        <v>451</v>
      </c>
      <c r="L18" s="640" t="s">
        <v>449</v>
      </c>
      <c r="M18" s="646"/>
      <c r="N18" s="647"/>
      <c r="O18" s="647" t="s">
        <v>395</v>
      </c>
      <c r="P18" s="647" t="s">
        <v>395</v>
      </c>
      <c r="Q18" s="647"/>
      <c r="R18" s="647" t="s">
        <v>395</v>
      </c>
      <c r="S18" s="647"/>
      <c r="T18" s="647"/>
      <c r="U18" s="647"/>
      <c r="V18" s="647" t="s">
        <v>395</v>
      </c>
      <c r="W18" s="647" t="s">
        <v>395</v>
      </c>
      <c r="X18" s="647"/>
      <c r="Y18" s="647" t="s">
        <v>395</v>
      </c>
      <c r="Z18" s="647"/>
      <c r="AA18" s="647"/>
      <c r="AB18" s="647"/>
      <c r="AC18" s="647" t="s">
        <v>395</v>
      </c>
      <c r="AD18" s="647" t="s">
        <v>395</v>
      </c>
      <c r="AE18" s="647"/>
      <c r="AF18" s="647" t="s">
        <v>395</v>
      </c>
      <c r="AG18" s="647"/>
      <c r="AH18" s="647"/>
      <c r="AI18" s="647"/>
      <c r="AJ18" s="647" t="s">
        <v>395</v>
      </c>
      <c r="AK18" s="647"/>
      <c r="AL18" s="647" t="s">
        <v>395</v>
      </c>
      <c r="AM18" s="647"/>
      <c r="AN18" s="647" t="s">
        <v>395</v>
      </c>
      <c r="AO18" s="647"/>
      <c r="AP18" s="647"/>
      <c r="AQ18" s="647"/>
      <c r="AR18" s="647"/>
      <c r="AS18" s="642"/>
      <c r="AT18" s="648">
        <f t="array" ref="AT18">SUM(COUNTIF(N18:AS18, {"◎","〇","☆","共","特","浴"}))</f>
        <v>12</v>
      </c>
      <c r="AU18" s="649"/>
      <c r="AV18" s="650"/>
      <c r="AW18" s="650"/>
      <c r="AX18" s="650"/>
      <c r="AY18" s="650"/>
      <c r="AZ18" s="650"/>
      <c r="BA18" s="650"/>
      <c r="BB18" s="650"/>
      <c r="BC18" s="653" t="s">
        <v>596</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6"/>
      <c r="BN18" s="200"/>
      <c r="BO18" s="200"/>
      <c r="BP18" s="200"/>
      <c r="BQ18" s="200"/>
      <c r="BR18" s="200"/>
      <c r="BS18" s="200"/>
      <c r="BT18" s="200"/>
      <c r="BU18" s="200"/>
      <c r="BV18" s="200"/>
      <c r="BW18" s="200"/>
      <c r="BX18" s="200"/>
      <c r="BY18" s="200"/>
    </row>
    <row r="19">
      <c r="A19" s="200"/>
      <c r="B19" s="637" t="str">
        <f t="shared" si="6"/>
        <v>佐藤</v>
      </c>
      <c r="C19" s="638" t="str">
        <f t="shared" si="7"/>
        <v>#N/A</v>
      </c>
      <c r="D19" s="200"/>
      <c r="E19" s="637" t="str">
        <f t="shared" si="8"/>
        <v>佐藤</v>
      </c>
      <c r="F19" s="638" t="str">
        <f t="shared" si="9"/>
        <v>#N/A</v>
      </c>
      <c r="G19" s="200"/>
      <c r="H19" s="200"/>
      <c r="I19" s="172" t="b">
        <v>0</v>
      </c>
      <c r="J19" s="619"/>
      <c r="K19" s="639" t="s">
        <v>171</v>
      </c>
      <c r="L19" s="640" t="s">
        <v>449</v>
      </c>
      <c r="M19" s="646"/>
      <c r="N19" s="647"/>
      <c r="O19" s="647"/>
      <c r="P19" s="647" t="s">
        <v>415</v>
      </c>
      <c r="Q19" s="647" t="s">
        <v>395</v>
      </c>
      <c r="R19" s="647" t="s">
        <v>395</v>
      </c>
      <c r="S19" s="647" t="s">
        <v>395</v>
      </c>
      <c r="T19" s="647"/>
      <c r="U19" s="647"/>
      <c r="V19" s="647"/>
      <c r="W19" s="647"/>
      <c r="X19" s="647" t="s">
        <v>415</v>
      </c>
      <c r="Y19" s="647" t="s">
        <v>395</v>
      </c>
      <c r="Z19" s="647" t="s">
        <v>395</v>
      </c>
      <c r="AA19" s="647"/>
      <c r="AB19" s="647"/>
      <c r="AC19" s="647" t="s">
        <v>395</v>
      </c>
      <c r="AD19" s="647" t="s">
        <v>415</v>
      </c>
      <c r="AE19" s="647" t="s">
        <v>395</v>
      </c>
      <c r="AF19" s="647" t="s">
        <v>395</v>
      </c>
      <c r="AG19" s="647" t="s">
        <v>395</v>
      </c>
      <c r="AH19" s="647"/>
      <c r="AI19" s="647"/>
      <c r="AJ19" s="647" t="s">
        <v>415</v>
      </c>
      <c r="AK19" s="647"/>
      <c r="AL19" s="647" t="s">
        <v>395</v>
      </c>
      <c r="AM19" s="647" t="s">
        <v>395</v>
      </c>
      <c r="AN19" s="647"/>
      <c r="AO19" s="647" t="s">
        <v>395</v>
      </c>
      <c r="AP19" s="647"/>
      <c r="AQ19" s="647"/>
      <c r="AR19" s="647"/>
      <c r="AS19" s="642"/>
      <c r="AT19" s="648">
        <f t="array" ref="AT19">SUM(COUNTIF(N19:AS19, {"◎","〇","☆","共","特","浴"}))</f>
        <v>12</v>
      </c>
      <c r="AU19" s="652"/>
      <c r="AV19" s="650"/>
      <c r="AW19" s="650"/>
      <c r="AX19" s="650"/>
      <c r="AY19" s="650"/>
      <c r="AZ19" s="650"/>
      <c r="BA19" s="650"/>
      <c r="BB19" s="650"/>
      <c r="BC19" s="653" t="s">
        <v>597</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6"/>
      <c r="BN19" s="200"/>
      <c r="BO19" s="200"/>
      <c r="BP19" s="200"/>
      <c r="BQ19" s="200"/>
      <c r="BR19" s="200"/>
      <c r="BS19" s="200"/>
      <c r="BT19" s="200"/>
      <c r="BU19" s="200"/>
      <c r="BV19" s="200"/>
      <c r="BW19" s="200"/>
      <c r="BX19" s="200"/>
      <c r="BY19" s="200"/>
    </row>
    <row r="20">
      <c r="A20" s="200"/>
      <c r="B20" s="637" t="str">
        <f t="shared" si="6"/>
        <v>カン</v>
      </c>
      <c r="C20" s="638" t="str">
        <f t="shared" si="7"/>
        <v>#N/A</v>
      </c>
      <c r="D20" s="200"/>
      <c r="E20" s="637" t="str">
        <f t="shared" si="8"/>
        <v>カン</v>
      </c>
      <c r="F20" s="638" t="str">
        <f t="shared" si="9"/>
        <v>#N/A</v>
      </c>
      <c r="G20" s="200"/>
      <c r="H20" s="200"/>
      <c r="I20" s="172" t="b">
        <v>0</v>
      </c>
      <c r="J20" s="619"/>
      <c r="K20" s="639" t="s">
        <v>452</v>
      </c>
      <c r="L20" s="640" t="s">
        <v>449</v>
      </c>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2"/>
      <c r="AL20" s="647"/>
      <c r="AM20" s="647"/>
      <c r="AN20" s="642"/>
      <c r="AO20" s="642"/>
      <c r="AP20" s="647" t="s">
        <v>395</v>
      </c>
      <c r="AQ20" s="647"/>
      <c r="AR20" s="647"/>
      <c r="AS20" s="647"/>
      <c r="AT20" s="648">
        <f t="array" ref="AT20">SUM(COUNTIF(N20:AS20, {"◎","〇","☆","共","特","浴"}))</f>
        <v>1</v>
      </c>
      <c r="AU20" s="652"/>
      <c r="AV20" s="650"/>
      <c r="AW20" s="650"/>
      <c r="AX20" s="650"/>
      <c r="AY20" s="650"/>
      <c r="AZ20" s="650"/>
      <c r="BA20" s="650"/>
      <c r="BB20" s="650"/>
      <c r="BC20" s="941" t="s">
        <v>748</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6"/>
      <c r="BN20" s="200"/>
      <c r="BO20" s="200"/>
      <c r="BP20" s="200"/>
      <c r="BQ20" s="200"/>
      <c r="BR20" s="200"/>
      <c r="BS20" s="200"/>
      <c r="BT20" s="200"/>
      <c r="BU20" s="200"/>
      <c r="BV20" s="200"/>
      <c r="BW20" s="200"/>
      <c r="BX20" s="200"/>
      <c r="BY20" s="200"/>
    </row>
    <row r="21">
      <c r="A21" s="200"/>
      <c r="B21" s="637" t="str">
        <f t="shared" si="6"/>
        <v>エリー</v>
      </c>
      <c r="C21" s="638" t="str">
        <f t="shared" si="7"/>
        <v>#N/A</v>
      </c>
      <c r="D21" s="200"/>
      <c r="E21" s="637" t="str">
        <f t="shared" si="8"/>
        <v>エリー</v>
      </c>
      <c r="F21" s="638" t="str">
        <f t="shared" si="9"/>
        <v>#N/A</v>
      </c>
      <c r="G21" s="200"/>
      <c r="H21" s="200"/>
      <c r="I21" s="172" t="b">
        <v>0</v>
      </c>
      <c r="J21" s="619"/>
      <c r="K21" s="639" t="s">
        <v>454</v>
      </c>
      <c r="L21" s="640" t="s">
        <v>449</v>
      </c>
      <c r="M21" s="646"/>
      <c r="N21" s="647" t="s">
        <v>415</v>
      </c>
      <c r="O21" s="647" t="s">
        <v>395</v>
      </c>
      <c r="P21" s="647"/>
      <c r="Q21" s="647" t="s">
        <v>395</v>
      </c>
      <c r="R21" s="647"/>
      <c r="S21" s="647"/>
      <c r="T21" s="647" t="s">
        <v>395</v>
      </c>
      <c r="U21" s="647" t="s">
        <v>395</v>
      </c>
      <c r="V21" s="647"/>
      <c r="W21" s="647"/>
      <c r="X21" s="647" t="s">
        <v>395</v>
      </c>
      <c r="Y21" s="647"/>
      <c r="Z21" s="647"/>
      <c r="AA21" s="647" t="s">
        <v>395</v>
      </c>
      <c r="AB21" s="647" t="s">
        <v>395</v>
      </c>
      <c r="AC21" s="647"/>
      <c r="AD21" s="647"/>
      <c r="AE21" s="647" t="s">
        <v>395</v>
      </c>
      <c r="AF21" s="647"/>
      <c r="AG21" s="647"/>
      <c r="AH21" s="647" t="s">
        <v>395</v>
      </c>
      <c r="AI21" s="647" t="s">
        <v>395</v>
      </c>
      <c r="AJ21" s="647" t="s">
        <v>395</v>
      </c>
      <c r="AK21" s="647"/>
      <c r="AL21" s="647"/>
      <c r="AM21" s="647" t="s">
        <v>395</v>
      </c>
      <c r="AN21" s="647"/>
      <c r="AO21" s="647"/>
      <c r="AP21" s="647" t="s">
        <v>395</v>
      </c>
      <c r="AQ21" s="647"/>
      <c r="AR21" s="647"/>
      <c r="AS21" s="642"/>
      <c r="AT21" s="648">
        <f t="array" ref="AT21">SUM(COUNTIF(N21:AS21, {"◎","〇","☆","共","特","浴"}))</f>
        <v>13</v>
      </c>
      <c r="AU21" s="652"/>
      <c r="AV21" s="650"/>
      <c r="AW21" s="650"/>
      <c r="AX21" s="650"/>
      <c r="AY21" s="650"/>
      <c r="AZ21" s="650"/>
      <c r="BA21" s="650"/>
      <c r="BB21" s="650"/>
      <c r="BC21" s="653" t="s">
        <v>599</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6"/>
      <c r="BN21" s="200"/>
      <c r="BO21" s="200"/>
      <c r="BP21" s="200"/>
      <c r="BQ21" s="200"/>
      <c r="BR21" s="200"/>
      <c r="BS21" s="200"/>
      <c r="BT21" s="200"/>
      <c r="BU21" s="200"/>
      <c r="BV21" s="200"/>
      <c r="BW21" s="200"/>
      <c r="BX21" s="200"/>
      <c r="BY21" s="200"/>
    </row>
    <row r="22">
      <c r="A22" s="200"/>
      <c r="B22" s="637" t="str">
        <f t="shared" si="6"/>
        <v>オウ</v>
      </c>
      <c r="C22" s="638" t="str">
        <f t="shared" si="7"/>
        <v>#N/A</v>
      </c>
      <c r="D22" s="200"/>
      <c r="E22" s="637" t="str">
        <f t="shared" si="8"/>
        <v>オウ</v>
      </c>
      <c r="F22" s="638" t="str">
        <f t="shared" si="9"/>
        <v>#N/A</v>
      </c>
      <c r="G22" s="200"/>
      <c r="H22" s="200"/>
      <c r="I22" s="172" t="b">
        <v>0</v>
      </c>
      <c r="J22" s="619"/>
      <c r="K22" s="639" t="s">
        <v>522</v>
      </c>
      <c r="L22" s="640" t="s">
        <v>749</v>
      </c>
      <c r="M22" s="646"/>
      <c r="N22" s="647" t="s">
        <v>221</v>
      </c>
      <c r="O22" s="647"/>
      <c r="P22" s="647"/>
      <c r="Q22" s="647"/>
      <c r="R22" s="647"/>
      <c r="S22" s="647"/>
      <c r="T22" s="647" t="s">
        <v>221</v>
      </c>
      <c r="U22" s="647" t="s">
        <v>221</v>
      </c>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7"/>
      <c r="AS22" s="642"/>
      <c r="AT22" s="648">
        <f t="array" ref="AT22">SUM(COUNTIF(N22:AS22, {"◎","〇","☆","共","特","浴"}))</f>
        <v>0</v>
      </c>
      <c r="AU22" s="649"/>
      <c r="AV22" s="650"/>
      <c r="AW22" s="650"/>
      <c r="AX22" s="650"/>
      <c r="AY22" s="650"/>
      <c r="AZ22" s="650"/>
      <c r="BA22" s="650"/>
      <c r="BB22" s="650"/>
      <c r="BC22" s="651"/>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6"/>
      <c r="BN22" s="200"/>
      <c r="BO22" s="200"/>
      <c r="BP22" s="200"/>
      <c r="BQ22" s="200"/>
      <c r="BR22" s="200"/>
      <c r="BS22" s="200"/>
      <c r="BT22" s="200"/>
      <c r="BU22" s="200"/>
      <c r="BV22" s="200"/>
      <c r="BW22" s="200"/>
      <c r="BX22" s="200"/>
      <c r="BY22" s="200"/>
    </row>
    <row r="23">
      <c r="A23" s="200"/>
      <c r="B23" s="637" t="str">
        <f t="shared" si="6"/>
        <v>アラム</v>
      </c>
      <c r="C23" s="638" t="str">
        <f t="shared" si="7"/>
        <v>#N/A</v>
      </c>
      <c r="D23" s="200"/>
      <c r="E23" s="637" t="str">
        <f t="shared" si="8"/>
        <v>アラム</v>
      </c>
      <c r="F23" s="638" t="str">
        <f t="shared" si="9"/>
        <v>#N/A</v>
      </c>
      <c r="G23" s="200"/>
      <c r="H23" s="200"/>
      <c r="I23" s="172" t="b">
        <v>0</v>
      </c>
      <c r="J23" s="619"/>
      <c r="K23" s="639" t="s">
        <v>112</v>
      </c>
      <c r="L23" s="640" t="s">
        <v>475</v>
      </c>
      <c r="M23" s="646"/>
      <c r="N23" s="647" t="s">
        <v>395</v>
      </c>
      <c r="O23" s="647" t="s">
        <v>192</v>
      </c>
      <c r="P23" s="647" t="s">
        <v>192</v>
      </c>
      <c r="Q23" s="647" t="s">
        <v>192</v>
      </c>
      <c r="R23" s="647" t="s">
        <v>192</v>
      </c>
      <c r="S23" s="647"/>
      <c r="T23" s="647" t="s">
        <v>395</v>
      </c>
      <c r="U23" s="647" t="s">
        <v>395</v>
      </c>
      <c r="V23" s="647" t="s">
        <v>192</v>
      </c>
      <c r="W23" s="647" t="s">
        <v>192</v>
      </c>
      <c r="X23" s="647" t="s">
        <v>192</v>
      </c>
      <c r="Y23" s="647" t="s">
        <v>192</v>
      </c>
      <c r="Z23" s="647"/>
      <c r="AA23" s="647" t="s">
        <v>395</v>
      </c>
      <c r="AB23" s="647" t="s">
        <v>395</v>
      </c>
      <c r="AC23" s="647" t="s">
        <v>192</v>
      </c>
      <c r="AD23" s="647" t="s">
        <v>192</v>
      </c>
      <c r="AE23" s="647" t="s">
        <v>192</v>
      </c>
      <c r="AF23" s="647"/>
      <c r="AG23" s="647"/>
      <c r="AH23" s="647" t="s">
        <v>395</v>
      </c>
      <c r="AI23" s="647" t="s">
        <v>395</v>
      </c>
      <c r="AJ23" s="647" t="s">
        <v>192</v>
      </c>
      <c r="AK23" s="647"/>
      <c r="AL23" s="647"/>
      <c r="AM23" s="647" t="s">
        <v>192</v>
      </c>
      <c r="AN23" s="647" t="s">
        <v>192</v>
      </c>
      <c r="AO23" s="647"/>
      <c r="AP23" s="647"/>
      <c r="AQ23" s="647"/>
      <c r="AR23" s="647"/>
      <c r="AS23" s="642"/>
      <c r="AT23" s="648">
        <f t="array" ref="AT23">SUM(COUNTIF(N23:AS23, {"◎","〇","☆","共","特","浴"}))</f>
        <v>21</v>
      </c>
      <c r="AU23" s="649"/>
      <c r="AV23" s="650"/>
      <c r="AW23" s="650"/>
      <c r="AX23" s="650"/>
      <c r="AY23" s="650"/>
      <c r="AZ23" s="650"/>
      <c r="BA23" s="650"/>
      <c r="BB23" s="650"/>
      <c r="BC23" s="651"/>
      <c r="BD23" s="80"/>
      <c r="BE23" s="80"/>
      <c r="BF23" s="80"/>
      <c r="BG23" s="80"/>
      <c r="BH23" s="80"/>
      <c r="BI23" s="77"/>
      <c r="BJ23" s="200"/>
      <c r="BK23" s="228"/>
      <c r="BL23" s="172" t="str">
        <f>IFERROR(__xludf.DUMMYFUNCTION("""COMPUTED_VALUE"""),"①R8_11集計")</f>
        <v>①R8_11集計</v>
      </c>
      <c r="BM23" s="526"/>
      <c r="BN23" s="200"/>
      <c r="BO23" s="200"/>
      <c r="BP23" s="200"/>
      <c r="BQ23" s="200"/>
      <c r="BR23" s="200"/>
      <c r="BS23" s="200"/>
      <c r="BT23" s="200"/>
      <c r="BU23" s="200"/>
      <c r="BV23" s="200"/>
      <c r="BW23" s="200"/>
      <c r="BX23" s="200"/>
      <c r="BY23" s="200"/>
    </row>
    <row r="24">
      <c r="A24" s="200"/>
      <c r="B24" s="637" t="s">
        <v>456</v>
      </c>
      <c r="C24" s="638"/>
      <c r="D24" s="200"/>
      <c r="E24" s="637" t="s">
        <v>456</v>
      </c>
      <c r="F24" s="638"/>
      <c r="G24" s="200"/>
      <c r="H24" s="200"/>
      <c r="I24" s="172" t="b">
        <v>0</v>
      </c>
      <c r="J24" s="619"/>
      <c r="K24" s="639" t="s">
        <v>456</v>
      </c>
      <c r="L24" s="640" t="s">
        <v>449</v>
      </c>
      <c r="M24" s="646"/>
      <c r="N24" s="647"/>
      <c r="O24" s="647"/>
      <c r="P24" s="647"/>
      <c r="Q24" s="647"/>
      <c r="R24" s="647"/>
      <c r="S24" s="647"/>
      <c r="T24" s="647"/>
      <c r="U24" s="647"/>
      <c r="V24" s="647"/>
      <c r="W24" s="647"/>
      <c r="X24" s="647"/>
      <c r="Y24" s="647" t="s">
        <v>192</v>
      </c>
      <c r="Z24" s="647"/>
      <c r="AA24" s="647"/>
      <c r="AB24" s="647"/>
      <c r="AC24" s="647"/>
      <c r="AD24" s="647"/>
      <c r="AE24" s="647"/>
      <c r="AF24" s="647" t="s">
        <v>192</v>
      </c>
      <c r="AG24" s="647"/>
      <c r="AH24" s="647"/>
      <c r="AI24" s="647"/>
      <c r="AJ24" s="647"/>
      <c r="AK24" s="647"/>
      <c r="AL24" s="647"/>
      <c r="AM24" s="647"/>
      <c r="AN24" s="647" t="s">
        <v>192</v>
      </c>
      <c r="AO24" s="647"/>
      <c r="AP24" s="647" t="s">
        <v>192</v>
      </c>
      <c r="AQ24" s="647"/>
      <c r="AR24" s="647"/>
      <c r="AS24" s="642"/>
      <c r="AT24" s="648">
        <f t="array" ref="AT24">SUM(COUNTIF(N24:AS24, {"◎","〇","☆","共","特","浴"}))</f>
        <v>4</v>
      </c>
      <c r="AU24" s="649"/>
      <c r="AV24" s="650"/>
      <c r="AW24" s="650"/>
      <c r="AX24" s="650"/>
      <c r="AY24" s="650"/>
      <c r="AZ24" s="650"/>
      <c r="BA24" s="650"/>
      <c r="BB24" s="650"/>
      <c r="BC24" s="942"/>
      <c r="BD24" s="942"/>
      <c r="BE24" s="942"/>
      <c r="BF24" s="942"/>
      <c r="BG24" s="942"/>
      <c r="BH24" s="942"/>
      <c r="BI24" s="942"/>
      <c r="BJ24" s="200"/>
      <c r="BK24" s="228"/>
      <c r="BL24" s="172" t="str">
        <f>IFERROR(__xludf.DUMMYFUNCTION("""COMPUTED_VALUE"""),"②R8_11シフト")</f>
        <v>②R8_11シフト</v>
      </c>
      <c r="BM24" s="526"/>
      <c r="BN24" s="200"/>
      <c r="BO24" s="200"/>
      <c r="BP24" s="200"/>
      <c r="BQ24" s="200"/>
      <c r="BR24" s="200"/>
      <c r="BS24" s="200"/>
      <c r="BT24" s="200"/>
      <c r="BU24" s="200"/>
      <c r="BV24" s="200"/>
      <c r="BW24" s="200"/>
      <c r="BX24" s="200"/>
      <c r="BY24" s="200"/>
    </row>
    <row r="25">
      <c r="A25" s="200"/>
      <c r="B25" s="637" t="str">
        <f t="shared" ref="B25:B60" si="10">K25</f>
        <v/>
      </c>
      <c r="C25" s="638" t="str">
        <f t="shared" ref="C25:C60" si="11">if(B25="","", xlookup($B$7,$N$7:$AS$7,$N25:$AS25))</f>
        <v/>
      </c>
      <c r="D25" s="200"/>
      <c r="E25" s="637" t="str">
        <f t="shared" ref="E25:E60" si="12">K25</f>
        <v/>
      </c>
      <c r="F25" s="638" t="str">
        <f t="shared" ref="F25:F60" si="13">if(E25="","", xlookup($E$7,$N$7:$AS$7,$N25:$AS25))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7"/>
      <c r="AS25" s="642"/>
      <c r="AT25" s="648">
        <f t="array" ref="AT25">SUM(COUNTIF(N25:AS25, {"◎","〇","☆","共","特","浴"}))</f>
        <v>0</v>
      </c>
      <c r="AU25" s="649"/>
      <c r="AV25" s="650"/>
      <c r="AW25" s="650"/>
      <c r="AX25" s="650"/>
      <c r="AY25" s="650"/>
      <c r="AZ25" s="650"/>
      <c r="BA25" s="650"/>
      <c r="BB25" s="650"/>
      <c r="BC25" s="651"/>
      <c r="BD25" s="80"/>
      <c r="BE25" s="80"/>
      <c r="BF25" s="80"/>
      <c r="BG25" s="80"/>
      <c r="BH25" s="80"/>
      <c r="BI25" s="77"/>
      <c r="BJ25" s="200"/>
      <c r="BK25" s="228"/>
      <c r="BL25" s="172" t="str">
        <f>IFERROR(__xludf.DUMMYFUNCTION("""COMPUTED_VALUE"""),"③R8_11日報")</f>
        <v>③R8_11日報</v>
      </c>
      <c r="BM25" s="526"/>
      <c r="BN25" s="200"/>
      <c r="BO25" s="200"/>
      <c r="BP25" s="200"/>
      <c r="BQ25" s="200"/>
      <c r="BR25" s="200"/>
      <c r="BS25" s="200"/>
      <c r="BT25" s="200"/>
      <c r="BU25" s="200"/>
      <c r="BV25" s="200"/>
      <c r="BW25" s="200"/>
      <c r="BX25" s="200"/>
      <c r="BY25" s="200"/>
    </row>
    <row r="26">
      <c r="A26" s="200"/>
      <c r="B26" s="637" t="str">
        <f t="shared" si="10"/>
        <v>ガルセス</v>
      </c>
      <c r="C26" s="638" t="str">
        <f t="shared" si="11"/>
        <v>#N/A</v>
      </c>
      <c r="D26" s="200"/>
      <c r="E26" s="637" t="str">
        <f t="shared" si="12"/>
        <v>ガルセス</v>
      </c>
      <c r="F26" s="638" t="str">
        <f t="shared" si="13"/>
        <v>#N/A</v>
      </c>
      <c r="G26" s="200"/>
      <c r="H26" s="200"/>
      <c r="I26" s="172" t="b">
        <v>0</v>
      </c>
      <c r="J26" s="619"/>
      <c r="K26" s="639" t="s">
        <v>458</v>
      </c>
      <c r="L26" s="640" t="s">
        <v>589</v>
      </c>
      <c r="M26" s="646"/>
      <c r="N26" s="647" t="s">
        <v>441</v>
      </c>
      <c r="O26" s="647"/>
      <c r="P26" s="647"/>
      <c r="Q26" s="647" t="s">
        <v>441</v>
      </c>
      <c r="R26" s="647" t="s">
        <v>441</v>
      </c>
      <c r="S26" s="647" t="s">
        <v>441</v>
      </c>
      <c r="T26" s="647" t="s">
        <v>441</v>
      </c>
      <c r="U26" s="647" t="s">
        <v>441</v>
      </c>
      <c r="V26" s="647"/>
      <c r="W26" s="647"/>
      <c r="X26" s="647" t="s">
        <v>441</v>
      </c>
      <c r="Y26" s="647" t="s">
        <v>441</v>
      </c>
      <c r="Z26" s="647" t="s">
        <v>441</v>
      </c>
      <c r="AA26" s="647" t="s">
        <v>441</v>
      </c>
      <c r="AB26" s="647" t="s">
        <v>441</v>
      </c>
      <c r="AC26" s="647"/>
      <c r="AD26" s="647"/>
      <c r="AE26" s="647" t="s">
        <v>441</v>
      </c>
      <c r="AF26" s="647" t="s">
        <v>441</v>
      </c>
      <c r="AG26" s="647" t="s">
        <v>441</v>
      </c>
      <c r="AH26" s="647" t="s">
        <v>441</v>
      </c>
      <c r="AI26" s="647" t="s">
        <v>441</v>
      </c>
      <c r="AJ26" s="647"/>
      <c r="AK26" s="647"/>
      <c r="AL26" s="647"/>
      <c r="AM26" s="647" t="s">
        <v>441</v>
      </c>
      <c r="AN26" s="647" t="s">
        <v>441</v>
      </c>
      <c r="AO26" s="647" t="s">
        <v>441</v>
      </c>
      <c r="AP26" s="647" t="s">
        <v>441</v>
      </c>
      <c r="AQ26" s="647"/>
      <c r="AR26" s="647"/>
      <c r="AS26" s="642"/>
      <c r="AT26" s="648">
        <f t="array" ref="AT26">SUM(COUNTIF(N26:AS26, {"◎","〇","☆","共","特","浴"}))</f>
        <v>0</v>
      </c>
      <c r="AU26" s="649"/>
      <c r="AV26" s="650"/>
      <c r="AW26" s="650"/>
      <c r="AX26" s="650"/>
      <c r="AY26" s="650"/>
      <c r="AZ26" s="650"/>
      <c r="BA26" s="650"/>
      <c r="BB26" s="650"/>
      <c r="BC26" s="651"/>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7" t="str">
        <f t="shared" si="10"/>
        <v>グレース</v>
      </c>
      <c r="C27" s="638" t="str">
        <f t="shared" si="11"/>
        <v>#N/A</v>
      </c>
      <c r="D27" s="200"/>
      <c r="E27" s="637" t="str">
        <f t="shared" si="12"/>
        <v>グレース</v>
      </c>
      <c r="F27" s="638" t="str">
        <f t="shared" si="13"/>
        <v>#N/A</v>
      </c>
      <c r="G27" s="200"/>
      <c r="H27" s="200"/>
      <c r="I27" s="172" t="b">
        <v>0</v>
      </c>
      <c r="J27" s="619"/>
      <c r="K27" s="639" t="s">
        <v>460</v>
      </c>
      <c r="L27" s="640" t="s">
        <v>589</v>
      </c>
      <c r="M27" s="646"/>
      <c r="N27" s="647"/>
      <c r="O27" s="647" t="s">
        <v>441</v>
      </c>
      <c r="P27" s="647" t="s">
        <v>441</v>
      </c>
      <c r="Q27" s="647"/>
      <c r="R27" s="647"/>
      <c r="S27" s="647"/>
      <c r="T27" s="647"/>
      <c r="U27" s="647"/>
      <c r="V27" s="647" t="s">
        <v>441</v>
      </c>
      <c r="W27" s="647" t="s">
        <v>441</v>
      </c>
      <c r="X27" s="647"/>
      <c r="Y27" s="647"/>
      <c r="Z27" s="647"/>
      <c r="AA27" s="647"/>
      <c r="AB27" s="647"/>
      <c r="AC27" s="647" t="s">
        <v>441</v>
      </c>
      <c r="AD27" s="647" t="s">
        <v>441</v>
      </c>
      <c r="AE27" s="647"/>
      <c r="AF27" s="647"/>
      <c r="AG27" s="647"/>
      <c r="AH27" s="647"/>
      <c r="AI27" s="647"/>
      <c r="AJ27" s="647" t="s">
        <v>441</v>
      </c>
      <c r="AK27" s="647"/>
      <c r="AL27" s="647" t="s">
        <v>441</v>
      </c>
      <c r="AM27" s="647"/>
      <c r="AN27" s="647"/>
      <c r="AO27" s="647"/>
      <c r="AP27" s="647"/>
      <c r="AQ27" s="647"/>
      <c r="AR27" s="647"/>
      <c r="AS27" s="642"/>
      <c r="AT27" s="648">
        <f t="array" ref="AT27">SUM(COUNTIF(N27:AS27, {"◎","〇","☆","共","特","浴"}))</f>
        <v>0</v>
      </c>
      <c r="AU27" s="649"/>
      <c r="AV27" s="650"/>
      <c r="AW27" s="650"/>
      <c r="AX27" s="650"/>
      <c r="AY27" s="650"/>
      <c r="AZ27" s="650"/>
      <c r="BA27" s="650"/>
      <c r="BB27" s="650"/>
      <c r="BC27" s="651"/>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7" t="str">
        <f t="shared" si="10"/>
        <v/>
      </c>
      <c r="C28" s="638" t="str">
        <f t="shared" si="11"/>
        <v/>
      </c>
      <c r="D28" s="200"/>
      <c r="E28" s="637" t="str">
        <f t="shared" si="12"/>
        <v/>
      </c>
      <c r="F28" s="638" t="str">
        <f t="shared" si="13"/>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7"/>
      <c r="AS28" s="642"/>
      <c r="AT28" s="648">
        <f t="array" ref="AT28">SUM(COUNTIF(N28:AS28, {"◎","〇","☆","共","特","浴"}))</f>
        <v>0</v>
      </c>
      <c r="AU28" s="649"/>
      <c r="AV28" s="650"/>
      <c r="AW28" s="650"/>
      <c r="AX28" s="650"/>
      <c r="AY28" s="650"/>
      <c r="AZ28" s="650"/>
      <c r="BA28" s="650"/>
      <c r="BB28" s="650"/>
      <c r="BC28" s="651"/>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7" t="str">
        <f t="shared" si="10"/>
        <v/>
      </c>
      <c r="C29" s="638" t="str">
        <f t="shared" si="11"/>
        <v/>
      </c>
      <c r="D29" s="200"/>
      <c r="E29" s="637" t="str">
        <f t="shared" si="12"/>
        <v/>
      </c>
      <c r="F29" s="638" t="str">
        <f t="shared" si="13"/>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7"/>
      <c r="AS29" s="642"/>
      <c r="AT29" s="648">
        <f t="array" ref="AT29">SUM(COUNTIF(N29:AS29, {"◎","〇","☆","共","特","浴"}))</f>
        <v>0</v>
      </c>
      <c r="AU29" s="649"/>
      <c r="AV29" s="650"/>
      <c r="AW29" s="650"/>
      <c r="AX29" s="650"/>
      <c r="AY29" s="650"/>
      <c r="AZ29" s="650"/>
      <c r="BA29" s="650"/>
      <c r="BB29" s="650"/>
      <c r="BC29" s="651"/>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7" t="str">
        <f t="shared" si="10"/>
        <v/>
      </c>
      <c r="C30" s="638" t="str">
        <f t="shared" si="11"/>
        <v/>
      </c>
      <c r="D30" s="200"/>
      <c r="E30" s="637" t="str">
        <f t="shared" si="12"/>
        <v/>
      </c>
      <c r="F30" s="638" t="str">
        <f t="shared" si="13"/>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7"/>
      <c r="AS30" s="642"/>
      <c r="AT30" s="648">
        <f t="array" ref="AT30">SUM(COUNTIF(N30:AS30, {"◎","〇","☆","共","特","浴"}))</f>
        <v>0</v>
      </c>
      <c r="AU30" s="649"/>
      <c r="AV30" s="650"/>
      <c r="AW30" s="650"/>
      <c r="AX30" s="650"/>
      <c r="AY30" s="650"/>
      <c r="AZ30" s="650"/>
      <c r="BA30" s="650"/>
      <c r="BB30" s="650"/>
      <c r="BC30" s="651"/>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7" t="str">
        <f t="shared" si="10"/>
        <v/>
      </c>
      <c r="C31" s="638" t="str">
        <f t="shared" si="11"/>
        <v/>
      </c>
      <c r="D31" s="200"/>
      <c r="E31" s="637" t="str">
        <f t="shared" si="12"/>
        <v/>
      </c>
      <c r="F31" s="638" t="str">
        <f t="shared" si="13"/>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7"/>
      <c r="AS31" s="642"/>
      <c r="AT31" s="648">
        <f t="array" ref="AT31">SUM(COUNTIF(N31:AS31, {"◎","〇","☆","共","特","浴"}))</f>
        <v>0</v>
      </c>
      <c r="AU31" s="649"/>
      <c r="AV31" s="650"/>
      <c r="AW31" s="650"/>
      <c r="AX31" s="650"/>
      <c r="AY31" s="650"/>
      <c r="AZ31" s="650"/>
      <c r="BA31" s="650"/>
      <c r="BB31" s="650"/>
      <c r="BC31" s="651"/>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7" t="str">
        <f t="shared" si="10"/>
        <v/>
      </c>
      <c r="C32" s="638" t="str">
        <f t="shared" si="11"/>
        <v/>
      </c>
      <c r="D32" s="200"/>
      <c r="E32" s="637" t="str">
        <f t="shared" si="12"/>
        <v/>
      </c>
      <c r="F32" s="638" t="str">
        <f t="shared" si="13"/>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7"/>
      <c r="AS32" s="642"/>
      <c r="AT32" s="648">
        <f t="array" ref="AT32">SUM(COUNTIF(N32:AS32, {"◎","〇","☆","共","特","浴"}))</f>
        <v>0</v>
      </c>
      <c r="AU32" s="649"/>
      <c r="AV32" s="650"/>
      <c r="AW32" s="650"/>
      <c r="AX32" s="650"/>
      <c r="AY32" s="650"/>
      <c r="AZ32" s="650"/>
      <c r="BA32" s="650"/>
      <c r="BB32" s="650"/>
      <c r="BC32" s="651"/>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7" t="str">
        <f t="shared" si="10"/>
        <v/>
      </c>
      <c r="C33" s="638" t="str">
        <f t="shared" si="11"/>
        <v/>
      </c>
      <c r="D33" s="200"/>
      <c r="E33" s="637" t="str">
        <f t="shared" si="12"/>
        <v/>
      </c>
      <c r="F33" s="638" t="str">
        <f t="shared" si="13"/>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7"/>
      <c r="AS33" s="642"/>
      <c r="AT33" s="648">
        <f t="array" ref="AT33">SUM(COUNTIF(N33:AS33, {"◎","〇","☆","共","特","浴"}))</f>
        <v>0</v>
      </c>
      <c r="AU33" s="649"/>
      <c r="AV33" s="650"/>
      <c r="AW33" s="650"/>
      <c r="AX33" s="650"/>
      <c r="AY33" s="650"/>
      <c r="AZ33" s="650"/>
      <c r="BA33" s="650"/>
      <c r="BB33" s="650"/>
      <c r="BC33" s="651"/>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7" t="str">
        <f t="shared" si="10"/>
        <v/>
      </c>
      <c r="C34" s="638" t="str">
        <f t="shared" si="11"/>
        <v/>
      </c>
      <c r="D34" s="200"/>
      <c r="E34" s="637" t="str">
        <f t="shared" si="12"/>
        <v/>
      </c>
      <c r="F34" s="638" t="str">
        <f t="shared" si="13"/>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7"/>
      <c r="AS34" s="642"/>
      <c r="AT34" s="648">
        <f t="array" ref="AT34">SUM(COUNTIF(N34:AS34, {"◎","〇","☆","共","特","浴"}))</f>
        <v>0</v>
      </c>
      <c r="AU34" s="649"/>
      <c r="AV34" s="650"/>
      <c r="AW34" s="650"/>
      <c r="AX34" s="650"/>
      <c r="AY34" s="650"/>
      <c r="AZ34" s="650"/>
      <c r="BA34" s="650"/>
      <c r="BB34" s="650"/>
      <c r="BC34" s="651"/>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7" t="str">
        <f t="shared" si="10"/>
        <v/>
      </c>
      <c r="C35" s="638" t="str">
        <f t="shared" si="11"/>
        <v/>
      </c>
      <c r="D35" s="200"/>
      <c r="E35" s="637" t="str">
        <f t="shared" si="12"/>
        <v/>
      </c>
      <c r="F35" s="638" t="str">
        <f t="shared" si="13"/>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2"/>
      <c r="AT35" s="648">
        <f t="array" ref="AT35">SUM(COUNTIF(N35:AS35, {"◎","〇","☆","共","特","浴"}))</f>
        <v>0</v>
      </c>
      <c r="AU35" s="652"/>
      <c r="AV35" s="650"/>
      <c r="AW35" s="650"/>
      <c r="AX35" s="650"/>
      <c r="AY35" s="650"/>
      <c r="AZ35" s="650"/>
      <c r="BA35" s="650"/>
      <c r="BB35" s="650"/>
      <c r="BC35" s="651"/>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7" t="str">
        <f t="shared" si="10"/>
        <v/>
      </c>
      <c r="C36" s="638" t="str">
        <f t="shared" si="11"/>
        <v/>
      </c>
      <c r="D36" s="200"/>
      <c r="E36" s="637" t="str">
        <f t="shared" si="12"/>
        <v/>
      </c>
      <c r="F36" s="638" t="str">
        <f t="shared" si="13"/>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7"/>
      <c r="AR36" s="642"/>
      <c r="AS36" s="642"/>
      <c r="AT36" s="648">
        <f t="array" ref="AT36">SUM(COUNTIF(N36:AS36, {"◎","〇","☆","共","特","浴"}))</f>
        <v>0</v>
      </c>
      <c r="AU36" s="652"/>
      <c r="AV36" s="650"/>
      <c r="AW36" s="650"/>
      <c r="AX36" s="650"/>
      <c r="AY36" s="650"/>
      <c r="AZ36" s="650"/>
      <c r="BA36" s="650"/>
      <c r="BB36" s="650"/>
      <c r="BC36" s="651"/>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7" t="str">
        <f t="shared" si="10"/>
        <v/>
      </c>
      <c r="C37" s="638" t="str">
        <f t="shared" si="11"/>
        <v/>
      </c>
      <c r="D37" s="200"/>
      <c r="E37" s="637" t="str">
        <f t="shared" si="12"/>
        <v/>
      </c>
      <c r="F37" s="638" t="str">
        <f t="shared" si="13"/>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7"/>
      <c r="AR37" s="642"/>
      <c r="AS37" s="642"/>
      <c r="AT37" s="648">
        <f t="array" ref="AT37">SUM(COUNTIF(N37:AS37, {"◎","〇","☆","共","特","浴"}))</f>
        <v>0</v>
      </c>
      <c r="AU37" s="652"/>
      <c r="AV37" s="650"/>
      <c r="AW37" s="650"/>
      <c r="AX37" s="650"/>
      <c r="AY37" s="650"/>
      <c r="AZ37" s="650"/>
      <c r="BA37" s="650"/>
      <c r="BB37" s="650"/>
      <c r="BC37" s="651"/>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7" t="str">
        <f t="shared" si="10"/>
        <v/>
      </c>
      <c r="C38" s="638" t="str">
        <f t="shared" si="11"/>
        <v/>
      </c>
      <c r="D38" s="200"/>
      <c r="E38" s="637" t="str">
        <f t="shared" si="12"/>
        <v/>
      </c>
      <c r="F38" s="638" t="str">
        <f t="shared" si="13"/>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7"/>
      <c r="AQ38" s="642"/>
      <c r="AR38" s="642"/>
      <c r="AS38" s="642"/>
      <c r="AT38" s="648">
        <f t="array" ref="AT38">SUM(COUNTIF(N38:AS38, {"◎","〇","☆","共","特","浴"}))</f>
        <v>0</v>
      </c>
      <c r="AU38" s="652"/>
      <c r="AV38" s="650"/>
      <c r="AW38" s="650"/>
      <c r="AX38" s="650"/>
      <c r="AY38" s="650"/>
      <c r="AZ38" s="650"/>
      <c r="BA38" s="650"/>
      <c r="BB38" s="650"/>
      <c r="BC38" s="651"/>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7" t="str">
        <f t="shared" si="10"/>
        <v/>
      </c>
      <c r="C39" s="638" t="str">
        <f t="shared" si="11"/>
        <v/>
      </c>
      <c r="D39" s="200"/>
      <c r="E39" s="637" t="str">
        <f t="shared" si="12"/>
        <v/>
      </c>
      <c r="F39" s="638" t="str">
        <f t="shared" si="13"/>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7"/>
      <c r="AQ39" s="642"/>
      <c r="AR39" s="642"/>
      <c r="AS39" s="642"/>
      <c r="AT39" s="648">
        <f t="array" ref="AT39">SUM(COUNTIF(N39:AS39, {"◎","〇","☆","共","特","浴"}))</f>
        <v>0</v>
      </c>
      <c r="AU39" s="652"/>
      <c r="AV39" s="650"/>
      <c r="AW39" s="650"/>
      <c r="AX39" s="650"/>
      <c r="AY39" s="650"/>
      <c r="AZ39" s="650"/>
      <c r="BA39" s="650"/>
      <c r="BB39" s="650"/>
      <c r="BC39" s="651"/>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7" t="str">
        <f t="shared" si="10"/>
        <v/>
      </c>
      <c r="C40" s="638" t="str">
        <f t="shared" si="11"/>
        <v/>
      </c>
      <c r="D40" s="200"/>
      <c r="E40" s="637" t="str">
        <f t="shared" si="12"/>
        <v/>
      </c>
      <c r="F40" s="638" t="str">
        <f t="shared" si="13"/>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7"/>
      <c r="AQ40" s="642"/>
      <c r="AR40" s="642"/>
      <c r="AS40" s="642"/>
      <c r="AT40" s="648">
        <f t="array" ref="AT40">SUM(COUNTIF(N40:AS40, {"◎","〇","☆","共","特","浴"}))</f>
        <v>0</v>
      </c>
      <c r="AU40" s="652"/>
      <c r="AV40" s="650"/>
      <c r="AW40" s="650"/>
      <c r="AX40" s="650"/>
      <c r="AY40" s="650"/>
      <c r="AZ40" s="650"/>
      <c r="BA40" s="650"/>
      <c r="BB40" s="650"/>
      <c r="BC40" s="651"/>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7" t="str">
        <f t="shared" si="10"/>
        <v/>
      </c>
      <c r="C41" s="638" t="str">
        <f t="shared" si="11"/>
        <v/>
      </c>
      <c r="D41" s="200"/>
      <c r="E41" s="637" t="str">
        <f t="shared" si="12"/>
        <v/>
      </c>
      <c r="F41" s="638" t="str">
        <f t="shared" si="13"/>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7"/>
      <c r="AQ41" s="642"/>
      <c r="AR41" s="642"/>
      <c r="AS41" s="642"/>
      <c r="AT41" s="648">
        <f t="array" ref="AT41">SUM(COUNTIF(N41:AS41, {"◎","〇","☆","共","特","浴"}))</f>
        <v>0</v>
      </c>
      <c r="AU41" s="652"/>
      <c r="AV41" s="650"/>
      <c r="AW41" s="650"/>
      <c r="AX41" s="650"/>
      <c r="AY41" s="650"/>
      <c r="AZ41" s="650"/>
      <c r="BA41" s="650"/>
      <c r="BB41" s="650"/>
      <c r="BC41" s="651"/>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7" t="str">
        <f t="shared" si="10"/>
        <v>メイド数</v>
      </c>
      <c r="C42" s="638" t="str">
        <f t="shared" si="11"/>
        <v>#N/A</v>
      </c>
      <c r="D42" s="200"/>
      <c r="E42" s="637" t="str">
        <f t="shared" si="12"/>
        <v>メイド数</v>
      </c>
      <c r="F42" s="638" t="str">
        <f t="shared" si="13"/>
        <v>#N/A</v>
      </c>
      <c r="G42" s="200"/>
      <c r="H42" s="200"/>
      <c r="I42" s="172" t="b">
        <v>0</v>
      </c>
      <c r="J42" s="619"/>
      <c r="K42" s="639" t="s">
        <v>462</v>
      </c>
      <c r="L42" s="640" t="s">
        <v>449</v>
      </c>
      <c r="M42" s="641" t="s">
        <v>192</v>
      </c>
      <c r="N42" s="642">
        <f t="shared" ref="N42:P42" si="14">COUNTIF(N46:N104,"〇")+countif(N14:N41,"〇")</f>
        <v>9</v>
      </c>
      <c r="O42" s="642">
        <f t="shared" si="14"/>
        <v>8</v>
      </c>
      <c r="P42" s="642">
        <f t="shared" si="14"/>
        <v>10</v>
      </c>
      <c r="Q42" s="642">
        <f t="shared" ref="Q42:AJ42" si="15">COUNTIF(Q46:Q104,"〇")+countif(Q$11:Q$41,"〇")</f>
        <v>10</v>
      </c>
      <c r="R42" s="642">
        <f t="shared" si="15"/>
        <v>10</v>
      </c>
      <c r="S42" s="642">
        <f t="shared" si="15"/>
        <v>8</v>
      </c>
      <c r="T42" s="642">
        <f t="shared" si="15"/>
        <v>9</v>
      </c>
      <c r="U42" s="642">
        <f t="shared" si="15"/>
        <v>10</v>
      </c>
      <c r="V42" s="642">
        <f t="shared" si="15"/>
        <v>10</v>
      </c>
      <c r="W42" s="642">
        <f t="shared" si="15"/>
        <v>11</v>
      </c>
      <c r="X42" s="642">
        <f t="shared" si="15"/>
        <v>10</v>
      </c>
      <c r="Y42" s="642">
        <f t="shared" si="15"/>
        <v>12</v>
      </c>
      <c r="Z42" s="642">
        <f t="shared" si="15"/>
        <v>9</v>
      </c>
      <c r="AA42" s="642">
        <f t="shared" si="15"/>
        <v>10</v>
      </c>
      <c r="AB42" s="642">
        <f t="shared" si="15"/>
        <v>9</v>
      </c>
      <c r="AC42" s="642">
        <f t="shared" si="15"/>
        <v>7</v>
      </c>
      <c r="AD42" s="642">
        <f t="shared" si="15"/>
        <v>9</v>
      </c>
      <c r="AE42" s="642">
        <f t="shared" si="15"/>
        <v>9</v>
      </c>
      <c r="AF42" s="642">
        <f t="shared" si="15"/>
        <v>10</v>
      </c>
      <c r="AG42" s="642">
        <f t="shared" si="15"/>
        <v>8</v>
      </c>
      <c r="AH42" s="642">
        <f t="shared" si="15"/>
        <v>10</v>
      </c>
      <c r="AI42" s="642">
        <f t="shared" si="15"/>
        <v>9</v>
      </c>
      <c r="AJ42" s="642">
        <f t="shared" si="15"/>
        <v>9</v>
      </c>
      <c r="AK42" s="642"/>
      <c r="AL42" s="642">
        <f t="shared" ref="AL42:AS42" si="16">COUNTIF(AL46:AL104,"〇")+countif(AL$11:AL$41,"〇")</f>
        <v>9</v>
      </c>
      <c r="AM42" s="642">
        <f t="shared" si="16"/>
        <v>10</v>
      </c>
      <c r="AN42" s="642">
        <f t="shared" si="16"/>
        <v>12</v>
      </c>
      <c r="AO42" s="642">
        <f t="shared" si="16"/>
        <v>9</v>
      </c>
      <c r="AP42" s="642">
        <f t="shared" si="16"/>
        <v>10</v>
      </c>
      <c r="AQ42" s="642">
        <f t="shared" si="16"/>
        <v>0</v>
      </c>
      <c r="AR42" s="642">
        <f t="shared" si="16"/>
        <v>0</v>
      </c>
      <c r="AS42" s="642">
        <f t="shared" si="16"/>
        <v>0</v>
      </c>
      <c r="AT42" s="647" t="s">
        <v>135</v>
      </c>
      <c r="AU42" s="647" t="s">
        <v>135</v>
      </c>
      <c r="AV42" s="642">
        <f t="shared" ref="AV42:BB42" si="17">COUNTIF(AV46:AV104,"〇")+countif(AV$11:AV$41,"〇")</f>
        <v>0</v>
      </c>
      <c r="AW42" s="642">
        <f t="shared" si="17"/>
        <v>0</v>
      </c>
      <c r="AX42" s="642">
        <f t="shared" si="17"/>
        <v>0</v>
      </c>
      <c r="AY42" s="642">
        <f t="shared" si="17"/>
        <v>0</v>
      </c>
      <c r="AZ42" s="642">
        <f t="shared" si="17"/>
        <v>0</v>
      </c>
      <c r="BA42" s="642">
        <f t="shared" si="17"/>
        <v>0</v>
      </c>
      <c r="BB42" s="642">
        <f t="shared" si="17"/>
        <v>0</v>
      </c>
      <c r="BC42" s="651"/>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7" t="str">
        <f t="shared" si="10"/>
        <v>パブリック数</v>
      </c>
      <c r="C43" s="638" t="str">
        <f t="shared" si="11"/>
        <v>#N/A</v>
      </c>
      <c r="D43" s="200"/>
      <c r="E43" s="637" t="str">
        <f t="shared" si="12"/>
        <v>パブリック数</v>
      </c>
      <c r="F43" s="638" t="str">
        <f t="shared" si="13"/>
        <v>#N/A</v>
      </c>
      <c r="G43" s="200"/>
      <c r="H43" s="200"/>
      <c r="I43" s="172" t="b">
        <v>0</v>
      </c>
      <c r="J43" s="619"/>
      <c r="K43" s="639" t="s">
        <v>463</v>
      </c>
      <c r="L43" s="640" t="s">
        <v>449</v>
      </c>
      <c r="M43" s="641" t="s">
        <v>398</v>
      </c>
      <c r="N43" s="647">
        <f t="shared" ref="N43:AJ43" si="18">COUNTIF(N46:N104,"共")+countif(N$11:N$41,"共")</f>
        <v>0</v>
      </c>
      <c r="O43" s="647">
        <f t="shared" si="18"/>
        <v>0</v>
      </c>
      <c r="P43" s="647">
        <f t="shared" si="18"/>
        <v>0</v>
      </c>
      <c r="Q43" s="647">
        <f t="shared" si="18"/>
        <v>0</v>
      </c>
      <c r="R43" s="647">
        <f t="shared" si="18"/>
        <v>0</v>
      </c>
      <c r="S43" s="647">
        <f t="shared" si="18"/>
        <v>0</v>
      </c>
      <c r="T43" s="647">
        <f t="shared" si="18"/>
        <v>0</v>
      </c>
      <c r="U43" s="647">
        <f t="shared" si="18"/>
        <v>0</v>
      </c>
      <c r="V43" s="647">
        <f t="shared" si="18"/>
        <v>0</v>
      </c>
      <c r="W43" s="647">
        <f t="shared" si="18"/>
        <v>0</v>
      </c>
      <c r="X43" s="647">
        <f t="shared" si="18"/>
        <v>0</v>
      </c>
      <c r="Y43" s="647">
        <f t="shared" si="18"/>
        <v>0</v>
      </c>
      <c r="Z43" s="647">
        <f t="shared" si="18"/>
        <v>0</v>
      </c>
      <c r="AA43" s="647">
        <f t="shared" si="18"/>
        <v>0</v>
      </c>
      <c r="AB43" s="647">
        <f t="shared" si="18"/>
        <v>0</v>
      </c>
      <c r="AC43" s="647">
        <f t="shared" si="18"/>
        <v>0</v>
      </c>
      <c r="AD43" s="647">
        <f t="shared" si="18"/>
        <v>0</v>
      </c>
      <c r="AE43" s="647">
        <f t="shared" si="18"/>
        <v>0</v>
      </c>
      <c r="AF43" s="647">
        <f t="shared" si="18"/>
        <v>0</v>
      </c>
      <c r="AG43" s="647">
        <f t="shared" si="18"/>
        <v>0</v>
      </c>
      <c r="AH43" s="647">
        <f t="shared" si="18"/>
        <v>0</v>
      </c>
      <c r="AI43" s="647">
        <f t="shared" si="18"/>
        <v>0</v>
      </c>
      <c r="AJ43" s="647">
        <f t="shared" si="18"/>
        <v>0</v>
      </c>
      <c r="AK43" s="647"/>
      <c r="AL43" s="647">
        <f t="shared" ref="AL43:AS43" si="19">COUNTIF(AL46:AL104,"共")+countif(AL$11:AL$41,"共")</f>
        <v>0</v>
      </c>
      <c r="AM43" s="647">
        <f t="shared" si="19"/>
        <v>0</v>
      </c>
      <c r="AN43" s="647">
        <f t="shared" si="19"/>
        <v>0</v>
      </c>
      <c r="AO43" s="647">
        <f t="shared" si="19"/>
        <v>0</v>
      </c>
      <c r="AP43" s="647">
        <f t="shared" si="19"/>
        <v>0</v>
      </c>
      <c r="AQ43" s="647">
        <f t="shared" si="19"/>
        <v>0</v>
      </c>
      <c r="AR43" s="647">
        <f t="shared" si="19"/>
        <v>0</v>
      </c>
      <c r="AS43" s="647">
        <f t="shared" si="19"/>
        <v>0</v>
      </c>
      <c r="AT43" s="647" t="s">
        <v>135</v>
      </c>
      <c r="AU43" s="647" t="s">
        <v>135</v>
      </c>
      <c r="AV43" s="647">
        <f t="shared" ref="AV43:BB43" si="20">COUNTIF(AV46:AV104,"共")+countif(AV$11:AV$41,"共")</f>
        <v>0</v>
      </c>
      <c r="AW43" s="647">
        <f t="shared" si="20"/>
        <v>0</v>
      </c>
      <c r="AX43" s="647">
        <f t="shared" si="20"/>
        <v>0</v>
      </c>
      <c r="AY43" s="647">
        <f t="shared" si="20"/>
        <v>0</v>
      </c>
      <c r="AZ43" s="647">
        <f t="shared" si="20"/>
        <v>0</v>
      </c>
      <c r="BA43" s="647">
        <f t="shared" si="20"/>
        <v>0</v>
      </c>
      <c r="BB43" s="647">
        <f t="shared" si="20"/>
        <v>0</v>
      </c>
      <c r="BC43" s="651"/>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7" t="str">
        <f t="shared" si="10"/>
        <v>合計清掃数</v>
      </c>
      <c r="C44" s="638" t="str">
        <f t="shared" si="11"/>
        <v>#N/A</v>
      </c>
      <c r="D44" s="200"/>
      <c r="E44" s="637" t="str">
        <f t="shared" si="12"/>
        <v>合計清掃数</v>
      </c>
      <c r="F44" s="638" t="str">
        <f t="shared" si="13"/>
        <v>#N/A</v>
      </c>
      <c r="G44" s="200"/>
      <c r="H44" s="200"/>
      <c r="I44" s="656" t="b">
        <v>0</v>
      </c>
      <c r="J44" s="619"/>
      <c r="K44" s="657" t="s">
        <v>464</v>
      </c>
      <c r="L44" s="658" t="s">
        <v>447</v>
      </c>
      <c r="M44" s="659"/>
      <c r="N44" s="642">
        <f t="shared" ref="N44:AJ44" si="21">sumif(N46:N104,"〇",$J46:$J104)+sumif(N11:N41,"〇",$J11:$J41)</f>
        <v>112</v>
      </c>
      <c r="O44" s="642">
        <f t="shared" si="21"/>
        <v>101</v>
      </c>
      <c r="P44" s="642">
        <f t="shared" si="21"/>
        <v>107</v>
      </c>
      <c r="Q44" s="642">
        <f t="shared" si="21"/>
        <v>114</v>
      </c>
      <c r="R44" s="642">
        <f t="shared" si="21"/>
        <v>125</v>
      </c>
      <c r="S44" s="642">
        <f t="shared" si="21"/>
        <v>99</v>
      </c>
      <c r="T44" s="642">
        <f t="shared" si="21"/>
        <v>105</v>
      </c>
      <c r="U44" s="642">
        <f t="shared" si="21"/>
        <v>116</v>
      </c>
      <c r="V44" s="642">
        <f t="shared" si="21"/>
        <v>113</v>
      </c>
      <c r="W44" s="642">
        <f t="shared" si="21"/>
        <v>115</v>
      </c>
      <c r="X44" s="642">
        <f t="shared" si="21"/>
        <v>109</v>
      </c>
      <c r="Y44" s="642">
        <f t="shared" si="21"/>
        <v>129</v>
      </c>
      <c r="Z44" s="642">
        <f t="shared" si="21"/>
        <v>105</v>
      </c>
      <c r="AA44" s="642">
        <f t="shared" si="21"/>
        <v>120</v>
      </c>
      <c r="AB44" s="642">
        <f t="shared" si="21"/>
        <v>112</v>
      </c>
      <c r="AC44" s="642">
        <f t="shared" si="21"/>
        <v>90</v>
      </c>
      <c r="AD44" s="642">
        <f t="shared" si="21"/>
        <v>104</v>
      </c>
      <c r="AE44" s="642">
        <f t="shared" si="21"/>
        <v>98</v>
      </c>
      <c r="AF44" s="642">
        <f t="shared" si="21"/>
        <v>123</v>
      </c>
      <c r="AG44" s="642">
        <f t="shared" si="21"/>
        <v>97</v>
      </c>
      <c r="AH44" s="642">
        <f t="shared" si="21"/>
        <v>111</v>
      </c>
      <c r="AI44" s="642">
        <f t="shared" si="21"/>
        <v>112</v>
      </c>
      <c r="AJ44" s="642">
        <f t="shared" si="21"/>
        <v>117</v>
      </c>
      <c r="AK44" s="642"/>
      <c r="AL44" s="642">
        <f t="shared" ref="AL44:AS44" si="22">sumif(AL46:AL104,"〇",$J46:$J104)+sumif(AL11:AL41,"〇",$J11:$J41)</f>
        <v>121</v>
      </c>
      <c r="AM44" s="642">
        <f t="shared" si="22"/>
        <v>114</v>
      </c>
      <c r="AN44" s="642">
        <f t="shared" si="22"/>
        <v>129</v>
      </c>
      <c r="AO44" s="642">
        <f t="shared" si="22"/>
        <v>105</v>
      </c>
      <c r="AP44" s="642">
        <f t="shared" si="22"/>
        <v>99</v>
      </c>
      <c r="AQ44" s="642">
        <f t="shared" si="22"/>
        <v>0</v>
      </c>
      <c r="AR44" s="642">
        <f t="shared" si="22"/>
        <v>0</v>
      </c>
      <c r="AS44" s="642">
        <f t="shared" si="22"/>
        <v>0</v>
      </c>
      <c r="AT44" s="625" t="s">
        <v>135</v>
      </c>
      <c r="AU44" s="647" t="s">
        <v>135</v>
      </c>
      <c r="AV44" s="660"/>
      <c r="AW44" s="660"/>
      <c r="AX44" s="660"/>
      <c r="AY44" s="660"/>
      <c r="AZ44" s="660"/>
      <c r="BA44" s="660"/>
      <c r="BB44" s="660"/>
      <c r="BC44" s="651"/>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7" t="str">
        <f t="shared" si="10"/>
        <v>稼働予定</v>
      </c>
      <c r="C45" s="638" t="str">
        <f t="shared" si="11"/>
        <v>#N/A</v>
      </c>
      <c r="D45" s="200"/>
      <c r="E45" s="637" t="str">
        <f t="shared" si="12"/>
        <v>稼働予定</v>
      </c>
      <c r="F45" s="638" t="str">
        <f t="shared" si="13"/>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42"/>
      <c r="AT45" s="625" t="s">
        <v>135</v>
      </c>
      <c r="AU45" s="647" t="s">
        <v>135</v>
      </c>
      <c r="AV45" s="650"/>
      <c r="AW45" s="650"/>
      <c r="AX45" s="650"/>
      <c r="AY45" s="650"/>
      <c r="AZ45" s="650"/>
      <c r="BA45" s="650"/>
      <c r="BB45" s="650"/>
      <c r="BC45" s="651"/>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7" t="str">
        <f t="shared" si="10"/>
        <v>早川</v>
      </c>
      <c r="C46" s="638" t="str">
        <f t="shared" si="11"/>
        <v>#N/A</v>
      </c>
      <c r="D46" s="200"/>
      <c r="E46" s="637" t="str">
        <f t="shared" si="12"/>
        <v>早川</v>
      </c>
      <c r="F46" s="638" t="str">
        <f t="shared" si="13"/>
        <v>#N/A</v>
      </c>
      <c r="G46" s="200"/>
      <c r="H46" s="200"/>
      <c r="I46" s="172" t="b">
        <v>0</v>
      </c>
      <c r="J46" s="619">
        <v>16.0</v>
      </c>
      <c r="K46" s="639" t="s">
        <v>467</v>
      </c>
      <c r="L46" s="640" t="s">
        <v>468</v>
      </c>
      <c r="M46" s="646"/>
      <c r="N46" s="647"/>
      <c r="O46" s="647" t="s">
        <v>192</v>
      </c>
      <c r="P46" s="647"/>
      <c r="Q46" s="647" t="s">
        <v>192</v>
      </c>
      <c r="R46" s="647" t="s">
        <v>192</v>
      </c>
      <c r="S46" s="647" t="s">
        <v>192</v>
      </c>
      <c r="T46" s="647" t="s">
        <v>192</v>
      </c>
      <c r="U46" s="647"/>
      <c r="V46" s="647" t="s">
        <v>192</v>
      </c>
      <c r="W46" s="647"/>
      <c r="X46" s="647" t="s">
        <v>192</v>
      </c>
      <c r="Y46" s="647" t="s">
        <v>192</v>
      </c>
      <c r="Z46" s="647" t="s">
        <v>192</v>
      </c>
      <c r="AA46" s="647" t="s">
        <v>192</v>
      </c>
      <c r="AB46" s="647"/>
      <c r="AC46" s="647" t="s">
        <v>192</v>
      </c>
      <c r="AD46" s="647" t="s">
        <v>192</v>
      </c>
      <c r="AE46" s="647"/>
      <c r="AF46" s="647" t="s">
        <v>192</v>
      </c>
      <c r="AG46" s="647" t="s">
        <v>192</v>
      </c>
      <c r="AH46" s="647" t="s">
        <v>192</v>
      </c>
      <c r="AI46" s="647"/>
      <c r="AJ46" s="647" t="s">
        <v>192</v>
      </c>
      <c r="AK46" s="647"/>
      <c r="AL46" s="647" t="s">
        <v>192</v>
      </c>
      <c r="AM46" s="647" t="s">
        <v>192</v>
      </c>
      <c r="AN46" s="647" t="s">
        <v>192</v>
      </c>
      <c r="AO46" s="647" t="s">
        <v>192</v>
      </c>
      <c r="AP46" s="647"/>
      <c r="AQ46" s="647"/>
      <c r="AR46" s="647"/>
      <c r="AS46" s="642"/>
      <c r="AT46" s="648">
        <f t="array" ref="AT46">SUM(COUNTIF(N46:AS46, {"◎","〇","☆","共","特","浴"}))</f>
        <v>20</v>
      </c>
      <c r="AU46" s="652"/>
      <c r="AV46" s="650"/>
      <c r="AW46" s="650"/>
      <c r="AX46" s="650"/>
      <c r="AY46" s="650"/>
      <c r="AZ46" s="650"/>
      <c r="BA46" s="650"/>
      <c r="BB46" s="650"/>
      <c r="BC46" s="651"/>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7" t="str">
        <f t="shared" si="10"/>
        <v>大沼</v>
      </c>
      <c r="C47" s="638" t="str">
        <f t="shared" si="11"/>
        <v>#N/A</v>
      </c>
      <c r="D47" s="200"/>
      <c r="E47" s="637" t="str">
        <f t="shared" si="12"/>
        <v>大沼</v>
      </c>
      <c r="F47" s="638" t="str">
        <f t="shared" si="13"/>
        <v>#N/A</v>
      </c>
      <c r="G47" s="200"/>
      <c r="H47" s="200"/>
      <c r="I47" s="172" t="b">
        <v>0</v>
      </c>
      <c r="J47" s="619">
        <v>15.0</v>
      </c>
      <c r="K47" s="639" t="s">
        <v>469</v>
      </c>
      <c r="L47" s="640" t="s">
        <v>468</v>
      </c>
      <c r="M47" s="646"/>
      <c r="N47" s="647"/>
      <c r="O47" s="647" t="s">
        <v>192</v>
      </c>
      <c r="P47" s="647" t="s">
        <v>192</v>
      </c>
      <c r="Q47" s="647" t="s">
        <v>192</v>
      </c>
      <c r="R47" s="647" t="s">
        <v>192</v>
      </c>
      <c r="S47" s="647" t="s">
        <v>192</v>
      </c>
      <c r="T47" s="647"/>
      <c r="U47" s="647"/>
      <c r="V47" s="647" t="s">
        <v>192</v>
      </c>
      <c r="W47" s="647" t="s">
        <v>192</v>
      </c>
      <c r="X47" s="647"/>
      <c r="Y47" s="647" t="s">
        <v>192</v>
      </c>
      <c r="Z47" s="647" t="s">
        <v>192</v>
      </c>
      <c r="AA47" s="647" t="s">
        <v>192</v>
      </c>
      <c r="AB47" s="647"/>
      <c r="AC47" s="647"/>
      <c r="AD47" s="647"/>
      <c r="AE47" s="647" t="s">
        <v>192</v>
      </c>
      <c r="AF47" s="647" t="s">
        <v>192</v>
      </c>
      <c r="AG47" s="647" t="s">
        <v>192</v>
      </c>
      <c r="AH47" s="647" t="s">
        <v>192</v>
      </c>
      <c r="AI47" s="647"/>
      <c r="AJ47" s="647"/>
      <c r="AK47" s="647"/>
      <c r="AL47" s="647" t="s">
        <v>192</v>
      </c>
      <c r="AM47" s="647" t="s">
        <v>192</v>
      </c>
      <c r="AN47" s="647" t="s">
        <v>192</v>
      </c>
      <c r="AO47" s="647" t="s">
        <v>192</v>
      </c>
      <c r="AP47" s="647"/>
      <c r="AQ47" s="647"/>
      <c r="AR47" s="647"/>
      <c r="AS47" s="642"/>
      <c r="AT47" s="648">
        <f t="array" ref="AT47">SUM(COUNTIF(N47:AS47, {"◎","〇","☆","共","特","浴"}))</f>
        <v>18</v>
      </c>
      <c r="AU47" s="652"/>
      <c r="AV47" s="650"/>
      <c r="AW47" s="650"/>
      <c r="AX47" s="650"/>
      <c r="AY47" s="650"/>
      <c r="AZ47" s="650"/>
      <c r="BA47" s="650"/>
      <c r="BB47" s="650"/>
      <c r="BC47" s="651"/>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7" t="str">
        <f t="shared" si="10"/>
        <v>サンタ</v>
      </c>
      <c r="C48" s="638" t="str">
        <f t="shared" si="11"/>
        <v>#N/A</v>
      </c>
      <c r="D48" s="200"/>
      <c r="E48" s="637" t="str">
        <f t="shared" si="12"/>
        <v>サンタ</v>
      </c>
      <c r="F48" s="638" t="str">
        <f t="shared" si="13"/>
        <v>#N/A</v>
      </c>
      <c r="G48" s="200"/>
      <c r="H48" s="200"/>
      <c r="I48" s="172" t="b">
        <v>0</v>
      </c>
      <c r="J48" s="619">
        <v>19.0</v>
      </c>
      <c r="K48" s="639" t="s">
        <v>113</v>
      </c>
      <c r="L48" s="640" t="s">
        <v>468</v>
      </c>
      <c r="M48" s="646"/>
      <c r="N48" s="647" t="s">
        <v>192</v>
      </c>
      <c r="O48" s="647" t="s">
        <v>192</v>
      </c>
      <c r="P48" s="647" t="s">
        <v>192</v>
      </c>
      <c r="Q48" s="647"/>
      <c r="R48" s="647" t="s">
        <v>192</v>
      </c>
      <c r="S48" s="647" t="s">
        <v>192</v>
      </c>
      <c r="T48" s="647" t="s">
        <v>192</v>
      </c>
      <c r="U48" s="647" t="s">
        <v>192</v>
      </c>
      <c r="V48" s="647" t="s">
        <v>192</v>
      </c>
      <c r="W48" s="647" t="s">
        <v>192</v>
      </c>
      <c r="X48" s="647"/>
      <c r="Y48" s="647" t="s">
        <v>192</v>
      </c>
      <c r="Z48" s="647" t="s">
        <v>192</v>
      </c>
      <c r="AA48" s="647" t="s">
        <v>192</v>
      </c>
      <c r="AB48" s="647" t="s">
        <v>192</v>
      </c>
      <c r="AC48" s="647" t="s">
        <v>192</v>
      </c>
      <c r="AD48" s="647" t="s">
        <v>192</v>
      </c>
      <c r="AE48" s="647"/>
      <c r="AF48" s="647" t="s">
        <v>192</v>
      </c>
      <c r="AG48" s="647" t="s">
        <v>192</v>
      </c>
      <c r="AH48" s="647" t="s">
        <v>192</v>
      </c>
      <c r="AI48" s="647" t="s">
        <v>192</v>
      </c>
      <c r="AJ48" s="647" t="s">
        <v>192</v>
      </c>
      <c r="AK48" s="647"/>
      <c r="AL48" s="647" t="s">
        <v>192</v>
      </c>
      <c r="AM48" s="647"/>
      <c r="AN48" s="647" t="s">
        <v>192</v>
      </c>
      <c r="AO48" s="647" t="s">
        <v>192</v>
      </c>
      <c r="AP48" s="647" t="s">
        <v>192</v>
      </c>
      <c r="AQ48" s="647"/>
      <c r="AR48" s="647"/>
      <c r="AS48" s="642"/>
      <c r="AT48" s="648">
        <f t="array" ref="AT48">SUM(COUNTIF(N48:AS48, {"◎","〇","☆","共","特","浴"}))</f>
        <v>24</v>
      </c>
      <c r="AU48" s="649"/>
      <c r="AV48" s="650"/>
      <c r="AW48" s="650"/>
      <c r="AX48" s="650"/>
      <c r="AY48" s="650"/>
      <c r="AZ48" s="650"/>
      <c r="BA48" s="650"/>
      <c r="BB48" s="650"/>
      <c r="BC48" s="651"/>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7" t="str">
        <f t="shared" si="10"/>
        <v>タン</v>
      </c>
      <c r="C49" s="638" t="str">
        <f t="shared" si="11"/>
        <v>#N/A</v>
      </c>
      <c r="D49" s="200"/>
      <c r="E49" s="637" t="str">
        <f t="shared" si="12"/>
        <v>タン</v>
      </c>
      <c r="F49" s="638" t="str">
        <f t="shared" si="13"/>
        <v>#N/A</v>
      </c>
      <c r="G49" s="200"/>
      <c r="H49" s="200"/>
      <c r="I49" s="172" t="b">
        <v>0</v>
      </c>
      <c r="J49" s="619">
        <v>17.0</v>
      </c>
      <c r="K49" s="639" t="s">
        <v>472</v>
      </c>
      <c r="L49" s="640" t="s">
        <v>468</v>
      </c>
      <c r="M49" s="646"/>
      <c r="N49" s="647" t="s">
        <v>192</v>
      </c>
      <c r="O49" s="647" t="s">
        <v>192</v>
      </c>
      <c r="P49" s="647" t="s">
        <v>192</v>
      </c>
      <c r="Q49" s="647" t="s">
        <v>192</v>
      </c>
      <c r="R49" s="647" t="s">
        <v>192</v>
      </c>
      <c r="S49" s="647"/>
      <c r="T49" s="647" t="s">
        <v>192</v>
      </c>
      <c r="U49" s="647" t="s">
        <v>192</v>
      </c>
      <c r="V49" s="647" t="s">
        <v>192</v>
      </c>
      <c r="W49" s="647" t="s">
        <v>192</v>
      </c>
      <c r="X49" s="647" t="s">
        <v>192</v>
      </c>
      <c r="Y49" s="647" t="s">
        <v>192</v>
      </c>
      <c r="Z49" s="647"/>
      <c r="AA49" s="647" t="s">
        <v>192</v>
      </c>
      <c r="AB49" s="647" t="s">
        <v>192</v>
      </c>
      <c r="AC49" s="647" t="s">
        <v>192</v>
      </c>
      <c r="AD49" s="647" t="s">
        <v>192</v>
      </c>
      <c r="AE49" s="647" t="s">
        <v>192</v>
      </c>
      <c r="AF49" s="647" t="s">
        <v>192</v>
      </c>
      <c r="AG49" s="647"/>
      <c r="AH49" s="647"/>
      <c r="AI49" s="647" t="s">
        <v>192</v>
      </c>
      <c r="AJ49" s="647" t="s">
        <v>192</v>
      </c>
      <c r="AK49" s="647"/>
      <c r="AL49" s="647" t="s">
        <v>192</v>
      </c>
      <c r="AM49" s="647" t="s">
        <v>192</v>
      </c>
      <c r="AN49" s="647" t="s">
        <v>192</v>
      </c>
      <c r="AO49" s="647"/>
      <c r="AP49" s="647" t="s">
        <v>192</v>
      </c>
      <c r="AQ49" s="647"/>
      <c r="AR49" s="647"/>
      <c r="AS49" s="642"/>
      <c r="AT49" s="648">
        <f t="array" ref="AT49">SUM(COUNTIF(N49:AS49, {"◎","〇","☆","共","特","浴"}))</f>
        <v>23</v>
      </c>
      <c r="AU49" s="652"/>
      <c r="AV49" s="650"/>
      <c r="AW49" s="650"/>
      <c r="AX49" s="650"/>
      <c r="AY49" s="650"/>
      <c r="AZ49" s="650"/>
      <c r="BA49" s="650"/>
      <c r="BB49" s="650"/>
      <c r="BC49" s="651"/>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7" t="str">
        <f t="shared" si="10"/>
        <v>タラ</v>
      </c>
      <c r="C50" s="638" t="str">
        <f t="shared" si="11"/>
        <v>#N/A</v>
      </c>
      <c r="D50" s="200"/>
      <c r="E50" s="637" t="str">
        <f t="shared" si="12"/>
        <v>タラ</v>
      </c>
      <c r="F50" s="638" t="str">
        <f t="shared" si="13"/>
        <v>#N/A</v>
      </c>
      <c r="G50" s="200"/>
      <c r="H50" s="200"/>
      <c r="I50" s="172" t="b">
        <v>0</v>
      </c>
      <c r="J50" s="619">
        <v>17.0</v>
      </c>
      <c r="K50" s="639" t="s">
        <v>471</v>
      </c>
      <c r="L50" s="640" t="s">
        <v>468</v>
      </c>
      <c r="M50" s="646"/>
      <c r="N50" s="647" t="s">
        <v>192</v>
      </c>
      <c r="O50" s="642"/>
      <c r="P50" s="642"/>
      <c r="Q50" s="647" t="s">
        <v>192</v>
      </c>
      <c r="R50" s="647" t="s">
        <v>192</v>
      </c>
      <c r="S50" s="647" t="s">
        <v>192</v>
      </c>
      <c r="T50" s="647" t="s">
        <v>192</v>
      </c>
      <c r="U50" s="647" t="s">
        <v>192</v>
      </c>
      <c r="V50" s="642"/>
      <c r="W50" s="642"/>
      <c r="X50" s="647" t="s">
        <v>192</v>
      </c>
      <c r="Y50" s="647" t="s">
        <v>192</v>
      </c>
      <c r="Z50" s="647" t="s">
        <v>192</v>
      </c>
      <c r="AA50" s="647" t="s">
        <v>192</v>
      </c>
      <c r="AB50" s="647" t="s">
        <v>192</v>
      </c>
      <c r="AC50" s="642"/>
      <c r="AD50" s="642"/>
      <c r="AE50" s="647" t="s">
        <v>192</v>
      </c>
      <c r="AF50" s="647" t="s">
        <v>192</v>
      </c>
      <c r="AG50" s="647" t="s">
        <v>192</v>
      </c>
      <c r="AH50" s="647" t="s">
        <v>192</v>
      </c>
      <c r="AI50" s="647" t="s">
        <v>192</v>
      </c>
      <c r="AJ50" s="647" t="s">
        <v>192</v>
      </c>
      <c r="AK50" s="647"/>
      <c r="AL50" s="642"/>
      <c r="AM50" s="647" t="s">
        <v>192</v>
      </c>
      <c r="AN50" s="647" t="s">
        <v>192</v>
      </c>
      <c r="AO50" s="647" t="s">
        <v>192</v>
      </c>
      <c r="AP50" s="647" t="s">
        <v>192</v>
      </c>
      <c r="AQ50" s="647"/>
      <c r="AR50" s="642"/>
      <c r="AS50" s="642"/>
      <c r="AT50" s="648">
        <f t="array" ref="AT50">SUM(COUNTIF(N50:AS50, {"◎","〇","☆","共","特","浴"}))</f>
        <v>21</v>
      </c>
      <c r="AU50" s="652"/>
      <c r="AV50" s="650"/>
      <c r="AW50" s="650"/>
      <c r="AX50" s="650"/>
      <c r="AY50" s="650"/>
      <c r="AZ50" s="650"/>
      <c r="BA50" s="650"/>
      <c r="BB50" s="650"/>
      <c r="BC50" s="651"/>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7" t="str">
        <f t="shared" si="10"/>
        <v>スレスタ</v>
      </c>
      <c r="C51" s="638" t="str">
        <f t="shared" si="11"/>
        <v>#N/A</v>
      </c>
      <c r="D51" s="200"/>
      <c r="E51" s="637" t="str">
        <f t="shared" si="12"/>
        <v>スレスタ</v>
      </c>
      <c r="F51" s="638" t="str">
        <f t="shared" si="13"/>
        <v>#N/A</v>
      </c>
      <c r="G51" s="200"/>
      <c r="H51" s="200"/>
      <c r="I51" s="172" t="b">
        <v>0</v>
      </c>
      <c r="J51" s="619">
        <v>15.0</v>
      </c>
      <c r="K51" s="639" t="s">
        <v>477</v>
      </c>
      <c r="L51" s="640" t="s">
        <v>468</v>
      </c>
      <c r="M51" s="646"/>
      <c r="N51" s="647"/>
      <c r="O51" s="647" t="s">
        <v>192</v>
      </c>
      <c r="P51" s="647" t="s">
        <v>192</v>
      </c>
      <c r="Q51" s="647" t="s">
        <v>192</v>
      </c>
      <c r="R51" s="647" t="s">
        <v>192</v>
      </c>
      <c r="S51" s="647"/>
      <c r="T51" s="647"/>
      <c r="U51" s="647"/>
      <c r="V51" s="647" t="s">
        <v>192</v>
      </c>
      <c r="W51" s="647" t="s">
        <v>192</v>
      </c>
      <c r="X51" s="647" t="s">
        <v>192</v>
      </c>
      <c r="Y51" s="647" t="s">
        <v>192</v>
      </c>
      <c r="Z51" s="647"/>
      <c r="AA51" s="647"/>
      <c r="AB51" s="647"/>
      <c r="AC51" s="647" t="s">
        <v>192</v>
      </c>
      <c r="AD51" s="647" t="s">
        <v>192</v>
      </c>
      <c r="AE51" s="647" t="s">
        <v>192</v>
      </c>
      <c r="AF51" s="647" t="s">
        <v>192</v>
      </c>
      <c r="AG51" s="647"/>
      <c r="AH51" s="647"/>
      <c r="AI51" s="647"/>
      <c r="AJ51" s="647" t="s">
        <v>192</v>
      </c>
      <c r="AK51" s="647"/>
      <c r="AL51" s="647" t="s">
        <v>192</v>
      </c>
      <c r="AM51" s="647" t="s">
        <v>192</v>
      </c>
      <c r="AN51" s="647" t="s">
        <v>192</v>
      </c>
      <c r="AO51" s="647"/>
      <c r="AP51" s="647"/>
      <c r="AQ51" s="647"/>
      <c r="AR51" s="647"/>
      <c r="AS51" s="642"/>
      <c r="AT51" s="648">
        <f t="array" ref="AT51">SUM(COUNTIF(N51:AS51, {"◎","〇","☆","共","特","浴"}))</f>
        <v>16</v>
      </c>
      <c r="AU51" s="652"/>
      <c r="AV51" s="650"/>
      <c r="AW51" s="650"/>
      <c r="AX51" s="650"/>
      <c r="AY51" s="650"/>
      <c r="AZ51" s="650"/>
      <c r="BA51" s="650"/>
      <c r="BB51" s="650"/>
      <c r="BC51" s="651"/>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7" t="str">
        <f t="shared" si="10"/>
        <v>アリ</v>
      </c>
      <c r="C52" s="638" t="str">
        <f t="shared" si="11"/>
        <v>#N/A</v>
      </c>
      <c r="D52" s="200"/>
      <c r="E52" s="637" t="str">
        <f t="shared" si="12"/>
        <v>アリ</v>
      </c>
      <c r="F52" s="638" t="str">
        <f t="shared" si="13"/>
        <v>#N/A</v>
      </c>
      <c r="G52" s="200"/>
      <c r="H52" s="200"/>
      <c r="I52" s="172" t="b">
        <v>0</v>
      </c>
      <c r="J52" s="619">
        <v>10.0</v>
      </c>
      <c r="K52" s="639" t="s">
        <v>484</v>
      </c>
      <c r="L52" s="640" t="s">
        <v>475</v>
      </c>
      <c r="M52" s="641"/>
      <c r="N52" s="647" t="s">
        <v>192</v>
      </c>
      <c r="O52" s="647"/>
      <c r="P52" s="647"/>
      <c r="Q52" s="647"/>
      <c r="R52" s="647"/>
      <c r="S52" s="647"/>
      <c r="T52" s="647"/>
      <c r="U52" s="647" t="s">
        <v>192</v>
      </c>
      <c r="V52" s="647"/>
      <c r="W52" s="647"/>
      <c r="X52" s="647" t="s">
        <v>192</v>
      </c>
      <c r="Y52" s="647"/>
      <c r="Z52" s="647"/>
      <c r="AA52" s="647"/>
      <c r="AB52" s="647" t="s">
        <v>192</v>
      </c>
      <c r="AC52" s="647"/>
      <c r="AD52" s="647"/>
      <c r="AE52" s="647"/>
      <c r="AF52" s="647"/>
      <c r="AG52" s="647"/>
      <c r="AH52" s="647"/>
      <c r="AI52" s="647" t="s">
        <v>192</v>
      </c>
      <c r="AJ52" s="647" t="s">
        <v>192</v>
      </c>
      <c r="AK52" s="647"/>
      <c r="AL52" s="647"/>
      <c r="AM52" s="647"/>
      <c r="AN52" s="647"/>
      <c r="AO52" s="647"/>
      <c r="AP52" s="647" t="s">
        <v>192</v>
      </c>
      <c r="AQ52" s="647"/>
      <c r="AR52" s="647"/>
      <c r="AS52" s="642"/>
      <c r="AT52" s="648">
        <f t="array" ref="AT52">SUM(COUNTIF(N52:AS52, {"◎","〇","☆","共","特","浴"}))</f>
        <v>7</v>
      </c>
      <c r="AU52" s="649"/>
      <c r="AV52" s="650"/>
      <c r="AW52" s="650"/>
      <c r="AX52" s="650"/>
      <c r="AY52" s="650"/>
      <c r="AZ52" s="650"/>
      <c r="BA52" s="650"/>
      <c r="BB52" s="650"/>
      <c r="BC52" s="651"/>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7" t="str">
        <f t="shared" si="10"/>
        <v>バンダリ</v>
      </c>
      <c r="C53" s="638" t="str">
        <f t="shared" si="11"/>
        <v>#N/A</v>
      </c>
      <c r="D53" s="200"/>
      <c r="E53" s="637" t="str">
        <f t="shared" si="12"/>
        <v>バンダリ</v>
      </c>
      <c r="F53" s="638" t="str">
        <f t="shared" si="13"/>
        <v>#N/A</v>
      </c>
      <c r="G53" s="200"/>
      <c r="H53" s="200"/>
      <c r="I53" s="172" t="b">
        <v>0</v>
      </c>
      <c r="J53" s="619">
        <v>15.0</v>
      </c>
      <c r="K53" s="639" t="s">
        <v>479</v>
      </c>
      <c r="L53" s="640" t="s">
        <v>468</v>
      </c>
      <c r="M53" s="641"/>
      <c r="N53" s="647" t="s">
        <v>192</v>
      </c>
      <c r="O53" s="647" t="s">
        <v>192</v>
      </c>
      <c r="P53" s="647" t="s">
        <v>192</v>
      </c>
      <c r="Q53" s="647"/>
      <c r="R53" s="647"/>
      <c r="S53" s="647"/>
      <c r="T53" s="647"/>
      <c r="U53" s="647" t="s">
        <v>192</v>
      </c>
      <c r="V53" s="647" t="s">
        <v>192</v>
      </c>
      <c r="W53" s="647" t="s">
        <v>192</v>
      </c>
      <c r="X53" s="647"/>
      <c r="Y53" s="647"/>
      <c r="Z53" s="647"/>
      <c r="AA53" s="647"/>
      <c r="AB53" s="647" t="s">
        <v>192</v>
      </c>
      <c r="AC53" s="647" t="s">
        <v>192</v>
      </c>
      <c r="AD53" s="647" t="s">
        <v>192</v>
      </c>
      <c r="AE53" s="647"/>
      <c r="AF53" s="647"/>
      <c r="AG53" s="647"/>
      <c r="AH53" s="647"/>
      <c r="AI53" s="647" t="s">
        <v>192</v>
      </c>
      <c r="AJ53" s="647" t="s">
        <v>192</v>
      </c>
      <c r="AK53" s="647"/>
      <c r="AL53" s="647" t="s">
        <v>192</v>
      </c>
      <c r="AM53" s="647"/>
      <c r="AN53" s="647"/>
      <c r="AO53" s="647"/>
      <c r="AP53" s="647"/>
      <c r="AQ53" s="647"/>
      <c r="AR53" s="647"/>
      <c r="AS53" s="642"/>
      <c r="AT53" s="648">
        <f t="array" ref="AT53">SUM(COUNTIF(N53:AS53, {"◎","〇","☆","共","特","浴"}))</f>
        <v>12</v>
      </c>
      <c r="AU53" s="649"/>
      <c r="AV53" s="650"/>
      <c r="AW53" s="650"/>
      <c r="AX53" s="650"/>
      <c r="AY53" s="650"/>
      <c r="AZ53" s="650"/>
      <c r="BA53" s="650"/>
      <c r="BB53" s="650"/>
      <c r="BC53" s="651"/>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7" t="str">
        <f t="shared" si="10"/>
        <v>ランジュ</v>
      </c>
      <c r="C54" s="638" t="str">
        <f t="shared" si="11"/>
        <v>#N/A</v>
      </c>
      <c r="D54" s="200"/>
      <c r="E54" s="637" t="str">
        <f t="shared" si="12"/>
        <v>ランジュ</v>
      </c>
      <c r="F54" s="638" t="str">
        <f t="shared" si="13"/>
        <v>#N/A</v>
      </c>
      <c r="G54" s="200"/>
      <c r="H54" s="200"/>
      <c r="I54" s="172" t="b">
        <v>0</v>
      </c>
      <c r="J54" s="619">
        <v>8.0</v>
      </c>
      <c r="K54" s="639" t="s">
        <v>165</v>
      </c>
      <c r="L54" s="640" t="s">
        <v>475</v>
      </c>
      <c r="M54" s="646"/>
      <c r="N54" s="647" t="s">
        <v>192</v>
      </c>
      <c r="O54" s="647"/>
      <c r="P54" s="647" t="s">
        <v>192</v>
      </c>
      <c r="Q54" s="647" t="s">
        <v>192</v>
      </c>
      <c r="R54" s="647"/>
      <c r="S54" s="647"/>
      <c r="T54" s="647" t="s">
        <v>192</v>
      </c>
      <c r="U54" s="647" t="s">
        <v>192</v>
      </c>
      <c r="V54" s="647"/>
      <c r="W54" s="647" t="s">
        <v>192</v>
      </c>
      <c r="X54" s="647" t="s">
        <v>192</v>
      </c>
      <c r="Y54" s="647"/>
      <c r="Z54" s="647"/>
      <c r="AA54" s="647" t="s">
        <v>192</v>
      </c>
      <c r="AB54" s="647" t="s">
        <v>192</v>
      </c>
      <c r="AC54" s="647"/>
      <c r="AD54" s="647" t="s">
        <v>192</v>
      </c>
      <c r="AE54" s="647" t="s">
        <v>192</v>
      </c>
      <c r="AF54" s="647"/>
      <c r="AG54" s="647"/>
      <c r="AH54" s="647" t="s">
        <v>192</v>
      </c>
      <c r="AI54" s="647" t="s">
        <v>192</v>
      </c>
      <c r="AJ54" s="647"/>
      <c r="AK54" s="647"/>
      <c r="AL54" s="647" t="s">
        <v>192</v>
      </c>
      <c r="AM54" s="647" t="s">
        <v>192</v>
      </c>
      <c r="AN54" s="647"/>
      <c r="AO54" s="647"/>
      <c r="AP54" s="647" t="s">
        <v>192</v>
      </c>
      <c r="AQ54" s="647"/>
      <c r="AR54" s="647"/>
      <c r="AS54" s="647"/>
      <c r="AT54" s="648">
        <f t="array" ref="AT54">SUM(COUNTIF(N54:AS54, {"◎","〇","☆","共","特","浴"}))</f>
        <v>16</v>
      </c>
      <c r="AU54" s="649"/>
      <c r="AV54" s="650"/>
      <c r="AW54" s="650"/>
      <c r="AX54" s="650"/>
      <c r="AY54" s="650"/>
      <c r="AZ54" s="650"/>
      <c r="BA54" s="650"/>
      <c r="BB54" s="650"/>
      <c r="BC54" s="651"/>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7" t="str">
        <f t="shared" si="10"/>
        <v>ウィン</v>
      </c>
      <c r="C55" s="638" t="str">
        <f t="shared" si="11"/>
        <v>#N/A</v>
      </c>
      <c r="D55" s="200"/>
      <c r="E55" s="637" t="str">
        <f t="shared" si="12"/>
        <v>ウィン</v>
      </c>
      <c r="F55" s="638" t="str">
        <f t="shared" si="13"/>
        <v>#N/A</v>
      </c>
      <c r="G55" s="200"/>
      <c r="H55" s="200"/>
      <c r="I55" s="172" t="b">
        <v>0</v>
      </c>
      <c r="J55" s="619">
        <v>12.0</v>
      </c>
      <c r="K55" s="639" t="s">
        <v>474</v>
      </c>
      <c r="L55" s="640" t="s">
        <v>475</v>
      </c>
      <c r="M55" s="646"/>
      <c r="N55" s="647"/>
      <c r="O55" s="647"/>
      <c r="P55" s="647"/>
      <c r="Q55" s="647" t="s">
        <v>192</v>
      </c>
      <c r="R55" s="647" t="s">
        <v>192</v>
      </c>
      <c r="S55" s="647" t="s">
        <v>192</v>
      </c>
      <c r="T55" s="647"/>
      <c r="U55" s="647"/>
      <c r="V55" s="647"/>
      <c r="W55" s="647"/>
      <c r="X55" s="647" t="s">
        <v>192</v>
      </c>
      <c r="Y55" s="647" t="s">
        <v>192</v>
      </c>
      <c r="Z55" s="647" t="s">
        <v>192</v>
      </c>
      <c r="AA55" s="647"/>
      <c r="AB55" s="647"/>
      <c r="AC55" s="647"/>
      <c r="AD55" s="647"/>
      <c r="AE55" s="647" t="s">
        <v>192</v>
      </c>
      <c r="AF55" s="647" t="s">
        <v>192</v>
      </c>
      <c r="AG55" s="647" t="s">
        <v>192</v>
      </c>
      <c r="AH55" s="647"/>
      <c r="AI55" s="647"/>
      <c r="AJ55" s="647"/>
      <c r="AK55" s="647"/>
      <c r="AL55" s="647"/>
      <c r="AM55" s="647" t="s">
        <v>192</v>
      </c>
      <c r="AN55" s="647" t="s">
        <v>192</v>
      </c>
      <c r="AO55" s="647" t="s">
        <v>192</v>
      </c>
      <c r="AP55" s="647"/>
      <c r="AQ55" s="647"/>
      <c r="AR55" s="647"/>
      <c r="AS55" s="642"/>
      <c r="AT55" s="648">
        <f t="array" ref="AT55">SUM(COUNTIF(N55:AS55, {"◎","〇","☆","共","特","浴"}))</f>
        <v>12</v>
      </c>
      <c r="AU55" s="652"/>
      <c r="AV55" s="650"/>
      <c r="AW55" s="650"/>
      <c r="AX55" s="650"/>
      <c r="AY55" s="650"/>
      <c r="AZ55" s="650"/>
      <c r="BA55" s="650"/>
      <c r="BB55" s="650"/>
      <c r="BC55" s="651"/>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7" t="str">
        <f t="shared" si="10"/>
        <v>ギミレ</v>
      </c>
      <c r="C56" s="638" t="str">
        <f t="shared" si="11"/>
        <v>#N/A</v>
      </c>
      <c r="D56" s="200"/>
      <c r="E56" s="637" t="str">
        <f t="shared" si="12"/>
        <v>ギミレ</v>
      </c>
      <c r="F56" s="638" t="str">
        <f t="shared" si="13"/>
        <v>#N/A</v>
      </c>
      <c r="G56" s="200"/>
      <c r="H56" s="200"/>
      <c r="I56" s="172" t="b">
        <v>0</v>
      </c>
      <c r="J56" s="619">
        <v>6.0</v>
      </c>
      <c r="K56" s="639" t="s">
        <v>159</v>
      </c>
      <c r="L56" s="640" t="s">
        <v>475</v>
      </c>
      <c r="M56" s="646"/>
      <c r="N56" s="647"/>
      <c r="O56" s="647"/>
      <c r="P56" s="647" t="s">
        <v>192</v>
      </c>
      <c r="Q56" s="647" t="s">
        <v>192</v>
      </c>
      <c r="R56" s="647" t="s">
        <v>192</v>
      </c>
      <c r="S56" s="647"/>
      <c r="T56" s="647" t="s">
        <v>192</v>
      </c>
      <c r="U56" s="647"/>
      <c r="V56" s="647"/>
      <c r="W56" s="647" t="s">
        <v>192</v>
      </c>
      <c r="X56" s="647" t="s">
        <v>192</v>
      </c>
      <c r="Y56" s="647" t="s">
        <v>192</v>
      </c>
      <c r="Z56" s="647" t="s">
        <v>192</v>
      </c>
      <c r="AA56" s="647" t="s">
        <v>192</v>
      </c>
      <c r="AB56" s="647"/>
      <c r="AC56" s="647"/>
      <c r="AD56" s="647" t="s">
        <v>192</v>
      </c>
      <c r="AE56" s="647" t="s">
        <v>192</v>
      </c>
      <c r="AF56" s="647" t="s">
        <v>417</v>
      </c>
      <c r="AG56" s="647" t="s">
        <v>192</v>
      </c>
      <c r="AH56" s="647" t="s">
        <v>192</v>
      </c>
      <c r="AI56" s="647"/>
      <c r="AJ56" s="647"/>
      <c r="AK56" s="647"/>
      <c r="AL56" s="647"/>
      <c r="AM56" s="647" t="s">
        <v>192</v>
      </c>
      <c r="AN56" s="647" t="s">
        <v>192</v>
      </c>
      <c r="AO56" s="647" t="s">
        <v>192</v>
      </c>
      <c r="AP56" s="647" t="s">
        <v>192</v>
      </c>
      <c r="AQ56" s="642"/>
      <c r="AR56" s="642"/>
      <c r="AS56" s="642"/>
      <c r="AT56" s="648">
        <f t="array" ref="AT56">SUM(COUNTIF(N56:AS56, {"◎","〇","☆","共","特","浴"}))</f>
        <v>17</v>
      </c>
      <c r="AU56" s="652"/>
      <c r="AV56" s="650"/>
      <c r="AW56" s="650"/>
      <c r="AX56" s="650"/>
      <c r="AY56" s="650"/>
      <c r="AZ56" s="650"/>
      <c r="BA56" s="650"/>
      <c r="BB56" s="650"/>
      <c r="BC56" s="651"/>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7" t="str">
        <f t="shared" si="10"/>
        <v>GT</v>
      </c>
      <c r="C57" s="638" t="str">
        <f t="shared" si="11"/>
        <v>#N/A</v>
      </c>
      <c r="D57" s="200"/>
      <c r="E57" s="637" t="str">
        <f t="shared" si="12"/>
        <v>GT</v>
      </c>
      <c r="F57" s="638" t="str">
        <f t="shared" si="13"/>
        <v>#N/A</v>
      </c>
      <c r="G57" s="200"/>
      <c r="H57" s="200"/>
      <c r="I57" s="172" t="b">
        <v>0</v>
      </c>
      <c r="J57" s="619">
        <v>8.0</v>
      </c>
      <c r="K57" s="639" t="s">
        <v>481</v>
      </c>
      <c r="L57" s="640" t="s">
        <v>475</v>
      </c>
      <c r="M57" s="646"/>
      <c r="N57" s="647" t="s">
        <v>192</v>
      </c>
      <c r="O57" s="647"/>
      <c r="P57" s="647" t="s">
        <v>192</v>
      </c>
      <c r="Q57" s="647" t="s">
        <v>192</v>
      </c>
      <c r="R57" s="647" t="s">
        <v>192</v>
      </c>
      <c r="S57" s="647" t="s">
        <v>192</v>
      </c>
      <c r="T57" s="647"/>
      <c r="U57" s="647" t="s">
        <v>192</v>
      </c>
      <c r="V57" s="647"/>
      <c r="W57" s="647" t="s">
        <v>192</v>
      </c>
      <c r="X57" s="647" t="s">
        <v>192</v>
      </c>
      <c r="Y57" s="647" t="s">
        <v>192</v>
      </c>
      <c r="Z57" s="647" t="s">
        <v>192</v>
      </c>
      <c r="AA57" s="647"/>
      <c r="AB57" s="647" t="s">
        <v>192</v>
      </c>
      <c r="AC57" s="647"/>
      <c r="AD57" s="647" t="s">
        <v>192</v>
      </c>
      <c r="AE57" s="647" t="s">
        <v>192</v>
      </c>
      <c r="AF57" s="647" t="s">
        <v>192</v>
      </c>
      <c r="AG57" s="647"/>
      <c r="AH57" s="647" t="s">
        <v>192</v>
      </c>
      <c r="AI57" s="647" t="s">
        <v>192</v>
      </c>
      <c r="AJ57" s="647"/>
      <c r="AK57" s="647"/>
      <c r="AL57" s="647" t="s">
        <v>192</v>
      </c>
      <c r="AM57" s="647" t="s">
        <v>192</v>
      </c>
      <c r="AN57" s="647" t="s">
        <v>192</v>
      </c>
      <c r="AO57" s="647" t="s">
        <v>192</v>
      </c>
      <c r="AP57" s="647"/>
      <c r="AQ57" s="647"/>
      <c r="AR57" s="647"/>
      <c r="AS57" s="642"/>
      <c r="AT57" s="648">
        <f t="array" ref="AT57">SUM(COUNTIF(N57:AS57, {"◎","〇","☆","共","特","浴"}))</f>
        <v>20</v>
      </c>
      <c r="AU57" s="652"/>
      <c r="AV57" s="650"/>
      <c r="AW57" s="650"/>
      <c r="AX57" s="650"/>
      <c r="AY57" s="650"/>
      <c r="AZ57" s="650"/>
      <c r="BA57" s="650"/>
      <c r="BB57" s="650"/>
      <c r="BC57" s="651"/>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7" t="str">
        <f t="shared" si="10"/>
        <v>ビケス</v>
      </c>
      <c r="C58" s="638" t="str">
        <f t="shared" si="11"/>
        <v>#N/A</v>
      </c>
      <c r="D58" s="200"/>
      <c r="E58" s="637" t="str">
        <f t="shared" si="12"/>
        <v>ビケス</v>
      </c>
      <c r="F58" s="638" t="str">
        <f t="shared" si="13"/>
        <v>#N/A</v>
      </c>
      <c r="G58" s="200"/>
      <c r="H58" s="200"/>
      <c r="I58" s="172" t="b">
        <v>0</v>
      </c>
      <c r="J58" s="619">
        <v>10.0</v>
      </c>
      <c r="K58" s="639" t="s">
        <v>120</v>
      </c>
      <c r="L58" s="640" t="s">
        <v>468</v>
      </c>
      <c r="M58" s="646"/>
      <c r="N58" s="647" t="s">
        <v>192</v>
      </c>
      <c r="O58" s="642"/>
      <c r="P58" s="647"/>
      <c r="Q58" s="647"/>
      <c r="R58" s="647"/>
      <c r="S58" s="647"/>
      <c r="T58" s="647" t="s">
        <v>192</v>
      </c>
      <c r="U58" s="647" t="s">
        <v>192</v>
      </c>
      <c r="V58" s="642"/>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c r="AP58" s="647" t="s">
        <v>192</v>
      </c>
      <c r="AQ58" s="647"/>
      <c r="AR58" s="647"/>
      <c r="AS58" s="642"/>
      <c r="AT58" s="648">
        <f t="array" ref="AT58">SUM(COUNTIF(N58:AS58, {"◎","〇","☆","共","特","浴"}))</f>
        <v>8</v>
      </c>
      <c r="AU58" s="652"/>
      <c r="AV58" s="650"/>
      <c r="AW58" s="650"/>
      <c r="AX58" s="650"/>
      <c r="AY58" s="650"/>
      <c r="AZ58" s="650"/>
      <c r="BA58" s="650"/>
      <c r="BB58" s="650"/>
      <c r="BC58" s="651"/>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7" t="str">
        <f t="shared" si="10"/>
        <v>カトリ</v>
      </c>
      <c r="C59" s="638" t="str">
        <f t="shared" si="11"/>
        <v>#N/A</v>
      </c>
      <c r="D59" s="200"/>
      <c r="E59" s="637" t="str">
        <f t="shared" si="12"/>
        <v>カトリ</v>
      </c>
      <c r="F59" s="638" t="str">
        <f t="shared" si="13"/>
        <v>#N/A</v>
      </c>
      <c r="G59" s="200"/>
      <c r="H59" s="200"/>
      <c r="I59" s="172" t="b">
        <v>0</v>
      </c>
      <c r="J59" s="619">
        <v>8.0</v>
      </c>
      <c r="K59" s="639" t="s">
        <v>125</v>
      </c>
      <c r="L59" s="640" t="s">
        <v>475</v>
      </c>
      <c r="M59" s="646"/>
      <c r="N59" s="647" t="s">
        <v>192</v>
      </c>
      <c r="O59" s="647"/>
      <c r="P59" s="647"/>
      <c r="Q59" s="647"/>
      <c r="R59" s="642"/>
      <c r="S59" s="647" t="s">
        <v>192</v>
      </c>
      <c r="T59" s="647" t="s">
        <v>192</v>
      </c>
      <c r="U59" s="647" t="s">
        <v>192</v>
      </c>
      <c r="V59" s="647" t="s">
        <v>192</v>
      </c>
      <c r="W59" s="647" t="s">
        <v>192</v>
      </c>
      <c r="X59" s="647"/>
      <c r="Y59" s="642"/>
      <c r="Z59" s="647" t="s">
        <v>192</v>
      </c>
      <c r="AA59" s="647" t="s">
        <v>192</v>
      </c>
      <c r="AB59" s="647" t="s">
        <v>192</v>
      </c>
      <c r="AC59" s="647" t="s">
        <v>192</v>
      </c>
      <c r="AD59" s="647"/>
      <c r="AE59" s="647"/>
      <c r="AF59" s="642"/>
      <c r="AG59" s="647" t="s">
        <v>192</v>
      </c>
      <c r="AH59" s="647" t="s">
        <v>192</v>
      </c>
      <c r="AI59" s="647" t="s">
        <v>192</v>
      </c>
      <c r="AJ59" s="647" t="s">
        <v>192</v>
      </c>
      <c r="AK59" s="647"/>
      <c r="AL59" s="647" t="s">
        <v>192</v>
      </c>
      <c r="AM59" s="647"/>
      <c r="AN59" s="642"/>
      <c r="AO59" s="647" t="s">
        <v>192</v>
      </c>
      <c r="AP59" s="647" t="s">
        <v>192</v>
      </c>
      <c r="AQ59" s="647"/>
      <c r="AR59" s="642"/>
      <c r="AS59" s="647"/>
      <c r="AT59" s="648">
        <f t="array" ref="AT59">SUM(COUNTIF(N59:AS59, {"◎","〇","☆","共","特","浴"}))</f>
        <v>17</v>
      </c>
      <c r="AU59" s="652"/>
      <c r="AV59" s="650"/>
      <c r="AW59" s="650"/>
      <c r="AX59" s="650"/>
      <c r="AY59" s="650"/>
      <c r="AZ59" s="650"/>
      <c r="BA59" s="650"/>
      <c r="BB59" s="650"/>
      <c r="BC59" s="651"/>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7" t="str">
        <f t="shared" si="10"/>
        <v>ライン</v>
      </c>
      <c r="C60" s="638" t="str">
        <f t="shared" si="11"/>
        <v>#N/A</v>
      </c>
      <c r="D60" s="200"/>
      <c r="E60" s="637" t="str">
        <f t="shared" si="12"/>
        <v>ライン</v>
      </c>
      <c r="F60" s="638" t="str">
        <f t="shared" si="13"/>
        <v>#N/A</v>
      </c>
      <c r="G60" s="200"/>
      <c r="H60" s="200"/>
      <c r="I60" s="172" t="b">
        <v>0</v>
      </c>
      <c r="J60" s="619">
        <v>4.0</v>
      </c>
      <c r="K60" s="639" t="s">
        <v>526</v>
      </c>
      <c r="L60" s="640" t="s">
        <v>475</v>
      </c>
      <c r="M60" s="646"/>
      <c r="N60" s="647"/>
      <c r="O60" s="647"/>
      <c r="P60" s="647" t="s">
        <v>192</v>
      </c>
      <c r="Q60" s="647"/>
      <c r="R60" s="647"/>
      <c r="S60" s="647" t="s">
        <v>192</v>
      </c>
      <c r="T60" s="647"/>
      <c r="U60" s="647"/>
      <c r="V60" s="647" t="s">
        <v>192</v>
      </c>
      <c r="W60" s="647" t="s">
        <v>192</v>
      </c>
      <c r="X60" s="647"/>
      <c r="Y60" s="647" t="s">
        <v>192</v>
      </c>
      <c r="Z60" s="647" t="s">
        <v>192</v>
      </c>
      <c r="AA60" s="647" t="s">
        <v>192</v>
      </c>
      <c r="AB60" s="647"/>
      <c r="AC60" s="647"/>
      <c r="AD60" s="647"/>
      <c r="AE60" s="647"/>
      <c r="AF60" s="647" t="s">
        <v>192</v>
      </c>
      <c r="AG60" s="647" t="s">
        <v>192</v>
      </c>
      <c r="AH60" s="647" t="s">
        <v>192</v>
      </c>
      <c r="AI60" s="647"/>
      <c r="AJ60" s="647"/>
      <c r="AK60" s="647"/>
      <c r="AL60" s="647"/>
      <c r="AM60" s="647"/>
      <c r="AN60" s="647" t="s">
        <v>192</v>
      </c>
      <c r="AO60" s="647" t="s">
        <v>192</v>
      </c>
      <c r="AP60" s="647" t="s">
        <v>192</v>
      </c>
      <c r="AQ60" s="647"/>
      <c r="AR60" s="647"/>
      <c r="AS60" s="647"/>
      <c r="AT60" s="648">
        <f t="array" ref="AT60">SUM(COUNTIF(N60:AS60, {"◎","〇","☆","共","特","浴"}))</f>
        <v>13</v>
      </c>
      <c r="AU60" s="652"/>
      <c r="AV60" s="650"/>
      <c r="AW60" s="650"/>
      <c r="AX60" s="650"/>
      <c r="AY60" s="650"/>
      <c r="AZ60" s="650"/>
      <c r="BA60" s="650"/>
      <c r="BB60" s="650"/>
      <c r="BC60" s="651"/>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7" t="s">
        <v>750</v>
      </c>
      <c r="C61" s="638"/>
      <c r="D61" s="200"/>
      <c r="E61" s="637" t="s">
        <v>750</v>
      </c>
      <c r="F61" s="638"/>
      <c r="G61" s="200"/>
      <c r="H61" s="200"/>
      <c r="I61" s="172" t="b">
        <v>0</v>
      </c>
      <c r="J61" s="619">
        <v>4.0</v>
      </c>
      <c r="K61" s="639" t="s">
        <v>750</v>
      </c>
      <c r="L61" s="640" t="s">
        <v>475</v>
      </c>
      <c r="M61" s="646"/>
      <c r="N61" s="647"/>
      <c r="O61" s="647" t="s">
        <v>192</v>
      </c>
      <c r="P61" s="647"/>
      <c r="Q61" s="647"/>
      <c r="R61" s="647"/>
      <c r="S61" s="647"/>
      <c r="T61" s="647" t="s">
        <v>192</v>
      </c>
      <c r="U61" s="647" t="s">
        <v>192</v>
      </c>
      <c r="V61" s="647" t="s">
        <v>192</v>
      </c>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2"/>
      <c r="AT61" s="648">
        <f t="array" ref="AT61">SUM(COUNTIF(N61:AS61, {"◎","〇","☆","共","特","浴"}))</f>
        <v>4</v>
      </c>
      <c r="AU61" s="652"/>
      <c r="AV61" s="650"/>
      <c r="AW61" s="650"/>
      <c r="AX61" s="650"/>
      <c r="AY61" s="650"/>
      <c r="AZ61" s="650"/>
      <c r="BA61" s="650"/>
      <c r="BB61" s="650"/>
      <c r="BC61" s="942"/>
      <c r="BD61" s="942"/>
      <c r="BE61" s="942"/>
      <c r="BF61" s="942"/>
      <c r="BG61" s="942"/>
      <c r="BH61" s="942"/>
      <c r="BI61" s="942"/>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7" t="str">
        <f t="shared" ref="B62:B104" si="23">K62</f>
        <v>カヴィンダ</v>
      </c>
      <c r="C62" s="638" t="str">
        <f t="shared" ref="C62:C104" si="24">if(B62="","", xlookup($B$7,$N$7:$AS$7,$N62:$AS62))</f>
        <v>#N/A</v>
      </c>
      <c r="D62" s="200"/>
      <c r="E62" s="637" t="str">
        <f t="shared" ref="E62:E104" si="25">K62</f>
        <v>カヴィンダ</v>
      </c>
      <c r="F62" s="638" t="str">
        <f t="shared" ref="F62:F103" si="26">if(E62="","", xlookup($E$7,$N$7:$AS$7,$N62:$AS62))</f>
        <v>#N/A</v>
      </c>
      <c r="G62" s="200"/>
      <c r="H62" s="200"/>
      <c r="I62" s="172" t="b">
        <v>0</v>
      </c>
      <c r="J62" s="619"/>
      <c r="K62" s="639" t="s">
        <v>517</v>
      </c>
      <c r="L62" s="640"/>
      <c r="M62" s="646"/>
      <c r="N62" s="647" t="s">
        <v>751</v>
      </c>
      <c r="O62" s="647"/>
      <c r="P62" s="647"/>
      <c r="Q62" s="647"/>
      <c r="R62" s="647"/>
      <c r="S62" s="647"/>
      <c r="T62" s="647" t="s">
        <v>751</v>
      </c>
      <c r="U62" s="647" t="s">
        <v>751</v>
      </c>
      <c r="V62" s="647"/>
      <c r="W62" s="647"/>
      <c r="X62" s="647" t="s">
        <v>611</v>
      </c>
      <c r="Y62" s="647"/>
      <c r="Z62" s="647"/>
      <c r="AA62" s="647" t="s">
        <v>751</v>
      </c>
      <c r="AB62" s="647" t="s">
        <v>751</v>
      </c>
      <c r="AC62" s="647"/>
      <c r="AD62" s="647"/>
      <c r="AE62" s="647"/>
      <c r="AF62" s="647"/>
      <c r="AG62" s="647"/>
      <c r="AH62" s="647" t="s">
        <v>751</v>
      </c>
      <c r="AI62" s="647" t="s">
        <v>751</v>
      </c>
      <c r="AJ62" s="647" t="s">
        <v>751</v>
      </c>
      <c r="AK62" s="647"/>
      <c r="AL62" s="647"/>
      <c r="AM62" s="647"/>
      <c r="AN62" s="647"/>
      <c r="AO62" s="647"/>
      <c r="AP62" s="647" t="s">
        <v>751</v>
      </c>
      <c r="AQ62" s="647"/>
      <c r="AR62" s="647"/>
      <c r="AS62" s="642"/>
      <c r="AT62" s="648">
        <f t="array" ref="AT62">SUM(COUNTIF(N62:AS62, {"◎","〇","☆","共","特","浴"}))</f>
        <v>0</v>
      </c>
      <c r="AU62" s="652"/>
      <c r="AV62" s="650"/>
      <c r="AW62" s="650"/>
      <c r="AX62" s="650"/>
      <c r="AY62" s="650"/>
      <c r="AZ62" s="650"/>
      <c r="BA62" s="650"/>
      <c r="BB62" s="650"/>
      <c r="BC62" s="651"/>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7" t="str">
        <f t="shared" si="23"/>
        <v>ソノダ</v>
      </c>
      <c r="C63" s="638" t="str">
        <f t="shared" si="24"/>
        <v>#N/A</v>
      </c>
      <c r="D63" s="200"/>
      <c r="E63" s="637" t="str">
        <f t="shared" si="25"/>
        <v>ソノダ</v>
      </c>
      <c r="F63" s="638" t="str">
        <f t="shared" si="26"/>
        <v>#N/A</v>
      </c>
      <c r="G63" s="200"/>
      <c r="H63" s="200"/>
      <c r="I63" s="172" t="b">
        <v>0</v>
      </c>
      <c r="J63" s="619"/>
      <c r="K63" s="639" t="s">
        <v>487</v>
      </c>
      <c r="L63" s="640"/>
      <c r="M63" s="646"/>
      <c r="N63" s="647" t="s">
        <v>752</v>
      </c>
      <c r="O63" s="647" t="s">
        <v>752</v>
      </c>
      <c r="P63" s="647"/>
      <c r="Q63" s="647"/>
      <c r="R63" s="647" t="s">
        <v>752</v>
      </c>
      <c r="S63" s="647" t="s">
        <v>752</v>
      </c>
      <c r="T63" s="647"/>
      <c r="U63" s="647" t="s">
        <v>752</v>
      </c>
      <c r="V63" s="647" t="s">
        <v>752</v>
      </c>
      <c r="W63" s="647"/>
      <c r="X63" s="647"/>
      <c r="Y63" s="647" t="s">
        <v>752</v>
      </c>
      <c r="Z63" s="647" t="s">
        <v>752</v>
      </c>
      <c r="AA63" s="647"/>
      <c r="AB63" s="647" t="s">
        <v>752</v>
      </c>
      <c r="AC63" s="647" t="s">
        <v>752</v>
      </c>
      <c r="AD63" s="647"/>
      <c r="AE63" s="647"/>
      <c r="AF63" s="647" t="s">
        <v>752</v>
      </c>
      <c r="AG63" s="647" t="s">
        <v>752</v>
      </c>
      <c r="AH63" s="647"/>
      <c r="AI63" s="647" t="s">
        <v>752</v>
      </c>
      <c r="AJ63" s="647" t="s">
        <v>752</v>
      </c>
      <c r="AK63" s="647"/>
      <c r="AL63" s="647"/>
      <c r="AM63" s="647"/>
      <c r="AN63" s="647" t="s">
        <v>752</v>
      </c>
      <c r="AO63" s="647" t="s">
        <v>752</v>
      </c>
      <c r="AP63" s="647"/>
      <c r="AQ63" s="647"/>
      <c r="AR63" s="647"/>
      <c r="AS63" s="642"/>
      <c r="AT63" s="648">
        <f t="array" ref="AT63">SUM(COUNTIF(N63:AS63, {"◎","〇","☆","共","特","浴"}))</f>
        <v>0</v>
      </c>
      <c r="AU63" s="652"/>
      <c r="AV63" s="650"/>
      <c r="AW63" s="650"/>
      <c r="AX63" s="650"/>
      <c r="AY63" s="650"/>
      <c r="AZ63" s="650"/>
      <c r="BA63" s="650"/>
      <c r="BB63" s="650"/>
      <c r="BC63" s="651"/>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7" t="str">
        <f t="shared" si="23"/>
        <v>サルマ</v>
      </c>
      <c r="C64" s="638" t="str">
        <f t="shared" si="24"/>
        <v>#N/A</v>
      </c>
      <c r="D64" s="200"/>
      <c r="E64" s="637" t="str">
        <f t="shared" si="25"/>
        <v>サルマ</v>
      </c>
      <c r="F64" s="638" t="str">
        <f t="shared" si="26"/>
        <v>#N/A</v>
      </c>
      <c r="G64" s="200"/>
      <c r="H64" s="200"/>
      <c r="I64" s="172" t="b">
        <v>0</v>
      </c>
      <c r="J64" s="619"/>
      <c r="K64" s="639" t="s">
        <v>489</v>
      </c>
      <c r="L64" s="640"/>
      <c r="M64" s="646"/>
      <c r="N64" s="647"/>
      <c r="O64" s="647"/>
      <c r="P64" s="647" t="s">
        <v>752</v>
      </c>
      <c r="Q64" s="647" t="s">
        <v>752</v>
      </c>
      <c r="R64" s="647"/>
      <c r="S64" s="647"/>
      <c r="T64" s="647"/>
      <c r="U64" s="647"/>
      <c r="V64" s="647"/>
      <c r="W64" s="647" t="s">
        <v>752</v>
      </c>
      <c r="X64" s="647" t="s">
        <v>752</v>
      </c>
      <c r="Y64" s="647"/>
      <c r="Z64" s="647"/>
      <c r="AA64" s="647"/>
      <c r="AB64" s="647"/>
      <c r="AC64" s="647"/>
      <c r="AD64" s="647" t="s">
        <v>752</v>
      </c>
      <c r="AE64" s="647" t="s">
        <v>752</v>
      </c>
      <c r="AF64" s="647"/>
      <c r="AG64" s="647"/>
      <c r="AH64" s="647"/>
      <c r="AI64" s="647"/>
      <c r="AJ64" s="647"/>
      <c r="AK64" s="647"/>
      <c r="AL64" s="647" t="s">
        <v>752</v>
      </c>
      <c r="AM64" s="647" t="s">
        <v>752</v>
      </c>
      <c r="AN64" s="647"/>
      <c r="AO64" s="647"/>
      <c r="AP64" s="647"/>
      <c r="AQ64" s="642"/>
      <c r="AR64" s="642"/>
      <c r="AS64" s="642"/>
      <c r="AT64" s="648">
        <f t="array" ref="AT64">SUM(COUNTIF(N64:AS64, {"◎","〇","☆","共","特","浴"}))</f>
        <v>0</v>
      </c>
      <c r="AU64" s="652"/>
      <c r="AV64" s="650"/>
      <c r="AW64" s="650"/>
      <c r="AX64" s="650"/>
      <c r="AY64" s="650"/>
      <c r="AZ64" s="650"/>
      <c r="BA64" s="650"/>
      <c r="BB64" s="650"/>
      <c r="BC64" s="651"/>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7" t="str">
        <f t="shared" si="23"/>
        <v/>
      </c>
      <c r="C65" s="638" t="str">
        <f t="shared" si="24"/>
        <v/>
      </c>
      <c r="D65" s="200"/>
      <c r="E65" s="637" t="str">
        <f t="shared" si="25"/>
        <v/>
      </c>
      <c r="F65" s="638" t="str">
        <f t="shared" si="2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2"/>
      <c r="AL65" s="647"/>
      <c r="AM65" s="642"/>
      <c r="AN65" s="642"/>
      <c r="AO65" s="642"/>
      <c r="AP65" s="647"/>
      <c r="AQ65" s="642"/>
      <c r="AR65" s="642"/>
      <c r="AS65" s="642"/>
      <c r="AT65" s="648">
        <f t="array" ref="AT65">SUM(COUNTIF(N65:AS65, {"◎","〇","☆","共","特","浴"}))</f>
        <v>0</v>
      </c>
      <c r="AU65" s="652"/>
      <c r="AV65" s="650"/>
      <c r="AW65" s="650"/>
      <c r="AX65" s="650"/>
      <c r="AY65" s="650"/>
      <c r="AZ65" s="650"/>
      <c r="BA65" s="650"/>
      <c r="BB65" s="650"/>
      <c r="BC65" s="651"/>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7" t="str">
        <f t="shared" si="23"/>
        <v/>
      </c>
      <c r="C66" s="638" t="str">
        <f t="shared" si="24"/>
        <v/>
      </c>
      <c r="D66" s="200"/>
      <c r="E66" s="637" t="str">
        <f t="shared" si="25"/>
        <v/>
      </c>
      <c r="F66" s="638" t="str">
        <f t="shared" si="2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2"/>
      <c r="AT66" s="648">
        <f t="array" ref="AT66">SUM(COUNTIF(N66:AS66, {"◎","〇","☆","共","特","浴"}))</f>
        <v>0</v>
      </c>
      <c r="AU66" s="652"/>
      <c r="AV66" s="650"/>
      <c r="AW66" s="650"/>
      <c r="AX66" s="650"/>
      <c r="AY66" s="650"/>
      <c r="AZ66" s="650"/>
      <c r="BA66" s="650"/>
      <c r="BB66" s="650"/>
      <c r="BC66" s="651"/>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7" t="str">
        <f t="shared" si="23"/>
        <v/>
      </c>
      <c r="C67" s="638" t="str">
        <f t="shared" si="24"/>
        <v/>
      </c>
      <c r="D67" s="200"/>
      <c r="E67" s="637" t="str">
        <f t="shared" si="25"/>
        <v/>
      </c>
      <c r="F67" s="638" t="str">
        <f t="shared" si="2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8">
        <f t="array" ref="AT67">SUM(COUNTIF(N67:AS67, {"◎","〇","☆","共","特","浴"}))</f>
        <v>0</v>
      </c>
      <c r="AU67" s="652"/>
      <c r="AV67" s="650"/>
      <c r="AW67" s="650"/>
      <c r="AX67" s="650"/>
      <c r="AY67" s="650"/>
      <c r="AZ67" s="650"/>
      <c r="BA67" s="650"/>
      <c r="BB67" s="650"/>
      <c r="BC67" s="651"/>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7" t="str">
        <f t="shared" si="23"/>
        <v/>
      </c>
      <c r="C68" s="638" t="str">
        <f t="shared" si="24"/>
        <v/>
      </c>
      <c r="D68" s="200"/>
      <c r="E68" s="637" t="str">
        <f t="shared" si="25"/>
        <v/>
      </c>
      <c r="F68" s="638" t="str">
        <f t="shared" si="2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642"/>
      <c r="AR68" s="642"/>
      <c r="AS68" s="642"/>
      <c r="AT68" s="648">
        <f t="array" ref="AT68">SUM(COUNTIF(N68:AS68, {"◎","〇","☆","共","特","浴"}))</f>
        <v>0</v>
      </c>
      <c r="AU68" s="652"/>
      <c r="AV68" s="650"/>
      <c r="AW68" s="650"/>
      <c r="AX68" s="650"/>
      <c r="AY68" s="650"/>
      <c r="AZ68" s="650"/>
      <c r="BA68" s="650"/>
      <c r="BB68" s="650"/>
      <c r="BC68" s="651"/>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7" t="str">
        <f t="shared" si="23"/>
        <v/>
      </c>
      <c r="C69" s="638" t="str">
        <f t="shared" si="24"/>
        <v/>
      </c>
      <c r="D69" s="200"/>
      <c r="E69" s="637" t="str">
        <f t="shared" si="25"/>
        <v/>
      </c>
      <c r="F69" s="638" t="str">
        <f t="shared" si="2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642"/>
      <c r="AR69" s="642"/>
      <c r="AS69" s="642"/>
      <c r="AT69" s="648">
        <f t="array" ref="AT69">SUM(COUNTIF(N69:AS69, {"◎","〇","☆","共","特","浴"}))</f>
        <v>0</v>
      </c>
      <c r="AU69" s="652"/>
      <c r="AV69" s="650"/>
      <c r="AW69" s="650"/>
      <c r="AX69" s="650"/>
      <c r="AY69" s="650"/>
      <c r="AZ69" s="650"/>
      <c r="BA69" s="650"/>
      <c r="BB69" s="650"/>
      <c r="BC69" s="651"/>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7" t="str">
        <f t="shared" si="23"/>
        <v/>
      </c>
      <c r="C70" s="638" t="str">
        <f t="shared" si="24"/>
        <v/>
      </c>
      <c r="D70" s="200"/>
      <c r="E70" s="637" t="str">
        <f t="shared" si="25"/>
        <v/>
      </c>
      <c r="F70" s="638" t="str">
        <f t="shared" si="2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7"/>
      <c r="AQ70" s="642"/>
      <c r="AR70" s="642"/>
      <c r="AS70" s="642"/>
      <c r="AT70" s="648">
        <f t="array" ref="AT70">SUM(COUNTIF(N70:AS70, {"◎","〇","☆","共","特","浴"}))</f>
        <v>0</v>
      </c>
      <c r="AU70" s="652"/>
      <c r="AV70" s="650"/>
      <c r="AW70" s="650"/>
      <c r="AX70" s="650"/>
      <c r="AY70" s="650"/>
      <c r="AZ70" s="650"/>
      <c r="BA70" s="650"/>
      <c r="BB70" s="650"/>
      <c r="BC70" s="651"/>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7" t="str">
        <f t="shared" si="23"/>
        <v/>
      </c>
      <c r="C71" s="638" t="str">
        <f t="shared" si="24"/>
        <v/>
      </c>
      <c r="D71" s="200"/>
      <c r="E71" s="637" t="str">
        <f t="shared" si="25"/>
        <v/>
      </c>
      <c r="F71" s="638" t="str">
        <f t="shared" si="2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7"/>
      <c r="AQ71" s="642"/>
      <c r="AR71" s="642"/>
      <c r="AS71" s="642"/>
      <c r="AT71" s="648">
        <f t="array" ref="AT71">SUM(COUNTIF(N71:AS71, {"◎","〇","☆","共","特","浴"}))</f>
        <v>0</v>
      </c>
      <c r="AU71" s="652"/>
      <c r="AV71" s="650"/>
      <c r="AW71" s="650"/>
      <c r="AX71" s="650"/>
      <c r="AY71" s="650"/>
      <c r="AZ71" s="650"/>
      <c r="BA71" s="650"/>
      <c r="BB71" s="650"/>
      <c r="BC71" s="651"/>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7" t="str">
        <f t="shared" si="23"/>
        <v/>
      </c>
      <c r="C72" s="638" t="str">
        <f t="shared" si="24"/>
        <v/>
      </c>
      <c r="D72" s="200"/>
      <c r="E72" s="637" t="str">
        <f t="shared" si="25"/>
        <v/>
      </c>
      <c r="F72" s="638" t="str">
        <f t="shared" si="2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7"/>
      <c r="AQ72" s="642"/>
      <c r="AR72" s="642"/>
      <c r="AS72" s="642"/>
      <c r="AT72" s="648">
        <f t="array" ref="AT72">SUM(COUNTIF(N72:AS72, {"◎","〇","☆","共","特","浴"}))</f>
        <v>0</v>
      </c>
      <c r="AU72" s="652"/>
      <c r="AV72" s="650"/>
      <c r="AW72" s="650"/>
      <c r="AX72" s="650"/>
      <c r="AY72" s="650"/>
      <c r="AZ72" s="650"/>
      <c r="BA72" s="650"/>
      <c r="BB72" s="650"/>
      <c r="BC72" s="651"/>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7" t="str">
        <f t="shared" si="23"/>
        <v/>
      </c>
      <c r="C73" s="638" t="str">
        <f t="shared" si="24"/>
        <v/>
      </c>
      <c r="D73" s="200"/>
      <c r="E73" s="637" t="str">
        <f t="shared" si="25"/>
        <v/>
      </c>
      <c r="F73" s="638" t="str">
        <f t="shared" si="2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7"/>
      <c r="AQ73" s="642"/>
      <c r="AR73" s="642"/>
      <c r="AS73" s="642"/>
      <c r="AT73" s="648">
        <f t="array" ref="AT73">SUM(COUNTIF(N73:AS73, {"◎","〇","☆","共","特","浴"}))</f>
        <v>0</v>
      </c>
      <c r="AU73" s="652"/>
      <c r="AV73" s="650"/>
      <c r="AW73" s="650"/>
      <c r="AX73" s="650"/>
      <c r="AY73" s="650"/>
      <c r="AZ73" s="650"/>
      <c r="BA73" s="650"/>
      <c r="BB73" s="650"/>
      <c r="BC73" s="651"/>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7" t="str">
        <f t="shared" si="23"/>
        <v/>
      </c>
      <c r="C74" s="638" t="str">
        <f t="shared" si="24"/>
        <v/>
      </c>
      <c r="D74" s="200"/>
      <c r="E74" s="637" t="str">
        <f t="shared" si="25"/>
        <v/>
      </c>
      <c r="F74" s="638" t="str">
        <f t="shared" si="2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7"/>
      <c r="AQ74" s="642"/>
      <c r="AR74" s="642"/>
      <c r="AS74" s="642"/>
      <c r="AT74" s="648">
        <f t="array" ref="AT74">SUM(COUNTIF(N74:AS74, {"◎","〇","☆","共","特","浴"}))</f>
        <v>0</v>
      </c>
      <c r="AU74" s="652"/>
      <c r="AV74" s="650"/>
      <c r="AW74" s="650"/>
      <c r="AX74" s="650"/>
      <c r="AY74" s="650"/>
      <c r="AZ74" s="650"/>
      <c r="BA74" s="650"/>
      <c r="BB74" s="650"/>
      <c r="BC74" s="651"/>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7" t="str">
        <f t="shared" si="23"/>
        <v/>
      </c>
      <c r="C75" s="638" t="str">
        <f t="shared" si="24"/>
        <v/>
      </c>
      <c r="D75" s="200"/>
      <c r="E75" s="637" t="str">
        <f t="shared" si="25"/>
        <v/>
      </c>
      <c r="F75" s="638" t="str">
        <f t="shared" si="2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2"/>
      <c r="AT75" s="648">
        <f t="array" ref="AT75">SUM(COUNTIF(N75:AS75, {"◎","〇","☆","共","特","浴"}))</f>
        <v>0</v>
      </c>
      <c r="AU75" s="652"/>
      <c r="AV75" s="650"/>
      <c r="AW75" s="650"/>
      <c r="AX75" s="650"/>
      <c r="AY75" s="650"/>
      <c r="AZ75" s="650"/>
      <c r="BA75" s="650"/>
      <c r="BB75" s="650"/>
      <c r="BC75" s="651"/>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7" t="str">
        <f t="shared" si="23"/>
        <v/>
      </c>
      <c r="C76" s="638" t="str">
        <f t="shared" si="24"/>
        <v/>
      </c>
      <c r="D76" s="200"/>
      <c r="E76" s="637" t="str">
        <f t="shared" si="25"/>
        <v/>
      </c>
      <c r="F76" s="638" t="str">
        <f t="shared" si="2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2"/>
      <c r="AT76" s="648">
        <f t="array" ref="AT76">SUM(COUNTIF(N76:AS76, {"◎","〇","☆","共","特","浴"}))</f>
        <v>0</v>
      </c>
      <c r="AU76" s="652"/>
      <c r="AV76" s="650"/>
      <c r="AW76" s="650"/>
      <c r="AX76" s="650"/>
      <c r="AY76" s="650"/>
      <c r="AZ76" s="650"/>
      <c r="BA76" s="650"/>
      <c r="BB76" s="650"/>
      <c r="BC76" s="651"/>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7" t="str">
        <f t="shared" si="23"/>
        <v/>
      </c>
      <c r="C77" s="638" t="str">
        <f t="shared" si="24"/>
        <v/>
      </c>
      <c r="D77" s="200"/>
      <c r="E77" s="637" t="str">
        <f t="shared" si="25"/>
        <v/>
      </c>
      <c r="F77" s="638" t="str">
        <f t="shared" si="2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8">
        <f t="array" ref="AT77">SUM(COUNTIF(N77:AS77, {"◎","〇","☆","共","特","浴"}))</f>
        <v>0</v>
      </c>
      <c r="AU77" s="652"/>
      <c r="AV77" s="650"/>
      <c r="AW77" s="650"/>
      <c r="AX77" s="650"/>
      <c r="AY77" s="650"/>
      <c r="AZ77" s="650"/>
      <c r="BA77" s="650"/>
      <c r="BB77" s="650"/>
      <c r="BC77" s="651"/>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7" t="str">
        <f t="shared" si="23"/>
        <v/>
      </c>
      <c r="C78" s="638" t="str">
        <f t="shared" si="24"/>
        <v/>
      </c>
      <c r="D78" s="200"/>
      <c r="E78" s="637" t="str">
        <f t="shared" si="25"/>
        <v/>
      </c>
      <c r="F78" s="638" t="str">
        <f t="shared" si="2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642"/>
      <c r="AR78" s="642"/>
      <c r="AS78" s="642"/>
      <c r="AT78" s="648">
        <f t="array" ref="AT78">SUM(COUNTIF(N78:AS78, {"◎","〇","☆","共","特","浴"}))</f>
        <v>0</v>
      </c>
      <c r="AU78" s="652"/>
      <c r="AV78" s="650"/>
      <c r="AW78" s="650"/>
      <c r="AX78" s="650"/>
      <c r="AY78" s="650"/>
      <c r="AZ78" s="650"/>
      <c r="BA78" s="650"/>
      <c r="BB78" s="650"/>
      <c r="BC78" s="651"/>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7" t="str">
        <f t="shared" si="23"/>
        <v/>
      </c>
      <c r="C79" s="638" t="str">
        <f t="shared" si="24"/>
        <v/>
      </c>
      <c r="D79" s="200"/>
      <c r="E79" s="637" t="str">
        <f t="shared" si="25"/>
        <v/>
      </c>
      <c r="F79" s="638" t="str">
        <f t="shared" si="2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642"/>
      <c r="AR79" s="642"/>
      <c r="AS79" s="642"/>
      <c r="AT79" s="648">
        <f t="array" ref="AT79">SUM(COUNTIF(N79:AS79, {"◎","〇","☆","共","特","浴"}))</f>
        <v>0</v>
      </c>
      <c r="AU79" s="652"/>
      <c r="AV79" s="650"/>
      <c r="AW79" s="650"/>
      <c r="AX79" s="650"/>
      <c r="AY79" s="650"/>
      <c r="AZ79" s="650"/>
      <c r="BA79" s="650"/>
      <c r="BB79" s="650"/>
      <c r="BC79" s="651"/>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7" t="str">
        <f t="shared" si="23"/>
        <v/>
      </c>
      <c r="C80" s="638" t="str">
        <f t="shared" si="24"/>
        <v/>
      </c>
      <c r="D80" s="200"/>
      <c r="E80" s="637" t="str">
        <f t="shared" si="25"/>
        <v/>
      </c>
      <c r="F80" s="638" t="str">
        <f t="shared" si="2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642"/>
      <c r="AR80" s="642"/>
      <c r="AS80" s="642"/>
      <c r="AT80" s="648">
        <f t="array" ref="AT80">SUM(COUNTIF(N80:AS80, {"◎","〇","☆","共","特","浴"}))</f>
        <v>0</v>
      </c>
      <c r="AU80" s="652"/>
      <c r="AV80" s="650"/>
      <c r="AW80" s="650"/>
      <c r="AX80" s="650"/>
      <c r="AY80" s="650"/>
      <c r="AZ80" s="650"/>
      <c r="BA80" s="650"/>
      <c r="BB80" s="650"/>
      <c r="BC80" s="651"/>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7" t="str">
        <f t="shared" si="23"/>
        <v/>
      </c>
      <c r="C81" s="638" t="str">
        <f t="shared" si="24"/>
        <v/>
      </c>
      <c r="D81" s="200"/>
      <c r="E81" s="637" t="str">
        <f t="shared" si="25"/>
        <v/>
      </c>
      <c r="F81" s="638" t="str">
        <f t="shared" si="2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7"/>
      <c r="AQ81" s="642"/>
      <c r="AR81" s="642"/>
      <c r="AS81" s="642"/>
      <c r="AT81" s="648">
        <f t="array" ref="AT81">SUM(COUNTIF(N81:AS81, {"◎","〇","☆","共","特","浴"}))</f>
        <v>0</v>
      </c>
      <c r="AU81" s="652"/>
      <c r="AV81" s="650"/>
      <c r="AW81" s="650"/>
      <c r="AX81" s="650"/>
      <c r="AY81" s="650"/>
      <c r="AZ81" s="650"/>
      <c r="BA81" s="650"/>
      <c r="BB81" s="650"/>
      <c r="BC81" s="651"/>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7" t="str">
        <f t="shared" si="23"/>
        <v/>
      </c>
      <c r="C82" s="638" t="str">
        <f t="shared" si="24"/>
        <v/>
      </c>
      <c r="D82" s="200"/>
      <c r="E82" s="637" t="str">
        <f t="shared" si="25"/>
        <v/>
      </c>
      <c r="F82" s="638" t="str">
        <f t="shared" si="2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7"/>
      <c r="AQ82" s="642"/>
      <c r="AR82" s="642"/>
      <c r="AS82" s="642"/>
      <c r="AT82" s="648">
        <f t="array" ref="AT82">SUM(COUNTIF(N82:AS82, {"◎","〇","☆","共","特","浴"}))</f>
        <v>0</v>
      </c>
      <c r="AU82" s="652"/>
      <c r="AV82" s="650"/>
      <c r="AW82" s="650"/>
      <c r="AX82" s="650"/>
      <c r="AY82" s="650"/>
      <c r="AZ82" s="650"/>
      <c r="BA82" s="650"/>
      <c r="BB82" s="650"/>
      <c r="BC82" s="651"/>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7" t="str">
        <f t="shared" si="23"/>
        <v/>
      </c>
      <c r="C83" s="638" t="str">
        <f t="shared" si="24"/>
        <v/>
      </c>
      <c r="D83" s="200"/>
      <c r="E83" s="637" t="str">
        <f t="shared" si="25"/>
        <v/>
      </c>
      <c r="F83" s="638" t="str">
        <f t="shared" si="2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7"/>
      <c r="AQ83" s="642"/>
      <c r="AR83" s="642"/>
      <c r="AS83" s="642"/>
      <c r="AT83" s="648">
        <f t="array" ref="AT83">SUM(COUNTIF(N83:AS83, {"◎","〇","☆","共","特","浴"}))</f>
        <v>0</v>
      </c>
      <c r="AU83" s="652"/>
      <c r="AV83" s="650"/>
      <c r="AW83" s="650"/>
      <c r="AX83" s="650"/>
      <c r="AY83" s="650"/>
      <c r="AZ83" s="650"/>
      <c r="BA83" s="650"/>
      <c r="BB83" s="650"/>
      <c r="BC83" s="651"/>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7" t="str">
        <f t="shared" si="23"/>
        <v/>
      </c>
      <c r="C84" s="638" t="str">
        <f t="shared" si="24"/>
        <v/>
      </c>
      <c r="D84" s="200"/>
      <c r="E84" s="637" t="str">
        <f t="shared" si="25"/>
        <v/>
      </c>
      <c r="F84" s="638" t="str">
        <f t="shared" si="2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7"/>
      <c r="AQ84" s="642"/>
      <c r="AR84" s="642"/>
      <c r="AS84" s="642"/>
      <c r="AT84" s="648">
        <f t="array" ref="AT84">SUM(COUNTIF(N84:AS84, {"◎","〇","☆","共","特","浴"}))</f>
        <v>0</v>
      </c>
      <c r="AU84" s="652"/>
      <c r="AV84" s="650"/>
      <c r="AW84" s="650"/>
      <c r="AX84" s="650"/>
      <c r="AY84" s="650"/>
      <c r="AZ84" s="650"/>
      <c r="BA84" s="650"/>
      <c r="BB84" s="650"/>
      <c r="BC84" s="651"/>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7" t="str">
        <f t="shared" si="23"/>
        <v/>
      </c>
      <c r="C85" s="638" t="str">
        <f t="shared" si="24"/>
        <v/>
      </c>
      <c r="D85" s="200"/>
      <c r="E85" s="637" t="str">
        <f t="shared" si="25"/>
        <v/>
      </c>
      <c r="F85" s="638" t="str">
        <f t="shared" si="2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2"/>
      <c r="AT85" s="648">
        <f t="array" ref="AT85">SUM(COUNTIF(N85:AS85, {"◎","〇","☆","共","特","浴"}))</f>
        <v>0</v>
      </c>
      <c r="AU85" s="652"/>
      <c r="AV85" s="650"/>
      <c r="AW85" s="650"/>
      <c r="AX85" s="650"/>
      <c r="AY85" s="650"/>
      <c r="AZ85" s="650"/>
      <c r="BA85" s="650"/>
      <c r="BB85" s="650"/>
      <c r="BC85" s="651"/>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7" t="str">
        <f t="shared" si="23"/>
        <v/>
      </c>
      <c r="C86" s="638" t="str">
        <f t="shared" si="24"/>
        <v/>
      </c>
      <c r="D86" s="200"/>
      <c r="E86" s="637" t="str">
        <f t="shared" si="25"/>
        <v/>
      </c>
      <c r="F86" s="638" t="str">
        <f t="shared" si="2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2"/>
      <c r="AT86" s="648">
        <f t="array" ref="AT86">SUM(COUNTIF(N86:AS86, {"◎","〇","☆","共","特","浴"}))</f>
        <v>0</v>
      </c>
      <c r="AU86" s="652"/>
      <c r="AV86" s="650"/>
      <c r="AW86" s="650"/>
      <c r="AX86" s="650"/>
      <c r="AY86" s="650"/>
      <c r="AZ86" s="650"/>
      <c r="BA86" s="650"/>
      <c r="BB86" s="650"/>
      <c r="BC86" s="651"/>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7" t="str">
        <f t="shared" si="23"/>
        <v/>
      </c>
      <c r="C87" s="638" t="str">
        <f t="shared" si="24"/>
        <v/>
      </c>
      <c r="D87" s="200"/>
      <c r="E87" s="637" t="str">
        <f t="shared" si="25"/>
        <v/>
      </c>
      <c r="F87" s="638" t="str">
        <f t="shared" si="2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8">
        <f t="array" ref="AT87">SUM(COUNTIF(N87:AS87, {"◎","〇","☆","共","特","浴"}))</f>
        <v>0</v>
      </c>
      <c r="AU87" s="652"/>
      <c r="AV87" s="650"/>
      <c r="AW87" s="650"/>
      <c r="AX87" s="650"/>
      <c r="AY87" s="650"/>
      <c r="AZ87" s="650"/>
      <c r="BA87" s="650"/>
      <c r="BB87" s="650"/>
      <c r="BC87" s="651"/>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7" t="str">
        <f t="shared" si="23"/>
        <v/>
      </c>
      <c r="C88" s="638" t="str">
        <f t="shared" si="24"/>
        <v/>
      </c>
      <c r="D88" s="200"/>
      <c r="E88" s="637" t="str">
        <f t="shared" si="25"/>
        <v/>
      </c>
      <c r="F88" s="638" t="str">
        <f t="shared" si="2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7"/>
      <c r="AQ88" s="642"/>
      <c r="AR88" s="642"/>
      <c r="AS88" s="642"/>
      <c r="AT88" s="648">
        <f t="array" ref="AT88">SUM(COUNTIF(N88:AS88, {"◎","〇","☆","共","特","浴"}))</f>
        <v>0</v>
      </c>
      <c r="AU88" s="652"/>
      <c r="AV88" s="650"/>
      <c r="AW88" s="650"/>
      <c r="AX88" s="650"/>
      <c r="AY88" s="650"/>
      <c r="AZ88" s="650"/>
      <c r="BA88" s="650"/>
      <c r="BB88" s="650"/>
      <c r="BC88" s="651"/>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7" t="str">
        <f t="shared" si="23"/>
        <v/>
      </c>
      <c r="C89" s="638" t="str">
        <f t="shared" si="24"/>
        <v/>
      </c>
      <c r="D89" s="200"/>
      <c r="E89" s="637" t="str">
        <f t="shared" si="25"/>
        <v/>
      </c>
      <c r="F89" s="638" t="str">
        <f t="shared" si="2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7"/>
      <c r="AQ89" s="642"/>
      <c r="AR89" s="642"/>
      <c r="AS89" s="642"/>
      <c r="AT89" s="648">
        <f t="array" ref="AT89">SUM(COUNTIF(N89:AS89, {"◎","〇","☆","共","特","浴"}))</f>
        <v>0</v>
      </c>
      <c r="AU89" s="652"/>
      <c r="AV89" s="650"/>
      <c r="AW89" s="650"/>
      <c r="AX89" s="650"/>
      <c r="AY89" s="650"/>
      <c r="AZ89" s="650"/>
      <c r="BA89" s="650"/>
      <c r="BB89" s="650"/>
      <c r="BC89" s="651"/>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7" t="str">
        <f t="shared" si="23"/>
        <v/>
      </c>
      <c r="C90" s="638" t="str">
        <f t="shared" si="24"/>
        <v/>
      </c>
      <c r="D90" s="200"/>
      <c r="E90" s="637" t="str">
        <f t="shared" si="25"/>
        <v/>
      </c>
      <c r="F90" s="638" t="str">
        <f t="shared" si="2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7"/>
      <c r="AQ90" s="642"/>
      <c r="AR90" s="642"/>
      <c r="AS90" s="642"/>
      <c r="AT90" s="648">
        <f t="array" ref="AT90">SUM(COUNTIF(N90:AS90, {"◎","〇","☆","共","特","浴"}))</f>
        <v>0</v>
      </c>
      <c r="AU90" s="652"/>
      <c r="AV90" s="650"/>
      <c r="AW90" s="650"/>
      <c r="AX90" s="650"/>
      <c r="AY90" s="650"/>
      <c r="AZ90" s="650"/>
      <c r="BA90" s="650"/>
      <c r="BB90" s="650"/>
      <c r="BC90" s="651"/>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7" t="str">
        <f t="shared" si="23"/>
        <v/>
      </c>
      <c r="C91" s="638" t="str">
        <f t="shared" si="24"/>
        <v/>
      </c>
      <c r="D91" s="200"/>
      <c r="E91" s="637" t="str">
        <f t="shared" si="25"/>
        <v/>
      </c>
      <c r="F91" s="638" t="str">
        <f t="shared" si="2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7"/>
      <c r="AQ91" s="642"/>
      <c r="AR91" s="642"/>
      <c r="AS91" s="642"/>
      <c r="AT91" s="648">
        <f t="array" ref="AT91">SUM(COUNTIF(N91:AS91, {"◎","〇","☆","共","特","浴"}))</f>
        <v>0</v>
      </c>
      <c r="AU91" s="652"/>
      <c r="AV91" s="650"/>
      <c r="AW91" s="650"/>
      <c r="AX91" s="650"/>
      <c r="AY91" s="650"/>
      <c r="AZ91" s="650"/>
      <c r="BA91" s="650"/>
      <c r="BB91" s="650"/>
      <c r="BC91" s="651"/>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7" t="str">
        <f t="shared" si="23"/>
        <v/>
      </c>
      <c r="C92" s="638" t="str">
        <f t="shared" si="24"/>
        <v/>
      </c>
      <c r="D92" s="200"/>
      <c r="E92" s="637" t="str">
        <f t="shared" si="25"/>
        <v/>
      </c>
      <c r="F92" s="638" t="str">
        <f t="shared" si="2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7"/>
      <c r="AQ92" s="642"/>
      <c r="AR92" s="642"/>
      <c r="AS92" s="642"/>
      <c r="AT92" s="648">
        <f t="array" ref="AT92">SUM(COUNTIF(N92:AS92, {"◎","〇","☆","共","特","浴"}))</f>
        <v>0</v>
      </c>
      <c r="AU92" s="652"/>
      <c r="AV92" s="650"/>
      <c r="AW92" s="650"/>
      <c r="AX92" s="650"/>
      <c r="AY92" s="650"/>
      <c r="AZ92" s="650"/>
      <c r="BA92" s="650"/>
      <c r="BB92" s="650"/>
      <c r="BC92" s="651"/>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7" t="str">
        <f t="shared" si="23"/>
        <v/>
      </c>
      <c r="C93" s="638" t="str">
        <f t="shared" si="24"/>
        <v/>
      </c>
      <c r="D93" s="200"/>
      <c r="E93" s="637" t="str">
        <f t="shared" si="25"/>
        <v/>
      </c>
      <c r="F93" s="638" t="str">
        <f t="shared" si="2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7"/>
      <c r="AQ93" s="642"/>
      <c r="AR93" s="642"/>
      <c r="AS93" s="642"/>
      <c r="AT93" s="648">
        <f t="array" ref="AT93">SUM(COUNTIF(N93:AS93, {"◎","〇","☆","共","特","浴"}))</f>
        <v>0</v>
      </c>
      <c r="AU93" s="652"/>
      <c r="AV93" s="650"/>
      <c r="AW93" s="650"/>
      <c r="AX93" s="650"/>
      <c r="AY93" s="650"/>
      <c r="AZ93" s="650"/>
      <c r="BA93" s="650"/>
      <c r="BB93" s="650"/>
      <c r="BC93" s="651"/>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7" t="str">
        <f t="shared" si="23"/>
        <v/>
      </c>
      <c r="C94" s="638" t="str">
        <f t="shared" si="24"/>
        <v/>
      </c>
      <c r="D94" s="200"/>
      <c r="E94" s="637" t="str">
        <f t="shared" si="25"/>
        <v/>
      </c>
      <c r="F94" s="638" t="str">
        <f t="shared" si="2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7"/>
      <c r="AQ94" s="642"/>
      <c r="AR94" s="642"/>
      <c r="AS94" s="642"/>
      <c r="AT94" s="648">
        <f t="array" ref="AT94">SUM(COUNTIF(N94:AS94, {"◎","〇","☆","共","特","浴"}))</f>
        <v>0</v>
      </c>
      <c r="AU94" s="652"/>
      <c r="AV94" s="650"/>
      <c r="AW94" s="650"/>
      <c r="AX94" s="650"/>
      <c r="AY94" s="650"/>
      <c r="AZ94" s="650"/>
      <c r="BA94" s="650"/>
      <c r="BB94" s="650"/>
      <c r="BC94" s="651"/>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7" t="str">
        <f t="shared" si="23"/>
        <v/>
      </c>
      <c r="C95" s="638" t="str">
        <f t="shared" si="24"/>
        <v/>
      </c>
      <c r="D95" s="200"/>
      <c r="E95" s="637" t="str">
        <f t="shared" si="25"/>
        <v/>
      </c>
      <c r="F95" s="638" t="str">
        <f t="shared" si="2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7"/>
      <c r="AQ95" s="642"/>
      <c r="AR95" s="642"/>
      <c r="AS95" s="642"/>
      <c r="AT95" s="648">
        <f t="array" ref="AT95">SUM(COUNTIF(N95:AS95, {"◎","〇","☆","共","特","浴"}))</f>
        <v>0</v>
      </c>
      <c r="AU95" s="652"/>
      <c r="AV95" s="650"/>
      <c r="AW95" s="650"/>
      <c r="AX95" s="650"/>
      <c r="AY95" s="650"/>
      <c r="AZ95" s="650"/>
      <c r="BA95" s="650"/>
      <c r="BB95" s="650"/>
      <c r="BC95" s="651"/>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7" t="str">
        <f t="shared" si="23"/>
        <v/>
      </c>
      <c r="C96" s="638" t="str">
        <f t="shared" si="24"/>
        <v/>
      </c>
      <c r="D96" s="200"/>
      <c r="E96" s="637" t="str">
        <f t="shared" si="25"/>
        <v/>
      </c>
      <c r="F96" s="638" t="str">
        <f t="shared" si="2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2"/>
      <c r="AR96" s="642"/>
      <c r="AS96" s="642"/>
      <c r="AT96" s="648">
        <f t="array" ref="AT96">SUM(COUNTIF(N96:AS96, {"◎","〇","☆","共","特","浴"}))</f>
        <v>0</v>
      </c>
      <c r="AU96" s="652"/>
      <c r="AV96" s="650"/>
      <c r="AW96" s="650"/>
      <c r="AX96" s="650"/>
      <c r="AY96" s="650"/>
      <c r="AZ96" s="650"/>
      <c r="BA96" s="650"/>
      <c r="BB96" s="650"/>
      <c r="BC96" s="651"/>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7" t="str">
        <f t="shared" si="23"/>
        <v/>
      </c>
      <c r="C97" s="638" t="str">
        <f t="shared" si="24"/>
        <v/>
      </c>
      <c r="D97" s="200"/>
      <c r="E97" s="637" t="str">
        <f t="shared" si="25"/>
        <v/>
      </c>
      <c r="F97" s="638" t="str">
        <f t="shared" si="2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2"/>
      <c r="AR97" s="642"/>
      <c r="AS97" s="642"/>
      <c r="AT97" s="648">
        <f t="array" ref="AT97">SUM(COUNTIF(N97:AS97, {"◎","〇","☆","共","特","浴"}))</f>
        <v>0</v>
      </c>
      <c r="AU97" s="652"/>
      <c r="AV97" s="650"/>
      <c r="AW97" s="650"/>
      <c r="AX97" s="650"/>
      <c r="AY97" s="650"/>
      <c r="AZ97" s="650"/>
      <c r="BA97" s="650"/>
      <c r="BB97" s="650"/>
      <c r="BC97" s="651"/>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7" t="str">
        <f t="shared" si="23"/>
        <v/>
      </c>
      <c r="C98" s="638" t="str">
        <f t="shared" si="24"/>
        <v/>
      </c>
      <c r="D98" s="200"/>
      <c r="E98" s="637" t="str">
        <f t="shared" si="25"/>
        <v/>
      </c>
      <c r="F98" s="638" t="str">
        <f t="shared" si="2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2"/>
      <c r="AR98" s="642"/>
      <c r="AS98" s="642"/>
      <c r="AT98" s="648">
        <f t="array" ref="AT98">SUM(COUNTIF(N98:AS98, {"◎","〇","☆","共","特","浴"}))</f>
        <v>0</v>
      </c>
      <c r="AU98" s="652"/>
      <c r="AV98" s="650"/>
      <c r="AW98" s="650"/>
      <c r="AX98" s="650"/>
      <c r="AY98" s="650"/>
      <c r="AZ98" s="650"/>
      <c r="BA98" s="650"/>
      <c r="BB98" s="650"/>
      <c r="BC98" s="651"/>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7" t="str">
        <f t="shared" si="23"/>
        <v/>
      </c>
      <c r="C99" s="638" t="str">
        <f t="shared" si="24"/>
        <v/>
      </c>
      <c r="D99" s="200"/>
      <c r="E99" s="637" t="str">
        <f t="shared" si="25"/>
        <v/>
      </c>
      <c r="F99" s="638" t="str">
        <f t="shared" si="2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2"/>
      <c r="AR99" s="642"/>
      <c r="AS99" s="642"/>
      <c r="AT99" s="648">
        <f t="array" ref="AT99">SUM(COUNTIF(N99:AS99, {"◎","〇","☆","共","特","浴"}))</f>
        <v>0</v>
      </c>
      <c r="AU99" s="652"/>
      <c r="AV99" s="650"/>
      <c r="AW99" s="650"/>
      <c r="AX99" s="650"/>
      <c r="AY99" s="650"/>
      <c r="AZ99" s="650"/>
      <c r="BA99" s="650"/>
      <c r="BB99" s="650"/>
      <c r="BC99" s="651"/>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7" t="str">
        <f t="shared" si="23"/>
        <v/>
      </c>
      <c r="C100" s="638" t="str">
        <f t="shared" si="24"/>
        <v/>
      </c>
      <c r="D100" s="200"/>
      <c r="E100" s="637" t="str">
        <f t="shared" si="25"/>
        <v/>
      </c>
      <c r="F100" s="638" t="str">
        <f t="shared" si="2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2"/>
      <c r="AR100" s="642"/>
      <c r="AS100" s="642"/>
      <c r="AT100" s="648">
        <f t="array" ref="AT100">SUM(COUNTIF(N100:AS100, {"◎","〇","☆","共","特","浴"}))</f>
        <v>0</v>
      </c>
      <c r="AU100" s="652"/>
      <c r="AV100" s="650"/>
      <c r="AW100" s="650"/>
      <c r="AX100" s="650"/>
      <c r="AY100" s="650"/>
      <c r="AZ100" s="650"/>
      <c r="BA100" s="650"/>
      <c r="BB100" s="650"/>
      <c r="BC100" s="651"/>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7" t="str">
        <f t="shared" si="23"/>
        <v/>
      </c>
      <c r="C101" s="638" t="str">
        <f t="shared" si="24"/>
        <v/>
      </c>
      <c r="D101" s="200"/>
      <c r="E101" s="637" t="str">
        <f t="shared" si="25"/>
        <v/>
      </c>
      <c r="F101" s="638" t="str">
        <f t="shared" si="2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2"/>
      <c r="AR101" s="642"/>
      <c r="AS101" s="642"/>
      <c r="AT101" s="648">
        <f t="array" ref="AT101">SUM(COUNTIF(N101:AS101, {"◎","〇","☆","共","特","浴"}))</f>
        <v>0</v>
      </c>
      <c r="AU101" s="652"/>
      <c r="AV101" s="650"/>
      <c r="AW101" s="650"/>
      <c r="AX101" s="650"/>
      <c r="AY101" s="650"/>
      <c r="AZ101" s="650"/>
      <c r="BA101" s="650"/>
      <c r="BB101" s="650"/>
      <c r="BC101" s="651"/>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7" t="str">
        <f t="shared" si="23"/>
        <v/>
      </c>
      <c r="C102" s="638" t="str">
        <f t="shared" si="24"/>
        <v/>
      </c>
      <c r="D102" s="200"/>
      <c r="E102" s="637" t="str">
        <f t="shared" si="25"/>
        <v/>
      </c>
      <c r="F102" s="638" t="str">
        <f t="shared" si="2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2"/>
      <c r="AR102" s="642"/>
      <c r="AS102" s="642"/>
      <c r="AT102" s="648">
        <f t="array" ref="AT102">SUM(COUNTIF(N102:AS102, {"◎","〇","☆","共","特","浴"}))</f>
        <v>0</v>
      </c>
      <c r="AU102" s="652"/>
      <c r="AV102" s="650"/>
      <c r="AW102" s="650"/>
      <c r="AX102" s="650"/>
      <c r="AY102" s="650"/>
      <c r="AZ102" s="650"/>
      <c r="BA102" s="650"/>
      <c r="BB102" s="650"/>
      <c r="BC102" s="651"/>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7" t="str">
        <f t="shared" si="23"/>
        <v/>
      </c>
      <c r="C103" s="638" t="str">
        <f t="shared" si="24"/>
        <v/>
      </c>
      <c r="D103" s="200"/>
      <c r="E103" s="637" t="str">
        <f t="shared" si="25"/>
        <v/>
      </c>
      <c r="F103" s="638" t="str">
        <f t="shared" si="2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2"/>
      <c r="AR103" s="642"/>
      <c r="AS103" s="642"/>
      <c r="AT103" s="648">
        <f t="array" ref="AT103">SUM(COUNTIF(N103:AS103, {"◎","〇","☆","共","特","浴"}))</f>
        <v>0</v>
      </c>
      <c r="AU103" s="652"/>
      <c r="AV103" s="650"/>
      <c r="AW103" s="650"/>
      <c r="AX103" s="650"/>
      <c r="AY103" s="650"/>
      <c r="AZ103" s="650"/>
      <c r="BA103" s="650"/>
      <c r="BB103" s="650"/>
      <c r="BC103" s="651"/>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7" t="str">
        <f t="shared" si="23"/>
        <v/>
      </c>
      <c r="C104" s="638" t="str">
        <f t="shared" si="24"/>
        <v/>
      </c>
      <c r="D104" s="200"/>
      <c r="E104" s="637" t="str">
        <f t="shared" si="25"/>
        <v/>
      </c>
      <c r="F104" s="638" t="str">
        <f t="array" ref="F104">if(B104="","", xlookup($E$7,$N$7:$AS$7,$N104:$AS104))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2"/>
      <c r="AR104" s="642"/>
      <c r="AS104" s="642"/>
      <c r="AT104" s="648">
        <f t="array" ref="AT104">SUM(COUNTIF(N104:AS104, {"◎","〇","☆","共","特","浴"}))</f>
        <v>0</v>
      </c>
      <c r="AU104" s="652"/>
      <c r="AV104" s="650"/>
      <c r="AW104" s="650"/>
      <c r="AX104" s="650"/>
      <c r="AY104" s="650"/>
      <c r="AZ104" s="650"/>
      <c r="BA104" s="650"/>
      <c r="BB104" s="650"/>
      <c r="BC104" s="651"/>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2"/>
      <c r="AR105" s="642"/>
      <c r="AS105" s="642"/>
      <c r="AT105" s="648">
        <f t="array" ref="AT105">SUM(COUNTIF(N105:AS105, {"◎","〇","☆","共","特","浴"}))</f>
        <v>0</v>
      </c>
      <c r="AU105" s="652"/>
      <c r="AV105" s="650"/>
      <c r="AW105" s="650"/>
      <c r="AX105" s="650"/>
      <c r="AY105" s="650"/>
      <c r="AZ105" s="650"/>
      <c r="BA105" s="650"/>
      <c r="BB105" s="650"/>
      <c r="BC105" s="651"/>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2"/>
      <c r="AR106" s="642"/>
      <c r="AS106" s="642"/>
      <c r="AT106" s="648">
        <f t="array" ref="AT106">SUM(COUNTIF(N106:AS106, {"◎","〇","☆","共","特","浴"}))</f>
        <v>0</v>
      </c>
      <c r="AU106" s="652"/>
      <c r="AV106" s="650"/>
      <c r="AW106" s="650"/>
      <c r="AX106" s="650"/>
      <c r="AY106" s="650"/>
      <c r="AZ106" s="650"/>
      <c r="BA106" s="650"/>
      <c r="BB106" s="650"/>
      <c r="BC106" s="651"/>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2"/>
      <c r="AR107" s="642"/>
      <c r="AS107" s="642"/>
      <c r="AT107" s="648">
        <f t="array" ref="AT107">SUM(COUNTIF(N107:AS107, {"◎","〇","☆","共","特","浴"}))</f>
        <v>0</v>
      </c>
      <c r="AU107" s="652"/>
      <c r="AV107" s="650"/>
      <c r="AW107" s="650"/>
      <c r="AX107" s="650"/>
      <c r="AY107" s="650"/>
      <c r="AZ107" s="650"/>
      <c r="BA107" s="650"/>
      <c r="BB107" s="650"/>
      <c r="BC107" s="651"/>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2"/>
      <c r="AR108" s="642"/>
      <c r="AS108" s="642"/>
      <c r="AT108" s="648">
        <f t="array" ref="AT108">SUM(COUNTIF(N108:AS108, {"◎","〇","☆","共","特","浴"}))</f>
        <v>0</v>
      </c>
      <c r="AU108" s="652"/>
      <c r="AV108" s="650"/>
      <c r="AW108" s="650"/>
      <c r="AX108" s="650"/>
      <c r="AY108" s="650"/>
      <c r="AZ108" s="650"/>
      <c r="BA108" s="650"/>
      <c r="BB108" s="650"/>
      <c r="BC108" s="651"/>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2"/>
      <c r="AR109" s="642"/>
      <c r="AS109" s="642"/>
      <c r="AT109" s="648">
        <f t="array" ref="AT109">SUM(COUNTIF(N109:AS109, {"◎","〇","☆","共","特","浴"}))</f>
        <v>0</v>
      </c>
      <c r="AU109" s="652"/>
      <c r="AV109" s="650"/>
      <c r="AW109" s="650"/>
      <c r="AX109" s="650"/>
      <c r="AY109" s="650"/>
      <c r="AZ109" s="650"/>
      <c r="BA109" s="650"/>
      <c r="BB109" s="650"/>
      <c r="BC109" s="651"/>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2"/>
      <c r="AR110" s="642"/>
      <c r="AS110" s="642"/>
      <c r="AT110" s="648">
        <f t="array" ref="AT110">SUM(COUNTIF(N110:AS110, {"◎","〇","☆","共","特","浴"}))</f>
        <v>0</v>
      </c>
      <c r="AU110" s="652"/>
      <c r="AV110" s="650"/>
      <c r="AW110" s="650"/>
      <c r="AX110" s="650"/>
      <c r="AY110" s="650"/>
      <c r="AZ110" s="650"/>
      <c r="BA110" s="650"/>
      <c r="BB110" s="650"/>
      <c r="BC110" s="651"/>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2"/>
      <c r="AR111" s="642"/>
      <c r="AS111" s="642"/>
      <c r="AT111" s="648">
        <f t="array" ref="AT111">SUM(COUNTIF(N111:AS111, {"◎","〇","☆","共","特","浴"}))</f>
        <v>0</v>
      </c>
      <c r="AU111" s="652"/>
      <c r="AV111" s="650"/>
      <c r="AW111" s="650"/>
      <c r="AX111" s="650"/>
      <c r="AY111" s="650"/>
      <c r="AZ111" s="650"/>
      <c r="BA111" s="650"/>
      <c r="BB111" s="650"/>
      <c r="BC111" s="651"/>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2"/>
      <c r="AR112" s="642"/>
      <c r="AS112" s="642"/>
      <c r="AT112" s="648">
        <f t="array" ref="AT112">SUM(COUNTIF(N112:AS112, {"◎","〇","☆","共","特","浴"}))</f>
        <v>0</v>
      </c>
      <c r="AU112" s="652"/>
      <c r="AV112" s="650"/>
      <c r="AW112" s="650"/>
      <c r="AX112" s="650"/>
      <c r="AY112" s="650"/>
      <c r="AZ112" s="650"/>
      <c r="BA112" s="650"/>
      <c r="BB112" s="650"/>
      <c r="BC112" s="651"/>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2"/>
      <c r="AR113" s="642"/>
      <c r="AS113" s="642"/>
      <c r="AT113" s="648">
        <f t="array" ref="AT113">SUM(COUNTIF(N113:AS113, {"◎","〇","☆","共","特","浴"}))</f>
        <v>0</v>
      </c>
      <c r="AU113" s="652"/>
      <c r="AV113" s="650"/>
      <c r="AW113" s="650"/>
      <c r="AX113" s="650"/>
      <c r="AY113" s="650"/>
      <c r="AZ113" s="650"/>
      <c r="BA113" s="650"/>
      <c r="BB113" s="650"/>
      <c r="BC113" s="651"/>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7"/>
      <c r="AQ114" s="642"/>
      <c r="AR114" s="642"/>
      <c r="AS114" s="642"/>
      <c r="AT114" s="648">
        <f t="array" ref="AT114">SUM(COUNTIF(N114:AS114, {"◎","〇","☆","共","特","浴"}))</f>
        <v>0</v>
      </c>
      <c r="AU114" s="652"/>
      <c r="AV114" s="650"/>
      <c r="AW114" s="650"/>
      <c r="AX114" s="650"/>
      <c r="AY114" s="650"/>
      <c r="AZ114" s="650"/>
      <c r="BA114" s="650"/>
      <c r="BB114" s="650"/>
      <c r="BC114" s="651"/>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7"/>
      <c r="AQ115" s="642"/>
      <c r="AR115" s="642"/>
      <c r="AS115" s="642"/>
      <c r="AT115" s="648">
        <f t="array" ref="AT115">SUM(COUNTIF(N115:AS115, {"◎","〇","☆","共","特","浴"}))</f>
        <v>0</v>
      </c>
      <c r="AU115" s="652"/>
      <c r="AV115" s="650"/>
      <c r="AW115" s="650"/>
      <c r="AX115" s="650"/>
      <c r="AY115" s="650"/>
      <c r="AZ115" s="650"/>
      <c r="BA115" s="650"/>
      <c r="BB115" s="650"/>
      <c r="BC115" s="651"/>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7"/>
      <c r="AQ116" s="642"/>
      <c r="AR116" s="642"/>
      <c r="AS116" s="642"/>
      <c r="AT116" s="648">
        <f t="array" ref="AT116">SUM(COUNTIF(N116:AS116, {"◎","〇","☆","共","特","浴"}))</f>
        <v>0</v>
      </c>
      <c r="AU116" s="652"/>
      <c r="AV116" s="650"/>
      <c r="AW116" s="650"/>
      <c r="AX116" s="650"/>
      <c r="AY116" s="650"/>
      <c r="AZ116" s="650"/>
      <c r="BA116" s="650"/>
      <c r="BB116" s="650"/>
      <c r="BC116" s="651"/>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7"/>
      <c r="AQ117" s="642"/>
      <c r="AR117" s="642"/>
      <c r="AS117" s="642"/>
      <c r="AT117" s="648">
        <f t="array" ref="AT117">SUM(COUNTIF(N117:AS117, {"◎","〇","☆","共","特","浴"}))</f>
        <v>0</v>
      </c>
      <c r="AU117" s="652"/>
      <c r="AV117" s="650"/>
      <c r="AW117" s="650"/>
      <c r="AX117" s="650"/>
      <c r="AY117" s="650"/>
      <c r="AZ117" s="650"/>
      <c r="BA117" s="650"/>
      <c r="BB117" s="650"/>
      <c r="BC117" s="651"/>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7"/>
      <c r="AQ118" s="642"/>
      <c r="AR118" s="642"/>
      <c r="AS118" s="642"/>
      <c r="AT118" s="648">
        <f t="array" ref="AT118">SUM(COUNTIF(N118:AS118, {"◎","〇","☆","共","特","浴"}))</f>
        <v>0</v>
      </c>
      <c r="AU118" s="652"/>
      <c r="AV118" s="650"/>
      <c r="AW118" s="650"/>
      <c r="AX118" s="650"/>
      <c r="AY118" s="650"/>
      <c r="AZ118" s="650"/>
      <c r="BA118" s="650"/>
      <c r="BB118" s="650"/>
      <c r="BC118" s="651"/>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7"/>
      <c r="AQ119" s="642"/>
      <c r="AR119" s="642"/>
      <c r="AS119" s="642"/>
      <c r="AT119" s="648">
        <f t="array" ref="AT119">SUM(COUNTIF(N119:AS119, {"◎","〇","☆","共","特","浴"}))</f>
        <v>0</v>
      </c>
      <c r="AU119" s="652"/>
      <c r="AV119" s="650"/>
      <c r="AW119" s="650"/>
      <c r="AX119" s="650"/>
      <c r="AY119" s="650"/>
      <c r="AZ119" s="650"/>
      <c r="BA119" s="650"/>
      <c r="BB119" s="650"/>
      <c r="BC119" s="651"/>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7"/>
      <c r="AQ120" s="642"/>
      <c r="AR120" s="642"/>
      <c r="AS120" s="642"/>
      <c r="AT120" s="648">
        <f t="array" ref="AT120">SUM(COUNTIF(N120:AS120, {"◎","〇","☆","共","特","浴"}))</f>
        <v>0</v>
      </c>
      <c r="AU120" s="652"/>
      <c r="AV120" s="650"/>
      <c r="AW120" s="650"/>
      <c r="AX120" s="650"/>
      <c r="AY120" s="650"/>
      <c r="AZ120" s="650"/>
      <c r="BA120" s="650"/>
      <c r="BB120" s="650"/>
      <c r="BC120" s="651"/>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7"/>
      <c r="AQ121" s="642"/>
      <c r="AR121" s="642"/>
      <c r="AS121" s="642"/>
      <c r="AT121" s="648">
        <f t="array" ref="AT121">SUM(COUNTIF(N121:AS121, {"◎","〇","☆","共","特","浴"}))</f>
        <v>0</v>
      </c>
      <c r="AU121" s="652"/>
      <c r="AV121" s="650"/>
      <c r="AW121" s="650"/>
      <c r="AX121" s="650"/>
      <c r="AY121" s="650"/>
      <c r="AZ121" s="650"/>
      <c r="BA121" s="650"/>
      <c r="BB121" s="650"/>
      <c r="BC121" s="651"/>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7"/>
      <c r="AQ122" s="642"/>
      <c r="AR122" s="642"/>
      <c r="AS122" s="642"/>
      <c r="AT122" s="648">
        <f t="array" ref="AT122">SUM(COUNTIF(N122:AS122, {"◎","〇","☆","共","特","浴"}))</f>
        <v>0</v>
      </c>
      <c r="AU122" s="652"/>
      <c r="AV122" s="650"/>
      <c r="AW122" s="650"/>
      <c r="AX122" s="650"/>
      <c r="AY122" s="650"/>
      <c r="AZ122" s="650"/>
      <c r="BA122" s="650"/>
      <c r="BB122" s="650"/>
      <c r="BC122" s="651"/>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7"/>
      <c r="AQ123" s="642"/>
      <c r="AR123" s="642"/>
      <c r="AS123" s="642"/>
      <c r="AT123" s="648">
        <f t="array" ref="AT123">SUM(COUNTIF(N123:AS123, {"◎","〇","☆","共","特","浴"}))</f>
        <v>0</v>
      </c>
      <c r="AU123" s="652"/>
      <c r="AV123" s="650"/>
      <c r="AW123" s="650"/>
      <c r="AX123" s="650"/>
      <c r="AY123" s="650"/>
      <c r="AZ123" s="650"/>
      <c r="BA123" s="650"/>
      <c r="BB123" s="650"/>
      <c r="BC123" s="651"/>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7"/>
      <c r="AQ124" s="642"/>
      <c r="AR124" s="642"/>
      <c r="AS124" s="642"/>
      <c r="AT124" s="648">
        <f t="array" ref="AT124">SUM(COUNTIF(N124:AS124, {"◎","〇","☆","共","特","浴"}))</f>
        <v>0</v>
      </c>
      <c r="AU124" s="652"/>
      <c r="AV124" s="650"/>
      <c r="AW124" s="650"/>
      <c r="AX124" s="650"/>
      <c r="AY124" s="650"/>
      <c r="AZ124" s="650"/>
      <c r="BA124" s="650"/>
      <c r="BB124" s="650"/>
      <c r="BC124" s="651"/>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7"/>
      <c r="AQ125" s="642"/>
      <c r="AR125" s="642"/>
      <c r="AS125" s="642"/>
      <c r="AT125" s="648">
        <f t="array" ref="AT125">SUM(COUNTIF(N125:AS125, {"◎","〇","☆","共","特","浴"}))</f>
        <v>0</v>
      </c>
      <c r="AU125" s="652"/>
      <c r="AV125" s="650"/>
      <c r="AW125" s="650"/>
      <c r="AX125" s="650"/>
      <c r="AY125" s="650"/>
      <c r="AZ125" s="650"/>
      <c r="BA125" s="650"/>
      <c r="BB125" s="650"/>
      <c r="BC125" s="651"/>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7"/>
      <c r="AQ126" s="642"/>
      <c r="AR126" s="642"/>
      <c r="AS126" s="642"/>
      <c r="AT126" s="648">
        <f t="array" ref="AT126">SUM(COUNTIF(N126:AS126, {"◎","〇","☆","共","特","浴"}))</f>
        <v>0</v>
      </c>
      <c r="AU126" s="652"/>
      <c r="AV126" s="650"/>
      <c r="AW126" s="650"/>
      <c r="AX126" s="650"/>
      <c r="AY126" s="650"/>
      <c r="AZ126" s="650"/>
      <c r="BA126" s="650"/>
      <c r="BB126" s="650"/>
      <c r="BC126" s="651"/>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7"/>
      <c r="AQ127" s="642"/>
      <c r="AR127" s="642"/>
      <c r="AS127" s="642"/>
      <c r="AT127" s="648">
        <f t="array" ref="AT127">SUM(COUNTIF(N127:AS127, {"◎","〇","☆","共","特","浴"}))</f>
        <v>0</v>
      </c>
      <c r="AU127" s="652"/>
      <c r="AV127" s="650"/>
      <c r="AW127" s="650"/>
      <c r="AX127" s="650"/>
      <c r="AY127" s="650"/>
      <c r="AZ127" s="650"/>
      <c r="BA127" s="650"/>
      <c r="BB127" s="650"/>
      <c r="BC127" s="651"/>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7"/>
      <c r="AQ128" s="642"/>
      <c r="AR128" s="642"/>
      <c r="AS128" s="642"/>
      <c r="AT128" s="648">
        <f t="array" ref="AT128">SUM(COUNTIF(N128:AS128, {"◎","〇","☆","共","特","浴"}))</f>
        <v>0</v>
      </c>
      <c r="AU128" s="652"/>
      <c r="AV128" s="650"/>
      <c r="AW128" s="650"/>
      <c r="AX128" s="650"/>
      <c r="AY128" s="650"/>
      <c r="AZ128" s="650"/>
      <c r="BA128" s="650"/>
      <c r="BB128" s="650"/>
      <c r="BC128" s="651"/>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7"/>
      <c r="AQ129" s="642"/>
      <c r="AR129" s="642"/>
      <c r="AS129" s="642"/>
      <c r="AT129" s="648">
        <f t="array" ref="AT129">SUM(COUNTIF(N129:AS129, {"◎","〇","☆","共","特","浴"}))</f>
        <v>0</v>
      </c>
      <c r="AU129" s="652"/>
      <c r="AV129" s="650"/>
      <c r="AW129" s="650"/>
      <c r="AX129" s="650"/>
      <c r="AY129" s="650"/>
      <c r="AZ129" s="650"/>
      <c r="BA129" s="650"/>
      <c r="BB129" s="650"/>
      <c r="BC129" s="651"/>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7"/>
      <c r="AQ130" s="642"/>
      <c r="AR130" s="642"/>
      <c r="AS130" s="642"/>
      <c r="AT130" s="648">
        <f t="array" ref="AT130">SUM(COUNTIF(N130:AS130, {"◎","〇","☆","共","特","浴"}))</f>
        <v>0</v>
      </c>
      <c r="AU130" s="652"/>
      <c r="AV130" s="650"/>
      <c r="AW130" s="650"/>
      <c r="AX130" s="650"/>
      <c r="AY130" s="650"/>
      <c r="AZ130" s="650"/>
      <c r="BA130" s="650"/>
      <c r="BB130" s="650"/>
      <c r="BC130" s="651"/>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7"/>
      <c r="AQ131" s="642"/>
      <c r="AR131" s="642"/>
      <c r="AS131" s="642"/>
      <c r="AT131" s="648">
        <f t="array" ref="AT131">SUM(COUNTIF(N131:AS131, {"◎","〇","☆","共","特","浴"}))</f>
        <v>0</v>
      </c>
      <c r="AU131" s="652"/>
      <c r="AV131" s="650"/>
      <c r="AW131" s="650"/>
      <c r="AX131" s="650"/>
      <c r="AY131" s="650"/>
      <c r="AZ131" s="650"/>
      <c r="BA131" s="650"/>
      <c r="BB131" s="650"/>
      <c r="BC131" s="651"/>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7"/>
      <c r="AQ132" s="642"/>
      <c r="AR132" s="642"/>
      <c r="AS132" s="642"/>
      <c r="AT132" s="648">
        <f t="array" ref="AT132">SUM(COUNTIF(N132:AS132, {"◎","〇","☆","共","特","浴"}))</f>
        <v>0</v>
      </c>
      <c r="AU132" s="652"/>
      <c r="AV132" s="650"/>
      <c r="AW132" s="650"/>
      <c r="AX132" s="650"/>
      <c r="AY132" s="650"/>
      <c r="AZ132" s="650"/>
      <c r="BA132" s="650"/>
      <c r="BB132" s="650"/>
      <c r="BC132" s="651"/>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7"/>
      <c r="AQ133" s="642"/>
      <c r="AR133" s="642"/>
      <c r="AS133" s="642"/>
      <c r="AT133" s="648">
        <f t="array" ref="AT133">SUM(COUNTIF(N133:AS133, {"◎","〇","☆","共","特","浴"}))</f>
        <v>0</v>
      </c>
      <c r="AU133" s="652"/>
      <c r="AV133" s="650"/>
      <c r="AW133" s="650"/>
      <c r="AX133" s="650"/>
      <c r="AY133" s="650"/>
      <c r="AZ133" s="650"/>
      <c r="BA133" s="650"/>
      <c r="BB133" s="650"/>
      <c r="BC133" s="651"/>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7"/>
      <c r="AQ134" s="642"/>
      <c r="AR134" s="642"/>
      <c r="AS134" s="642"/>
      <c r="AT134" s="648">
        <f t="array" ref="AT134">SUM(COUNTIF(N134:AS134, {"◎","〇","☆","共","特","浴"}))</f>
        <v>0</v>
      </c>
      <c r="AU134" s="652"/>
      <c r="AV134" s="650"/>
      <c r="AW134" s="650"/>
      <c r="AX134" s="650"/>
      <c r="AY134" s="650"/>
      <c r="AZ134" s="650"/>
      <c r="BA134" s="650"/>
      <c r="BB134" s="650"/>
      <c r="BC134" s="651"/>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7"/>
      <c r="AQ135" s="642"/>
      <c r="AR135" s="642"/>
      <c r="AS135" s="642"/>
      <c r="AT135" s="648">
        <f t="array" ref="AT135">SUM(COUNTIF(N135:AS135, {"◎","〇","☆","共","特","浴"}))</f>
        <v>0</v>
      </c>
      <c r="AU135" s="652"/>
      <c r="AV135" s="650"/>
      <c r="AW135" s="650"/>
      <c r="AX135" s="650"/>
      <c r="AY135" s="650"/>
      <c r="AZ135" s="650"/>
      <c r="BA135" s="650"/>
      <c r="BB135" s="650"/>
      <c r="BC135" s="651"/>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7"/>
      <c r="AQ136" s="642"/>
      <c r="AR136" s="642"/>
      <c r="AS136" s="642"/>
      <c r="AT136" s="648">
        <f t="array" ref="AT136">SUM(COUNTIF(N136:AS136, {"◎","〇","☆","共","特","浴"}))</f>
        <v>0</v>
      </c>
      <c r="AU136" s="652"/>
      <c r="AV136" s="650"/>
      <c r="AW136" s="650"/>
      <c r="AX136" s="650"/>
      <c r="AY136" s="650"/>
      <c r="AZ136" s="650"/>
      <c r="BA136" s="650"/>
      <c r="BB136" s="650"/>
      <c r="BC136" s="651"/>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7"/>
      <c r="AQ137" s="642"/>
      <c r="AR137" s="642"/>
      <c r="AS137" s="642"/>
      <c r="AT137" s="648">
        <f t="array" ref="AT137">SUM(COUNTIF(N137:AS137, {"◎","〇","☆","共","特","浴"}))</f>
        <v>0</v>
      </c>
      <c r="AU137" s="652"/>
      <c r="AV137" s="650"/>
      <c r="AW137" s="650"/>
      <c r="AX137" s="650"/>
      <c r="AY137" s="650"/>
      <c r="AZ137" s="650"/>
      <c r="BA137" s="650"/>
      <c r="BB137" s="650"/>
      <c r="BC137" s="651"/>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7"/>
      <c r="AQ138" s="642"/>
      <c r="AR138" s="642"/>
      <c r="AS138" s="642"/>
      <c r="AT138" s="648">
        <f t="array" ref="AT138">SUM(COUNTIF(N138:AS138, {"◎","〇","☆","共","特","浴"}))</f>
        <v>0</v>
      </c>
      <c r="AU138" s="652"/>
      <c r="AV138" s="650"/>
      <c r="AW138" s="650"/>
      <c r="AX138" s="650"/>
      <c r="AY138" s="650"/>
      <c r="AZ138" s="650"/>
      <c r="BA138" s="650"/>
      <c r="BB138" s="650"/>
      <c r="BC138" s="651"/>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7"/>
      <c r="AQ139" s="642"/>
      <c r="AR139" s="642"/>
      <c r="AS139" s="642"/>
      <c r="AT139" s="648">
        <f t="array" ref="AT139">SUM(COUNTIF(N139:AS139, {"◎","〇","☆","共","特","浴"}))</f>
        <v>0</v>
      </c>
      <c r="AU139" s="652"/>
      <c r="AV139" s="650"/>
      <c r="AW139" s="650"/>
      <c r="AX139" s="650"/>
      <c r="AY139" s="650"/>
      <c r="AZ139" s="650"/>
      <c r="BA139" s="650"/>
      <c r="BB139" s="650"/>
      <c r="BC139" s="651"/>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7"/>
      <c r="AQ140" s="642"/>
      <c r="AR140" s="642"/>
      <c r="AS140" s="642"/>
      <c r="AT140" s="648">
        <f t="array" ref="AT140">SUM(COUNTIF(N140:AS140, {"◎","〇","☆","共","特","浴"}))</f>
        <v>0</v>
      </c>
      <c r="AU140" s="652"/>
      <c r="AV140" s="650"/>
      <c r="AW140" s="650"/>
      <c r="AX140" s="650"/>
      <c r="AY140" s="650"/>
      <c r="AZ140" s="650"/>
      <c r="BA140" s="650"/>
      <c r="BB140" s="650"/>
      <c r="BC140" s="651"/>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7"/>
      <c r="AQ141" s="642"/>
      <c r="AR141" s="642"/>
      <c r="AS141" s="642"/>
      <c r="AT141" s="648">
        <f t="array" ref="AT141">SUM(COUNTIF(N141:AS141, {"◎","〇","☆","共","特","浴"}))</f>
        <v>0</v>
      </c>
      <c r="AU141" s="652"/>
      <c r="AV141" s="650"/>
      <c r="AW141" s="650"/>
      <c r="AX141" s="650"/>
      <c r="AY141" s="650"/>
      <c r="AZ141" s="650"/>
      <c r="BA141" s="650"/>
      <c r="BB141" s="650"/>
      <c r="BC141" s="651"/>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7"/>
      <c r="AQ142" s="642"/>
      <c r="AR142" s="642"/>
      <c r="AS142" s="642"/>
      <c r="AT142" s="648">
        <f t="array" ref="AT142">SUM(COUNTIF(N142:AS142, {"◎","〇","☆","共","特","浴"}))</f>
        <v>0</v>
      </c>
      <c r="AU142" s="652"/>
      <c r="AV142" s="650"/>
      <c r="AW142" s="650"/>
      <c r="AX142" s="650"/>
      <c r="AY142" s="650"/>
      <c r="AZ142" s="650"/>
      <c r="BA142" s="650"/>
      <c r="BB142" s="650"/>
      <c r="BC142" s="651"/>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7"/>
      <c r="AQ143" s="642"/>
      <c r="AR143" s="642"/>
      <c r="AS143" s="642"/>
      <c r="AT143" s="648">
        <f t="array" ref="AT143">SUM(COUNTIF(N143:AS143, {"◎","〇","☆","共","特","浴"}))</f>
        <v>0</v>
      </c>
      <c r="AU143" s="652"/>
      <c r="AV143" s="650"/>
      <c r="AW143" s="650"/>
      <c r="AX143" s="650"/>
      <c r="AY143" s="650"/>
      <c r="AZ143" s="650"/>
      <c r="BA143" s="650"/>
      <c r="BB143" s="650"/>
      <c r="BC143" s="651"/>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7"/>
      <c r="AQ144" s="642"/>
      <c r="AR144" s="642"/>
      <c r="AS144" s="642"/>
      <c r="AT144" s="648">
        <f t="array" ref="AT144">SUM(COUNTIF(N144:AS144, {"◎","〇","☆","共","特","浴"}))</f>
        <v>0</v>
      </c>
      <c r="AU144" s="652"/>
      <c r="AV144" s="650"/>
      <c r="AW144" s="650"/>
      <c r="AX144" s="650"/>
      <c r="AY144" s="650"/>
      <c r="AZ144" s="650"/>
      <c r="BA144" s="650"/>
      <c r="BB144" s="650"/>
      <c r="BC144" s="651"/>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7"/>
      <c r="AQ145" s="642"/>
      <c r="AR145" s="642"/>
      <c r="AS145" s="642"/>
      <c r="AT145" s="648">
        <f t="array" ref="AT145">SUM(COUNTIF(N145:AS145, {"◎","〇","☆","共","特","浴"}))</f>
        <v>0</v>
      </c>
      <c r="AU145" s="652"/>
      <c r="AV145" s="650"/>
      <c r="AW145" s="650"/>
      <c r="AX145" s="650"/>
      <c r="AY145" s="650"/>
      <c r="AZ145" s="650"/>
      <c r="BA145" s="650"/>
      <c r="BB145" s="650"/>
      <c r="BC145" s="651"/>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7"/>
      <c r="AQ146" s="642"/>
      <c r="AR146" s="642"/>
      <c r="AS146" s="642"/>
      <c r="AT146" s="648">
        <f t="array" ref="AT146">SUM(COUNTIF(N146:AS146, {"◎","〇","☆","共","特","浴"}))</f>
        <v>0</v>
      </c>
      <c r="AU146" s="652"/>
      <c r="AV146" s="650"/>
      <c r="AW146" s="650"/>
      <c r="AX146" s="650"/>
      <c r="AY146" s="650"/>
      <c r="AZ146" s="650"/>
      <c r="BA146" s="650"/>
      <c r="BB146" s="650"/>
      <c r="BC146" s="651"/>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7"/>
      <c r="AQ147" s="642"/>
      <c r="AR147" s="642"/>
      <c r="AS147" s="642"/>
      <c r="AT147" s="648">
        <f t="array" ref="AT147">SUM(COUNTIF(N147:AS147, {"◎","〇","☆","共","特","浴"}))</f>
        <v>0</v>
      </c>
      <c r="AU147" s="652"/>
      <c r="AV147" s="650"/>
      <c r="AW147" s="650"/>
      <c r="AX147" s="650"/>
      <c r="AY147" s="650"/>
      <c r="AZ147" s="650"/>
      <c r="BA147" s="650"/>
      <c r="BB147" s="650"/>
      <c r="BC147" s="651"/>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7"/>
      <c r="AQ148" s="642"/>
      <c r="AR148" s="642"/>
      <c r="AS148" s="642"/>
      <c r="AT148" s="648">
        <f t="array" ref="AT148">SUM(COUNTIF(N148:AS148, {"◎","〇","☆","共","特","浴"}))</f>
        <v>0</v>
      </c>
      <c r="AU148" s="652"/>
      <c r="AV148" s="650"/>
      <c r="AW148" s="650"/>
      <c r="AX148" s="650"/>
      <c r="AY148" s="650"/>
      <c r="AZ148" s="650"/>
      <c r="BA148" s="650"/>
      <c r="BB148" s="650"/>
      <c r="BC148" s="651"/>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7"/>
      <c r="AQ149" s="642"/>
      <c r="AR149" s="642"/>
      <c r="AS149" s="642"/>
      <c r="AT149" s="648">
        <f t="array" ref="AT149">SUM(COUNTIF(N149:AS149, {"◎","〇","☆","共","特","浴"}))</f>
        <v>0</v>
      </c>
      <c r="AU149" s="652"/>
      <c r="AV149" s="650"/>
      <c r="AW149" s="650"/>
      <c r="AX149" s="650"/>
      <c r="AY149" s="650"/>
      <c r="AZ149" s="650"/>
      <c r="BA149" s="650"/>
      <c r="BB149" s="650"/>
      <c r="BC149" s="651"/>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7"/>
      <c r="AQ150" s="642"/>
      <c r="AR150" s="642"/>
      <c r="AS150" s="642"/>
      <c r="AT150" s="648">
        <f t="array" ref="AT150">SUM(COUNTIF(N150:AS150, {"◎","〇","☆","共","特","浴"}))</f>
        <v>0</v>
      </c>
      <c r="AU150" s="652"/>
      <c r="AV150" s="650"/>
      <c r="AW150" s="650"/>
      <c r="AX150" s="650"/>
      <c r="AY150" s="650"/>
      <c r="AZ150" s="650"/>
      <c r="BA150" s="650"/>
      <c r="BB150" s="650"/>
      <c r="BC150" s="651"/>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7"/>
      <c r="AQ151" s="642"/>
      <c r="AR151" s="642"/>
      <c r="AS151" s="642"/>
      <c r="AT151" s="648">
        <f t="array" ref="AT151">SUM(COUNTIF(N151:AS151, {"◎","〇","☆","共","特","浴"}))</f>
        <v>0</v>
      </c>
      <c r="AU151" s="652"/>
      <c r="AV151" s="650"/>
      <c r="AW151" s="650"/>
      <c r="AX151" s="650"/>
      <c r="AY151" s="650"/>
      <c r="AZ151" s="650"/>
      <c r="BA151" s="650"/>
      <c r="BB151" s="650"/>
      <c r="BC151" s="651"/>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7"/>
      <c r="AQ152" s="642"/>
      <c r="AR152" s="642"/>
      <c r="AS152" s="642"/>
      <c r="AT152" s="648">
        <f t="array" ref="AT152">SUM(COUNTIF(N152:AS152, {"◎","〇","☆","共","特","浴"}))</f>
        <v>0</v>
      </c>
      <c r="AU152" s="652"/>
      <c r="AV152" s="650"/>
      <c r="AW152" s="650"/>
      <c r="AX152" s="650"/>
      <c r="AY152" s="650"/>
      <c r="AZ152" s="650"/>
      <c r="BA152" s="650"/>
      <c r="BB152" s="650"/>
      <c r="BC152" s="651"/>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7"/>
      <c r="AQ153" s="642"/>
      <c r="AR153" s="642"/>
      <c r="AS153" s="642"/>
      <c r="AT153" s="648">
        <f t="array" ref="AT153">SUM(COUNTIF(N153:AS153, {"◎","〇","☆","共","特","浴"}))</f>
        <v>0</v>
      </c>
      <c r="AU153" s="652"/>
      <c r="AV153" s="650"/>
      <c r="AW153" s="650"/>
      <c r="AX153" s="650"/>
      <c r="AY153" s="650"/>
      <c r="AZ153" s="650"/>
      <c r="BA153" s="650"/>
      <c r="BB153" s="650"/>
      <c r="BC153" s="651"/>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7"/>
      <c r="AQ154" s="642"/>
      <c r="AR154" s="642"/>
      <c r="AS154" s="642"/>
      <c r="AT154" s="648">
        <f t="array" ref="AT154">SUM(COUNTIF(N154:AS154, {"◎","〇","☆","共","特","浴"}))</f>
        <v>0</v>
      </c>
      <c r="AU154" s="652"/>
      <c r="AV154" s="650"/>
      <c r="AW154" s="650"/>
      <c r="AX154" s="650"/>
      <c r="AY154" s="650"/>
      <c r="AZ154" s="650"/>
      <c r="BA154" s="650"/>
      <c r="BB154" s="650"/>
      <c r="BC154" s="651"/>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7"/>
      <c r="AQ155" s="642"/>
      <c r="AR155" s="642"/>
      <c r="AS155" s="642"/>
      <c r="AT155" s="648">
        <f t="array" ref="AT155">SUM(COUNTIF(N155:AS155, {"◎","〇","☆","共","特","浴"}))</f>
        <v>0</v>
      </c>
      <c r="AU155" s="652"/>
      <c r="AV155" s="650"/>
      <c r="AW155" s="650"/>
      <c r="AX155" s="650"/>
      <c r="AY155" s="650"/>
      <c r="AZ155" s="650"/>
      <c r="BA155" s="650"/>
      <c r="BB155" s="650"/>
      <c r="BC155" s="651"/>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7"/>
      <c r="AQ156" s="642"/>
      <c r="AR156" s="642"/>
      <c r="AS156" s="642"/>
      <c r="AT156" s="648">
        <f t="array" ref="AT156">SUM(COUNTIF(N156:AS156, {"◎","〇","☆","共","特","浴"}))</f>
        <v>0</v>
      </c>
      <c r="AU156" s="652"/>
      <c r="AV156" s="650"/>
      <c r="AW156" s="650"/>
      <c r="AX156" s="650"/>
      <c r="AY156" s="650"/>
      <c r="AZ156" s="650"/>
      <c r="BA156" s="650"/>
      <c r="BB156" s="650"/>
      <c r="BC156" s="651"/>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7"/>
      <c r="AQ157" s="642"/>
      <c r="AR157" s="642"/>
      <c r="AS157" s="642"/>
      <c r="AT157" s="648">
        <f t="array" ref="AT157">SUM(COUNTIF(N157:AS157, {"◎","〇","☆","共","特","浴"}))</f>
        <v>0</v>
      </c>
      <c r="AU157" s="652"/>
      <c r="AV157" s="650"/>
      <c r="AW157" s="650"/>
      <c r="AX157" s="650"/>
      <c r="AY157" s="650"/>
      <c r="AZ157" s="650"/>
      <c r="BA157" s="650"/>
      <c r="BB157" s="650"/>
      <c r="BC157" s="651"/>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7"/>
      <c r="AQ158" s="642"/>
      <c r="AR158" s="642"/>
      <c r="AS158" s="642"/>
      <c r="AT158" s="648">
        <f t="array" ref="AT158">SUM(COUNTIF(N158:AS158, {"◎","〇","☆","共","特","浴"}))</f>
        <v>0</v>
      </c>
      <c r="AU158" s="652"/>
      <c r="AV158" s="650"/>
      <c r="AW158" s="650"/>
      <c r="AX158" s="650"/>
      <c r="AY158" s="650"/>
      <c r="AZ158" s="650"/>
      <c r="BA158" s="650"/>
      <c r="BB158" s="650"/>
      <c r="BC158" s="651"/>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7"/>
      <c r="AQ159" s="642"/>
      <c r="AR159" s="642"/>
      <c r="AS159" s="642"/>
      <c r="AT159" s="648">
        <f t="array" ref="AT159">SUM(COUNTIF(N159:AS159, {"◎","〇","☆","共","特","浴"}))</f>
        <v>0</v>
      </c>
      <c r="AU159" s="652"/>
      <c r="AV159" s="650"/>
      <c r="AW159" s="650"/>
      <c r="AX159" s="650"/>
      <c r="AY159" s="650"/>
      <c r="AZ159" s="650"/>
      <c r="BA159" s="650"/>
      <c r="BB159" s="650"/>
      <c r="BC159" s="651"/>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7"/>
      <c r="AQ160" s="642"/>
      <c r="AR160" s="642"/>
      <c r="AS160" s="642"/>
      <c r="AT160" s="648">
        <f t="array" ref="AT160">SUM(COUNTIF(N160:AS160, {"◎","〇","☆","共","特","浴"}))</f>
        <v>0</v>
      </c>
      <c r="AU160" s="652"/>
      <c r="AV160" s="650"/>
      <c r="AW160" s="650"/>
      <c r="AX160" s="650"/>
      <c r="AY160" s="650"/>
      <c r="AZ160" s="650"/>
      <c r="BA160" s="650"/>
      <c r="BB160" s="650"/>
      <c r="BC160" s="651"/>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7"/>
      <c r="AQ161" s="642"/>
      <c r="AR161" s="642"/>
      <c r="AS161" s="642"/>
      <c r="AT161" s="648">
        <f t="array" ref="AT161">SUM(COUNTIF(N161:AS161, {"◎","〇","☆","共","特","浴"}))</f>
        <v>0</v>
      </c>
      <c r="AU161" s="652"/>
      <c r="AV161" s="650"/>
      <c r="AW161" s="650"/>
      <c r="AX161" s="650"/>
      <c r="AY161" s="650"/>
      <c r="AZ161" s="650"/>
      <c r="BA161" s="650"/>
      <c r="BB161" s="650"/>
      <c r="BC161" s="651"/>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7"/>
      <c r="AQ162" s="642"/>
      <c r="AR162" s="642"/>
      <c r="AS162" s="642"/>
      <c r="AT162" s="648">
        <f t="array" ref="AT162">SUM(COUNTIF(N162:AS162, {"◎","〇","☆","共","特","浴"}))</f>
        <v>0</v>
      </c>
      <c r="AU162" s="652"/>
      <c r="AV162" s="650"/>
      <c r="AW162" s="650"/>
      <c r="AX162" s="650"/>
      <c r="AY162" s="650"/>
      <c r="AZ162" s="650"/>
      <c r="BA162" s="650"/>
      <c r="BB162" s="650"/>
      <c r="BC162" s="651"/>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7"/>
      <c r="AQ163" s="642"/>
      <c r="AR163" s="642"/>
      <c r="AS163" s="642"/>
      <c r="AT163" s="648">
        <f t="array" ref="AT163">SUM(COUNTIF(N163:AS163, {"◎","〇","☆","共","特","浴"}))</f>
        <v>0</v>
      </c>
      <c r="AU163" s="652"/>
      <c r="AV163" s="650"/>
      <c r="AW163" s="650"/>
      <c r="AX163" s="650"/>
      <c r="AY163" s="650"/>
      <c r="AZ163" s="650"/>
      <c r="BA163" s="650"/>
      <c r="BB163" s="650"/>
      <c r="BC163" s="651"/>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7"/>
      <c r="AQ164" s="642"/>
      <c r="AR164" s="642"/>
      <c r="AS164" s="642"/>
      <c r="AT164" s="648">
        <f t="array" ref="AT164">SUM(COUNTIF(N164:AS164, {"◎","〇","☆","共","特","浴"}))</f>
        <v>0</v>
      </c>
      <c r="AU164" s="652"/>
      <c r="AV164" s="650"/>
      <c r="AW164" s="650"/>
      <c r="AX164" s="650"/>
      <c r="AY164" s="650"/>
      <c r="AZ164" s="650"/>
      <c r="BA164" s="650"/>
      <c r="BB164" s="650"/>
      <c r="BC164" s="651"/>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7"/>
      <c r="AQ165" s="642"/>
      <c r="AR165" s="642"/>
      <c r="AS165" s="642"/>
      <c r="AT165" s="648">
        <f t="array" ref="AT165">SUM(COUNTIF(N165:AS165, {"◎","〇","☆","共","特","浴"}))</f>
        <v>0</v>
      </c>
      <c r="AU165" s="652"/>
      <c r="AV165" s="650"/>
      <c r="AW165" s="650"/>
      <c r="AX165" s="650"/>
      <c r="AY165" s="650"/>
      <c r="AZ165" s="650"/>
      <c r="BA165" s="650"/>
      <c r="BB165" s="650"/>
      <c r="BC165" s="651"/>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7"/>
      <c r="AQ166" s="642"/>
      <c r="AR166" s="642"/>
      <c r="AS166" s="642"/>
      <c r="AT166" s="648">
        <f t="array" ref="AT166">SUM(COUNTIF(N166:AS166, {"◎","〇","☆","共","特","浴"}))</f>
        <v>0</v>
      </c>
      <c r="AU166" s="652"/>
      <c r="AV166" s="650"/>
      <c r="AW166" s="650"/>
      <c r="AX166" s="650"/>
      <c r="AY166" s="650"/>
      <c r="AZ166" s="650"/>
      <c r="BA166" s="650"/>
      <c r="BB166" s="650"/>
      <c r="BC166" s="651"/>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7"/>
      <c r="AQ167" s="642"/>
      <c r="AR167" s="642"/>
      <c r="AS167" s="642"/>
      <c r="AT167" s="648">
        <f t="array" ref="AT167">SUM(COUNTIF(N167:AS167, {"◎","〇","☆","共","特","浴"}))</f>
        <v>0</v>
      </c>
      <c r="AU167" s="652"/>
      <c r="AV167" s="650"/>
      <c r="AW167" s="650"/>
      <c r="AX167" s="650"/>
      <c r="AY167" s="650"/>
      <c r="AZ167" s="650"/>
      <c r="BA167" s="650"/>
      <c r="BB167" s="650"/>
      <c r="BC167" s="651"/>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7"/>
      <c r="AQ168" s="642"/>
      <c r="AR168" s="642"/>
      <c r="AS168" s="642"/>
      <c r="AT168" s="648">
        <f t="array" ref="AT168">SUM(COUNTIF(N168:AS168, {"◎","〇","☆","共","特","浴"}))</f>
        <v>0</v>
      </c>
      <c r="AU168" s="652"/>
      <c r="AV168" s="650"/>
      <c r="AW168" s="650"/>
      <c r="AX168" s="650"/>
      <c r="AY168" s="650"/>
      <c r="AZ168" s="650"/>
      <c r="BA168" s="650"/>
      <c r="BB168" s="650"/>
      <c r="BC168" s="651"/>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7"/>
      <c r="AQ169" s="642"/>
      <c r="AR169" s="642"/>
      <c r="AS169" s="642"/>
      <c r="AT169" s="648">
        <f t="array" ref="AT169">SUM(COUNTIF(N169:AS169, {"◎","〇","☆","共","特","浴"}))</f>
        <v>0</v>
      </c>
      <c r="AU169" s="652"/>
      <c r="AV169" s="650"/>
      <c r="AW169" s="650"/>
      <c r="AX169" s="650"/>
      <c r="AY169" s="650"/>
      <c r="AZ169" s="650"/>
      <c r="BA169" s="650"/>
      <c r="BB169" s="650"/>
      <c r="BC169" s="651"/>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7"/>
      <c r="AQ170" s="642"/>
      <c r="AR170" s="642"/>
      <c r="AS170" s="642"/>
      <c r="AT170" s="648">
        <f t="array" ref="AT170">SUM(COUNTIF(N170:AS170, {"◎","〇","☆","共","特","浴"}))</f>
        <v>0</v>
      </c>
      <c r="AU170" s="652"/>
      <c r="AV170" s="650"/>
      <c r="AW170" s="650"/>
      <c r="AX170" s="650"/>
      <c r="AY170" s="650"/>
      <c r="AZ170" s="650"/>
      <c r="BA170" s="650"/>
      <c r="BB170" s="650"/>
      <c r="BC170" s="651"/>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7"/>
      <c r="AQ171" s="642"/>
      <c r="AR171" s="642"/>
      <c r="AS171" s="642"/>
      <c r="AT171" s="648">
        <f t="array" ref="AT171">SUM(COUNTIF(N171:AS171, {"◎","〇","☆","共","特","浴"}))</f>
        <v>0</v>
      </c>
      <c r="AU171" s="652"/>
      <c r="AV171" s="650"/>
      <c r="AW171" s="650"/>
      <c r="AX171" s="650"/>
      <c r="AY171" s="650"/>
      <c r="AZ171" s="650"/>
      <c r="BA171" s="650"/>
      <c r="BB171" s="650"/>
      <c r="BC171" s="651"/>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753</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537</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t="19.5" hidden="1" customHeight="1" outlineLevel="1">
      <c r="A20" s="662"/>
      <c r="B20" s="744"/>
      <c r="C20" s="745">
        <f>IF(C9="","",IF(DAY(C9+1)=1,"",C9+1))</f>
        <v>46055</v>
      </c>
      <c r="D20" s="746" t="str">
        <f>TEXT(C20,"ddd")</f>
        <v>月</v>
      </c>
      <c r="E20" s="747"/>
      <c r="F20" s="748" t="s">
        <v>142</v>
      </c>
      <c r="G20" s="749" t="s">
        <v>754</v>
      </c>
      <c r="H20" s="750"/>
      <c r="I20" s="750" t="s">
        <v>755</v>
      </c>
      <c r="J20" s="750" t="s">
        <v>756</v>
      </c>
      <c r="K20" s="750" t="s">
        <v>536</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757</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t="18.0" hidden="1" customHeight="1" outlineLevel="1">
      <c r="A30" s="662"/>
      <c r="B30" s="739"/>
      <c r="C30" s="698"/>
      <c r="D30" s="698"/>
      <c r="E30" s="698"/>
      <c r="F30" s="758" t="s">
        <v>518</v>
      </c>
      <c r="G30" s="759" t="s">
        <v>758</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142</v>
      </c>
      <c r="G31" s="766" t="s">
        <v>759</v>
      </c>
      <c r="H31" s="767"/>
      <c r="I31" s="767" t="s">
        <v>755</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760</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761</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762</v>
      </c>
      <c r="W40" s="662"/>
      <c r="X40" s="757"/>
      <c r="Y40" s="662"/>
      <c r="Z40" s="662"/>
    </row>
    <row r="41" ht="18.0" hidden="1" customHeight="1" outlineLevel="1">
      <c r="A41" s="662"/>
      <c r="B41" s="739"/>
      <c r="C41" s="698"/>
      <c r="D41" s="698"/>
      <c r="E41" s="698"/>
      <c r="F41" s="740" t="s">
        <v>518</v>
      </c>
      <c r="G41" s="741" t="s">
        <v>763</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764</v>
      </c>
      <c r="W41" s="662"/>
      <c r="X41" s="757"/>
      <c r="Y41" s="662"/>
      <c r="Z41" s="662"/>
    </row>
    <row r="42" hidden="1" outlineLevel="1">
      <c r="A42" s="662"/>
      <c r="B42" s="744"/>
      <c r="C42" s="745">
        <f>IF(C31="","",IF(DAY(C31+1)=1,"",C31+1))</f>
        <v>46057</v>
      </c>
      <c r="D42" s="746" t="str">
        <f>TEXT(C42,"ddd")</f>
        <v>水</v>
      </c>
      <c r="E42" s="747"/>
      <c r="F42" s="775" t="s">
        <v>142</v>
      </c>
      <c r="G42" s="776" t="s">
        <v>765</v>
      </c>
      <c r="H42" s="777"/>
      <c r="I42" s="777" t="s">
        <v>755</v>
      </c>
      <c r="J42" s="777" t="s">
        <v>535</v>
      </c>
      <c r="K42" s="777" t="s">
        <v>536</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624</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766</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767</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768</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769</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3"/>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3" t="s">
        <v>770</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3"/>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3" t="s">
        <v>771</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3"/>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3" t="s">
        <v>772</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3"/>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3" t="s">
        <v>773</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4" t="s">
        <v>774</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775</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533</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776</v>
      </c>
      <c r="H65" s="777"/>
      <c r="I65" s="777" t="s">
        <v>682</v>
      </c>
      <c r="J65" s="777">
        <v>8.0</v>
      </c>
      <c r="K65" s="777" t="s">
        <v>619</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518</v>
      </c>
      <c r="G75" s="759" t="s">
        <v>777</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778</v>
      </c>
      <c r="H76" s="767">
        <v>1.0</v>
      </c>
      <c r="I76" s="767" t="s">
        <v>779</v>
      </c>
      <c r="J76" s="767">
        <v>8.0</v>
      </c>
      <c r="K76" s="767">
        <v>2.0</v>
      </c>
      <c r="L76" s="769" t="s">
        <v>159</v>
      </c>
      <c r="M76" s="769" t="s">
        <v>780</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750</v>
      </c>
      <c r="M77" s="769" t="s">
        <v>781</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518</v>
      </c>
      <c r="G86" s="741" t="s">
        <v>782</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783</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518</v>
      </c>
      <c r="G97" s="759" t="s">
        <v>784</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785</v>
      </c>
      <c r="H98" s="767">
        <v>2.0</v>
      </c>
      <c r="I98" s="767" t="s">
        <v>755</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518</v>
      </c>
      <c r="G108" s="741" t="s">
        <v>786</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787</v>
      </c>
      <c r="H109" s="777"/>
      <c r="I109" s="778">
        <v>0.7083333333333334</v>
      </c>
      <c r="J109" s="777">
        <v>9.0</v>
      </c>
      <c r="K109" s="777">
        <v>3.0</v>
      </c>
      <c r="L109" s="755" t="s">
        <v>159</v>
      </c>
      <c r="M109" s="755" t="s">
        <v>788</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518</v>
      </c>
      <c r="G119" s="759" t="s">
        <v>789</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539</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790</v>
      </c>
      <c r="H121" s="767"/>
      <c r="I121" s="768">
        <v>0.625</v>
      </c>
      <c r="J121" s="767" t="s">
        <v>535</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518</v>
      </c>
      <c r="G131" s="741" t="s">
        <v>791</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792</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518</v>
      </c>
      <c r="G142" s="759" t="s">
        <v>793</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794</v>
      </c>
      <c r="H143" s="767"/>
      <c r="I143" s="767" t="s">
        <v>795</v>
      </c>
      <c r="J143" s="767" t="s">
        <v>535</v>
      </c>
      <c r="K143" s="767" t="s">
        <v>619</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518</v>
      </c>
      <c r="G153" s="741" t="s">
        <v>796</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797</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518</v>
      </c>
      <c r="G164" s="759" t="s">
        <v>798</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799</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518</v>
      </c>
      <c r="G175" s="741" t="s">
        <v>800</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540</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801</v>
      </c>
      <c r="H177" s="777"/>
      <c r="I177" s="777" t="s">
        <v>682</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802</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803</v>
      </c>
      <c r="H188" s="767"/>
      <c r="I188" s="768">
        <v>0.6666666666666666</v>
      </c>
      <c r="J188" s="767">
        <v>8.0</v>
      </c>
      <c r="K188" s="767">
        <v>2.0</v>
      </c>
      <c r="L188" s="769" t="s">
        <v>469</v>
      </c>
      <c r="M188" s="769" t="s">
        <v>529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804</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5" t="s">
        <v>805</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806</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807</v>
      </c>
      <c r="H210" s="767"/>
      <c r="I210" s="768">
        <v>0.6666666666666666</v>
      </c>
      <c r="J210" s="767">
        <v>9.0</v>
      </c>
      <c r="K210" s="767">
        <v>4.0</v>
      </c>
      <c r="L210" s="769" t="s">
        <v>477</v>
      </c>
      <c r="M210" s="769" t="s">
        <v>808</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809</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6" t="s">
        <v>810</v>
      </c>
      <c r="F221" s="775" t="s">
        <v>132</v>
      </c>
      <c r="G221" s="776" t="s">
        <v>811</v>
      </c>
      <c r="H221" s="777">
        <v>1.0</v>
      </c>
      <c r="I221" s="778">
        <v>0.6979166666666666</v>
      </c>
      <c r="J221" s="777">
        <v>8.0</v>
      </c>
      <c r="K221" s="777">
        <v>1.0</v>
      </c>
      <c r="L221" s="755"/>
      <c r="M221" s="755"/>
      <c r="N221" s="775" t="s">
        <v>812</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813</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541</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814</v>
      </c>
      <c r="H233" s="767"/>
      <c r="I233" s="768">
        <v>0.6666666666666666</v>
      </c>
      <c r="J233" s="767">
        <v>11.0</v>
      </c>
      <c r="K233" s="767">
        <v>1.0</v>
      </c>
      <c r="L233" s="769"/>
      <c r="M233" s="769"/>
      <c r="N233" s="775" t="s">
        <v>815</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518</v>
      </c>
      <c r="G243" s="741" t="s">
        <v>816</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817</v>
      </c>
      <c r="H244" s="777"/>
      <c r="I244" s="778">
        <v>0.6666666666666666</v>
      </c>
      <c r="J244" s="777">
        <v>10.0</v>
      </c>
      <c r="K244" s="777">
        <v>1.0</v>
      </c>
      <c r="L244" s="755"/>
      <c r="M244" s="755"/>
      <c r="N244" s="775" t="s">
        <v>818</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518</v>
      </c>
      <c r="G254" s="759" t="s">
        <v>819</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537</v>
      </c>
      <c r="G255" s="766" t="s">
        <v>820</v>
      </c>
      <c r="H255" s="767"/>
      <c r="I255" s="767" t="s">
        <v>682</v>
      </c>
      <c r="J255" s="767" t="s">
        <v>535</v>
      </c>
      <c r="K255" s="767" t="s">
        <v>536</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518</v>
      </c>
      <c r="G265" s="741" t="s">
        <v>821</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822</v>
      </c>
      <c r="H266" s="777"/>
      <c r="I266" s="778">
        <v>0.6666666666666666</v>
      </c>
      <c r="J266" s="777">
        <v>9.0</v>
      </c>
      <c r="K266" s="777">
        <v>3.0</v>
      </c>
      <c r="L266" s="755"/>
      <c r="M266" s="755"/>
      <c r="N266" s="775" t="s">
        <v>823</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518</v>
      </c>
      <c r="G276" s="759" t="s">
        <v>824</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825</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518</v>
      </c>
      <c r="G287" s="741" t="s">
        <v>826</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542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827</v>
      </c>
      <c r="H289" s="777"/>
      <c r="I289" s="947">
        <v>0.6666666666666666</v>
      </c>
      <c r="J289" s="777">
        <v>11.0</v>
      </c>
      <c r="K289" s="777">
        <v>4.0</v>
      </c>
      <c r="L289" s="755"/>
      <c r="M289" s="755"/>
      <c r="N289" s="775" t="s">
        <v>828</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829</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830</v>
      </c>
      <c r="H300" s="767"/>
      <c r="I300" s="768">
        <v>0.6666666666666666</v>
      </c>
      <c r="J300" s="767">
        <v>8.0</v>
      </c>
      <c r="K300" s="767">
        <v>1.0</v>
      </c>
      <c r="L300" s="769" t="s">
        <v>526</v>
      </c>
      <c r="M300" s="769" t="s">
        <v>831</v>
      </c>
      <c r="N300" s="765" t="s">
        <v>832</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833</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834</v>
      </c>
      <c r="F311" s="775" t="s">
        <v>132</v>
      </c>
      <c r="G311" s="776" t="s">
        <v>835</v>
      </c>
      <c r="H311" s="777"/>
      <c r="I311" s="778">
        <v>0.6875</v>
      </c>
      <c r="J311" s="777">
        <v>9.0</v>
      </c>
      <c r="K311" s="777">
        <v>3.0</v>
      </c>
      <c r="L311" s="755" t="s">
        <v>526</v>
      </c>
      <c r="M311" s="755" t="s">
        <v>836</v>
      </c>
      <c r="N311" s="775" t="s">
        <v>837</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838</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537</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537</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537</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544</v>
      </c>
      <c r="C4" s="806"/>
      <c r="D4" s="807" t="s">
        <v>545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546</v>
      </c>
      <c r="G5" s="812" t="s">
        <v>188</v>
      </c>
      <c r="H5" s="813" t="b">
        <v>1</v>
      </c>
      <c r="J5" s="814"/>
      <c r="K5" s="798"/>
      <c r="L5" s="815" t="s">
        <v>547</v>
      </c>
      <c r="T5" s="814"/>
      <c r="U5" s="816" t="s">
        <v>548</v>
      </c>
      <c r="AC5" s="799"/>
      <c r="AD5" s="817" t="s">
        <v>96</v>
      </c>
      <c r="AE5" s="817" t="s">
        <v>549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550</v>
      </c>
      <c r="M7" s="236"/>
      <c r="N7" s="236"/>
      <c r="O7" s="236"/>
      <c r="P7" s="236"/>
      <c r="Q7" s="236"/>
      <c r="R7" s="236"/>
      <c r="S7" s="113"/>
      <c r="T7" s="821" t="s">
        <v>551</v>
      </c>
      <c r="U7" s="822" t="s">
        <v>552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553</v>
      </c>
      <c r="C8" s="824"/>
      <c r="D8" s="825" t="s">
        <v>51</v>
      </c>
      <c r="E8" s="826" t="str">
        <f>IFERROR(__xludf.DUMMYFUNCTION("IFERROR(INDEX(FILTER($AE$6:$AE$200, $AD$6:$AD$200=$B$5, REGEXMATCH($AE$6:$AE$200, ""集計"")), 1), """")
"),"①R8_2集計")</f>
        <v>①R8_2集計</v>
      </c>
      <c r="F8" s="527"/>
      <c r="G8" s="223"/>
      <c r="H8" s="223"/>
      <c r="I8" s="200"/>
      <c r="J8" s="814"/>
      <c r="K8" s="798"/>
      <c r="L8" s="827" t="s">
        <v>839</v>
      </c>
      <c r="M8" s="247"/>
      <c r="N8" s="247"/>
      <c r="O8" s="247"/>
      <c r="P8" s="247"/>
      <c r="Q8" s="247"/>
      <c r="R8" s="247"/>
      <c r="S8" s="250"/>
      <c r="U8" s="827" t="s">
        <v>840</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554</v>
      </c>
      <c r="C13" s="844"/>
      <c r="D13" s="845" t="s">
        <v>51</v>
      </c>
      <c r="E13" s="846" t="s">
        <v>555</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556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557</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558</v>
      </c>
      <c r="C20" s="830" t="s">
        <v>559</v>
      </c>
      <c r="D20" s="830" t="s">
        <v>89</v>
      </c>
      <c r="E20" s="830" t="s">
        <v>90</v>
      </c>
      <c r="F20" s="830" t="s">
        <v>560</v>
      </c>
      <c r="G20" s="830" t="s">
        <v>135</v>
      </c>
      <c r="H20" s="830" t="s">
        <v>135</v>
      </c>
      <c r="I20" s="830" t="s">
        <v>561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562</v>
      </c>
      <c r="M21" s="232"/>
      <c r="N21" s="232"/>
      <c r="O21" s="232"/>
      <c r="P21" s="232"/>
      <c r="Q21" s="232"/>
      <c r="R21" s="232"/>
      <c r="S21" s="3"/>
      <c r="T21" s="821" t="s">
        <v>551</v>
      </c>
      <c r="U21" s="822" t="s">
        <v>563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841</v>
      </c>
      <c r="M22" s="247"/>
      <c r="N22" s="247"/>
      <c r="O22" s="247"/>
      <c r="P22" s="247"/>
      <c r="Q22" s="247"/>
      <c r="R22" s="247"/>
      <c r="S22" s="250"/>
      <c r="U22" s="827" t="s">
        <v>842</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565</v>
      </c>
      <c r="C25" s="870" t="s">
        <v>566</v>
      </c>
      <c r="D25" s="3"/>
      <c r="E25" s="870" t="s">
        <v>567</v>
      </c>
      <c r="F25" s="232"/>
      <c r="G25" s="232"/>
      <c r="H25" s="870" t="s">
        <v>568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843</v>
      </c>
      <c r="C26" s="872" t="s">
        <v>90</v>
      </c>
      <c r="D26" s="3"/>
      <c r="E26" s="872" t="s">
        <v>844</v>
      </c>
      <c r="F26" s="232"/>
      <c r="G26" s="232"/>
      <c r="H26" s="873" t="s">
        <v>845</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706</v>
      </c>
      <c r="C27" s="872" t="s">
        <v>89</v>
      </c>
      <c r="D27" s="3"/>
      <c r="E27" s="872" t="s">
        <v>707</v>
      </c>
      <c r="F27" s="232"/>
      <c r="G27" s="232"/>
      <c r="H27" s="873" t="s">
        <v>846</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569</v>
      </c>
      <c r="M35" s="232"/>
      <c r="N35" s="232"/>
      <c r="O35" s="232"/>
      <c r="P35" s="232"/>
      <c r="Q35" s="232"/>
      <c r="R35" s="232"/>
      <c r="S35" s="3"/>
      <c r="T35" s="821" t="s">
        <v>551</v>
      </c>
      <c r="U35" s="822" t="s">
        <v>569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847</v>
      </c>
      <c r="M36" s="247"/>
      <c r="N36" s="247"/>
      <c r="O36" s="247"/>
      <c r="P36" s="247"/>
      <c r="Q36" s="247"/>
      <c r="R36" s="247"/>
      <c r="S36" s="250"/>
      <c r="U36" s="827" t="s">
        <v>848</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570</v>
      </c>
      <c r="C37" s="877"/>
      <c r="D37" s="878">
        <f>counta(C39:D48)</f>
        <v>0</v>
      </c>
      <c r="E37" s="879" t="s">
        <v>571</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567</v>
      </c>
      <c r="F38" s="883"/>
      <c r="G38" s="882" t="s">
        <v>572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573</v>
      </c>
      <c r="M49" s="232"/>
      <c r="N49" s="232"/>
      <c r="O49" s="232"/>
      <c r="P49" s="232"/>
      <c r="Q49" s="232"/>
      <c r="R49" s="232"/>
      <c r="S49" s="3"/>
      <c r="T49" s="821" t="s">
        <v>551</v>
      </c>
      <c r="U49" s="822" t="s">
        <v>574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575</v>
      </c>
      <c r="C50" s="896"/>
      <c r="D50" s="897">
        <f>COUNTA(C52:D62)</f>
        <v>2</v>
      </c>
      <c r="E50" s="860"/>
      <c r="F50" s="860"/>
      <c r="G50" s="860"/>
      <c r="H50" s="860"/>
      <c r="I50" s="799"/>
      <c r="J50" s="799"/>
      <c r="K50" s="798"/>
      <c r="L50" s="827" t="s">
        <v>849</v>
      </c>
      <c r="M50" s="247"/>
      <c r="N50" s="247"/>
      <c r="O50" s="247"/>
      <c r="P50" s="247"/>
      <c r="Q50" s="247"/>
      <c r="R50" s="247"/>
      <c r="S50" s="250"/>
      <c r="U50" s="827" t="s">
        <v>850</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576</v>
      </c>
      <c r="C51" s="882" t="s">
        <v>434</v>
      </c>
      <c r="D51" s="883"/>
      <c r="E51" s="881" t="s">
        <v>577</v>
      </c>
      <c r="F51" s="881" t="s">
        <v>578</v>
      </c>
      <c r="G51" s="881" t="s">
        <v>579</v>
      </c>
      <c r="H51" s="882" t="s">
        <v>580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526</v>
      </c>
      <c r="D52" s="883"/>
      <c r="E52" s="948">
        <v>46057.0</v>
      </c>
      <c r="F52" s="900" t="s">
        <v>851</v>
      </c>
      <c r="G52" s="900" t="s">
        <v>728</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852</v>
      </c>
      <c r="D53" s="883"/>
      <c r="E53" s="948">
        <v>46065.0</v>
      </c>
      <c r="F53" s="900" t="s">
        <v>853</v>
      </c>
      <c r="G53" s="900" t="s">
        <v>728</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581</v>
      </c>
      <c r="M63" s="232"/>
      <c r="N63" s="232"/>
      <c r="O63" s="232"/>
      <c r="P63" s="232"/>
      <c r="Q63" s="232"/>
      <c r="R63" s="232"/>
      <c r="S63" s="3"/>
      <c r="T63" s="821" t="s">
        <v>551</v>
      </c>
      <c r="U63" s="822" t="s">
        <v>582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583</v>
      </c>
      <c r="C64" s="903"/>
      <c r="D64" s="897">
        <f>COUNTA(C66:D76)</f>
        <v>1</v>
      </c>
      <c r="E64" s="860"/>
      <c r="F64" s="860"/>
      <c r="G64" s="860"/>
      <c r="H64" s="860"/>
      <c r="I64" s="860"/>
      <c r="J64" s="799"/>
      <c r="K64" s="798"/>
      <c r="L64" s="827" t="s">
        <v>854</v>
      </c>
      <c r="M64" s="247"/>
      <c r="N64" s="247"/>
      <c r="O64" s="247"/>
      <c r="P64" s="247"/>
      <c r="Q64" s="247"/>
      <c r="R64" s="247"/>
      <c r="S64" s="250"/>
      <c r="U64" s="827" t="s">
        <v>855</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576</v>
      </c>
      <c r="C65" s="882" t="s">
        <v>434</v>
      </c>
      <c r="D65" s="883"/>
      <c r="E65" s="881" t="s">
        <v>584</v>
      </c>
      <c r="F65" s="882" t="s">
        <v>585</v>
      </c>
      <c r="G65" s="883"/>
      <c r="H65" s="882" t="s">
        <v>580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856</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586</v>
      </c>
      <c r="M77" s="232"/>
      <c r="N77" s="232"/>
      <c r="O77" s="232"/>
      <c r="P77" s="232"/>
      <c r="Q77" s="232"/>
      <c r="R77" s="232"/>
      <c r="S77" s="3"/>
      <c r="T77" s="814"/>
      <c r="U77" s="906" t="s">
        <v>587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857</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49" t="s">
        <v>858</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859</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860</v>
      </c>
      <c r="K4" s="200"/>
      <c r="L4" s="200"/>
      <c r="M4" s="200"/>
      <c r="N4" s="200"/>
      <c r="O4" s="200"/>
      <c r="P4" s="200"/>
      <c r="Q4" s="200"/>
      <c r="R4" s="200"/>
      <c r="S4" s="200"/>
      <c r="T4" s="200"/>
      <c r="U4" s="200"/>
      <c r="V4" s="200"/>
      <c r="W4" s="200"/>
      <c r="X4" s="200"/>
      <c r="Y4" s="200"/>
      <c r="Z4" s="200"/>
      <c r="AA4" s="200"/>
      <c r="AB4" s="200"/>
      <c r="AC4" s="200"/>
    </row>
    <row r="5">
      <c r="A5" s="200"/>
      <c r="B5" s="953" t="s">
        <v>861</v>
      </c>
      <c r="C5" s="953" t="s">
        <v>862</v>
      </c>
      <c r="D5" s="953" t="s">
        <v>96</v>
      </c>
      <c r="E5" s="953" t="s">
        <v>549</v>
      </c>
      <c r="F5" s="953" t="s">
        <v>863</v>
      </c>
      <c r="G5" s="954" t="s">
        <v>864</v>
      </c>
      <c r="H5" s="953" t="s">
        <v>865</v>
      </c>
      <c r="I5" s="953" t="s">
        <v>866</v>
      </c>
      <c r="J5" s="953" t="s">
        <v>867</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868</v>
      </c>
      <c r="F6" s="957"/>
      <c r="G6" s="958" t="s">
        <v>869</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870</v>
      </c>
      <c r="F7" s="959"/>
      <c r="G7" s="958" t="s">
        <v>871</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872</v>
      </c>
      <c r="F8" s="960"/>
      <c r="G8" s="958" t="s">
        <v>873</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874</v>
      </c>
      <c r="F9" s="961"/>
      <c r="G9" s="958" t="s">
        <v>875</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876</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877</v>
      </c>
      <c r="F17" s="964"/>
      <c r="G17" s="958" t="s">
        <v>876</v>
      </c>
      <c r="H17" s="172" t="s">
        <v>878</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879</v>
      </c>
      <c r="F18" s="964"/>
      <c r="G18" s="958" t="s">
        <v>876</v>
      </c>
      <c r="H18" s="172" t="s">
        <v>880</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881</v>
      </c>
      <c r="F19" s="964"/>
      <c r="G19" s="958" t="s">
        <v>876</v>
      </c>
      <c r="H19" s="172" t="s">
        <v>882</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883</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878</v>
      </c>
      <c r="F24" s="965"/>
      <c r="G24" s="958" t="s">
        <v>883</v>
      </c>
      <c r="H24" s="172" t="s">
        <v>884</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885</v>
      </c>
      <c r="F25" s="965"/>
      <c r="G25" s="958" t="s">
        <v>883</v>
      </c>
      <c r="H25" s="172" t="s">
        <v>880</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886</v>
      </c>
      <c r="F26" s="965"/>
      <c r="G26" s="958" t="s">
        <v>883</v>
      </c>
      <c r="H26" s="172" t="s">
        <v>882</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876</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884</v>
      </c>
      <c r="F31" s="964"/>
      <c r="G31" s="958" t="s">
        <v>876</v>
      </c>
      <c r="H31" s="172" t="s">
        <v>887</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888</v>
      </c>
      <c r="F32" s="964"/>
      <c r="G32" s="958" t="s">
        <v>876</v>
      </c>
      <c r="H32" s="172" t="s">
        <v>880</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889</v>
      </c>
      <c r="F33" s="964"/>
      <c r="G33" s="958" t="s">
        <v>876</v>
      </c>
      <c r="H33" s="172" t="s">
        <v>882</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883</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887</v>
      </c>
      <c r="F38" s="965"/>
      <c r="G38" s="958" t="s">
        <v>883</v>
      </c>
      <c r="H38" s="172" t="s">
        <v>890</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891</v>
      </c>
      <c r="F39" s="965"/>
      <c r="G39" s="958" t="s">
        <v>883</v>
      </c>
      <c r="H39" s="172" t="s">
        <v>880</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892</v>
      </c>
      <c r="F40" s="965"/>
      <c r="G40" s="958" t="s">
        <v>883</v>
      </c>
      <c r="H40" s="172" t="s">
        <v>882</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876</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890</v>
      </c>
      <c r="F45" s="964"/>
      <c r="G45" s="958" t="s">
        <v>876</v>
      </c>
      <c r="H45" s="172" t="s">
        <v>893</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894</v>
      </c>
      <c r="F46" s="964"/>
      <c r="G46" s="958" t="s">
        <v>876</v>
      </c>
      <c r="H46" s="172" t="s">
        <v>880</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895</v>
      </c>
      <c r="F47" s="964"/>
      <c r="G47" s="958" t="s">
        <v>876</v>
      </c>
      <c r="H47" s="172" t="s">
        <v>882</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883</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893</v>
      </c>
      <c r="F52" s="965"/>
      <c r="G52" s="958" t="s">
        <v>883</v>
      </c>
      <c r="H52" s="172" t="s">
        <v>896</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897</v>
      </c>
      <c r="F53" s="965"/>
      <c r="G53" s="958" t="s">
        <v>883</v>
      </c>
      <c r="H53" s="172" t="s">
        <v>880</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898</v>
      </c>
      <c r="F54" s="965"/>
      <c r="G54" s="958" t="s">
        <v>883</v>
      </c>
      <c r="H54" s="172" t="s">
        <v>882</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876</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896</v>
      </c>
      <c r="F59" s="964"/>
      <c r="G59" s="958" t="s">
        <v>876</v>
      </c>
      <c r="H59" s="172" t="s">
        <v>899</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900</v>
      </c>
      <c r="F60" s="964"/>
      <c r="G60" s="958" t="s">
        <v>876</v>
      </c>
      <c r="H60" s="172" t="s">
        <v>880</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901</v>
      </c>
      <c r="F61" s="964"/>
      <c r="G61" s="958" t="s">
        <v>876</v>
      </c>
      <c r="H61" s="172" t="s">
        <v>882</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883</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899</v>
      </c>
      <c r="F66" s="965"/>
      <c r="G66" s="958" t="s">
        <v>883</v>
      </c>
      <c r="H66" s="172" t="s">
        <v>902</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903</v>
      </c>
      <c r="F67" s="965"/>
      <c r="G67" s="958" t="s">
        <v>883</v>
      </c>
      <c r="H67" s="172" t="s">
        <v>880</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904</v>
      </c>
      <c r="F68" s="965"/>
      <c r="G68" s="958" t="s">
        <v>883</v>
      </c>
      <c r="H68" s="172" t="s">
        <v>882</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876</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902</v>
      </c>
      <c r="F73" s="964"/>
      <c r="G73" s="958" t="s">
        <v>876</v>
      </c>
      <c r="H73" s="172" t="s">
        <v>905</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906</v>
      </c>
      <c r="F74" s="964"/>
      <c r="G74" s="958" t="s">
        <v>876</v>
      </c>
      <c r="H74" s="172" t="s">
        <v>880</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907</v>
      </c>
      <c r="F75" s="964"/>
      <c r="G75" s="958" t="s">
        <v>876</v>
      </c>
      <c r="H75" s="172" t="s">
        <v>882</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883</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905</v>
      </c>
      <c r="F80" s="965"/>
      <c r="G80" s="958" t="s">
        <v>883</v>
      </c>
      <c r="H80" s="172" t="s">
        <v>908</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909</v>
      </c>
      <c r="F81" s="965"/>
      <c r="G81" s="958" t="s">
        <v>883</v>
      </c>
      <c r="H81" s="172" t="s">
        <v>880</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910</v>
      </c>
      <c r="F82" s="965"/>
      <c r="G82" s="958" t="s">
        <v>883</v>
      </c>
      <c r="H82" s="172" t="s">
        <v>882</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876</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908</v>
      </c>
      <c r="F87" s="964"/>
      <c r="G87" s="958" t="s">
        <v>876</v>
      </c>
      <c r="H87" s="172" t="s">
        <v>911</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912</v>
      </c>
      <c r="F88" s="964"/>
      <c r="G88" s="958" t="s">
        <v>876</v>
      </c>
      <c r="H88" s="172" t="s">
        <v>880</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913</v>
      </c>
      <c r="F89" s="964"/>
      <c r="G89" s="958" t="s">
        <v>876</v>
      </c>
      <c r="H89" s="172" t="s">
        <v>882</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883</v>
      </c>
      <c r="H93" s="172" t="s">
        <v>914</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911</v>
      </c>
      <c r="F94" s="965"/>
      <c r="G94" s="958" t="s">
        <v>883</v>
      </c>
      <c r="H94" s="172" t="s">
        <v>915</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916</v>
      </c>
      <c r="F95" s="965"/>
      <c r="G95" s="958" t="s">
        <v>883</v>
      </c>
      <c r="H95" s="172" t="s">
        <v>880</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917</v>
      </c>
      <c r="F96" s="965"/>
      <c r="G96" s="958" t="s">
        <v>883</v>
      </c>
      <c r="H96" s="172" t="s">
        <v>882</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918</v>
      </c>
      <c r="F102" s="967"/>
      <c r="G102" s="958" t="s">
        <v>919</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920</v>
      </c>
      <c r="F103" s="968"/>
      <c r="G103" s="958" t="s">
        <v>921</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922</v>
      </c>
      <c r="F104" s="969"/>
      <c r="G104" s="958" t="s">
        <v>923</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924</v>
      </c>
      <c r="F105" s="970"/>
      <c r="G105" s="958" t="s">
        <v>925</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914</v>
      </c>
      <c r="F106" s="971"/>
      <c r="G106" s="958" t="s">
        <v>926</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915</v>
      </c>
      <c r="F107" s="971"/>
      <c r="G107" s="958" t="s">
        <v>926</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880</v>
      </c>
      <c r="F108" s="971"/>
      <c r="G108" s="958" t="s">
        <v>926</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882</v>
      </c>
      <c r="F109" s="971"/>
      <c r="G109" s="958" t="s">
        <v>926</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927</v>
      </c>
      <c r="B1" s="6"/>
      <c r="C1" s="6"/>
      <c r="D1" s="6"/>
      <c r="E1" s="6"/>
      <c r="F1" s="6"/>
      <c r="G1" s="6"/>
      <c r="H1" s="6"/>
      <c r="I1" s="975"/>
      <c r="J1" s="976" t="s">
        <v>928</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928</v>
      </c>
      <c r="B2" s="981" t="s">
        <v>51</v>
      </c>
      <c r="C2" s="981" t="s">
        <v>277</v>
      </c>
      <c r="D2" s="982" t="s">
        <v>929</v>
      </c>
      <c r="E2" s="980" t="s">
        <v>278</v>
      </c>
      <c r="F2" s="980" t="s">
        <v>283</v>
      </c>
      <c r="G2" s="980" t="s">
        <v>275</v>
      </c>
      <c r="H2" s="980" t="s">
        <v>930</v>
      </c>
      <c r="I2" s="983"/>
      <c r="J2" s="984" t="s">
        <v>931</v>
      </c>
      <c r="K2" s="985">
        <f>DAY(EOMONTH(K1,0))</f>
        <v>28</v>
      </c>
      <c r="L2" s="986" t="s">
        <v>932</v>
      </c>
      <c r="M2" s="986" t="s">
        <v>277</v>
      </c>
      <c r="N2" s="986" t="s">
        <v>296</v>
      </c>
      <c r="O2" s="986" t="s">
        <v>298</v>
      </c>
      <c r="P2" s="986" t="s">
        <v>298</v>
      </c>
      <c r="Q2" s="986" t="s">
        <v>933</v>
      </c>
      <c r="R2" s="984" t="s">
        <v>934</v>
      </c>
      <c r="S2" s="987">
        <v>1130.0</v>
      </c>
    </row>
    <row r="3">
      <c r="A3" s="988">
        <v>46054.0</v>
      </c>
      <c r="B3" s="981" t="str">
        <f t="shared" ref="B3:B13" si="2">"①R8_"&amp;month(A3)&amp;"集計"</f>
        <v>①R8_2集計</v>
      </c>
      <c r="C3" s="989">
        <f t="shared" ref="C3:C14" si="3">iferror(FLOOR(indirect(B3&amp;"!$G$8"),2.5%),"")</f>
        <v>0.85</v>
      </c>
      <c r="D3" s="989">
        <f t="shared" ref="D3:D14"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935</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936</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0.85</v>
      </c>
      <c r="D5" s="989">
        <f t="shared" si="4"/>
        <v>31</v>
      </c>
      <c r="E5" s="990">
        <f t="shared" ref="E5:H5" si="7">xlookup($B5,$L:$L,O:O)</f>
        <v>4850400</v>
      </c>
      <c r="F5" s="990">
        <f t="shared" si="7"/>
        <v>1156957.118</v>
      </c>
      <c r="G5" s="991">
        <f t="shared" si="7"/>
        <v>0.238528187</v>
      </c>
      <c r="H5" s="991">
        <f t="shared" si="7"/>
        <v>0.5795139988</v>
      </c>
      <c r="I5" s="983"/>
      <c r="J5" s="984" t="s">
        <v>937</v>
      </c>
      <c r="K5" s="999">
        <v>535000.0</v>
      </c>
      <c r="L5" s="1000" t="s">
        <v>938</v>
      </c>
      <c r="M5" s="3"/>
      <c r="N5" s="987">
        <v>22.926</v>
      </c>
      <c r="O5" s="987">
        <v>28.78</v>
      </c>
      <c r="P5" s="994"/>
      <c r="Q5" s="1001"/>
      <c r="R5" s="984" t="s">
        <v>939</v>
      </c>
      <c r="S5" s="993">
        <f>N10+SUM(N14:O16)+S17</f>
        <v>2425340.545</v>
      </c>
    </row>
    <row r="6">
      <c r="A6" s="997">
        <f t="shared" si="6"/>
        <v>46143</v>
      </c>
      <c r="B6" s="981" t="str">
        <f t="shared" si="2"/>
        <v>①R8_5集計</v>
      </c>
      <c r="C6" s="989" t="str">
        <f t="shared" si="3"/>
        <v/>
      </c>
      <c r="D6" s="989">
        <f t="shared" si="4"/>
        <v>0</v>
      </c>
      <c r="E6" s="990">
        <f t="shared" ref="E6:H6" si="8">xlookup($B6,$L:$L,O:O)</f>
        <v>-222587.5</v>
      </c>
      <c r="F6" s="990">
        <f t="shared" si="8"/>
        <v>-1264762.817</v>
      </c>
      <c r="G6" s="991">
        <f t="shared" si="8"/>
        <v>5.682092735</v>
      </c>
      <c r="H6" s="991">
        <f t="shared" si="8"/>
        <v>-1.499074821</v>
      </c>
      <c r="I6" s="1002"/>
      <c r="J6" s="1003" t="s">
        <v>940</v>
      </c>
      <c r="K6" s="1004">
        <v>1300.0</v>
      </c>
      <c r="L6" s="1005" t="s">
        <v>941</v>
      </c>
      <c r="M6" s="3"/>
      <c r="N6" s="993">
        <f t="shared" ref="N6:O6" si="9">N4/(360/N5)</f>
        <v>5.23477</v>
      </c>
      <c r="O6" s="993">
        <f t="shared" si="9"/>
        <v>1.822733333</v>
      </c>
      <c r="P6" s="1001"/>
      <c r="Q6" s="993">
        <f t="shared" ref="Q6:Q7" si="11">N6+O6+P6</f>
        <v>7.057503333</v>
      </c>
      <c r="R6" s="984" t="s">
        <v>276</v>
      </c>
      <c r="S6" s="1006">
        <f>S5/S4</f>
        <v>0.5224409202</v>
      </c>
    </row>
    <row r="7">
      <c r="A7" s="997">
        <f t="shared" si="6"/>
        <v>46174</v>
      </c>
      <c r="B7" s="981" t="str">
        <f t="shared" si="2"/>
        <v>①R8_6集計</v>
      </c>
      <c r="C7" s="989" t="str">
        <f t="shared" si="3"/>
        <v/>
      </c>
      <c r="D7" s="989">
        <f t="shared" si="4"/>
        <v>0</v>
      </c>
      <c r="E7" s="990">
        <f t="shared" ref="E7:H7" si="10">xlookup($B7,$L:$L,O:O)</f>
        <v>-192225</v>
      </c>
      <c r="F7" s="990">
        <f t="shared" si="10"/>
        <v>-1221786.5</v>
      </c>
      <c r="G7" s="991">
        <f t="shared" si="10"/>
        <v>6.35602289</v>
      </c>
      <c r="H7" s="991">
        <f t="shared" si="10"/>
        <v>-1.670238002</v>
      </c>
      <c r="I7" s="1007"/>
      <c r="J7" s="1008" t="s">
        <v>942</v>
      </c>
      <c r="K7" s="1004">
        <v>6.5</v>
      </c>
      <c r="L7" s="1009" t="s">
        <v>943</v>
      </c>
      <c r="M7" s="987">
        <v>1230.0</v>
      </c>
      <c r="N7" s="993">
        <f>N6*(M7*6)</f>
        <v>38632.6026</v>
      </c>
      <c r="O7" s="993">
        <f>O6*(M7*6)</f>
        <v>13451.772</v>
      </c>
      <c r="P7" s="1001"/>
      <c r="Q7" s="993">
        <f t="shared" si="11"/>
        <v>52084.3746</v>
      </c>
      <c r="R7" s="984" t="s">
        <v>944</v>
      </c>
      <c r="S7" s="996">
        <f>S4-S5-N17</f>
        <v>1188734.455</v>
      </c>
    </row>
    <row r="8">
      <c r="A8" s="997">
        <f t="shared" si="6"/>
        <v>46204</v>
      </c>
      <c r="B8" s="981" t="str">
        <f t="shared" si="2"/>
        <v>①R8_7集計</v>
      </c>
      <c r="C8" s="989" t="str">
        <f t="shared" si="3"/>
        <v/>
      </c>
      <c r="D8" s="989">
        <f t="shared" si="4"/>
        <v>0</v>
      </c>
      <c r="E8" s="990">
        <f t="shared" ref="E8:H8" si="12">xlookup($B8,$L:$L,O:O)</f>
        <v>-222587.5</v>
      </c>
      <c r="F8" s="990">
        <f t="shared" si="12"/>
        <v>-1264762.817</v>
      </c>
      <c r="G8" s="991">
        <f t="shared" si="12"/>
        <v>5.682092735</v>
      </c>
      <c r="H8" s="991">
        <f t="shared" si="12"/>
        <v>-1.499074821</v>
      </c>
      <c r="I8" s="983"/>
      <c r="J8" s="1010" t="s">
        <v>945</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4"/>
        <v>0</v>
      </c>
      <c r="E9" s="990">
        <f t="shared" ref="E9:H9" si="13">xlookup($B9,$L:$L,O:O)</f>
        <v>-222587.5</v>
      </c>
      <c r="F9" s="990">
        <f t="shared" si="13"/>
        <v>-1264762.817</v>
      </c>
      <c r="G9" s="991">
        <f t="shared" si="13"/>
        <v>5.682092735</v>
      </c>
      <c r="H9" s="991">
        <f t="shared" si="13"/>
        <v>-1.499074821</v>
      </c>
      <c r="I9" s="1002"/>
      <c r="J9" s="1003" t="s">
        <v>946</v>
      </c>
      <c r="K9" s="1004">
        <v>1230.0</v>
      </c>
      <c r="L9" s="1005" t="s">
        <v>947</v>
      </c>
      <c r="M9" s="3"/>
      <c r="N9" s="993">
        <f>Q7+(Q6*K15)</f>
        <v>56318.8766</v>
      </c>
      <c r="O9" s="1001"/>
      <c r="P9" s="1012" t="s">
        <v>948</v>
      </c>
      <c r="Q9" s="232"/>
      <c r="R9" s="232"/>
      <c r="S9" s="3"/>
    </row>
    <row r="10">
      <c r="A10" s="997">
        <f t="shared" si="6"/>
        <v>46266</v>
      </c>
      <c r="B10" s="981" t="str">
        <f t="shared" si="2"/>
        <v>①R8_9集計</v>
      </c>
      <c r="C10" s="989" t="str">
        <f t="shared" si="3"/>
        <v/>
      </c>
      <c r="D10" s="989">
        <f t="shared" si="4"/>
        <v>0</v>
      </c>
      <c r="E10" s="990">
        <f t="shared" ref="E10:H10" si="14">xlookup($B10,$L:$L,O:O)</f>
        <v>-192225</v>
      </c>
      <c r="F10" s="990">
        <f t="shared" si="14"/>
        <v>-1221786.5</v>
      </c>
      <c r="G10" s="991">
        <f t="shared" si="14"/>
        <v>6.35602289</v>
      </c>
      <c r="H10" s="991">
        <f t="shared" si="14"/>
        <v>-1.670238002</v>
      </c>
      <c r="I10" s="1013"/>
      <c r="J10" s="1014" t="s">
        <v>949</v>
      </c>
      <c r="K10" s="1004">
        <v>3.0</v>
      </c>
      <c r="L10" s="1005" t="s">
        <v>950</v>
      </c>
      <c r="M10" s="3"/>
      <c r="N10" s="993">
        <f>N9*K2+L3*K21*K2*110+(L3*K2*K16%)*100</f>
        <v>1729073.545</v>
      </c>
      <c r="O10" s="1015"/>
      <c r="P10" s="1016" t="s">
        <v>951</v>
      </c>
      <c r="Q10" s="1017">
        <v>567400.0</v>
      </c>
      <c r="R10" s="984" t="s">
        <v>952</v>
      </c>
      <c r="S10" s="998">
        <v>100000.0</v>
      </c>
    </row>
    <row r="11">
      <c r="A11" s="997">
        <f t="shared" si="6"/>
        <v>46296</v>
      </c>
      <c r="B11" s="981" t="str">
        <f t="shared" si="2"/>
        <v>①R8_10集計</v>
      </c>
      <c r="C11" s="989" t="str">
        <f t="shared" si="3"/>
        <v/>
      </c>
      <c r="D11" s="989">
        <f t="shared" si="4"/>
        <v>0</v>
      </c>
      <c r="E11" s="990">
        <f t="shared" ref="E11:H11" si="15">xlookup($B11,$L:$L,O:O)</f>
        <v>-222587.5</v>
      </c>
      <c r="F11" s="990">
        <f t="shared" si="15"/>
        <v>-1264762.817</v>
      </c>
      <c r="G11" s="991">
        <f t="shared" si="15"/>
        <v>5.682092735</v>
      </c>
      <c r="H11" s="991">
        <f t="shared" si="15"/>
        <v>-1.499074821</v>
      </c>
      <c r="I11" s="1013"/>
      <c r="J11" s="1014" t="s">
        <v>953</v>
      </c>
      <c r="K11" s="1004">
        <f>K2</f>
        <v>28</v>
      </c>
      <c r="L11" s="1005" t="s">
        <v>954</v>
      </c>
      <c r="M11" s="3"/>
      <c r="N11" s="984" t="s">
        <v>375</v>
      </c>
      <c r="O11" s="1010" t="s">
        <v>349</v>
      </c>
      <c r="P11" s="1018" t="s">
        <v>955</v>
      </c>
      <c r="Q11" s="1019">
        <f>L3*K16%*K2*300</f>
        <v>367500</v>
      </c>
      <c r="R11" s="995" t="s">
        <v>956</v>
      </c>
      <c r="S11" s="993">
        <v>26250.0</v>
      </c>
    </row>
    <row r="12">
      <c r="A12" s="997">
        <f t="shared" si="6"/>
        <v>46327</v>
      </c>
      <c r="B12" s="981" t="str">
        <f t="shared" si="2"/>
        <v>①R8_11集計</v>
      </c>
      <c r="C12" s="989" t="str">
        <f t="shared" si="3"/>
        <v/>
      </c>
      <c r="D12" s="989">
        <f t="shared" si="4"/>
        <v>0</v>
      </c>
      <c r="E12" s="990">
        <f t="shared" ref="E12:H12" si="16">xlookup($B12,$L:$L,O:O)</f>
        <v>-120037.5</v>
      </c>
      <c r="F12" s="990">
        <f t="shared" si="16"/>
        <v>-1173411.043</v>
      </c>
      <c r="G12" s="991">
        <f t="shared" si="16"/>
        <v>9.775370551</v>
      </c>
      <c r="H12" s="991">
        <f t="shared" si="16"/>
        <v>-2.87304836</v>
      </c>
      <c r="I12" s="1002"/>
      <c r="J12" s="1003" t="s">
        <v>957</v>
      </c>
      <c r="K12" s="1004">
        <v>1230.0</v>
      </c>
      <c r="L12" s="1005" t="s">
        <v>958</v>
      </c>
      <c r="M12" s="3"/>
      <c r="N12" s="998">
        <f t="shared" ref="N12:N13" si="18">K4*1.15</f>
        <v>368000</v>
      </c>
      <c r="O12" s="1020">
        <v>15000.0</v>
      </c>
      <c r="P12" s="1021" t="s">
        <v>959</v>
      </c>
      <c r="Q12" s="1019">
        <f>L3*K17*K2*100</f>
        <v>22050</v>
      </c>
      <c r="R12" s="1022" t="s">
        <v>960</v>
      </c>
      <c r="S12" s="993">
        <v>25000.0</v>
      </c>
    </row>
    <row r="13">
      <c r="A13" s="997">
        <f t="shared" si="6"/>
        <v>46357</v>
      </c>
      <c r="B13" s="981" t="str">
        <f t="shared" si="2"/>
        <v>①R8_12集計</v>
      </c>
      <c r="C13" s="989" t="str">
        <f t="shared" si="3"/>
        <v/>
      </c>
      <c r="D13" s="989">
        <f t="shared" si="4"/>
        <v>0</v>
      </c>
      <c r="E13" s="990">
        <f t="shared" ref="E13:H13" si="17">xlookup($B13,$L:$L,O:O)</f>
        <v>-147993.75</v>
      </c>
      <c r="F13" s="990">
        <f t="shared" si="17"/>
        <v>-1214774.844</v>
      </c>
      <c r="G13" s="991">
        <f t="shared" si="17"/>
        <v>8.208284768</v>
      </c>
      <c r="H13" s="991">
        <f t="shared" si="17"/>
        <v>-2.420920437</v>
      </c>
      <c r="I13" s="1002"/>
      <c r="J13" s="1003" t="s">
        <v>961</v>
      </c>
      <c r="K13" s="1004">
        <v>5.0</v>
      </c>
      <c r="L13" s="1005" t="s">
        <v>962</v>
      </c>
      <c r="M13" s="3"/>
      <c r="N13" s="998">
        <f t="shared" si="18"/>
        <v>615250</v>
      </c>
      <c r="O13" s="1023">
        <v>30000.0</v>
      </c>
      <c r="P13" s="1018" t="s">
        <v>963</v>
      </c>
      <c r="Q13" s="1024">
        <f>L3*K18*K2*100</f>
        <v>90650</v>
      </c>
      <c r="R13" s="1025" t="s">
        <v>964</v>
      </c>
      <c r="S13" s="3"/>
    </row>
    <row r="14">
      <c r="A14" s="997">
        <f t="shared" si="6"/>
        <v>46388</v>
      </c>
      <c r="B14" s="981" t="str">
        <f>"①R9_"&amp;month(A14)&amp;"集計"</f>
        <v>①R9_1集計</v>
      </c>
      <c r="C14" s="989" t="str">
        <f t="shared" si="3"/>
        <v/>
      </c>
      <c r="D14" s="989">
        <f t="shared" si="4"/>
        <v>0</v>
      </c>
      <c r="E14" s="990">
        <f t="shared" ref="E14:H14" si="19">xlookup($B14,$L:$L,O:O)</f>
        <v>-147993.75</v>
      </c>
      <c r="F14" s="990">
        <f t="shared" si="19"/>
        <v>-1214774.844</v>
      </c>
      <c r="G14" s="991">
        <f t="shared" si="19"/>
        <v>8.208284768</v>
      </c>
      <c r="H14" s="991">
        <f t="shared" si="19"/>
        <v>-2.420920437</v>
      </c>
      <c r="I14" s="1002"/>
      <c r="J14" s="1003" t="s">
        <v>965</v>
      </c>
      <c r="K14" s="1004">
        <v>35.0</v>
      </c>
      <c r="L14" s="1026" t="s">
        <v>966</v>
      </c>
      <c r="M14" s="3"/>
      <c r="N14" s="998">
        <f>(K2*2.5-43.4)*K6*K7</f>
        <v>224770</v>
      </c>
      <c r="O14" s="998">
        <f>(K2*2.5-43.4)*K15</f>
        <v>15960</v>
      </c>
      <c r="P14" s="1018" t="s">
        <v>967</v>
      </c>
      <c r="Q14" s="1019">
        <f>L3*K19*K2*100</f>
        <v>31850</v>
      </c>
      <c r="R14" s="984" t="s">
        <v>952</v>
      </c>
      <c r="S14" s="993">
        <v>60000.0</v>
      </c>
    </row>
    <row r="15">
      <c r="A15" s="1002"/>
      <c r="B15" s="1002"/>
      <c r="C15" s="1002"/>
      <c r="D15" s="1002"/>
      <c r="E15" s="1002"/>
      <c r="F15" s="1002"/>
      <c r="G15" s="1002"/>
      <c r="H15" s="1002"/>
      <c r="I15" s="1002"/>
      <c r="J15" s="1022" t="s">
        <v>968</v>
      </c>
      <c r="K15" s="1027">
        <v>600.0</v>
      </c>
      <c r="L15" s="1000" t="s">
        <v>969</v>
      </c>
      <c r="M15" s="3"/>
      <c r="N15" s="998">
        <f>K9*K10*K11</f>
        <v>103320</v>
      </c>
      <c r="O15" s="998">
        <f>K11*K15</f>
        <v>16800</v>
      </c>
      <c r="P15" s="1021" t="s">
        <v>133</v>
      </c>
      <c r="Q15" s="1019">
        <f>L3*K20*K2*100</f>
        <v>22050</v>
      </c>
      <c r="R15" s="995" t="s">
        <v>956</v>
      </c>
      <c r="S15" s="993">
        <v>20000.0</v>
      </c>
    </row>
    <row r="16">
      <c r="A16" s="1002"/>
      <c r="B16" s="1002"/>
      <c r="C16" s="1002"/>
      <c r="D16" s="1002"/>
      <c r="E16" s="1002"/>
      <c r="F16" s="1002"/>
      <c r="G16" s="1002"/>
      <c r="H16" s="1002"/>
      <c r="I16" s="1002"/>
      <c r="J16" s="1028" t="s">
        <v>970</v>
      </c>
      <c r="K16" s="1029">
        <f>D3</f>
        <v>25</v>
      </c>
      <c r="L16" s="1000" t="s">
        <v>971</v>
      </c>
      <c r="M16" s="3"/>
      <c r="N16" s="998">
        <f>K12*K13*K14</f>
        <v>215250</v>
      </c>
      <c r="O16" s="998">
        <f>K14*K15</f>
        <v>21000</v>
      </c>
      <c r="P16" s="1018" t="s">
        <v>972</v>
      </c>
      <c r="Q16" s="1019">
        <f>L3*K21*K2*250</f>
        <v>67375</v>
      </c>
      <c r="R16" s="1022" t="s">
        <v>960</v>
      </c>
      <c r="S16" s="993">
        <v>19167.0</v>
      </c>
    </row>
    <row r="17">
      <c r="A17" s="983"/>
      <c r="B17" s="983"/>
      <c r="C17" s="983"/>
      <c r="D17" s="983"/>
      <c r="E17" s="983"/>
      <c r="F17" s="983"/>
      <c r="G17" s="983"/>
      <c r="H17" s="983"/>
      <c r="I17" s="983"/>
      <c r="J17" s="984" t="s">
        <v>959</v>
      </c>
      <c r="K17" s="1006">
        <v>0.045</v>
      </c>
      <c r="L17" s="1000" t="s">
        <v>973</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974</v>
      </c>
      <c r="K18" s="1006">
        <v>0.185</v>
      </c>
      <c r="L18" s="975"/>
      <c r="M18" s="975"/>
      <c r="N18" s="975"/>
      <c r="O18" s="975"/>
      <c r="P18" s="975"/>
      <c r="Q18" s="975"/>
      <c r="R18" s="975"/>
      <c r="S18" s="975"/>
    </row>
    <row r="19">
      <c r="A19" s="1002"/>
      <c r="B19" s="1002"/>
      <c r="C19" s="1002"/>
      <c r="D19" s="1002"/>
      <c r="E19" s="1002"/>
      <c r="F19" s="1002"/>
      <c r="G19" s="1002"/>
      <c r="H19" s="1002"/>
      <c r="I19" s="1002"/>
      <c r="J19" s="1022" t="s">
        <v>975</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972</v>
      </c>
      <c r="K21" s="1006">
        <v>0.055</v>
      </c>
      <c r="L21" s="975"/>
      <c r="M21" s="975"/>
      <c r="N21" s="975"/>
      <c r="O21" s="975"/>
      <c r="P21" s="975"/>
      <c r="Q21" s="975"/>
      <c r="R21" s="975"/>
      <c r="S21" s="975"/>
    </row>
    <row r="23">
      <c r="J23" s="976" t="s">
        <v>928</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931</v>
      </c>
      <c r="K24" s="985">
        <f>DAY(EOMONTH(K23,0))</f>
        <v>31</v>
      </c>
      <c r="L24" s="986" t="s">
        <v>932</v>
      </c>
      <c r="M24" s="986" t="s">
        <v>277</v>
      </c>
      <c r="N24" s="986" t="s">
        <v>296</v>
      </c>
      <c r="O24" s="986" t="s">
        <v>298</v>
      </c>
      <c r="P24" s="986" t="s">
        <v>298</v>
      </c>
      <c r="Q24" s="986" t="s">
        <v>933</v>
      </c>
      <c r="R24" s="984" t="s">
        <v>934</v>
      </c>
      <c r="S24" s="987">
        <v>1130.0</v>
      </c>
    </row>
    <row r="25">
      <c r="J25" s="984" t="s">
        <v>277</v>
      </c>
      <c r="K25" s="992">
        <f t="array" ref="K25">xlookup(L23,$B$3:$B$14,$C$3:$C$14)*100</f>
        <v>87.5</v>
      </c>
      <c r="L25" s="993">
        <f>SUM(N25:P25)</f>
        <v>175</v>
      </c>
      <c r="M25" s="993">
        <v>100.0</v>
      </c>
      <c r="N25" s="987">
        <v>137.0</v>
      </c>
      <c r="O25" s="987">
        <v>38.0</v>
      </c>
      <c r="P25" s="994"/>
      <c r="Q25" s="993">
        <f>L25*K24</f>
        <v>5425</v>
      </c>
      <c r="R25" s="995" t="s">
        <v>935</v>
      </c>
      <c r="S25" s="996">
        <f>Q39</f>
        <v>1383212.5</v>
      </c>
    </row>
    <row r="26">
      <c r="J26" s="984" t="s">
        <v>936</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937</v>
      </c>
      <c r="K27" s="999">
        <f>270000+(370000/22*9)</f>
        <v>421363.6364</v>
      </c>
      <c r="L27" s="1000" t="s">
        <v>938</v>
      </c>
      <c r="M27" s="3"/>
      <c r="N27" s="987">
        <v>22.926</v>
      </c>
      <c r="O27" s="987">
        <v>28.78</v>
      </c>
      <c r="P27" s="994"/>
      <c r="Q27" s="1001"/>
      <c r="R27" s="984" t="s">
        <v>939</v>
      </c>
      <c r="S27" s="993">
        <f>N32+SUM(N36:O38)+S39</f>
        <v>2716384.752</v>
      </c>
    </row>
    <row r="28">
      <c r="J28" s="1003" t="s">
        <v>940</v>
      </c>
      <c r="K28" s="1004">
        <v>1300.0</v>
      </c>
      <c r="L28" s="1005" t="s">
        <v>941</v>
      </c>
      <c r="M28" s="3"/>
      <c r="N28" s="993">
        <f t="shared" ref="N28:O28" si="20">N26/(360/N27)</f>
        <v>5.060277667</v>
      </c>
      <c r="O28" s="993">
        <f t="shared" si="20"/>
        <v>1.761975556</v>
      </c>
      <c r="P28" s="1001"/>
      <c r="Q28" s="993">
        <f t="shared" ref="Q28:Q29" si="21">N28+O28+P28</f>
        <v>6.822253222</v>
      </c>
      <c r="R28" s="984" t="s">
        <v>276</v>
      </c>
      <c r="S28" s="1006">
        <f>S27/S26</f>
        <v>0.5500137944</v>
      </c>
    </row>
    <row r="29">
      <c r="J29" s="1008" t="s">
        <v>942</v>
      </c>
      <c r="K29" s="1004">
        <v>6.5</v>
      </c>
      <c r="L29" s="1009" t="s">
        <v>943</v>
      </c>
      <c r="M29" s="987">
        <v>1230.0</v>
      </c>
      <c r="N29" s="993">
        <f>N28*(M29*6)</f>
        <v>37344.84918</v>
      </c>
      <c r="O29" s="993">
        <f>O28*(M29*6)</f>
        <v>13003.3796</v>
      </c>
      <c r="P29" s="1001"/>
      <c r="Q29" s="993">
        <f t="shared" si="21"/>
        <v>50348.22878</v>
      </c>
      <c r="R29" s="984" t="s">
        <v>944</v>
      </c>
      <c r="S29" s="996">
        <f>S26-S27-N39</f>
        <v>1339804.566</v>
      </c>
    </row>
    <row r="30">
      <c r="J30" s="1010" t="s">
        <v>945</v>
      </c>
      <c r="K30" s="994"/>
      <c r="L30" s="1011"/>
      <c r="M30" s="1001"/>
      <c r="N30" s="1001"/>
      <c r="O30" s="1001"/>
      <c r="P30" s="1001"/>
      <c r="Q30" s="1001"/>
      <c r="R30" s="984" t="s">
        <v>275</v>
      </c>
      <c r="S30" s="1006">
        <f>S29/S26</f>
        <v>0.271283732</v>
      </c>
    </row>
    <row r="31">
      <c r="J31" s="1003" t="s">
        <v>946</v>
      </c>
      <c r="K31" s="1004">
        <v>1230.0</v>
      </c>
      <c r="L31" s="1005" t="s">
        <v>947</v>
      </c>
      <c r="M31" s="3"/>
      <c r="N31" s="993">
        <f>Q29+(Q28*K37)</f>
        <v>54441.58071</v>
      </c>
      <c r="O31" s="1001"/>
      <c r="P31" s="1012" t="s">
        <v>948</v>
      </c>
      <c r="Q31" s="232"/>
      <c r="R31" s="232"/>
      <c r="S31" s="3"/>
    </row>
    <row r="32">
      <c r="J32" s="1014" t="s">
        <v>949</v>
      </c>
      <c r="K32" s="1004">
        <v>3.0</v>
      </c>
      <c r="L32" s="1005" t="s">
        <v>950</v>
      </c>
      <c r="M32" s="3"/>
      <c r="N32" s="993">
        <f>N31*K24+L25*K43*K24*110+(L25*K24*K38%)*100</f>
        <v>1880547.752</v>
      </c>
      <c r="O32" s="1015"/>
      <c r="P32" s="1016" t="s">
        <v>951</v>
      </c>
      <c r="Q32" s="1017">
        <v>567400.0</v>
      </c>
      <c r="R32" s="984" t="s">
        <v>952</v>
      </c>
      <c r="S32" s="998">
        <v>100000.0</v>
      </c>
    </row>
    <row r="33">
      <c r="J33" s="1014" t="s">
        <v>953</v>
      </c>
      <c r="K33" s="1004">
        <f>K24</f>
        <v>31</v>
      </c>
      <c r="L33" s="1005" t="s">
        <v>954</v>
      </c>
      <c r="M33" s="3"/>
      <c r="N33" s="984" t="s">
        <v>375</v>
      </c>
      <c r="O33" s="1010" t="s">
        <v>349</v>
      </c>
      <c r="P33" s="1018" t="s">
        <v>955</v>
      </c>
      <c r="Q33" s="1019">
        <f>L25*K38%*K24*300</f>
        <v>480112.5</v>
      </c>
      <c r="R33" s="995" t="s">
        <v>956</v>
      </c>
      <c r="S33" s="993">
        <v>26250.0</v>
      </c>
    </row>
    <row r="34">
      <c r="J34" s="1003" t="s">
        <v>957</v>
      </c>
      <c r="K34" s="1004">
        <v>1230.0</v>
      </c>
      <c r="L34" s="1005" t="s">
        <v>958</v>
      </c>
      <c r="M34" s="3"/>
      <c r="N34" s="998">
        <f t="shared" ref="N34:N35" si="22">K26*1.15</f>
        <v>368000</v>
      </c>
      <c r="O34" s="1020">
        <v>15000.0</v>
      </c>
      <c r="P34" s="1021" t="s">
        <v>959</v>
      </c>
      <c r="Q34" s="1019">
        <f>L25*K39*K24*100</f>
        <v>24412.5</v>
      </c>
      <c r="R34" s="1022" t="s">
        <v>960</v>
      </c>
      <c r="S34" s="993">
        <v>25000.0</v>
      </c>
    </row>
    <row r="35">
      <c r="J35" s="1003" t="s">
        <v>961</v>
      </c>
      <c r="K35" s="1004">
        <v>5.0</v>
      </c>
      <c r="L35" s="1005" t="s">
        <v>962</v>
      </c>
      <c r="M35" s="3"/>
      <c r="N35" s="998">
        <f t="shared" si="22"/>
        <v>484568.1818</v>
      </c>
      <c r="O35" s="998">
        <v>15000.0</v>
      </c>
      <c r="P35" s="1018" t="s">
        <v>963</v>
      </c>
      <c r="Q35" s="1024">
        <f>L25*K40*K24*100</f>
        <v>100362.5</v>
      </c>
      <c r="R35" s="1025" t="s">
        <v>964</v>
      </c>
      <c r="S35" s="3"/>
    </row>
    <row r="36">
      <c r="J36" s="1003" t="s">
        <v>965</v>
      </c>
      <c r="K36" s="1004">
        <v>35.0</v>
      </c>
      <c r="L36" s="1026" t="s">
        <v>966</v>
      </c>
      <c r="M36" s="3"/>
      <c r="N36" s="998">
        <f>(K24*3-52.4)*K28*K29</f>
        <v>343070</v>
      </c>
      <c r="O36" s="998">
        <f>(K24*3-52.4)*K37</f>
        <v>24360</v>
      </c>
      <c r="P36" s="1018" t="s">
        <v>967</v>
      </c>
      <c r="Q36" s="1019">
        <f>L25*K41*K24*100</f>
        <v>35262.5</v>
      </c>
      <c r="R36" s="984" t="s">
        <v>952</v>
      </c>
      <c r="S36" s="993">
        <v>60000.0</v>
      </c>
    </row>
    <row r="37">
      <c r="J37" s="1022" t="s">
        <v>968</v>
      </c>
      <c r="K37" s="1027">
        <v>600.0</v>
      </c>
      <c r="L37" s="1000" t="s">
        <v>969</v>
      </c>
      <c r="M37" s="3"/>
      <c r="N37" s="998">
        <f>K31*K32*K33</f>
        <v>114390</v>
      </c>
      <c r="O37" s="998">
        <f>K33*K37</f>
        <v>18600</v>
      </c>
      <c r="P37" s="1021" t="s">
        <v>133</v>
      </c>
      <c r="Q37" s="1019">
        <f>L25*K42*K24*100</f>
        <v>24412.5</v>
      </c>
      <c r="R37" s="995" t="s">
        <v>956</v>
      </c>
      <c r="S37" s="993">
        <v>20000.0</v>
      </c>
    </row>
    <row r="38">
      <c r="J38" s="1028" t="s">
        <v>970</v>
      </c>
      <c r="K38" s="1029">
        <f>D4</f>
        <v>29.5</v>
      </c>
      <c r="L38" s="1031" t="s">
        <v>976</v>
      </c>
      <c r="M38" s="3"/>
      <c r="N38" s="998">
        <f>K34*K35*K36</f>
        <v>215250</v>
      </c>
      <c r="O38" s="998">
        <f>K36*K37</f>
        <v>21000</v>
      </c>
      <c r="P38" s="1018" t="s">
        <v>972</v>
      </c>
      <c r="Q38" s="1019">
        <f>L25*K43*K24*250</f>
        <v>74593.75</v>
      </c>
      <c r="R38" s="1022" t="s">
        <v>960</v>
      </c>
      <c r="S38" s="993">
        <v>19167.0</v>
      </c>
    </row>
    <row r="39">
      <c r="J39" s="984" t="s">
        <v>959</v>
      </c>
      <c r="K39" s="1006">
        <v>0.045</v>
      </c>
      <c r="L39" s="1000" t="s">
        <v>973</v>
      </c>
      <c r="M39" s="3"/>
      <c r="N39" s="998">
        <f>SUM(N34:O35)</f>
        <v>882568.1818</v>
      </c>
      <c r="O39" s="1030"/>
      <c r="P39" s="984" t="s">
        <v>345</v>
      </c>
      <c r="Q39" s="996">
        <f>SUM(Q32:Q37)+SUM(S32:S34)</f>
        <v>1383212.5</v>
      </c>
      <c r="R39" s="984" t="s">
        <v>345</v>
      </c>
      <c r="S39" s="993">
        <f>S36+S37+S38</f>
        <v>99167</v>
      </c>
    </row>
    <row r="40">
      <c r="J40" s="1022" t="s">
        <v>974</v>
      </c>
      <c r="K40" s="1006">
        <v>0.185</v>
      </c>
      <c r="L40" s="975"/>
      <c r="M40" s="975"/>
      <c r="N40" s="975"/>
      <c r="O40" s="975"/>
      <c r="P40" s="975"/>
      <c r="Q40" s="975"/>
      <c r="R40" s="975"/>
      <c r="S40" s="975"/>
    </row>
    <row r="41">
      <c r="J41" s="1022" t="s">
        <v>975</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972</v>
      </c>
      <c r="K43" s="1006">
        <v>0.055</v>
      </c>
      <c r="L43" s="975"/>
      <c r="M43" s="975"/>
      <c r="N43" s="975"/>
      <c r="O43" s="975"/>
      <c r="P43" s="975"/>
      <c r="Q43" s="975"/>
      <c r="R43" s="975"/>
      <c r="S43" s="975"/>
    </row>
    <row r="45">
      <c r="J45" s="976" t="s">
        <v>928</v>
      </c>
      <c r="K45" s="977">
        <f>A5</f>
        <v>46113</v>
      </c>
      <c r="L45" s="976" t="str">
        <f>"①R"&amp;year(K45)-2018&amp;"_"&amp;month(K45)&amp;"集計"</f>
        <v>①R8_4集計</v>
      </c>
      <c r="M45" s="6"/>
      <c r="N45" s="6"/>
      <c r="O45" s="978">
        <f>S48</f>
        <v>4850400</v>
      </c>
      <c r="P45" s="978">
        <f>S51</f>
        <v>1156957.118</v>
      </c>
      <c r="Q45" s="979">
        <f>S52</f>
        <v>0.238528187</v>
      </c>
      <c r="R45" s="979">
        <f>S50</f>
        <v>0.5795139988</v>
      </c>
      <c r="S45" s="975"/>
    </row>
    <row r="46">
      <c r="J46" s="984" t="s">
        <v>931</v>
      </c>
      <c r="K46" s="985">
        <f>DAY(EOMONTH(K45,0))</f>
        <v>30</v>
      </c>
      <c r="L46" s="986" t="s">
        <v>932</v>
      </c>
      <c r="M46" s="986" t="s">
        <v>277</v>
      </c>
      <c r="N46" s="986" t="s">
        <v>296</v>
      </c>
      <c r="O46" s="986" t="s">
        <v>298</v>
      </c>
      <c r="P46" s="986" t="s">
        <v>298</v>
      </c>
      <c r="Q46" s="986" t="s">
        <v>933</v>
      </c>
      <c r="R46" s="984" t="s">
        <v>934</v>
      </c>
      <c r="S46" s="987">
        <v>1130.0</v>
      </c>
    </row>
    <row r="47">
      <c r="J47" s="984" t="s">
        <v>277</v>
      </c>
      <c r="K47" s="992">
        <f t="array" ref="K47">xlookup(L45,$B$3:$B$14,$C$3:$C$14)*100</f>
        <v>85</v>
      </c>
      <c r="L47" s="993">
        <f>SUM(N47:P47)</f>
        <v>175</v>
      </c>
      <c r="M47" s="993">
        <v>100.0</v>
      </c>
      <c r="N47" s="987">
        <v>137.0</v>
      </c>
      <c r="O47" s="987">
        <v>38.0</v>
      </c>
      <c r="P47" s="994"/>
      <c r="Q47" s="993">
        <f>L47*K46</f>
        <v>5250</v>
      </c>
      <c r="R47" s="995" t="s">
        <v>935</v>
      </c>
      <c r="S47" s="996">
        <f>Q61</f>
        <v>1290900</v>
      </c>
    </row>
    <row r="48">
      <c r="J48" s="984" t="s">
        <v>936</v>
      </c>
      <c r="K48" s="987">
        <v>320000.0</v>
      </c>
      <c r="L48" s="993">
        <f>L47*M48%</f>
        <v>105</v>
      </c>
      <c r="M48" s="998">
        <f>K47-K60</f>
        <v>60</v>
      </c>
      <c r="N48" s="993">
        <f>N47*M48%</f>
        <v>82.2</v>
      </c>
      <c r="O48" s="993">
        <f>O47*M48%</f>
        <v>22.8</v>
      </c>
      <c r="P48" s="993">
        <f>P47*M48%</f>
        <v>0</v>
      </c>
      <c r="Q48" s="993">
        <f>L48*K46</f>
        <v>3150</v>
      </c>
      <c r="R48" s="984" t="s">
        <v>278</v>
      </c>
      <c r="S48" s="996">
        <f>S46*Q48+S47</f>
        <v>4850400</v>
      </c>
    </row>
    <row r="49">
      <c r="J49" s="984" t="s">
        <v>937</v>
      </c>
      <c r="K49" s="999">
        <f>270000+(370000/22*9)</f>
        <v>421363.6364</v>
      </c>
      <c r="L49" s="1000" t="s">
        <v>938</v>
      </c>
      <c r="M49" s="3"/>
      <c r="N49" s="1032">
        <v>23.9</v>
      </c>
      <c r="O49" s="1032">
        <v>29.75</v>
      </c>
      <c r="P49" s="994"/>
      <c r="Q49" s="1001"/>
      <c r="R49" s="984" t="s">
        <v>939</v>
      </c>
      <c r="S49" s="993">
        <f>N54+SUM(N58:O60)+S61</f>
        <v>2810874.7</v>
      </c>
    </row>
    <row r="50">
      <c r="J50" s="1003" t="s">
        <v>940</v>
      </c>
      <c r="K50" s="1004">
        <v>1300.0</v>
      </c>
      <c r="L50" s="1005" t="s">
        <v>941</v>
      </c>
      <c r="M50" s="3"/>
      <c r="N50" s="993">
        <f t="shared" ref="N50:O50" si="23">N48/(360/N49)</f>
        <v>5.457166667</v>
      </c>
      <c r="O50" s="993">
        <f t="shared" si="23"/>
        <v>1.884166667</v>
      </c>
      <c r="P50" s="1001"/>
      <c r="Q50" s="993">
        <f t="shared" ref="Q50:Q51" si="24">N50+O50+P50</f>
        <v>7.341333333</v>
      </c>
      <c r="R50" s="984" t="s">
        <v>276</v>
      </c>
      <c r="S50" s="1006">
        <f>S49/S48</f>
        <v>0.5795139988</v>
      </c>
    </row>
    <row r="51">
      <c r="J51" s="1008" t="s">
        <v>942</v>
      </c>
      <c r="K51" s="1004">
        <v>6.5</v>
      </c>
      <c r="L51" s="1009" t="s">
        <v>943</v>
      </c>
      <c r="M51" s="987">
        <v>1230.0</v>
      </c>
      <c r="N51" s="993">
        <f>N50*(M51*6)</f>
        <v>40273.89</v>
      </c>
      <c r="O51" s="993">
        <f>O50*(M51*6)</f>
        <v>13905.15</v>
      </c>
      <c r="P51" s="1001"/>
      <c r="Q51" s="993">
        <f t="shared" si="24"/>
        <v>54179.04</v>
      </c>
      <c r="R51" s="984" t="s">
        <v>944</v>
      </c>
      <c r="S51" s="996">
        <f>S48-S49-N61</f>
        <v>1156957.118</v>
      </c>
    </row>
    <row r="52">
      <c r="J52" s="1010" t="s">
        <v>945</v>
      </c>
      <c r="K52" s="994"/>
      <c r="L52" s="1011"/>
      <c r="M52" s="1001"/>
      <c r="N52" s="1001"/>
      <c r="O52" s="1001"/>
      <c r="P52" s="1001"/>
      <c r="Q52" s="1001"/>
      <c r="R52" s="984" t="s">
        <v>275</v>
      </c>
      <c r="S52" s="1006">
        <f>S51/S48</f>
        <v>0.238528187</v>
      </c>
    </row>
    <row r="53">
      <c r="J53" s="1003" t="s">
        <v>946</v>
      </c>
      <c r="K53" s="1004">
        <v>1230.0</v>
      </c>
      <c r="L53" s="1005" t="s">
        <v>947</v>
      </c>
      <c r="M53" s="3"/>
      <c r="N53" s="993">
        <f>Q51+(Q50*K59)</f>
        <v>58583.84</v>
      </c>
      <c r="O53" s="1001"/>
      <c r="P53" s="1012" t="s">
        <v>948</v>
      </c>
      <c r="Q53" s="232"/>
      <c r="R53" s="232"/>
      <c r="S53" s="3"/>
    </row>
    <row r="54">
      <c r="J54" s="1014" t="s">
        <v>949</v>
      </c>
      <c r="K54" s="1004">
        <v>3.0</v>
      </c>
      <c r="L54" s="1005" t="s">
        <v>950</v>
      </c>
      <c r="M54" s="3"/>
      <c r="N54" s="993">
        <f>N53*K46+L47*K65*K46*110</f>
        <v>1789277.7</v>
      </c>
      <c r="O54" s="1015"/>
      <c r="P54" s="1016" t="s">
        <v>951</v>
      </c>
      <c r="Q54" s="1017">
        <v>567400.0</v>
      </c>
      <c r="R54" s="984" t="s">
        <v>952</v>
      </c>
      <c r="S54" s="998">
        <v>100000.0</v>
      </c>
    </row>
    <row r="55">
      <c r="J55" s="1014" t="s">
        <v>953</v>
      </c>
      <c r="K55" s="1004">
        <f>K46</f>
        <v>30</v>
      </c>
      <c r="L55" s="1005" t="s">
        <v>954</v>
      </c>
      <c r="M55" s="3"/>
      <c r="N55" s="984" t="s">
        <v>375</v>
      </c>
      <c r="O55" s="1010" t="s">
        <v>349</v>
      </c>
      <c r="P55" s="1018" t="s">
        <v>955</v>
      </c>
      <c r="Q55" s="1019">
        <f>L47*K60%*K46*300</f>
        <v>393750</v>
      </c>
      <c r="R55" s="995" t="s">
        <v>956</v>
      </c>
      <c r="S55" s="993">
        <v>26250.0</v>
      </c>
    </row>
    <row r="56">
      <c r="J56" s="1003" t="s">
        <v>957</v>
      </c>
      <c r="K56" s="1004">
        <v>1230.0</v>
      </c>
      <c r="L56" s="1005" t="s">
        <v>958</v>
      </c>
      <c r="M56" s="3"/>
      <c r="N56" s="998">
        <f t="shared" ref="N56:N57" si="25">K48*1.15</f>
        <v>368000</v>
      </c>
      <c r="O56" s="1020">
        <v>15000.0</v>
      </c>
      <c r="P56" s="1021" t="s">
        <v>959</v>
      </c>
      <c r="Q56" s="1019">
        <f>L47*K61*K46*100</f>
        <v>23625</v>
      </c>
      <c r="R56" s="1022" t="s">
        <v>960</v>
      </c>
      <c r="S56" s="993">
        <v>25000.0</v>
      </c>
    </row>
    <row r="57">
      <c r="J57" s="1003" t="s">
        <v>961</v>
      </c>
      <c r="K57" s="1004">
        <v>5.0</v>
      </c>
      <c r="L57" s="1005" t="s">
        <v>962</v>
      </c>
      <c r="M57" s="3"/>
      <c r="N57" s="998">
        <f t="shared" si="25"/>
        <v>484568.1818</v>
      </c>
      <c r="O57" s="998">
        <v>15000.0</v>
      </c>
      <c r="P57" s="1018" t="s">
        <v>963</v>
      </c>
      <c r="Q57" s="1024">
        <f>L47*K62*K46*100</f>
        <v>97125</v>
      </c>
      <c r="R57" s="1025" t="s">
        <v>964</v>
      </c>
      <c r="S57" s="3"/>
    </row>
    <row r="58">
      <c r="J58" s="1003" t="s">
        <v>965</v>
      </c>
      <c r="K58" s="1004">
        <v>35.0</v>
      </c>
      <c r="L58" s="1026" t="s">
        <v>966</v>
      </c>
      <c r="M58" s="3"/>
      <c r="N58" s="998">
        <f>(K46*3.5-43.4)*K50*K51</f>
        <v>520520</v>
      </c>
      <c r="O58" s="998">
        <f>(K46*3.5-43.4)*K59</f>
        <v>36960</v>
      </c>
      <c r="P58" s="1018" t="s">
        <v>967</v>
      </c>
      <c r="Q58" s="1019">
        <f>L47*K63*K46*100</f>
        <v>34125</v>
      </c>
      <c r="R58" s="984" t="s">
        <v>952</v>
      </c>
      <c r="S58" s="993">
        <v>60000.0</v>
      </c>
    </row>
    <row r="59">
      <c r="J59" s="1022" t="s">
        <v>968</v>
      </c>
      <c r="K59" s="1027">
        <v>600.0</v>
      </c>
      <c r="L59" s="1000" t="s">
        <v>969</v>
      </c>
      <c r="M59" s="3"/>
      <c r="N59" s="998">
        <f>K53*K54*K55</f>
        <v>110700</v>
      </c>
      <c r="O59" s="998">
        <f>K55*K59</f>
        <v>18000</v>
      </c>
      <c r="P59" s="1021" t="s">
        <v>133</v>
      </c>
      <c r="Q59" s="1019">
        <f>L47*K64*K46*100</f>
        <v>23625</v>
      </c>
      <c r="R59" s="995" t="s">
        <v>956</v>
      </c>
      <c r="S59" s="993">
        <v>20000.0</v>
      </c>
    </row>
    <row r="60">
      <c r="J60" s="1028" t="s">
        <v>970</v>
      </c>
      <c r="K60" s="1029">
        <v>25.0</v>
      </c>
      <c r="L60" s="1000" t="s">
        <v>971</v>
      </c>
      <c r="M60" s="3"/>
      <c r="N60" s="998">
        <f>K56*K57*K58</f>
        <v>215250</v>
      </c>
      <c r="O60" s="998">
        <f>K58*K59</f>
        <v>21000</v>
      </c>
      <c r="P60" s="1018" t="s">
        <v>972</v>
      </c>
      <c r="Q60" s="1019">
        <f>L47*K65*K46*250</f>
        <v>72187.5</v>
      </c>
      <c r="R60" s="1022" t="s">
        <v>960</v>
      </c>
      <c r="S60" s="993">
        <v>19167.0</v>
      </c>
    </row>
    <row r="61">
      <c r="J61" s="984" t="s">
        <v>959</v>
      </c>
      <c r="K61" s="1006">
        <v>0.045</v>
      </c>
      <c r="L61" s="1000" t="s">
        <v>973</v>
      </c>
      <c r="M61" s="3"/>
      <c r="N61" s="998">
        <f>SUM(N56:O57)</f>
        <v>882568.1818</v>
      </c>
      <c r="O61" s="1030"/>
      <c r="P61" s="984" t="s">
        <v>345</v>
      </c>
      <c r="Q61" s="996">
        <f>SUM(Q54:Q59)+SUM(S54:S56)</f>
        <v>1290900</v>
      </c>
      <c r="R61" s="984" t="s">
        <v>345</v>
      </c>
      <c r="S61" s="993">
        <f>S58+S59+S60</f>
        <v>99167</v>
      </c>
    </row>
    <row r="62">
      <c r="J62" s="1022" t="s">
        <v>974</v>
      </c>
      <c r="K62" s="1006">
        <v>0.185</v>
      </c>
      <c r="L62" s="975"/>
      <c r="M62" s="975"/>
      <c r="N62" s="975"/>
      <c r="O62" s="975"/>
      <c r="P62" s="975"/>
      <c r="Q62" s="975"/>
      <c r="R62" s="975"/>
      <c r="S62" s="975"/>
    </row>
    <row r="63">
      <c r="J63" s="1022" t="s">
        <v>975</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972</v>
      </c>
      <c r="K65" s="1006">
        <v>0.055</v>
      </c>
      <c r="L65" s="975"/>
      <c r="M65" s="975"/>
      <c r="N65" s="975"/>
      <c r="O65" s="975"/>
      <c r="P65" s="975"/>
      <c r="Q65" s="975"/>
      <c r="R65" s="975"/>
      <c r="S65" s="975"/>
    </row>
    <row r="67">
      <c r="J67" s="976" t="s">
        <v>928</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931</v>
      </c>
      <c r="K68" s="985">
        <f>DAY(EOMONTH(K67,0))</f>
        <v>31</v>
      </c>
      <c r="L68" s="986" t="s">
        <v>932</v>
      </c>
      <c r="M68" s="986" t="s">
        <v>277</v>
      </c>
      <c r="N68" s="986" t="s">
        <v>296</v>
      </c>
      <c r="O68" s="986" t="s">
        <v>298</v>
      </c>
      <c r="P68" s="986" t="s">
        <v>298</v>
      </c>
      <c r="Q68" s="986" t="s">
        <v>933</v>
      </c>
      <c r="R68" s="984" t="s">
        <v>934</v>
      </c>
      <c r="S68" s="987">
        <v>1130.0</v>
      </c>
    </row>
    <row r="69">
      <c r="J69" s="984" t="s">
        <v>277</v>
      </c>
      <c r="K69" s="992">
        <f t="array" ref="K69">xlookup(L67,$B$3:$B$14,$C$3:$C$14)*100</f>
        <v>0</v>
      </c>
      <c r="L69" s="993">
        <f>SUM(N69:P69)</f>
        <v>175</v>
      </c>
      <c r="M69" s="993">
        <v>100.0</v>
      </c>
      <c r="N69" s="987">
        <v>137.0</v>
      </c>
      <c r="O69" s="987">
        <v>38.0</v>
      </c>
      <c r="P69" s="994"/>
      <c r="Q69" s="993">
        <f>L69*K68</f>
        <v>5425</v>
      </c>
      <c r="R69" s="995" t="s">
        <v>935</v>
      </c>
      <c r="S69" s="996">
        <f>Q83</f>
        <v>1309975</v>
      </c>
    </row>
    <row r="70">
      <c r="J70" s="984" t="s">
        <v>936</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937</v>
      </c>
      <c r="K71" s="1033">
        <v>270000.0</v>
      </c>
      <c r="L71" s="1000" t="s">
        <v>938</v>
      </c>
      <c r="M71" s="3"/>
      <c r="N71" s="1032">
        <v>23.9</v>
      </c>
      <c r="O71" s="1032">
        <v>29.75</v>
      </c>
      <c r="P71" s="994"/>
      <c r="Q71" s="1001"/>
      <c r="R71" s="984" t="s">
        <v>939</v>
      </c>
      <c r="S71" s="993">
        <f>N76+SUM(N80:O82)+S83</f>
        <v>333675.3167</v>
      </c>
    </row>
    <row r="72">
      <c r="J72" s="1003" t="s">
        <v>940</v>
      </c>
      <c r="K72" s="1004">
        <v>1300.0</v>
      </c>
      <c r="L72" s="1005" t="s">
        <v>941</v>
      </c>
      <c r="M72" s="3"/>
      <c r="N72" s="993">
        <f t="shared" ref="N72:O72" si="26">N70/(360/N71)</f>
        <v>-2.273819444</v>
      </c>
      <c r="O72" s="993">
        <f t="shared" si="26"/>
        <v>-0.7850694444</v>
      </c>
      <c r="P72" s="1001"/>
      <c r="Q72" s="993">
        <f t="shared" ref="Q72:Q73" si="27">N72+O72+P72</f>
        <v>-3.058888889</v>
      </c>
      <c r="R72" s="984" t="s">
        <v>276</v>
      </c>
      <c r="S72" s="1006">
        <f>S71/S70</f>
        <v>-1.499074821</v>
      </c>
    </row>
    <row r="73">
      <c r="J73" s="1008" t="s">
        <v>942</v>
      </c>
      <c r="K73" s="1004">
        <v>6.5</v>
      </c>
      <c r="L73" s="1009" t="s">
        <v>943</v>
      </c>
      <c r="M73" s="987">
        <v>1230.0</v>
      </c>
      <c r="N73" s="993">
        <f>N72*(M73*6)</f>
        <v>-16780.7875</v>
      </c>
      <c r="O73" s="993">
        <f>O72*(M73*6)</f>
        <v>-5793.8125</v>
      </c>
      <c r="P73" s="1001"/>
      <c r="Q73" s="993">
        <f t="shared" si="27"/>
        <v>-22574.6</v>
      </c>
      <c r="R73" s="984" t="s">
        <v>944</v>
      </c>
      <c r="S73" s="996">
        <f>S70-S71-N83</f>
        <v>-1264762.817</v>
      </c>
    </row>
    <row r="74">
      <c r="J74" s="1010" t="s">
        <v>945</v>
      </c>
      <c r="K74" s="994"/>
      <c r="L74" s="1011"/>
      <c r="M74" s="1001"/>
      <c r="N74" s="1001"/>
      <c r="O74" s="1001"/>
      <c r="P74" s="1001"/>
      <c r="Q74" s="1001"/>
      <c r="R74" s="984" t="s">
        <v>275</v>
      </c>
      <c r="S74" s="1006">
        <f>S73/S70</f>
        <v>5.682092735</v>
      </c>
    </row>
    <row r="75">
      <c r="J75" s="1003" t="s">
        <v>946</v>
      </c>
      <c r="K75" s="1004">
        <v>1230.0</v>
      </c>
      <c r="L75" s="1005" t="s">
        <v>947</v>
      </c>
      <c r="M75" s="3"/>
      <c r="N75" s="993">
        <f>Q73+(Q72*K81)</f>
        <v>-24409.93333</v>
      </c>
      <c r="O75" s="1001"/>
      <c r="P75" s="1012" t="s">
        <v>948</v>
      </c>
      <c r="Q75" s="232"/>
      <c r="R75" s="232"/>
      <c r="S75" s="3"/>
    </row>
    <row r="76">
      <c r="J76" s="1014" t="s">
        <v>949</v>
      </c>
      <c r="K76" s="1004">
        <v>3.0</v>
      </c>
      <c r="L76" s="1005" t="s">
        <v>950</v>
      </c>
      <c r="M76" s="3"/>
      <c r="N76" s="993">
        <f>N75*K68+L69*K87*K68*110</f>
        <v>-723886.6833</v>
      </c>
      <c r="O76" s="1015"/>
      <c r="P76" s="1016" t="s">
        <v>951</v>
      </c>
      <c r="Q76" s="1017">
        <v>567400.0</v>
      </c>
      <c r="R76" s="984" t="s">
        <v>952</v>
      </c>
      <c r="S76" s="998">
        <v>100000.0</v>
      </c>
    </row>
    <row r="77">
      <c r="J77" s="1014" t="s">
        <v>953</v>
      </c>
      <c r="K77" s="1004">
        <f>K68</f>
        <v>31</v>
      </c>
      <c r="L77" s="1005" t="s">
        <v>954</v>
      </c>
      <c r="M77" s="3"/>
      <c r="N77" s="984" t="s">
        <v>375</v>
      </c>
      <c r="O77" s="1010" t="s">
        <v>349</v>
      </c>
      <c r="P77" s="1018" t="s">
        <v>955</v>
      </c>
      <c r="Q77" s="1019">
        <f>L69*K82%*K68*300</f>
        <v>406875</v>
      </c>
      <c r="R77" s="995" t="s">
        <v>956</v>
      </c>
      <c r="S77" s="993">
        <v>26250.0</v>
      </c>
    </row>
    <row r="78">
      <c r="J78" s="1003" t="s">
        <v>957</v>
      </c>
      <c r="K78" s="1004">
        <v>1230.0</v>
      </c>
      <c r="L78" s="1005" t="s">
        <v>958</v>
      </c>
      <c r="M78" s="3"/>
      <c r="N78" s="998">
        <f t="shared" ref="N78:N79" si="28">K70*1.15</f>
        <v>368000</v>
      </c>
      <c r="O78" s="1020">
        <v>15000.0</v>
      </c>
      <c r="P78" s="1021" t="s">
        <v>959</v>
      </c>
      <c r="Q78" s="1019">
        <f>L69*K83*K68*100</f>
        <v>24412.5</v>
      </c>
      <c r="R78" s="1022" t="s">
        <v>960</v>
      </c>
      <c r="S78" s="993">
        <v>25000.0</v>
      </c>
    </row>
    <row r="79">
      <c r="J79" s="1003" t="s">
        <v>961</v>
      </c>
      <c r="K79" s="1004">
        <v>5.0</v>
      </c>
      <c r="L79" s="1005" t="s">
        <v>962</v>
      </c>
      <c r="M79" s="3"/>
      <c r="N79" s="998">
        <f t="shared" si="28"/>
        <v>310500</v>
      </c>
      <c r="O79" s="998">
        <v>15000.0</v>
      </c>
      <c r="P79" s="1018" t="s">
        <v>963</v>
      </c>
      <c r="Q79" s="1024">
        <f>L69*K84*K68*100</f>
        <v>100362.5</v>
      </c>
      <c r="R79" s="1025" t="s">
        <v>964</v>
      </c>
      <c r="S79" s="3"/>
    </row>
    <row r="80">
      <c r="J80" s="1003" t="s">
        <v>965</v>
      </c>
      <c r="K80" s="1004">
        <v>35.0</v>
      </c>
      <c r="L80" s="1026" t="s">
        <v>966</v>
      </c>
      <c r="M80" s="3"/>
      <c r="N80" s="998">
        <f>(K68*3.5-43.4)*K72*K73</f>
        <v>550095</v>
      </c>
      <c r="O80" s="998">
        <f>(K68*3.5-43.4)*K81</f>
        <v>39060</v>
      </c>
      <c r="P80" s="1018" t="s">
        <v>967</v>
      </c>
      <c r="Q80" s="1019">
        <f>L69*K85*K68*100</f>
        <v>35262.5</v>
      </c>
      <c r="R80" s="984" t="s">
        <v>952</v>
      </c>
      <c r="S80" s="993">
        <v>60000.0</v>
      </c>
    </row>
    <row r="81">
      <c r="J81" s="1022" t="s">
        <v>968</v>
      </c>
      <c r="K81" s="1027">
        <v>600.0</v>
      </c>
      <c r="L81" s="1000" t="s">
        <v>969</v>
      </c>
      <c r="M81" s="3"/>
      <c r="N81" s="998">
        <f>K75*K76*K77</f>
        <v>114390</v>
      </c>
      <c r="O81" s="998">
        <f>K77*K81</f>
        <v>18600</v>
      </c>
      <c r="P81" s="1021" t="s">
        <v>133</v>
      </c>
      <c r="Q81" s="1019">
        <f>L69*K86*K68*100</f>
        <v>24412.5</v>
      </c>
      <c r="R81" s="995" t="s">
        <v>956</v>
      </c>
      <c r="S81" s="993">
        <v>20000.0</v>
      </c>
    </row>
    <row r="82">
      <c r="J82" s="1028" t="s">
        <v>970</v>
      </c>
      <c r="K82" s="1029">
        <v>25.0</v>
      </c>
      <c r="L82" s="1000" t="s">
        <v>971</v>
      </c>
      <c r="M82" s="3"/>
      <c r="N82" s="998">
        <f>K78*K79*K80</f>
        <v>215250</v>
      </c>
      <c r="O82" s="998">
        <f>K80*K81</f>
        <v>21000</v>
      </c>
      <c r="P82" s="1018" t="s">
        <v>972</v>
      </c>
      <c r="Q82" s="1019">
        <f>L69*K87*K68*250</f>
        <v>74593.75</v>
      </c>
      <c r="R82" s="1022" t="s">
        <v>960</v>
      </c>
      <c r="S82" s="993">
        <v>19167.0</v>
      </c>
    </row>
    <row r="83">
      <c r="J83" s="984" t="s">
        <v>959</v>
      </c>
      <c r="K83" s="1006">
        <v>0.045</v>
      </c>
      <c r="L83" s="1000" t="s">
        <v>973</v>
      </c>
      <c r="M83" s="3"/>
      <c r="N83" s="998">
        <f>SUM(N78:O79)</f>
        <v>708500</v>
      </c>
      <c r="O83" s="1030"/>
      <c r="P83" s="984" t="s">
        <v>345</v>
      </c>
      <c r="Q83" s="996">
        <f>SUM(Q76:Q81)+SUM(S76:S78)</f>
        <v>1309975</v>
      </c>
      <c r="R83" s="984" t="s">
        <v>345</v>
      </c>
      <c r="S83" s="993">
        <f>S80+S81+S82</f>
        <v>99167</v>
      </c>
    </row>
    <row r="84">
      <c r="J84" s="1022" t="s">
        <v>974</v>
      </c>
      <c r="K84" s="1006">
        <v>0.185</v>
      </c>
      <c r="L84" s="975"/>
      <c r="M84" s="975"/>
      <c r="N84" s="975"/>
      <c r="O84" s="975"/>
      <c r="P84" s="975"/>
      <c r="Q84" s="975"/>
      <c r="R84" s="975"/>
      <c r="S84" s="975"/>
    </row>
    <row r="85">
      <c r="J85" s="1022" t="s">
        <v>975</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972</v>
      </c>
      <c r="K87" s="1006">
        <v>0.055</v>
      </c>
      <c r="L87" s="975"/>
      <c r="M87" s="975"/>
      <c r="N87" s="975"/>
      <c r="O87" s="975"/>
      <c r="P87" s="975"/>
      <c r="Q87" s="975"/>
      <c r="R87" s="975"/>
      <c r="S87" s="975"/>
    </row>
    <row r="89">
      <c r="J89" s="976" t="s">
        <v>928</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931</v>
      </c>
      <c r="K90" s="985">
        <f>DAY(EOMONTH(K89,0))</f>
        <v>30</v>
      </c>
      <c r="L90" s="986" t="s">
        <v>932</v>
      </c>
      <c r="M90" s="986" t="s">
        <v>277</v>
      </c>
      <c r="N90" s="986" t="s">
        <v>296</v>
      </c>
      <c r="O90" s="986" t="s">
        <v>298</v>
      </c>
      <c r="P90" s="986" t="s">
        <v>298</v>
      </c>
      <c r="Q90" s="986" t="s">
        <v>933</v>
      </c>
      <c r="R90" s="984" t="s">
        <v>934</v>
      </c>
      <c r="S90" s="987">
        <v>1130.0</v>
      </c>
    </row>
    <row r="91">
      <c r="J91" s="984" t="s">
        <v>277</v>
      </c>
      <c r="K91" s="992">
        <f t="array" ref="K91">xlookup(L89,$B$3:$B$14,$C$3:$C$14)*100</f>
        <v>0</v>
      </c>
      <c r="L91" s="993">
        <f>SUM(N91:P91)</f>
        <v>175</v>
      </c>
      <c r="M91" s="993">
        <v>100.0</v>
      </c>
      <c r="N91" s="987">
        <v>137.0</v>
      </c>
      <c r="O91" s="987">
        <v>38.0</v>
      </c>
      <c r="P91" s="994"/>
      <c r="Q91" s="993">
        <f>L91*K90</f>
        <v>5250</v>
      </c>
      <c r="R91" s="995" t="s">
        <v>935</v>
      </c>
      <c r="S91" s="996">
        <f>Q105</f>
        <v>1290900</v>
      </c>
    </row>
    <row r="92">
      <c r="J92" s="984" t="s">
        <v>936</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937</v>
      </c>
      <c r="K93" s="1033">
        <v>270000.0</v>
      </c>
      <c r="L93" s="1000" t="s">
        <v>938</v>
      </c>
      <c r="M93" s="3"/>
      <c r="N93" s="1032">
        <v>23.9</v>
      </c>
      <c r="O93" s="1032">
        <v>29.75</v>
      </c>
      <c r="P93" s="994"/>
      <c r="Q93" s="1001"/>
      <c r="R93" s="984" t="s">
        <v>939</v>
      </c>
      <c r="S93" s="993">
        <f>N98+SUM(N102:O104)+S105</f>
        <v>321061.5</v>
      </c>
    </row>
    <row r="94">
      <c r="J94" s="1003" t="s">
        <v>940</v>
      </c>
      <c r="K94" s="1004">
        <v>1300.0</v>
      </c>
      <c r="L94" s="1005" t="s">
        <v>941</v>
      </c>
      <c r="M94" s="3"/>
      <c r="N94" s="993">
        <f t="shared" ref="N94:O94" si="29">N92/(360/N93)</f>
        <v>-2.273819444</v>
      </c>
      <c r="O94" s="993">
        <f t="shared" si="29"/>
        <v>-0.7850694444</v>
      </c>
      <c r="P94" s="1001"/>
      <c r="Q94" s="993">
        <f t="shared" ref="Q94:Q95" si="30">N94+O94+P94</f>
        <v>-3.058888889</v>
      </c>
      <c r="R94" s="984" t="s">
        <v>276</v>
      </c>
      <c r="S94" s="1006">
        <f>S93/S92</f>
        <v>-1.670238002</v>
      </c>
    </row>
    <row r="95">
      <c r="J95" s="1008" t="s">
        <v>942</v>
      </c>
      <c r="K95" s="1004">
        <v>6.5</v>
      </c>
      <c r="L95" s="1009" t="s">
        <v>943</v>
      </c>
      <c r="M95" s="987">
        <v>1230.0</v>
      </c>
      <c r="N95" s="993">
        <f>N94*(M95*6)</f>
        <v>-16780.7875</v>
      </c>
      <c r="O95" s="993">
        <f>O94*(M95*6)</f>
        <v>-5793.8125</v>
      </c>
      <c r="P95" s="1001"/>
      <c r="Q95" s="993">
        <f t="shared" si="30"/>
        <v>-22574.6</v>
      </c>
      <c r="R95" s="984" t="s">
        <v>944</v>
      </c>
      <c r="S95" s="996">
        <f>S92-S93-N105</f>
        <v>-1221786.5</v>
      </c>
    </row>
    <row r="96">
      <c r="J96" s="1010" t="s">
        <v>945</v>
      </c>
      <c r="K96" s="994"/>
      <c r="L96" s="1011"/>
      <c r="M96" s="1001"/>
      <c r="N96" s="1001"/>
      <c r="O96" s="1001"/>
      <c r="P96" s="1001"/>
      <c r="Q96" s="1001"/>
      <c r="R96" s="984" t="s">
        <v>275</v>
      </c>
      <c r="S96" s="1006">
        <f>S95/S92</f>
        <v>6.35602289</v>
      </c>
    </row>
    <row r="97">
      <c r="J97" s="1003" t="s">
        <v>946</v>
      </c>
      <c r="K97" s="1004">
        <v>1230.0</v>
      </c>
      <c r="L97" s="1005" t="s">
        <v>947</v>
      </c>
      <c r="M97" s="3"/>
      <c r="N97" s="993">
        <f>Q95+(Q94*K103)</f>
        <v>-24409.93333</v>
      </c>
      <c r="O97" s="1001"/>
      <c r="P97" s="1012" t="s">
        <v>948</v>
      </c>
      <c r="Q97" s="232"/>
      <c r="R97" s="232"/>
      <c r="S97" s="3"/>
    </row>
    <row r="98">
      <c r="J98" s="1014" t="s">
        <v>949</v>
      </c>
      <c r="K98" s="1004">
        <v>3.0</v>
      </c>
      <c r="L98" s="1005" t="s">
        <v>950</v>
      </c>
      <c r="M98" s="3"/>
      <c r="N98" s="993">
        <f>N97*K90+L91*K109*K90*110</f>
        <v>-700535.5</v>
      </c>
      <c r="O98" s="1015"/>
      <c r="P98" s="1016" t="s">
        <v>951</v>
      </c>
      <c r="Q98" s="1017">
        <v>567400.0</v>
      </c>
      <c r="R98" s="984" t="s">
        <v>952</v>
      </c>
      <c r="S98" s="998">
        <v>100000.0</v>
      </c>
    </row>
    <row r="99">
      <c r="J99" s="1014" t="s">
        <v>953</v>
      </c>
      <c r="K99" s="1004">
        <f>K90</f>
        <v>30</v>
      </c>
      <c r="L99" s="1005" t="s">
        <v>954</v>
      </c>
      <c r="M99" s="3"/>
      <c r="N99" s="984" t="s">
        <v>375</v>
      </c>
      <c r="O99" s="1010" t="s">
        <v>349</v>
      </c>
      <c r="P99" s="1018" t="s">
        <v>955</v>
      </c>
      <c r="Q99" s="1019">
        <f>L91*K104%*K90*300</f>
        <v>393750</v>
      </c>
      <c r="R99" s="995" t="s">
        <v>956</v>
      </c>
      <c r="S99" s="993">
        <v>26250.0</v>
      </c>
    </row>
    <row r="100">
      <c r="J100" s="1003" t="s">
        <v>957</v>
      </c>
      <c r="K100" s="1004">
        <v>1230.0</v>
      </c>
      <c r="L100" s="1005" t="s">
        <v>958</v>
      </c>
      <c r="M100" s="3"/>
      <c r="N100" s="998">
        <f t="shared" ref="N100:N101" si="31">K92*1.15</f>
        <v>368000</v>
      </c>
      <c r="O100" s="1020">
        <v>15000.0</v>
      </c>
      <c r="P100" s="1021" t="s">
        <v>959</v>
      </c>
      <c r="Q100" s="1019">
        <f>L91*K105*K90*100</f>
        <v>23625</v>
      </c>
      <c r="R100" s="1022" t="s">
        <v>960</v>
      </c>
      <c r="S100" s="993">
        <v>25000.0</v>
      </c>
    </row>
    <row r="101">
      <c r="J101" s="1003" t="s">
        <v>961</v>
      </c>
      <c r="K101" s="1004">
        <v>5.0</v>
      </c>
      <c r="L101" s="1005" t="s">
        <v>962</v>
      </c>
      <c r="M101" s="3"/>
      <c r="N101" s="998">
        <f t="shared" si="31"/>
        <v>310500</v>
      </c>
      <c r="O101" s="998">
        <v>15000.0</v>
      </c>
      <c r="P101" s="1018" t="s">
        <v>963</v>
      </c>
      <c r="Q101" s="1024">
        <f>L91*K106*K90*100</f>
        <v>97125</v>
      </c>
      <c r="R101" s="1025" t="s">
        <v>964</v>
      </c>
      <c r="S101" s="3"/>
    </row>
    <row r="102">
      <c r="J102" s="1003" t="s">
        <v>965</v>
      </c>
      <c r="K102" s="1004">
        <v>35.0</v>
      </c>
      <c r="L102" s="1026" t="s">
        <v>966</v>
      </c>
      <c r="M102" s="3"/>
      <c r="N102" s="998">
        <f>(K90*3.5-43.4)*K94*K95</f>
        <v>520520</v>
      </c>
      <c r="O102" s="998">
        <f>(K90*3.5-43.4)*K103</f>
        <v>36960</v>
      </c>
      <c r="P102" s="1018" t="s">
        <v>967</v>
      </c>
      <c r="Q102" s="1019">
        <f>L91*K107*K90*100</f>
        <v>34125</v>
      </c>
      <c r="R102" s="984" t="s">
        <v>952</v>
      </c>
      <c r="S102" s="993">
        <v>60000.0</v>
      </c>
    </row>
    <row r="103">
      <c r="J103" s="1022" t="s">
        <v>968</v>
      </c>
      <c r="K103" s="1027">
        <v>600.0</v>
      </c>
      <c r="L103" s="1000" t="s">
        <v>969</v>
      </c>
      <c r="M103" s="3"/>
      <c r="N103" s="998">
        <f>K97*K98*K99</f>
        <v>110700</v>
      </c>
      <c r="O103" s="998">
        <f>K99*K103</f>
        <v>18000</v>
      </c>
      <c r="P103" s="1021" t="s">
        <v>133</v>
      </c>
      <c r="Q103" s="1019">
        <f>L91*K108*K90*100</f>
        <v>23625</v>
      </c>
      <c r="R103" s="995" t="s">
        <v>956</v>
      </c>
      <c r="S103" s="993">
        <v>20000.0</v>
      </c>
    </row>
    <row r="104">
      <c r="J104" s="1028" t="s">
        <v>970</v>
      </c>
      <c r="K104" s="1029">
        <v>25.0</v>
      </c>
      <c r="L104" s="1000" t="s">
        <v>971</v>
      </c>
      <c r="M104" s="3"/>
      <c r="N104" s="998">
        <f>K100*K101*K102</f>
        <v>215250</v>
      </c>
      <c r="O104" s="998">
        <f>K102*K103</f>
        <v>21000</v>
      </c>
      <c r="P104" s="1018" t="s">
        <v>972</v>
      </c>
      <c r="Q104" s="1019">
        <f>L91*K109*K90*250</f>
        <v>72187.5</v>
      </c>
      <c r="R104" s="1022" t="s">
        <v>960</v>
      </c>
      <c r="S104" s="993">
        <v>19167.0</v>
      </c>
    </row>
    <row r="105">
      <c r="J105" s="984" t="s">
        <v>959</v>
      </c>
      <c r="K105" s="1006">
        <v>0.045</v>
      </c>
      <c r="L105" s="1000" t="s">
        <v>973</v>
      </c>
      <c r="M105" s="3"/>
      <c r="N105" s="998">
        <f>SUM(N100:O101)</f>
        <v>708500</v>
      </c>
      <c r="O105" s="1030"/>
      <c r="P105" s="984" t="s">
        <v>345</v>
      </c>
      <c r="Q105" s="996">
        <f>SUM(Q98:Q103)+SUM(S98:S100)</f>
        <v>1290900</v>
      </c>
      <c r="R105" s="984" t="s">
        <v>345</v>
      </c>
      <c r="S105" s="993">
        <f>S102+S103+S104</f>
        <v>99167</v>
      </c>
    </row>
    <row r="106">
      <c r="J106" s="1022" t="s">
        <v>974</v>
      </c>
      <c r="K106" s="1006">
        <v>0.185</v>
      </c>
      <c r="L106" s="975"/>
      <c r="M106" s="975"/>
      <c r="N106" s="975"/>
      <c r="O106" s="975"/>
      <c r="P106" s="975"/>
      <c r="Q106" s="975"/>
      <c r="R106" s="975"/>
      <c r="S106" s="975"/>
    </row>
    <row r="107">
      <c r="J107" s="1022" t="s">
        <v>975</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972</v>
      </c>
      <c r="K109" s="1006">
        <v>0.055</v>
      </c>
      <c r="L109" s="975"/>
      <c r="M109" s="975"/>
      <c r="N109" s="975"/>
      <c r="O109" s="975"/>
      <c r="P109" s="975"/>
      <c r="Q109" s="975"/>
      <c r="R109" s="975"/>
      <c r="S109" s="975"/>
    </row>
    <row r="111">
      <c r="J111" s="976" t="s">
        <v>928</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931</v>
      </c>
      <c r="K112" s="985">
        <f>DAY(EOMONTH(K111,0))</f>
        <v>31</v>
      </c>
      <c r="L112" s="986" t="s">
        <v>932</v>
      </c>
      <c r="M112" s="986" t="s">
        <v>277</v>
      </c>
      <c r="N112" s="986" t="s">
        <v>296</v>
      </c>
      <c r="O112" s="986" t="s">
        <v>298</v>
      </c>
      <c r="P112" s="986" t="s">
        <v>298</v>
      </c>
      <c r="Q112" s="986" t="s">
        <v>933</v>
      </c>
      <c r="R112" s="984" t="s">
        <v>934</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935</v>
      </c>
      <c r="S113" s="996">
        <f>Q127</f>
        <v>1309975</v>
      </c>
    </row>
    <row r="114">
      <c r="J114" s="984" t="s">
        <v>936</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937</v>
      </c>
      <c r="K115" s="1033">
        <v>270000.0</v>
      </c>
      <c r="L115" s="1000" t="s">
        <v>938</v>
      </c>
      <c r="M115" s="3"/>
      <c r="N115" s="1032">
        <v>23.9</v>
      </c>
      <c r="O115" s="1032">
        <v>29.75</v>
      </c>
      <c r="P115" s="994"/>
      <c r="Q115" s="1001"/>
      <c r="R115" s="984" t="s">
        <v>939</v>
      </c>
      <c r="S115" s="993">
        <f>N120+SUM(N124:O126)+S127</f>
        <v>333675.3167</v>
      </c>
    </row>
    <row r="116">
      <c r="J116" s="1003" t="s">
        <v>940</v>
      </c>
      <c r="K116" s="1004">
        <v>1300.0</v>
      </c>
      <c r="L116" s="1005" t="s">
        <v>941</v>
      </c>
      <c r="M116" s="3"/>
      <c r="N116" s="993">
        <f t="shared" ref="N116:O116" si="32">N114/(360/N115)</f>
        <v>-2.273819444</v>
      </c>
      <c r="O116" s="993">
        <f t="shared" si="32"/>
        <v>-0.7850694444</v>
      </c>
      <c r="P116" s="1001"/>
      <c r="Q116" s="993">
        <f t="shared" ref="Q116:Q117" si="33">N116+O116+P116</f>
        <v>-3.058888889</v>
      </c>
      <c r="R116" s="984" t="s">
        <v>276</v>
      </c>
      <c r="S116" s="1006">
        <f>S115/S114</f>
        <v>-1.499074821</v>
      </c>
    </row>
    <row r="117">
      <c r="J117" s="1008" t="s">
        <v>942</v>
      </c>
      <c r="K117" s="1004">
        <v>6.5</v>
      </c>
      <c r="L117" s="1009" t="s">
        <v>943</v>
      </c>
      <c r="M117" s="987">
        <v>1230.0</v>
      </c>
      <c r="N117" s="993">
        <f>N116*(M117*6)</f>
        <v>-16780.7875</v>
      </c>
      <c r="O117" s="993">
        <f>O116*(M117*6)</f>
        <v>-5793.8125</v>
      </c>
      <c r="P117" s="1001"/>
      <c r="Q117" s="993">
        <f t="shared" si="33"/>
        <v>-22574.6</v>
      </c>
      <c r="R117" s="984" t="s">
        <v>944</v>
      </c>
      <c r="S117" s="996">
        <f>S114-S115-N127</f>
        <v>-1264762.817</v>
      </c>
    </row>
    <row r="118">
      <c r="J118" s="1010" t="s">
        <v>945</v>
      </c>
      <c r="K118" s="994"/>
      <c r="L118" s="1011"/>
      <c r="M118" s="1001"/>
      <c r="N118" s="1001"/>
      <c r="O118" s="1001"/>
      <c r="P118" s="1001"/>
      <c r="Q118" s="1001"/>
      <c r="R118" s="984" t="s">
        <v>275</v>
      </c>
      <c r="S118" s="1006">
        <f>S117/S114</f>
        <v>5.682092735</v>
      </c>
    </row>
    <row r="119">
      <c r="J119" s="1003" t="s">
        <v>946</v>
      </c>
      <c r="K119" s="1004">
        <v>1230.0</v>
      </c>
      <c r="L119" s="1005" t="s">
        <v>947</v>
      </c>
      <c r="M119" s="3"/>
      <c r="N119" s="993">
        <f>Q117+(Q116*K125)</f>
        <v>-24409.93333</v>
      </c>
      <c r="O119" s="1001"/>
      <c r="P119" s="1012" t="s">
        <v>948</v>
      </c>
      <c r="Q119" s="232"/>
      <c r="R119" s="232"/>
      <c r="S119" s="3"/>
    </row>
    <row r="120">
      <c r="J120" s="1014" t="s">
        <v>949</v>
      </c>
      <c r="K120" s="1004">
        <v>3.0</v>
      </c>
      <c r="L120" s="1005" t="s">
        <v>950</v>
      </c>
      <c r="M120" s="3"/>
      <c r="N120" s="993">
        <f>N119*K112+L113*K131*K112*110</f>
        <v>-723886.6833</v>
      </c>
      <c r="O120" s="1015"/>
      <c r="P120" s="1016" t="s">
        <v>951</v>
      </c>
      <c r="Q120" s="1017">
        <v>567400.0</v>
      </c>
      <c r="R120" s="984" t="s">
        <v>952</v>
      </c>
      <c r="S120" s="998">
        <v>100000.0</v>
      </c>
    </row>
    <row r="121">
      <c r="J121" s="1014" t="s">
        <v>953</v>
      </c>
      <c r="K121" s="1004">
        <f>K112</f>
        <v>31</v>
      </c>
      <c r="L121" s="1005" t="s">
        <v>954</v>
      </c>
      <c r="M121" s="3"/>
      <c r="N121" s="984" t="s">
        <v>375</v>
      </c>
      <c r="O121" s="1010" t="s">
        <v>349</v>
      </c>
      <c r="P121" s="1018" t="s">
        <v>955</v>
      </c>
      <c r="Q121" s="1019">
        <f>L113*K126%*K112*300</f>
        <v>406875</v>
      </c>
      <c r="R121" s="995" t="s">
        <v>956</v>
      </c>
      <c r="S121" s="993">
        <v>26250.0</v>
      </c>
    </row>
    <row r="122">
      <c r="J122" s="1003" t="s">
        <v>957</v>
      </c>
      <c r="K122" s="1004">
        <v>1230.0</v>
      </c>
      <c r="L122" s="1005" t="s">
        <v>958</v>
      </c>
      <c r="M122" s="3"/>
      <c r="N122" s="998">
        <f t="shared" ref="N122:N123" si="34">K114*1.15</f>
        <v>368000</v>
      </c>
      <c r="O122" s="1020">
        <v>15000.0</v>
      </c>
      <c r="P122" s="1021" t="s">
        <v>959</v>
      </c>
      <c r="Q122" s="1019">
        <f>L113*K127*K112*100</f>
        <v>24412.5</v>
      </c>
      <c r="R122" s="1022" t="s">
        <v>960</v>
      </c>
      <c r="S122" s="993">
        <v>25000.0</v>
      </c>
    </row>
    <row r="123">
      <c r="J123" s="1003" t="s">
        <v>961</v>
      </c>
      <c r="K123" s="1004">
        <v>5.0</v>
      </c>
      <c r="L123" s="1005" t="s">
        <v>962</v>
      </c>
      <c r="M123" s="3"/>
      <c r="N123" s="998">
        <f t="shared" si="34"/>
        <v>310500</v>
      </c>
      <c r="O123" s="998">
        <v>15000.0</v>
      </c>
      <c r="P123" s="1018" t="s">
        <v>963</v>
      </c>
      <c r="Q123" s="1024">
        <f>L113*K128*K112*100</f>
        <v>100362.5</v>
      </c>
      <c r="R123" s="1025" t="s">
        <v>964</v>
      </c>
      <c r="S123" s="3"/>
    </row>
    <row r="124">
      <c r="J124" s="1003" t="s">
        <v>965</v>
      </c>
      <c r="K124" s="1004">
        <v>35.0</v>
      </c>
      <c r="L124" s="1026" t="s">
        <v>966</v>
      </c>
      <c r="M124" s="3"/>
      <c r="N124" s="998">
        <f>(K112*3.5-43.4)*K116*K117</f>
        <v>550095</v>
      </c>
      <c r="O124" s="998">
        <f>(K112*3.5-43.4)*K125</f>
        <v>39060</v>
      </c>
      <c r="P124" s="1018" t="s">
        <v>967</v>
      </c>
      <c r="Q124" s="1019">
        <f>L113*K129*K112*100</f>
        <v>35262.5</v>
      </c>
      <c r="R124" s="984" t="s">
        <v>952</v>
      </c>
      <c r="S124" s="993">
        <v>60000.0</v>
      </c>
    </row>
    <row r="125">
      <c r="J125" s="1022" t="s">
        <v>968</v>
      </c>
      <c r="K125" s="1027">
        <v>600.0</v>
      </c>
      <c r="L125" s="1000" t="s">
        <v>969</v>
      </c>
      <c r="M125" s="3"/>
      <c r="N125" s="998">
        <f>K119*K120*K121</f>
        <v>114390</v>
      </c>
      <c r="O125" s="998">
        <f>K121*K125</f>
        <v>18600</v>
      </c>
      <c r="P125" s="1021" t="s">
        <v>133</v>
      </c>
      <c r="Q125" s="1019">
        <f>L113*K130*K112*100</f>
        <v>24412.5</v>
      </c>
      <c r="R125" s="995" t="s">
        <v>956</v>
      </c>
      <c r="S125" s="993">
        <v>20000.0</v>
      </c>
    </row>
    <row r="126">
      <c r="J126" s="1028" t="s">
        <v>970</v>
      </c>
      <c r="K126" s="1029">
        <v>25.0</v>
      </c>
      <c r="L126" s="1000" t="s">
        <v>971</v>
      </c>
      <c r="M126" s="3"/>
      <c r="N126" s="998">
        <f>K122*K123*K124</f>
        <v>215250</v>
      </c>
      <c r="O126" s="998">
        <f>K124*K125</f>
        <v>21000</v>
      </c>
      <c r="P126" s="1018" t="s">
        <v>972</v>
      </c>
      <c r="Q126" s="1019">
        <f>L113*K131*K112*250</f>
        <v>74593.75</v>
      </c>
      <c r="R126" s="1022" t="s">
        <v>960</v>
      </c>
      <c r="S126" s="993">
        <v>19167.0</v>
      </c>
    </row>
    <row r="127">
      <c r="J127" s="984" t="s">
        <v>959</v>
      </c>
      <c r="K127" s="1006">
        <v>0.045</v>
      </c>
      <c r="L127" s="1000" t="s">
        <v>973</v>
      </c>
      <c r="M127" s="3"/>
      <c r="N127" s="998">
        <f>SUM(N122:O123)</f>
        <v>708500</v>
      </c>
      <c r="O127" s="1030"/>
      <c r="P127" s="984" t="s">
        <v>345</v>
      </c>
      <c r="Q127" s="996">
        <f>SUM(Q120:Q125)+SUM(S120:S122)</f>
        <v>1309975</v>
      </c>
      <c r="R127" s="984" t="s">
        <v>345</v>
      </c>
      <c r="S127" s="993">
        <f>S124+S125+S126</f>
        <v>99167</v>
      </c>
    </row>
    <row r="128">
      <c r="J128" s="1022" t="s">
        <v>974</v>
      </c>
      <c r="K128" s="1006">
        <v>0.185</v>
      </c>
      <c r="L128" s="975"/>
      <c r="M128" s="975"/>
      <c r="N128" s="975"/>
      <c r="O128" s="975"/>
      <c r="P128" s="975"/>
      <c r="Q128" s="975"/>
      <c r="R128" s="975"/>
      <c r="S128" s="975"/>
    </row>
    <row r="129">
      <c r="J129" s="1022" t="s">
        <v>975</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972</v>
      </c>
      <c r="K131" s="1006">
        <v>0.055</v>
      </c>
      <c r="L131" s="975"/>
      <c r="M131" s="975"/>
      <c r="N131" s="975"/>
      <c r="O131" s="975"/>
      <c r="P131" s="975"/>
      <c r="Q131" s="975"/>
      <c r="R131" s="975"/>
      <c r="S131" s="975"/>
    </row>
    <row r="133">
      <c r="J133" s="976" t="s">
        <v>928</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931</v>
      </c>
      <c r="K134" s="985">
        <f>DAY(EOMONTH(K133,0))</f>
        <v>31</v>
      </c>
      <c r="L134" s="986" t="s">
        <v>932</v>
      </c>
      <c r="M134" s="986" t="s">
        <v>277</v>
      </c>
      <c r="N134" s="986" t="s">
        <v>296</v>
      </c>
      <c r="O134" s="986" t="s">
        <v>298</v>
      </c>
      <c r="P134" s="986" t="s">
        <v>298</v>
      </c>
      <c r="Q134" s="986" t="s">
        <v>933</v>
      </c>
      <c r="R134" s="984" t="s">
        <v>934</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935</v>
      </c>
      <c r="S135" s="996">
        <f>Q149</f>
        <v>1309975</v>
      </c>
    </row>
    <row r="136">
      <c r="J136" s="984" t="s">
        <v>936</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937</v>
      </c>
      <c r="K137" s="1033">
        <v>270000.0</v>
      </c>
      <c r="L137" s="1000" t="s">
        <v>938</v>
      </c>
      <c r="M137" s="3"/>
      <c r="N137" s="1032">
        <v>23.9</v>
      </c>
      <c r="O137" s="1032">
        <v>29.75</v>
      </c>
      <c r="P137" s="994"/>
      <c r="Q137" s="1001"/>
      <c r="R137" s="984" t="s">
        <v>939</v>
      </c>
      <c r="S137" s="993">
        <f>N142+SUM(N146:O148)+S149</f>
        <v>333675.3167</v>
      </c>
    </row>
    <row r="138">
      <c r="J138" s="1003" t="s">
        <v>940</v>
      </c>
      <c r="K138" s="1004">
        <v>1300.0</v>
      </c>
      <c r="L138" s="1005" t="s">
        <v>941</v>
      </c>
      <c r="M138" s="3"/>
      <c r="N138" s="993">
        <f t="shared" ref="N138:O138" si="35">N136/(360/N137)</f>
        <v>-2.273819444</v>
      </c>
      <c r="O138" s="993">
        <f t="shared" si="35"/>
        <v>-0.7850694444</v>
      </c>
      <c r="P138" s="1001"/>
      <c r="Q138" s="993">
        <f t="shared" ref="Q138:Q139" si="36">N138+O138+P138</f>
        <v>-3.058888889</v>
      </c>
      <c r="R138" s="984" t="s">
        <v>276</v>
      </c>
      <c r="S138" s="1006">
        <f>S137/S136</f>
        <v>-1.499074821</v>
      </c>
    </row>
    <row r="139">
      <c r="J139" s="1008" t="s">
        <v>942</v>
      </c>
      <c r="K139" s="1004">
        <v>6.5</v>
      </c>
      <c r="L139" s="1009" t="s">
        <v>943</v>
      </c>
      <c r="M139" s="987">
        <v>1230.0</v>
      </c>
      <c r="N139" s="993">
        <f>N138*(M139*6)</f>
        <v>-16780.7875</v>
      </c>
      <c r="O139" s="993">
        <f>O138*(M139*6)</f>
        <v>-5793.8125</v>
      </c>
      <c r="P139" s="1001"/>
      <c r="Q139" s="993">
        <f t="shared" si="36"/>
        <v>-22574.6</v>
      </c>
      <c r="R139" s="984" t="s">
        <v>944</v>
      </c>
      <c r="S139" s="996">
        <f>S136-S137-N149</f>
        <v>-1264762.817</v>
      </c>
    </row>
    <row r="140">
      <c r="J140" s="1010" t="s">
        <v>945</v>
      </c>
      <c r="K140" s="994"/>
      <c r="L140" s="1011"/>
      <c r="M140" s="1001"/>
      <c r="N140" s="1001"/>
      <c r="O140" s="1001"/>
      <c r="P140" s="1001"/>
      <c r="Q140" s="1001"/>
      <c r="R140" s="984" t="s">
        <v>275</v>
      </c>
      <c r="S140" s="1006">
        <f>S139/S136</f>
        <v>5.682092735</v>
      </c>
    </row>
    <row r="141">
      <c r="J141" s="1003" t="s">
        <v>946</v>
      </c>
      <c r="K141" s="1004">
        <v>1230.0</v>
      </c>
      <c r="L141" s="1005" t="s">
        <v>947</v>
      </c>
      <c r="M141" s="3"/>
      <c r="N141" s="993">
        <f>Q139+(Q138*K147)</f>
        <v>-24409.93333</v>
      </c>
      <c r="O141" s="1001"/>
      <c r="P141" s="1012" t="s">
        <v>948</v>
      </c>
      <c r="Q141" s="232"/>
      <c r="R141" s="232"/>
      <c r="S141" s="3"/>
    </row>
    <row r="142">
      <c r="J142" s="1014" t="s">
        <v>949</v>
      </c>
      <c r="K142" s="1004">
        <v>3.0</v>
      </c>
      <c r="L142" s="1005" t="s">
        <v>950</v>
      </c>
      <c r="M142" s="3"/>
      <c r="N142" s="993">
        <f>N141*K134+L135*K153*K134*110</f>
        <v>-723886.6833</v>
      </c>
      <c r="O142" s="1015"/>
      <c r="P142" s="1016" t="s">
        <v>951</v>
      </c>
      <c r="Q142" s="1017">
        <v>567400.0</v>
      </c>
      <c r="R142" s="984" t="s">
        <v>952</v>
      </c>
      <c r="S142" s="998">
        <v>100000.0</v>
      </c>
    </row>
    <row r="143">
      <c r="J143" s="1014" t="s">
        <v>953</v>
      </c>
      <c r="K143" s="1004">
        <f>K134</f>
        <v>31</v>
      </c>
      <c r="L143" s="1005" t="s">
        <v>954</v>
      </c>
      <c r="M143" s="3"/>
      <c r="N143" s="984" t="s">
        <v>375</v>
      </c>
      <c r="O143" s="1010" t="s">
        <v>349</v>
      </c>
      <c r="P143" s="1018" t="s">
        <v>955</v>
      </c>
      <c r="Q143" s="1019">
        <f>L135*K148%*K134*300</f>
        <v>406875</v>
      </c>
      <c r="R143" s="995" t="s">
        <v>956</v>
      </c>
      <c r="S143" s="993">
        <v>26250.0</v>
      </c>
    </row>
    <row r="144">
      <c r="J144" s="1003" t="s">
        <v>957</v>
      </c>
      <c r="K144" s="1004">
        <v>1230.0</v>
      </c>
      <c r="L144" s="1005" t="s">
        <v>958</v>
      </c>
      <c r="M144" s="3"/>
      <c r="N144" s="998">
        <f t="shared" ref="N144:N145" si="37">K136*1.15</f>
        <v>368000</v>
      </c>
      <c r="O144" s="1020">
        <v>15000.0</v>
      </c>
      <c r="P144" s="1021" t="s">
        <v>959</v>
      </c>
      <c r="Q144" s="1019">
        <f>L135*K149*K134*100</f>
        <v>24412.5</v>
      </c>
      <c r="R144" s="1022" t="s">
        <v>960</v>
      </c>
      <c r="S144" s="993">
        <v>25000.0</v>
      </c>
    </row>
    <row r="145">
      <c r="J145" s="1003" t="s">
        <v>961</v>
      </c>
      <c r="K145" s="1004">
        <v>5.0</v>
      </c>
      <c r="L145" s="1005" t="s">
        <v>962</v>
      </c>
      <c r="M145" s="3"/>
      <c r="N145" s="998">
        <f t="shared" si="37"/>
        <v>310500</v>
      </c>
      <c r="O145" s="998">
        <v>15000.0</v>
      </c>
      <c r="P145" s="1018" t="s">
        <v>963</v>
      </c>
      <c r="Q145" s="1024">
        <f>L135*K150*K134*100</f>
        <v>100362.5</v>
      </c>
      <c r="R145" s="1025" t="s">
        <v>964</v>
      </c>
      <c r="S145" s="3"/>
    </row>
    <row r="146">
      <c r="J146" s="1003" t="s">
        <v>965</v>
      </c>
      <c r="K146" s="1004">
        <v>35.0</v>
      </c>
      <c r="L146" s="1026" t="s">
        <v>966</v>
      </c>
      <c r="M146" s="3"/>
      <c r="N146" s="998">
        <f>(K134*3.5-43.4)*K138*K139</f>
        <v>550095</v>
      </c>
      <c r="O146" s="998">
        <f>(K134*3.5-43.4)*K147</f>
        <v>39060</v>
      </c>
      <c r="P146" s="1018" t="s">
        <v>967</v>
      </c>
      <c r="Q146" s="1019">
        <f>L135*K151*K134*100</f>
        <v>35262.5</v>
      </c>
      <c r="R146" s="984" t="s">
        <v>952</v>
      </c>
      <c r="S146" s="993">
        <v>60000.0</v>
      </c>
    </row>
    <row r="147">
      <c r="J147" s="1022" t="s">
        <v>968</v>
      </c>
      <c r="K147" s="1027">
        <v>600.0</v>
      </c>
      <c r="L147" s="1000" t="s">
        <v>969</v>
      </c>
      <c r="M147" s="3"/>
      <c r="N147" s="998">
        <f>K141*K142*K143</f>
        <v>114390</v>
      </c>
      <c r="O147" s="998">
        <f>K143*K147</f>
        <v>18600</v>
      </c>
      <c r="P147" s="1021" t="s">
        <v>133</v>
      </c>
      <c r="Q147" s="1019">
        <f>L135*K152*K134*100</f>
        <v>24412.5</v>
      </c>
      <c r="R147" s="995" t="s">
        <v>956</v>
      </c>
      <c r="S147" s="993">
        <v>20000.0</v>
      </c>
    </row>
    <row r="148">
      <c r="J148" s="1028" t="s">
        <v>970</v>
      </c>
      <c r="K148" s="1029">
        <v>25.0</v>
      </c>
      <c r="L148" s="1000" t="s">
        <v>971</v>
      </c>
      <c r="M148" s="3"/>
      <c r="N148" s="998">
        <f>K144*K145*K146</f>
        <v>215250</v>
      </c>
      <c r="O148" s="998">
        <f>K146*K147</f>
        <v>21000</v>
      </c>
      <c r="P148" s="1018" t="s">
        <v>972</v>
      </c>
      <c r="Q148" s="1019">
        <f>L135*K153*K134*250</f>
        <v>74593.75</v>
      </c>
      <c r="R148" s="1022" t="s">
        <v>960</v>
      </c>
      <c r="S148" s="993">
        <v>19167.0</v>
      </c>
    </row>
    <row r="149">
      <c r="J149" s="984" t="s">
        <v>959</v>
      </c>
      <c r="K149" s="1006">
        <v>0.045</v>
      </c>
      <c r="L149" s="1000" t="s">
        <v>973</v>
      </c>
      <c r="M149" s="3"/>
      <c r="N149" s="998">
        <f>SUM(N144:O145)</f>
        <v>708500</v>
      </c>
      <c r="O149" s="1030"/>
      <c r="P149" s="984" t="s">
        <v>345</v>
      </c>
      <c r="Q149" s="996">
        <f>SUM(Q142:Q147)+SUM(S142:S144)</f>
        <v>1309975</v>
      </c>
      <c r="R149" s="984" t="s">
        <v>345</v>
      </c>
      <c r="S149" s="993">
        <f>S146+S147+S148</f>
        <v>99167</v>
      </c>
    </row>
    <row r="150">
      <c r="J150" s="1022" t="s">
        <v>974</v>
      </c>
      <c r="K150" s="1006">
        <v>0.185</v>
      </c>
      <c r="L150" s="975"/>
      <c r="M150" s="975"/>
      <c r="N150" s="975"/>
      <c r="O150" s="975"/>
      <c r="P150" s="975"/>
      <c r="Q150" s="975"/>
      <c r="R150" s="975"/>
      <c r="S150" s="975"/>
    </row>
    <row r="151">
      <c r="J151" s="1022" t="s">
        <v>975</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972</v>
      </c>
      <c r="K153" s="1006">
        <v>0.055</v>
      </c>
      <c r="L153" s="975"/>
      <c r="M153" s="975"/>
      <c r="N153" s="975"/>
      <c r="O153" s="975"/>
      <c r="P153" s="975"/>
      <c r="Q153" s="975"/>
      <c r="R153" s="975"/>
      <c r="S153" s="975"/>
    </row>
    <row r="155">
      <c r="J155" s="976" t="s">
        <v>928</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931</v>
      </c>
      <c r="K156" s="985">
        <f>DAY(EOMONTH(K155,0))</f>
        <v>31</v>
      </c>
      <c r="L156" s="986" t="s">
        <v>932</v>
      </c>
      <c r="M156" s="986" t="s">
        <v>277</v>
      </c>
      <c r="N156" s="986" t="s">
        <v>296</v>
      </c>
      <c r="O156" s="986" t="s">
        <v>298</v>
      </c>
      <c r="P156" s="986" t="s">
        <v>298</v>
      </c>
      <c r="Q156" s="986" t="s">
        <v>933</v>
      </c>
      <c r="R156" s="984" t="s">
        <v>934</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935</v>
      </c>
      <c r="S157" s="996">
        <f>Q171</f>
        <v>1309975</v>
      </c>
    </row>
    <row r="158">
      <c r="J158" s="984" t="s">
        <v>936</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937</v>
      </c>
      <c r="K159" s="1033">
        <v>270000.0</v>
      </c>
      <c r="L159" s="1000" t="s">
        <v>938</v>
      </c>
      <c r="M159" s="3"/>
      <c r="N159" s="1032">
        <v>23.9</v>
      </c>
      <c r="O159" s="1032">
        <v>29.75</v>
      </c>
      <c r="P159" s="994"/>
      <c r="Q159" s="1001"/>
      <c r="R159" s="984" t="s">
        <v>939</v>
      </c>
      <c r="S159" s="993">
        <f>N164+SUM(N168:O170)+S171</f>
        <v>333675.3167</v>
      </c>
    </row>
    <row r="160">
      <c r="J160" s="1003" t="s">
        <v>940</v>
      </c>
      <c r="K160" s="1004">
        <v>1300.0</v>
      </c>
      <c r="L160" s="1005" t="s">
        <v>941</v>
      </c>
      <c r="M160" s="3"/>
      <c r="N160" s="993">
        <f t="shared" ref="N160:O160" si="38">N158/(360/N159)</f>
        <v>-2.273819444</v>
      </c>
      <c r="O160" s="993">
        <f t="shared" si="38"/>
        <v>-0.7850694444</v>
      </c>
      <c r="P160" s="1001"/>
      <c r="Q160" s="993">
        <f t="shared" ref="Q160:Q161" si="39">N160+O160+P160</f>
        <v>-3.058888889</v>
      </c>
      <c r="R160" s="984" t="s">
        <v>276</v>
      </c>
      <c r="S160" s="1006">
        <f>S159/S158</f>
        <v>-1.499074821</v>
      </c>
    </row>
    <row r="161">
      <c r="J161" s="1008" t="s">
        <v>942</v>
      </c>
      <c r="K161" s="1004">
        <v>6.5</v>
      </c>
      <c r="L161" s="1009" t="s">
        <v>943</v>
      </c>
      <c r="M161" s="987">
        <v>1230.0</v>
      </c>
      <c r="N161" s="993">
        <f>N160*(M161*6)</f>
        <v>-16780.7875</v>
      </c>
      <c r="O161" s="993">
        <f>O160*(M161*6)</f>
        <v>-5793.8125</v>
      </c>
      <c r="P161" s="1001"/>
      <c r="Q161" s="993">
        <f t="shared" si="39"/>
        <v>-22574.6</v>
      </c>
      <c r="R161" s="984" t="s">
        <v>944</v>
      </c>
      <c r="S161" s="996">
        <f>S158-S159-N171</f>
        <v>-1264762.817</v>
      </c>
    </row>
    <row r="162">
      <c r="J162" s="1010" t="s">
        <v>945</v>
      </c>
      <c r="K162" s="994"/>
      <c r="L162" s="1011"/>
      <c r="M162" s="1001"/>
      <c r="N162" s="1001"/>
      <c r="O162" s="1001"/>
      <c r="P162" s="1001"/>
      <c r="Q162" s="1001"/>
      <c r="R162" s="984" t="s">
        <v>275</v>
      </c>
      <c r="S162" s="1006">
        <f>S161/S158</f>
        <v>5.682092735</v>
      </c>
    </row>
    <row r="163">
      <c r="J163" s="1003" t="s">
        <v>946</v>
      </c>
      <c r="K163" s="1004">
        <v>1230.0</v>
      </c>
      <c r="L163" s="1005" t="s">
        <v>947</v>
      </c>
      <c r="M163" s="3"/>
      <c r="N163" s="993">
        <f>Q161+(Q160*K169)</f>
        <v>-24409.93333</v>
      </c>
      <c r="O163" s="1001"/>
      <c r="P163" s="1012" t="s">
        <v>948</v>
      </c>
      <c r="Q163" s="232"/>
      <c r="R163" s="232"/>
      <c r="S163" s="3"/>
    </row>
    <row r="164">
      <c r="J164" s="1014" t="s">
        <v>949</v>
      </c>
      <c r="K164" s="1004">
        <v>3.0</v>
      </c>
      <c r="L164" s="1005" t="s">
        <v>950</v>
      </c>
      <c r="M164" s="3"/>
      <c r="N164" s="993">
        <f>N163*K156+L157*K175*K156*110</f>
        <v>-723886.6833</v>
      </c>
      <c r="O164" s="1015"/>
      <c r="P164" s="1016" t="s">
        <v>951</v>
      </c>
      <c r="Q164" s="1017">
        <v>567400.0</v>
      </c>
      <c r="R164" s="984" t="s">
        <v>952</v>
      </c>
      <c r="S164" s="998">
        <v>100000.0</v>
      </c>
    </row>
    <row r="165">
      <c r="J165" s="1014" t="s">
        <v>953</v>
      </c>
      <c r="K165" s="1004">
        <f>K156</f>
        <v>31</v>
      </c>
      <c r="L165" s="1005" t="s">
        <v>954</v>
      </c>
      <c r="M165" s="3"/>
      <c r="N165" s="984" t="s">
        <v>375</v>
      </c>
      <c r="O165" s="1010" t="s">
        <v>349</v>
      </c>
      <c r="P165" s="1018" t="s">
        <v>955</v>
      </c>
      <c r="Q165" s="1019">
        <f>L157*K170%*K156*300</f>
        <v>406875</v>
      </c>
      <c r="R165" s="995" t="s">
        <v>956</v>
      </c>
      <c r="S165" s="993">
        <v>26250.0</v>
      </c>
    </row>
    <row r="166">
      <c r="J166" s="1003" t="s">
        <v>957</v>
      </c>
      <c r="K166" s="1004">
        <v>1230.0</v>
      </c>
      <c r="L166" s="1005" t="s">
        <v>958</v>
      </c>
      <c r="M166" s="3"/>
      <c r="N166" s="998">
        <f t="shared" ref="N166:N167" si="40">K158*1.15</f>
        <v>368000</v>
      </c>
      <c r="O166" s="1020">
        <v>15000.0</v>
      </c>
      <c r="P166" s="1021" t="s">
        <v>959</v>
      </c>
      <c r="Q166" s="1019">
        <f>L157*K171*K156*100</f>
        <v>24412.5</v>
      </c>
      <c r="R166" s="1022" t="s">
        <v>960</v>
      </c>
      <c r="S166" s="993">
        <v>25000.0</v>
      </c>
    </row>
    <row r="167">
      <c r="J167" s="1003" t="s">
        <v>961</v>
      </c>
      <c r="K167" s="1004">
        <v>5.0</v>
      </c>
      <c r="L167" s="1005" t="s">
        <v>962</v>
      </c>
      <c r="M167" s="3"/>
      <c r="N167" s="998">
        <f t="shared" si="40"/>
        <v>310500</v>
      </c>
      <c r="O167" s="998">
        <v>15000.0</v>
      </c>
      <c r="P167" s="1018" t="s">
        <v>963</v>
      </c>
      <c r="Q167" s="1024">
        <f>L157*K172*K156*100</f>
        <v>100362.5</v>
      </c>
      <c r="R167" s="1025" t="s">
        <v>964</v>
      </c>
      <c r="S167" s="3"/>
    </row>
    <row r="168">
      <c r="J168" s="1003" t="s">
        <v>965</v>
      </c>
      <c r="K168" s="1004">
        <v>35.0</v>
      </c>
      <c r="L168" s="1026" t="s">
        <v>966</v>
      </c>
      <c r="M168" s="3"/>
      <c r="N168" s="998">
        <f>(K156*3.5-43.4)*K160*K161</f>
        <v>550095</v>
      </c>
      <c r="O168" s="998">
        <f>(K156*3.5-43.4)*K169</f>
        <v>39060</v>
      </c>
      <c r="P168" s="1018" t="s">
        <v>967</v>
      </c>
      <c r="Q168" s="1019">
        <f>L157*K173*K156*100</f>
        <v>35262.5</v>
      </c>
      <c r="R168" s="984" t="s">
        <v>952</v>
      </c>
      <c r="S168" s="993">
        <v>60000.0</v>
      </c>
    </row>
    <row r="169">
      <c r="J169" s="1022" t="s">
        <v>968</v>
      </c>
      <c r="K169" s="1027">
        <v>600.0</v>
      </c>
      <c r="L169" s="1000" t="s">
        <v>969</v>
      </c>
      <c r="M169" s="3"/>
      <c r="N169" s="998">
        <f>K163*K164*K165</f>
        <v>114390</v>
      </c>
      <c r="O169" s="998">
        <f>K165*K169</f>
        <v>18600</v>
      </c>
      <c r="P169" s="1021" t="s">
        <v>133</v>
      </c>
      <c r="Q169" s="1019">
        <f>L157*K174*K156*100</f>
        <v>24412.5</v>
      </c>
      <c r="R169" s="995" t="s">
        <v>956</v>
      </c>
      <c r="S169" s="993">
        <v>20000.0</v>
      </c>
    </row>
    <row r="170">
      <c r="J170" s="1028" t="s">
        <v>970</v>
      </c>
      <c r="K170" s="1029">
        <v>25.0</v>
      </c>
      <c r="L170" s="1000" t="s">
        <v>971</v>
      </c>
      <c r="M170" s="3"/>
      <c r="N170" s="998">
        <f>K166*K167*K168</f>
        <v>215250</v>
      </c>
      <c r="O170" s="998">
        <f>K168*K169</f>
        <v>21000</v>
      </c>
      <c r="P170" s="1018" t="s">
        <v>972</v>
      </c>
      <c r="Q170" s="1019">
        <f>L157*K175*K156*250</f>
        <v>74593.75</v>
      </c>
      <c r="R170" s="1022" t="s">
        <v>960</v>
      </c>
      <c r="S170" s="993">
        <v>19167.0</v>
      </c>
    </row>
    <row r="171">
      <c r="J171" s="984" t="s">
        <v>959</v>
      </c>
      <c r="K171" s="1006">
        <v>0.045</v>
      </c>
      <c r="L171" s="1000" t="s">
        <v>973</v>
      </c>
      <c r="M171" s="3"/>
      <c r="N171" s="998">
        <f>SUM(N166:O167)</f>
        <v>708500</v>
      </c>
      <c r="O171" s="1030"/>
      <c r="P171" s="984" t="s">
        <v>345</v>
      </c>
      <c r="Q171" s="996">
        <f>SUM(Q164:Q169)+SUM(S164:S166)</f>
        <v>1309975</v>
      </c>
      <c r="R171" s="984" t="s">
        <v>345</v>
      </c>
      <c r="S171" s="993">
        <f>S168+S169+S170</f>
        <v>99167</v>
      </c>
    </row>
    <row r="172">
      <c r="J172" s="1022" t="s">
        <v>974</v>
      </c>
      <c r="K172" s="1006">
        <v>0.185</v>
      </c>
      <c r="L172" s="975"/>
      <c r="M172" s="975"/>
      <c r="N172" s="975"/>
      <c r="O172" s="975"/>
      <c r="P172" s="975"/>
      <c r="Q172" s="975"/>
      <c r="R172" s="975"/>
      <c r="S172" s="975"/>
    </row>
    <row r="173">
      <c r="J173" s="1022" t="s">
        <v>975</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972</v>
      </c>
      <c r="K175" s="1006">
        <v>0.055</v>
      </c>
      <c r="L175" s="975"/>
      <c r="M175" s="975"/>
      <c r="N175" s="975"/>
      <c r="O175" s="975"/>
      <c r="P175" s="975"/>
      <c r="Q175" s="975"/>
      <c r="R175" s="975"/>
      <c r="S175" s="975"/>
    </row>
    <row r="177">
      <c r="J177" s="976" t="s">
        <v>928</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931</v>
      </c>
      <c r="K178" s="985">
        <f>DAY(EOMONTH(K177,0))</f>
        <v>30</v>
      </c>
      <c r="L178" s="986" t="s">
        <v>932</v>
      </c>
      <c r="M178" s="986" t="s">
        <v>277</v>
      </c>
      <c r="N178" s="986" t="s">
        <v>296</v>
      </c>
      <c r="O178" s="986" t="s">
        <v>298</v>
      </c>
      <c r="P178" s="986" t="s">
        <v>298</v>
      </c>
      <c r="Q178" s="986" t="s">
        <v>933</v>
      </c>
      <c r="R178" s="984" t="s">
        <v>934</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935</v>
      </c>
      <c r="S179" s="996">
        <f>Q193</f>
        <v>1290900</v>
      </c>
    </row>
    <row r="180">
      <c r="J180" s="984" t="s">
        <v>936</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937</v>
      </c>
      <c r="K181" s="1033">
        <v>270000.0</v>
      </c>
      <c r="L181" s="1000" t="s">
        <v>938</v>
      </c>
      <c r="M181" s="3"/>
      <c r="N181" s="1032">
        <v>23.9</v>
      </c>
      <c r="O181" s="1032">
        <v>29.75</v>
      </c>
      <c r="P181" s="994"/>
      <c r="Q181" s="1001"/>
      <c r="R181" s="984" t="s">
        <v>939</v>
      </c>
      <c r="S181" s="993">
        <f>N186+SUM(N190:O192)+S193</f>
        <v>321061.5</v>
      </c>
    </row>
    <row r="182">
      <c r="J182" s="1003" t="s">
        <v>940</v>
      </c>
      <c r="K182" s="1004">
        <v>1300.0</v>
      </c>
      <c r="L182" s="1005" t="s">
        <v>941</v>
      </c>
      <c r="M182" s="3"/>
      <c r="N182" s="993">
        <f t="shared" ref="N182:O182" si="41">N180/(360/N181)</f>
        <v>-2.273819444</v>
      </c>
      <c r="O182" s="993">
        <f t="shared" si="41"/>
        <v>-0.7850694444</v>
      </c>
      <c r="P182" s="1001"/>
      <c r="Q182" s="993">
        <f t="shared" ref="Q182:Q183" si="42">N182+O182+P182</f>
        <v>-3.058888889</v>
      </c>
      <c r="R182" s="984" t="s">
        <v>276</v>
      </c>
      <c r="S182" s="1006">
        <f>S181/S180</f>
        <v>-1.670238002</v>
      </c>
    </row>
    <row r="183">
      <c r="J183" s="1008" t="s">
        <v>942</v>
      </c>
      <c r="K183" s="1004">
        <v>6.5</v>
      </c>
      <c r="L183" s="1009" t="s">
        <v>943</v>
      </c>
      <c r="M183" s="987">
        <v>1230.0</v>
      </c>
      <c r="N183" s="993">
        <f>N182*(M183*6)</f>
        <v>-16780.7875</v>
      </c>
      <c r="O183" s="993">
        <f>O182*(M183*6)</f>
        <v>-5793.8125</v>
      </c>
      <c r="P183" s="1001"/>
      <c r="Q183" s="993">
        <f t="shared" si="42"/>
        <v>-22574.6</v>
      </c>
      <c r="R183" s="984" t="s">
        <v>944</v>
      </c>
      <c r="S183" s="996">
        <f>S180-S181-N193</f>
        <v>-1221786.5</v>
      </c>
    </row>
    <row r="184">
      <c r="J184" s="1010" t="s">
        <v>945</v>
      </c>
      <c r="K184" s="994"/>
      <c r="L184" s="1011"/>
      <c r="M184" s="1001"/>
      <c r="N184" s="1001"/>
      <c r="O184" s="1001"/>
      <c r="P184" s="1001"/>
      <c r="Q184" s="1001"/>
      <c r="R184" s="984" t="s">
        <v>275</v>
      </c>
      <c r="S184" s="1006">
        <f>S183/S180</f>
        <v>6.35602289</v>
      </c>
    </row>
    <row r="185">
      <c r="J185" s="1003" t="s">
        <v>946</v>
      </c>
      <c r="K185" s="1004">
        <v>1230.0</v>
      </c>
      <c r="L185" s="1005" t="s">
        <v>947</v>
      </c>
      <c r="M185" s="3"/>
      <c r="N185" s="993">
        <f>Q183+(Q182*K191)</f>
        <v>-24409.93333</v>
      </c>
      <c r="O185" s="1001"/>
      <c r="P185" s="1012" t="s">
        <v>948</v>
      </c>
      <c r="Q185" s="232"/>
      <c r="R185" s="232"/>
      <c r="S185" s="3"/>
    </row>
    <row r="186">
      <c r="J186" s="1014" t="s">
        <v>949</v>
      </c>
      <c r="K186" s="1004">
        <v>3.0</v>
      </c>
      <c r="L186" s="1005" t="s">
        <v>950</v>
      </c>
      <c r="M186" s="3"/>
      <c r="N186" s="993">
        <f>N185*K178+L179*K197*K178*110</f>
        <v>-700535.5</v>
      </c>
      <c r="O186" s="1015"/>
      <c r="P186" s="1016" t="s">
        <v>951</v>
      </c>
      <c r="Q186" s="1017">
        <v>567400.0</v>
      </c>
      <c r="R186" s="984" t="s">
        <v>952</v>
      </c>
      <c r="S186" s="998">
        <v>100000.0</v>
      </c>
    </row>
    <row r="187">
      <c r="J187" s="1014" t="s">
        <v>953</v>
      </c>
      <c r="K187" s="1004">
        <f>K178</f>
        <v>30</v>
      </c>
      <c r="L187" s="1005" t="s">
        <v>954</v>
      </c>
      <c r="M187" s="3"/>
      <c r="N187" s="984" t="s">
        <v>375</v>
      </c>
      <c r="O187" s="1010" t="s">
        <v>349</v>
      </c>
      <c r="P187" s="1018" t="s">
        <v>955</v>
      </c>
      <c r="Q187" s="1019">
        <f>L179*K192%*K178*300</f>
        <v>393750</v>
      </c>
      <c r="R187" s="995" t="s">
        <v>956</v>
      </c>
      <c r="S187" s="993">
        <v>26250.0</v>
      </c>
    </row>
    <row r="188">
      <c r="J188" s="1003" t="s">
        <v>957</v>
      </c>
      <c r="K188" s="1004">
        <v>1230.0</v>
      </c>
      <c r="L188" s="1005" t="s">
        <v>958</v>
      </c>
      <c r="M188" s="3"/>
      <c r="N188" s="998">
        <f t="shared" ref="N188:N189" si="43">K180*1.15</f>
        <v>368000</v>
      </c>
      <c r="O188" s="1020">
        <v>15000.0</v>
      </c>
      <c r="P188" s="1021" t="s">
        <v>959</v>
      </c>
      <c r="Q188" s="1019">
        <f>L179*K193*K178*100</f>
        <v>23625</v>
      </c>
      <c r="R188" s="1022" t="s">
        <v>960</v>
      </c>
      <c r="S188" s="993">
        <v>25000.0</v>
      </c>
    </row>
    <row r="189">
      <c r="J189" s="1003" t="s">
        <v>961</v>
      </c>
      <c r="K189" s="1004">
        <v>5.0</v>
      </c>
      <c r="L189" s="1005" t="s">
        <v>962</v>
      </c>
      <c r="M189" s="3"/>
      <c r="N189" s="998">
        <f t="shared" si="43"/>
        <v>310500</v>
      </c>
      <c r="O189" s="998">
        <v>15000.0</v>
      </c>
      <c r="P189" s="1018" t="s">
        <v>963</v>
      </c>
      <c r="Q189" s="1024">
        <f>L179*K194*K178*100</f>
        <v>97125</v>
      </c>
      <c r="R189" s="1025" t="s">
        <v>964</v>
      </c>
      <c r="S189" s="3"/>
    </row>
    <row r="190">
      <c r="J190" s="1003" t="s">
        <v>965</v>
      </c>
      <c r="K190" s="1004">
        <v>35.0</v>
      </c>
      <c r="L190" s="1026" t="s">
        <v>966</v>
      </c>
      <c r="M190" s="3"/>
      <c r="N190" s="998">
        <f>(K178*3.5-43.4)*K182*K183</f>
        <v>520520</v>
      </c>
      <c r="O190" s="998">
        <f>(K178*3.5-43.4)*K191</f>
        <v>36960</v>
      </c>
      <c r="P190" s="1018" t="s">
        <v>967</v>
      </c>
      <c r="Q190" s="1019">
        <f>L179*K195*K178*100</f>
        <v>34125</v>
      </c>
      <c r="R190" s="984" t="s">
        <v>952</v>
      </c>
      <c r="S190" s="993">
        <v>60000.0</v>
      </c>
    </row>
    <row r="191">
      <c r="J191" s="1022" t="s">
        <v>968</v>
      </c>
      <c r="K191" s="1027">
        <v>600.0</v>
      </c>
      <c r="L191" s="1000" t="s">
        <v>969</v>
      </c>
      <c r="M191" s="3"/>
      <c r="N191" s="998">
        <f>K185*K186*K187</f>
        <v>110700</v>
      </c>
      <c r="O191" s="998">
        <f>K187*K191</f>
        <v>18000</v>
      </c>
      <c r="P191" s="1021" t="s">
        <v>133</v>
      </c>
      <c r="Q191" s="1019">
        <f>L179*K196*K178*100</f>
        <v>23625</v>
      </c>
      <c r="R191" s="995" t="s">
        <v>956</v>
      </c>
      <c r="S191" s="993">
        <v>20000.0</v>
      </c>
    </row>
    <row r="192">
      <c r="J192" s="1028" t="s">
        <v>970</v>
      </c>
      <c r="K192" s="1029">
        <v>25.0</v>
      </c>
      <c r="L192" s="1000" t="s">
        <v>971</v>
      </c>
      <c r="M192" s="3"/>
      <c r="N192" s="998">
        <f>K188*K189*K190</f>
        <v>215250</v>
      </c>
      <c r="O192" s="998">
        <f>K190*K191</f>
        <v>21000</v>
      </c>
      <c r="P192" s="1018" t="s">
        <v>972</v>
      </c>
      <c r="Q192" s="1019">
        <f>L179*K197*K178*250</f>
        <v>72187.5</v>
      </c>
      <c r="R192" s="1022" t="s">
        <v>960</v>
      </c>
      <c r="S192" s="993">
        <v>19167.0</v>
      </c>
    </row>
    <row r="193">
      <c r="J193" s="984" t="s">
        <v>959</v>
      </c>
      <c r="K193" s="1006">
        <v>0.045</v>
      </c>
      <c r="L193" s="1000" t="s">
        <v>973</v>
      </c>
      <c r="M193" s="3"/>
      <c r="N193" s="998">
        <f>SUM(N188:O189)</f>
        <v>708500</v>
      </c>
      <c r="O193" s="1030"/>
      <c r="P193" s="984" t="s">
        <v>345</v>
      </c>
      <c r="Q193" s="996">
        <f>SUM(Q186:Q191)+SUM(S186:S188)</f>
        <v>1290900</v>
      </c>
      <c r="R193" s="984" t="s">
        <v>345</v>
      </c>
      <c r="S193" s="993">
        <f>S190+S191+S192</f>
        <v>99167</v>
      </c>
    </row>
    <row r="194">
      <c r="J194" s="1022" t="s">
        <v>974</v>
      </c>
      <c r="K194" s="1006">
        <v>0.185</v>
      </c>
      <c r="L194" s="975"/>
      <c r="M194" s="975"/>
      <c r="N194" s="975"/>
      <c r="O194" s="975"/>
      <c r="P194" s="975"/>
      <c r="Q194" s="975"/>
      <c r="R194" s="975"/>
      <c r="S194" s="975"/>
    </row>
    <row r="195">
      <c r="J195" s="1022" t="s">
        <v>975</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972</v>
      </c>
      <c r="K197" s="1006">
        <v>0.055</v>
      </c>
      <c r="L197" s="975"/>
      <c r="M197" s="975"/>
      <c r="N197" s="975"/>
      <c r="O197" s="975"/>
      <c r="P197" s="975"/>
      <c r="Q197" s="975"/>
      <c r="R197" s="975"/>
      <c r="S197" s="975"/>
    </row>
    <row r="199">
      <c r="J199" s="976" t="s">
        <v>928</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931</v>
      </c>
      <c r="K200" s="985">
        <f>DAY(EOMONTH(K199,0))</f>
        <v>31</v>
      </c>
      <c r="L200" s="986" t="s">
        <v>932</v>
      </c>
      <c r="M200" s="986" t="s">
        <v>277</v>
      </c>
      <c r="N200" s="986" t="s">
        <v>296</v>
      </c>
      <c r="O200" s="986" t="s">
        <v>298</v>
      </c>
      <c r="P200" s="986" t="s">
        <v>298</v>
      </c>
      <c r="Q200" s="986" t="s">
        <v>933</v>
      </c>
      <c r="R200" s="984" t="s">
        <v>934</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935</v>
      </c>
      <c r="S201" s="996">
        <f>Q215</f>
        <v>1309975</v>
      </c>
    </row>
    <row r="202">
      <c r="J202" s="984" t="s">
        <v>936</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937</v>
      </c>
      <c r="K203" s="1033">
        <v>270000.0</v>
      </c>
      <c r="L203" s="1000" t="s">
        <v>938</v>
      </c>
      <c r="M203" s="3"/>
      <c r="N203" s="1032">
        <v>23.9</v>
      </c>
      <c r="O203" s="1032">
        <v>29.75</v>
      </c>
      <c r="P203" s="994"/>
      <c r="Q203" s="1001"/>
      <c r="R203" s="984" t="s">
        <v>939</v>
      </c>
      <c r="S203" s="993">
        <f>N208+SUM(N212:O214)+S215</f>
        <v>333675.3167</v>
      </c>
    </row>
    <row r="204">
      <c r="J204" s="1003" t="s">
        <v>940</v>
      </c>
      <c r="K204" s="1004">
        <v>1300.0</v>
      </c>
      <c r="L204" s="1005" t="s">
        <v>941</v>
      </c>
      <c r="M204" s="3"/>
      <c r="N204" s="993">
        <f t="shared" ref="N204:O204" si="44">N202/(360/N203)</f>
        <v>-2.273819444</v>
      </c>
      <c r="O204" s="993">
        <f t="shared" si="44"/>
        <v>-0.7850694444</v>
      </c>
      <c r="P204" s="1001"/>
      <c r="Q204" s="993">
        <f t="shared" ref="Q204:Q205" si="45">N204+O204+P204</f>
        <v>-3.058888889</v>
      </c>
      <c r="R204" s="984" t="s">
        <v>276</v>
      </c>
      <c r="S204" s="1006">
        <f>S203/S202</f>
        <v>-1.499074821</v>
      </c>
    </row>
    <row r="205">
      <c r="J205" s="1008" t="s">
        <v>942</v>
      </c>
      <c r="K205" s="1004">
        <v>6.5</v>
      </c>
      <c r="L205" s="1009" t="s">
        <v>943</v>
      </c>
      <c r="M205" s="987">
        <v>1230.0</v>
      </c>
      <c r="N205" s="993">
        <f>N204*(M205*6)</f>
        <v>-16780.7875</v>
      </c>
      <c r="O205" s="993">
        <f>O204*(M205*6)</f>
        <v>-5793.8125</v>
      </c>
      <c r="P205" s="1001"/>
      <c r="Q205" s="993">
        <f t="shared" si="45"/>
        <v>-22574.6</v>
      </c>
      <c r="R205" s="984" t="s">
        <v>944</v>
      </c>
      <c r="S205" s="996">
        <f>S202-S203-N215</f>
        <v>-1264762.817</v>
      </c>
    </row>
    <row r="206">
      <c r="J206" s="1010" t="s">
        <v>945</v>
      </c>
      <c r="K206" s="994"/>
      <c r="L206" s="1011"/>
      <c r="M206" s="1001"/>
      <c r="N206" s="1001"/>
      <c r="O206" s="1001"/>
      <c r="P206" s="1001"/>
      <c r="Q206" s="1001"/>
      <c r="R206" s="984" t="s">
        <v>275</v>
      </c>
      <c r="S206" s="1006">
        <f>S205/S202</f>
        <v>5.682092735</v>
      </c>
    </row>
    <row r="207">
      <c r="J207" s="1003" t="s">
        <v>946</v>
      </c>
      <c r="K207" s="1004">
        <v>1230.0</v>
      </c>
      <c r="L207" s="1005" t="s">
        <v>947</v>
      </c>
      <c r="M207" s="3"/>
      <c r="N207" s="993">
        <f>Q205+(Q204*K213)</f>
        <v>-24409.93333</v>
      </c>
      <c r="O207" s="1001"/>
      <c r="P207" s="1012" t="s">
        <v>948</v>
      </c>
      <c r="Q207" s="232"/>
      <c r="R207" s="232"/>
      <c r="S207" s="3"/>
    </row>
    <row r="208">
      <c r="J208" s="1014" t="s">
        <v>949</v>
      </c>
      <c r="K208" s="1004">
        <v>3.0</v>
      </c>
      <c r="L208" s="1005" t="s">
        <v>950</v>
      </c>
      <c r="M208" s="3"/>
      <c r="N208" s="993">
        <f>N207*K200+L201*K219*K200*110</f>
        <v>-723886.6833</v>
      </c>
      <c r="O208" s="1015"/>
      <c r="P208" s="1016" t="s">
        <v>951</v>
      </c>
      <c r="Q208" s="1017">
        <v>567400.0</v>
      </c>
      <c r="R208" s="984" t="s">
        <v>952</v>
      </c>
      <c r="S208" s="998">
        <v>100000.0</v>
      </c>
    </row>
    <row r="209">
      <c r="J209" s="1014" t="s">
        <v>953</v>
      </c>
      <c r="K209" s="1004">
        <f>K200</f>
        <v>31</v>
      </c>
      <c r="L209" s="1005" t="s">
        <v>954</v>
      </c>
      <c r="M209" s="3"/>
      <c r="N209" s="984" t="s">
        <v>375</v>
      </c>
      <c r="O209" s="1010" t="s">
        <v>349</v>
      </c>
      <c r="P209" s="1018" t="s">
        <v>955</v>
      </c>
      <c r="Q209" s="1019">
        <f>L201*K214%*K200*300</f>
        <v>406875</v>
      </c>
      <c r="R209" s="995" t="s">
        <v>956</v>
      </c>
      <c r="S209" s="993">
        <v>26250.0</v>
      </c>
    </row>
    <row r="210">
      <c r="J210" s="1003" t="s">
        <v>957</v>
      </c>
      <c r="K210" s="1004">
        <v>1230.0</v>
      </c>
      <c r="L210" s="1005" t="s">
        <v>958</v>
      </c>
      <c r="M210" s="3"/>
      <c r="N210" s="998">
        <f t="shared" ref="N210:N211" si="46">K202*1.15</f>
        <v>368000</v>
      </c>
      <c r="O210" s="1020">
        <v>15000.0</v>
      </c>
      <c r="P210" s="1021" t="s">
        <v>959</v>
      </c>
      <c r="Q210" s="1019">
        <f>L201*K215*K200*100</f>
        <v>24412.5</v>
      </c>
      <c r="R210" s="1022" t="s">
        <v>960</v>
      </c>
      <c r="S210" s="993">
        <v>25000.0</v>
      </c>
    </row>
    <row r="211">
      <c r="J211" s="1003" t="s">
        <v>961</v>
      </c>
      <c r="K211" s="1004">
        <v>5.0</v>
      </c>
      <c r="L211" s="1005" t="s">
        <v>962</v>
      </c>
      <c r="M211" s="3"/>
      <c r="N211" s="998">
        <f t="shared" si="46"/>
        <v>310500</v>
      </c>
      <c r="O211" s="998">
        <v>15000.0</v>
      </c>
      <c r="P211" s="1018" t="s">
        <v>963</v>
      </c>
      <c r="Q211" s="1024">
        <f>L201*K216*K200*100</f>
        <v>100362.5</v>
      </c>
      <c r="R211" s="1025" t="s">
        <v>964</v>
      </c>
      <c r="S211" s="3"/>
    </row>
    <row r="212">
      <c r="J212" s="1003" t="s">
        <v>965</v>
      </c>
      <c r="K212" s="1004">
        <v>35.0</v>
      </c>
      <c r="L212" s="1026" t="s">
        <v>966</v>
      </c>
      <c r="M212" s="3"/>
      <c r="N212" s="998">
        <f>(K200*3.5-43.4)*K204*K205</f>
        <v>550095</v>
      </c>
      <c r="O212" s="998">
        <f>(K200*3.5-43.4)*K213</f>
        <v>39060</v>
      </c>
      <c r="P212" s="1018" t="s">
        <v>967</v>
      </c>
      <c r="Q212" s="1019">
        <f>L201*K217*K200*100</f>
        <v>35262.5</v>
      </c>
      <c r="R212" s="984" t="s">
        <v>952</v>
      </c>
      <c r="S212" s="993">
        <v>60000.0</v>
      </c>
    </row>
    <row r="213">
      <c r="J213" s="1022" t="s">
        <v>968</v>
      </c>
      <c r="K213" s="1027">
        <v>600.0</v>
      </c>
      <c r="L213" s="1000" t="s">
        <v>969</v>
      </c>
      <c r="M213" s="3"/>
      <c r="N213" s="998">
        <f>K207*K208*K209</f>
        <v>114390</v>
      </c>
      <c r="O213" s="998">
        <f>K209*K213</f>
        <v>18600</v>
      </c>
      <c r="P213" s="1021" t="s">
        <v>133</v>
      </c>
      <c r="Q213" s="1019">
        <f>L201*K218*K200*100</f>
        <v>24412.5</v>
      </c>
      <c r="R213" s="995" t="s">
        <v>956</v>
      </c>
      <c r="S213" s="993">
        <v>20000.0</v>
      </c>
    </row>
    <row r="214">
      <c r="J214" s="1028" t="s">
        <v>970</v>
      </c>
      <c r="K214" s="1029">
        <v>25.0</v>
      </c>
      <c r="L214" s="1000" t="s">
        <v>971</v>
      </c>
      <c r="M214" s="3"/>
      <c r="N214" s="998">
        <f>K210*K211*K212</f>
        <v>215250</v>
      </c>
      <c r="O214" s="998">
        <f>K212*K213</f>
        <v>21000</v>
      </c>
      <c r="P214" s="1018" t="s">
        <v>972</v>
      </c>
      <c r="Q214" s="1019">
        <f>L201*K219*K200*250</f>
        <v>74593.75</v>
      </c>
      <c r="R214" s="1022" t="s">
        <v>960</v>
      </c>
      <c r="S214" s="993">
        <v>19167.0</v>
      </c>
    </row>
    <row r="215">
      <c r="J215" s="984" t="s">
        <v>959</v>
      </c>
      <c r="K215" s="1006">
        <v>0.045</v>
      </c>
      <c r="L215" s="1000" t="s">
        <v>973</v>
      </c>
      <c r="M215" s="3"/>
      <c r="N215" s="998">
        <f>SUM(N210:O211)</f>
        <v>708500</v>
      </c>
      <c r="O215" s="1030"/>
      <c r="P215" s="984" t="s">
        <v>345</v>
      </c>
      <c r="Q215" s="996">
        <f>SUM(Q208:Q213)+SUM(S208:S210)</f>
        <v>1309975</v>
      </c>
      <c r="R215" s="984" t="s">
        <v>345</v>
      </c>
      <c r="S215" s="993">
        <f>S212+S213+S214</f>
        <v>99167</v>
      </c>
    </row>
    <row r="216">
      <c r="J216" s="1022" t="s">
        <v>974</v>
      </c>
      <c r="K216" s="1006">
        <v>0.185</v>
      </c>
      <c r="L216" s="975"/>
      <c r="M216" s="975"/>
      <c r="N216" s="975"/>
      <c r="O216" s="975"/>
      <c r="P216" s="975"/>
      <c r="Q216" s="975"/>
      <c r="R216" s="975"/>
      <c r="S216" s="975"/>
    </row>
    <row r="217">
      <c r="J217" s="1022" t="s">
        <v>975</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972</v>
      </c>
      <c r="K219" s="1006">
        <v>0.055</v>
      </c>
      <c r="L219" s="975"/>
      <c r="M219" s="975"/>
      <c r="N219" s="975"/>
      <c r="O219" s="975"/>
      <c r="P219" s="975"/>
      <c r="Q219" s="975"/>
      <c r="R219" s="975"/>
      <c r="S219" s="975"/>
    </row>
    <row r="221">
      <c r="J221" s="976" t="s">
        <v>928</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931</v>
      </c>
      <c r="K222" s="985">
        <f>DAY(EOMONTH(K221,0))</f>
        <v>30</v>
      </c>
      <c r="L222" s="986" t="s">
        <v>932</v>
      </c>
      <c r="M222" s="986" t="s">
        <v>277</v>
      </c>
      <c r="N222" s="986" t="s">
        <v>296</v>
      </c>
      <c r="O222" s="986" t="s">
        <v>298</v>
      </c>
      <c r="P222" s="986" t="s">
        <v>298</v>
      </c>
      <c r="Q222" s="986" t="s">
        <v>933</v>
      </c>
      <c r="R222" s="984" t="s">
        <v>934</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935</v>
      </c>
      <c r="S223" s="996">
        <f>Q237</f>
        <v>1363087.5</v>
      </c>
    </row>
    <row r="224">
      <c r="J224" s="984" t="s">
        <v>936</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937</v>
      </c>
      <c r="K225" s="1033">
        <v>270000.0</v>
      </c>
      <c r="L225" s="1000" t="s">
        <v>938</v>
      </c>
      <c r="M225" s="3"/>
      <c r="N225" s="987">
        <v>22.926</v>
      </c>
      <c r="O225" s="987">
        <v>28.78</v>
      </c>
      <c r="P225" s="994"/>
      <c r="Q225" s="1001"/>
      <c r="R225" s="984" t="s">
        <v>939</v>
      </c>
      <c r="S225" s="993">
        <f>N230+SUM(N234:O236)+S237</f>
        <v>344873.5425</v>
      </c>
    </row>
    <row r="226">
      <c r="J226" s="1003" t="s">
        <v>940</v>
      </c>
      <c r="K226" s="1004">
        <v>1300.0</v>
      </c>
      <c r="L226" s="1005" t="s">
        <v>941</v>
      </c>
      <c r="M226" s="3"/>
      <c r="N226" s="993">
        <f t="shared" ref="N226:O226" si="47">N224/(360/N225)</f>
        <v>-2.181154167</v>
      </c>
      <c r="O226" s="993">
        <f t="shared" si="47"/>
        <v>-0.7594722222</v>
      </c>
      <c r="P226" s="1001"/>
      <c r="Q226" s="993">
        <f t="shared" ref="Q226:Q227" si="48">N226+O226+P226</f>
        <v>-2.940626389</v>
      </c>
      <c r="R226" s="984" t="s">
        <v>276</v>
      </c>
      <c r="S226" s="1006">
        <f>S225/S224</f>
        <v>-2.87304836</v>
      </c>
    </row>
    <row r="227">
      <c r="J227" s="1008" t="s">
        <v>942</v>
      </c>
      <c r="K227" s="1004">
        <v>6.5</v>
      </c>
      <c r="L227" s="1009" t="s">
        <v>943</v>
      </c>
      <c r="M227" s="987">
        <v>1230.0</v>
      </c>
      <c r="N227" s="993">
        <f>N226*(M227*6)</f>
        <v>-16096.91775</v>
      </c>
      <c r="O227" s="993">
        <f>O226*(M227*6)</f>
        <v>-5604.905</v>
      </c>
      <c r="P227" s="1001"/>
      <c r="Q227" s="993">
        <f t="shared" si="48"/>
        <v>-21701.82275</v>
      </c>
      <c r="R227" s="984" t="s">
        <v>944</v>
      </c>
      <c r="S227" s="996">
        <f>S224-S225-N237</f>
        <v>-1173411.043</v>
      </c>
    </row>
    <row r="228">
      <c r="J228" s="1010" t="s">
        <v>945</v>
      </c>
      <c r="K228" s="994"/>
      <c r="L228" s="1011"/>
      <c r="M228" s="1001"/>
      <c r="N228" s="1001"/>
      <c r="O228" s="1001"/>
      <c r="P228" s="1001"/>
      <c r="Q228" s="1001"/>
      <c r="R228" s="984" t="s">
        <v>275</v>
      </c>
      <c r="S228" s="1006">
        <f>S227/S224</f>
        <v>9.775370551</v>
      </c>
    </row>
    <row r="229">
      <c r="J229" s="1003" t="s">
        <v>946</v>
      </c>
      <c r="K229" s="1004">
        <v>1230.0</v>
      </c>
      <c r="L229" s="1005" t="s">
        <v>947</v>
      </c>
      <c r="M229" s="3"/>
      <c r="N229" s="993">
        <f>Q227+(Q226*K235)</f>
        <v>-23466.19858</v>
      </c>
      <c r="O229" s="1001"/>
      <c r="P229" s="1012" t="s">
        <v>948</v>
      </c>
      <c r="Q229" s="232"/>
      <c r="R229" s="232"/>
      <c r="S229" s="3"/>
    </row>
    <row r="230">
      <c r="J230" s="1014" t="s">
        <v>949</v>
      </c>
      <c r="K230" s="1004">
        <v>3.0</v>
      </c>
      <c r="L230" s="1005" t="s">
        <v>950</v>
      </c>
      <c r="M230" s="3"/>
      <c r="N230" s="993">
        <f>N229*K222+(L223*K241*K222*110)+(L223*K236%*K222*100)</f>
        <v>-540973.4575</v>
      </c>
      <c r="O230" s="1015"/>
      <c r="P230" s="1016" t="s">
        <v>951</v>
      </c>
      <c r="Q230" s="1017">
        <v>567400.0</v>
      </c>
      <c r="R230" s="984" t="s">
        <v>952</v>
      </c>
      <c r="S230" s="998">
        <v>100000.0</v>
      </c>
    </row>
    <row r="231">
      <c r="J231" s="1014" t="s">
        <v>953</v>
      </c>
      <c r="K231" s="1004">
        <f>K222</f>
        <v>30</v>
      </c>
      <c r="L231" s="1005" t="s">
        <v>954</v>
      </c>
      <c r="M231" s="3"/>
      <c r="N231" s="984" t="s">
        <v>375</v>
      </c>
      <c r="O231" s="1010" t="s">
        <v>349</v>
      </c>
      <c r="P231" s="1018" t="s">
        <v>955</v>
      </c>
      <c r="Q231" s="1019">
        <f>L223*K236%*K222*300</f>
        <v>393750</v>
      </c>
      <c r="R231" s="995" t="s">
        <v>956</v>
      </c>
      <c r="S231" s="993">
        <v>26250.0</v>
      </c>
    </row>
    <row r="232">
      <c r="J232" s="1003" t="s">
        <v>957</v>
      </c>
      <c r="K232" s="1004">
        <v>1230.0</v>
      </c>
      <c r="L232" s="1005" t="s">
        <v>958</v>
      </c>
      <c r="M232" s="3"/>
      <c r="N232" s="998">
        <f t="shared" ref="N232:N233" si="49">K224*1.15</f>
        <v>368000</v>
      </c>
      <c r="O232" s="1020">
        <v>15000.0</v>
      </c>
      <c r="P232" s="1021" t="s">
        <v>959</v>
      </c>
      <c r="Q232" s="1019">
        <f>L223*K237*K222*100</f>
        <v>23625</v>
      </c>
      <c r="R232" s="1022" t="s">
        <v>960</v>
      </c>
      <c r="S232" s="993">
        <v>25000.0</v>
      </c>
    </row>
    <row r="233">
      <c r="J233" s="1003" t="s">
        <v>961</v>
      </c>
      <c r="K233" s="1004">
        <v>5.0</v>
      </c>
      <c r="L233" s="1005" t="s">
        <v>962</v>
      </c>
      <c r="M233" s="3"/>
      <c r="N233" s="998">
        <f t="shared" si="49"/>
        <v>310500</v>
      </c>
      <c r="O233" s="998">
        <v>15000.0</v>
      </c>
      <c r="P233" s="1018" t="s">
        <v>963</v>
      </c>
      <c r="Q233" s="1024">
        <f>L223*K238*K222*100</f>
        <v>97125</v>
      </c>
      <c r="R233" s="1025" t="s">
        <v>964</v>
      </c>
      <c r="S233" s="3"/>
    </row>
    <row r="234">
      <c r="J234" s="1003" t="s">
        <v>965</v>
      </c>
      <c r="K234" s="1004">
        <v>35.0</v>
      </c>
      <c r="L234" s="1026" t="s">
        <v>966</v>
      </c>
      <c r="M234" s="3"/>
      <c r="N234" s="998">
        <f>(K222*3-43.4)*K226*K227</f>
        <v>393770</v>
      </c>
      <c r="O234" s="998">
        <f>(K222*3-43.4)*K235</f>
        <v>27960</v>
      </c>
      <c r="P234" s="1018" t="s">
        <v>967</v>
      </c>
      <c r="Q234" s="1019">
        <f>L223*K239*K222*100</f>
        <v>34125</v>
      </c>
      <c r="R234" s="984" t="s">
        <v>952</v>
      </c>
      <c r="S234" s="993">
        <v>60000.0</v>
      </c>
    </row>
    <row r="235">
      <c r="J235" s="1022" t="s">
        <v>968</v>
      </c>
      <c r="K235" s="1027">
        <v>600.0</v>
      </c>
      <c r="L235" s="1000" t="s">
        <v>969</v>
      </c>
      <c r="M235" s="3"/>
      <c r="N235" s="998">
        <f>K229*K230*K231</f>
        <v>110700</v>
      </c>
      <c r="O235" s="998">
        <f>K231*K235</f>
        <v>18000</v>
      </c>
      <c r="P235" s="1021" t="s">
        <v>133</v>
      </c>
      <c r="Q235" s="1019">
        <f>L223*K240*K222*100</f>
        <v>23625</v>
      </c>
      <c r="R235" s="995" t="s">
        <v>956</v>
      </c>
      <c r="S235" s="993">
        <v>20000.0</v>
      </c>
    </row>
    <row r="236">
      <c r="J236" s="1028" t="s">
        <v>970</v>
      </c>
      <c r="K236" s="1029">
        <v>25.0</v>
      </c>
      <c r="L236" s="1000" t="s">
        <v>971</v>
      </c>
      <c r="M236" s="3"/>
      <c r="N236" s="998">
        <f>K232*K233*K234</f>
        <v>215250</v>
      </c>
      <c r="O236" s="998">
        <f>K234*K235</f>
        <v>21000</v>
      </c>
      <c r="P236" s="1018" t="s">
        <v>972</v>
      </c>
      <c r="Q236" s="1019">
        <f>L223*K241*K222*250</f>
        <v>72187.5</v>
      </c>
      <c r="R236" s="1022" t="s">
        <v>960</v>
      </c>
      <c r="S236" s="993">
        <v>19167.0</v>
      </c>
    </row>
    <row r="237">
      <c r="J237" s="984" t="s">
        <v>959</v>
      </c>
      <c r="K237" s="1006">
        <v>0.045</v>
      </c>
      <c r="L237" s="1000" t="s">
        <v>973</v>
      </c>
      <c r="M237" s="3"/>
      <c r="N237" s="998">
        <f>SUM(N232:O233)</f>
        <v>708500</v>
      </c>
      <c r="O237" s="1030"/>
      <c r="P237" s="984" t="s">
        <v>345</v>
      </c>
      <c r="Q237" s="996">
        <f>SUM(Q230:Q236)+SUM(S230:S232)</f>
        <v>1363087.5</v>
      </c>
      <c r="R237" s="984" t="s">
        <v>345</v>
      </c>
      <c r="S237" s="993">
        <f>S234+S235+S236</f>
        <v>99167</v>
      </c>
    </row>
    <row r="238">
      <c r="J238" s="1022" t="s">
        <v>974</v>
      </c>
      <c r="K238" s="1006">
        <v>0.185</v>
      </c>
      <c r="L238" s="975"/>
      <c r="M238" s="975"/>
      <c r="N238" s="975"/>
      <c r="O238" s="975"/>
      <c r="P238" s="975"/>
      <c r="Q238" s="975"/>
      <c r="R238" s="975"/>
      <c r="S238" s="975"/>
    </row>
    <row r="239">
      <c r="J239" s="1022" t="s">
        <v>975</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972</v>
      </c>
      <c r="K241" s="1006">
        <v>0.055</v>
      </c>
      <c r="L241" s="975"/>
      <c r="M241" s="975"/>
      <c r="N241" s="975"/>
      <c r="O241" s="975"/>
      <c r="P241" s="975"/>
      <c r="Q241" s="975"/>
      <c r="R241" s="975"/>
      <c r="S241" s="975"/>
    </row>
    <row r="243">
      <c r="J243" s="976" t="s">
        <v>928</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931</v>
      </c>
      <c r="K244" s="985">
        <f>DAY(EOMONTH(K243,0))</f>
        <v>31</v>
      </c>
      <c r="L244" s="986" t="s">
        <v>932</v>
      </c>
      <c r="M244" s="986" t="s">
        <v>277</v>
      </c>
      <c r="N244" s="986" t="s">
        <v>296</v>
      </c>
      <c r="O244" s="986" t="s">
        <v>298</v>
      </c>
      <c r="P244" s="986" t="s">
        <v>298</v>
      </c>
      <c r="Q244" s="986" t="s">
        <v>933</v>
      </c>
      <c r="R244" s="984" t="s">
        <v>934</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935</v>
      </c>
      <c r="S245" s="996">
        <f>Q259</f>
        <v>1384568.75</v>
      </c>
    </row>
    <row r="246">
      <c r="J246" s="984" t="s">
        <v>936</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937</v>
      </c>
      <c r="K247" s="1033">
        <v>270000.0</v>
      </c>
      <c r="L247" s="1000" t="s">
        <v>938</v>
      </c>
      <c r="M247" s="3"/>
      <c r="N247" s="987">
        <v>22.926</v>
      </c>
      <c r="O247" s="987">
        <v>28.78</v>
      </c>
      <c r="P247" s="994"/>
      <c r="Q247" s="1001"/>
      <c r="R247" s="984" t="s">
        <v>939</v>
      </c>
      <c r="S247" s="993">
        <f>N252+SUM(N256:O258)+S259</f>
        <v>358281.0939</v>
      </c>
    </row>
    <row r="248">
      <c r="J248" s="1003" t="s">
        <v>940</v>
      </c>
      <c r="K248" s="1004">
        <v>1300.0</v>
      </c>
      <c r="L248" s="1005" t="s">
        <v>941</v>
      </c>
      <c r="M248" s="3"/>
      <c r="N248" s="993">
        <f t="shared" ref="N248:O248" si="50">N246/(360/N247)</f>
        <v>-2.181154167</v>
      </c>
      <c r="O248" s="993">
        <f t="shared" si="50"/>
        <v>-0.7594722222</v>
      </c>
      <c r="P248" s="1001"/>
      <c r="Q248" s="993">
        <f t="shared" ref="Q248:Q249" si="51">N248+O248+P248</f>
        <v>-2.940626389</v>
      </c>
      <c r="R248" s="984" t="s">
        <v>276</v>
      </c>
      <c r="S248" s="1006">
        <f>S247/S246</f>
        <v>-2.420920437</v>
      </c>
    </row>
    <row r="249">
      <c r="J249" s="1008" t="s">
        <v>942</v>
      </c>
      <c r="K249" s="1004">
        <v>6.5</v>
      </c>
      <c r="L249" s="1009" t="s">
        <v>943</v>
      </c>
      <c r="M249" s="987">
        <v>1230.0</v>
      </c>
      <c r="N249" s="993">
        <f>N248*(M249*6)</f>
        <v>-16096.91775</v>
      </c>
      <c r="O249" s="993">
        <f>O248*(M249*6)</f>
        <v>-5604.905</v>
      </c>
      <c r="P249" s="1001"/>
      <c r="Q249" s="993">
        <f t="shared" si="51"/>
        <v>-21701.82275</v>
      </c>
      <c r="R249" s="984" t="s">
        <v>944</v>
      </c>
      <c r="S249" s="996">
        <f>S246-S247-N259</f>
        <v>-1214774.844</v>
      </c>
    </row>
    <row r="250">
      <c r="J250" s="1010" t="s">
        <v>945</v>
      </c>
      <c r="K250" s="994"/>
      <c r="L250" s="1011"/>
      <c r="M250" s="1001"/>
      <c r="N250" s="1001"/>
      <c r="O250" s="1001"/>
      <c r="P250" s="1001"/>
      <c r="Q250" s="1001"/>
      <c r="R250" s="984" t="s">
        <v>275</v>
      </c>
      <c r="S250" s="1006">
        <f>S249/S246</f>
        <v>8.208284768</v>
      </c>
    </row>
    <row r="251">
      <c r="J251" s="1003" t="s">
        <v>946</v>
      </c>
      <c r="K251" s="1004">
        <v>1230.0</v>
      </c>
      <c r="L251" s="1005" t="s">
        <v>947</v>
      </c>
      <c r="M251" s="3"/>
      <c r="N251" s="993">
        <f>Q249+(Q248*K257)</f>
        <v>-23466.19858</v>
      </c>
      <c r="O251" s="1001"/>
      <c r="P251" s="1012" t="s">
        <v>948</v>
      </c>
      <c r="Q251" s="232"/>
      <c r="R251" s="232"/>
      <c r="S251" s="3"/>
    </row>
    <row r="252">
      <c r="J252" s="1014" t="s">
        <v>949</v>
      </c>
      <c r="K252" s="1004">
        <v>3.0</v>
      </c>
      <c r="L252" s="1005" t="s">
        <v>950</v>
      </c>
      <c r="M252" s="3"/>
      <c r="N252" s="993">
        <f>N251*K244+(L245*K263*K244*110)+(L245*K258%*K244*100)</f>
        <v>-559005.9061</v>
      </c>
      <c r="O252" s="1015"/>
      <c r="P252" s="1016" t="s">
        <v>951</v>
      </c>
      <c r="Q252" s="1017">
        <v>567400.0</v>
      </c>
      <c r="R252" s="984" t="s">
        <v>952</v>
      </c>
      <c r="S252" s="998">
        <v>100000.0</v>
      </c>
    </row>
    <row r="253">
      <c r="J253" s="1014" t="s">
        <v>953</v>
      </c>
      <c r="K253" s="1004">
        <f>K244</f>
        <v>31</v>
      </c>
      <c r="L253" s="1005" t="s">
        <v>954</v>
      </c>
      <c r="M253" s="3"/>
      <c r="N253" s="984" t="s">
        <v>375</v>
      </c>
      <c r="O253" s="1010" t="s">
        <v>349</v>
      </c>
      <c r="P253" s="1018" t="s">
        <v>955</v>
      </c>
      <c r="Q253" s="1019">
        <f>L245*K258%*K244*300</f>
        <v>406875</v>
      </c>
      <c r="R253" s="995" t="s">
        <v>956</v>
      </c>
      <c r="S253" s="993">
        <v>26250.0</v>
      </c>
    </row>
    <row r="254">
      <c r="J254" s="1003" t="s">
        <v>957</v>
      </c>
      <c r="K254" s="1004">
        <v>1230.0</v>
      </c>
      <c r="L254" s="1005" t="s">
        <v>958</v>
      </c>
      <c r="M254" s="3"/>
      <c r="N254" s="998">
        <f t="shared" ref="N254:N255" si="52">K246*1.15</f>
        <v>368000</v>
      </c>
      <c r="O254" s="1020">
        <v>15000.0</v>
      </c>
      <c r="P254" s="1021" t="s">
        <v>959</v>
      </c>
      <c r="Q254" s="1019">
        <f>L245*K259*K244*100</f>
        <v>24412.5</v>
      </c>
      <c r="R254" s="1022" t="s">
        <v>960</v>
      </c>
      <c r="S254" s="993">
        <v>25000.0</v>
      </c>
    </row>
    <row r="255">
      <c r="J255" s="1003" t="s">
        <v>961</v>
      </c>
      <c r="K255" s="1004">
        <v>5.0</v>
      </c>
      <c r="L255" s="1005" t="s">
        <v>962</v>
      </c>
      <c r="M255" s="3"/>
      <c r="N255" s="998">
        <f t="shared" si="52"/>
        <v>310500</v>
      </c>
      <c r="O255" s="998">
        <v>15000.0</v>
      </c>
      <c r="P255" s="1018" t="s">
        <v>963</v>
      </c>
      <c r="Q255" s="1024">
        <f>L245*K260*K244*100</f>
        <v>100362.5</v>
      </c>
      <c r="R255" s="1025" t="s">
        <v>964</v>
      </c>
      <c r="S255" s="3"/>
    </row>
    <row r="256">
      <c r="J256" s="1003" t="s">
        <v>965</v>
      </c>
      <c r="K256" s="1004">
        <v>35.0</v>
      </c>
      <c r="L256" s="1026" t="s">
        <v>966</v>
      </c>
      <c r="M256" s="3"/>
      <c r="N256" s="998">
        <f>(K244*3-43.4)*K248*K249</f>
        <v>419120</v>
      </c>
      <c r="O256" s="998">
        <f>(K244*3-43.4)*K257</f>
        <v>29760</v>
      </c>
      <c r="P256" s="1018" t="s">
        <v>967</v>
      </c>
      <c r="Q256" s="1019">
        <f>L245*K261*K244*100</f>
        <v>35262.5</v>
      </c>
      <c r="R256" s="984" t="s">
        <v>952</v>
      </c>
      <c r="S256" s="993">
        <v>60000.0</v>
      </c>
    </row>
    <row r="257">
      <c r="J257" s="1022" t="s">
        <v>968</v>
      </c>
      <c r="K257" s="1027">
        <v>600.0</v>
      </c>
      <c r="L257" s="1000" t="s">
        <v>969</v>
      </c>
      <c r="M257" s="3"/>
      <c r="N257" s="998">
        <f>K251*K252*K253</f>
        <v>114390</v>
      </c>
      <c r="O257" s="998">
        <f>K253*K257</f>
        <v>18600</v>
      </c>
      <c r="P257" s="1021" t="s">
        <v>133</v>
      </c>
      <c r="Q257" s="1019">
        <f>L245*K262*K244*100</f>
        <v>24412.5</v>
      </c>
      <c r="R257" s="995" t="s">
        <v>956</v>
      </c>
      <c r="S257" s="993">
        <v>20000.0</v>
      </c>
    </row>
    <row r="258">
      <c r="J258" s="1028" t="s">
        <v>970</v>
      </c>
      <c r="K258" s="1029">
        <v>25.0</v>
      </c>
      <c r="L258" s="1031" t="s">
        <v>976</v>
      </c>
      <c r="M258" s="3"/>
      <c r="N258" s="998">
        <f>K254*K255*K256</f>
        <v>215250</v>
      </c>
      <c r="O258" s="998">
        <f>K256*K257</f>
        <v>21000</v>
      </c>
      <c r="P258" s="1018" t="s">
        <v>972</v>
      </c>
      <c r="Q258" s="1019">
        <f>L245*K263*K244*250</f>
        <v>74593.75</v>
      </c>
      <c r="R258" s="1022" t="s">
        <v>960</v>
      </c>
      <c r="S258" s="993">
        <v>19167.0</v>
      </c>
    </row>
    <row r="259">
      <c r="J259" s="984" t="s">
        <v>959</v>
      </c>
      <c r="K259" s="1006">
        <v>0.045</v>
      </c>
      <c r="L259" s="1000" t="s">
        <v>973</v>
      </c>
      <c r="M259" s="3"/>
      <c r="N259" s="998">
        <f>SUM(N254:O255)</f>
        <v>708500</v>
      </c>
      <c r="O259" s="1030"/>
      <c r="P259" s="984" t="s">
        <v>345</v>
      </c>
      <c r="Q259" s="996">
        <f>SUM(Q252:Q258)+SUM(S252:S254)</f>
        <v>1384568.75</v>
      </c>
      <c r="R259" s="984" t="s">
        <v>345</v>
      </c>
      <c r="S259" s="993">
        <f>S256+S257+S258</f>
        <v>99167</v>
      </c>
    </row>
    <row r="260">
      <c r="J260" s="1022" t="s">
        <v>974</v>
      </c>
      <c r="K260" s="1006">
        <v>0.185</v>
      </c>
      <c r="L260" s="975"/>
      <c r="M260" s="975"/>
      <c r="N260" s="975"/>
      <c r="O260" s="975"/>
      <c r="P260" s="975"/>
      <c r="Q260" s="975"/>
      <c r="R260" s="975"/>
      <c r="S260" s="975"/>
    </row>
    <row r="261">
      <c r="J261" s="1022" t="s">
        <v>975</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972</v>
      </c>
      <c r="K263" s="1006">
        <v>0.055</v>
      </c>
      <c r="L263" s="975"/>
      <c r="M263" s="975"/>
      <c r="N263" s="975"/>
      <c r="O263" s="975"/>
      <c r="P263" s="975"/>
      <c r="Q263" s="975"/>
      <c r="R263" s="975"/>
      <c r="S263" s="975"/>
    </row>
    <row r="265">
      <c r="J265" s="976" t="s">
        <v>928</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931</v>
      </c>
      <c r="K266" s="985">
        <f>DAY(EOMONTH(K265,0))</f>
        <v>31</v>
      </c>
      <c r="L266" s="986" t="s">
        <v>932</v>
      </c>
      <c r="M266" s="986" t="s">
        <v>277</v>
      </c>
      <c r="N266" s="986" t="s">
        <v>296</v>
      </c>
      <c r="O266" s="986" t="s">
        <v>298</v>
      </c>
      <c r="P266" s="986" t="s">
        <v>298</v>
      </c>
      <c r="Q266" s="986" t="s">
        <v>933</v>
      </c>
      <c r="R266" s="984" t="s">
        <v>934</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935</v>
      </c>
      <c r="S267" s="996">
        <f>Q281</f>
        <v>1384568.75</v>
      </c>
    </row>
    <row r="268">
      <c r="J268" s="984" t="s">
        <v>936</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937</v>
      </c>
      <c r="K269" s="1033">
        <v>270000.0</v>
      </c>
      <c r="L269" s="1000" t="s">
        <v>938</v>
      </c>
      <c r="M269" s="3"/>
      <c r="N269" s="987">
        <v>22.926</v>
      </c>
      <c r="O269" s="987">
        <v>28.78</v>
      </c>
      <c r="P269" s="994"/>
      <c r="Q269" s="1001"/>
      <c r="R269" s="984" t="s">
        <v>939</v>
      </c>
      <c r="S269" s="993">
        <f>N274+SUM(N278:O280)+S281</f>
        <v>358281.0939</v>
      </c>
    </row>
    <row r="270">
      <c r="J270" s="1003" t="s">
        <v>940</v>
      </c>
      <c r="K270" s="1004">
        <v>1300.0</v>
      </c>
      <c r="L270" s="1005" t="s">
        <v>941</v>
      </c>
      <c r="M270" s="3"/>
      <c r="N270" s="993">
        <f t="shared" ref="N270:O270" si="53">N268/(360/N269)</f>
        <v>-2.181154167</v>
      </c>
      <c r="O270" s="993">
        <f t="shared" si="53"/>
        <v>-0.7594722222</v>
      </c>
      <c r="P270" s="1001"/>
      <c r="Q270" s="993">
        <f t="shared" ref="Q270:Q271" si="54">N270+O270+P270</f>
        <v>-2.940626389</v>
      </c>
      <c r="R270" s="984" t="s">
        <v>276</v>
      </c>
      <c r="S270" s="1006">
        <f>S269/S268</f>
        <v>-2.420920437</v>
      </c>
    </row>
    <row r="271">
      <c r="J271" s="1008" t="s">
        <v>942</v>
      </c>
      <c r="K271" s="1004">
        <v>6.5</v>
      </c>
      <c r="L271" s="1009" t="s">
        <v>943</v>
      </c>
      <c r="M271" s="987">
        <v>1230.0</v>
      </c>
      <c r="N271" s="993">
        <f>N270*(M271*6)</f>
        <v>-16096.91775</v>
      </c>
      <c r="O271" s="993">
        <f>O270*(M271*6)</f>
        <v>-5604.905</v>
      </c>
      <c r="P271" s="1001"/>
      <c r="Q271" s="993">
        <f t="shared" si="54"/>
        <v>-21701.82275</v>
      </c>
      <c r="R271" s="984" t="s">
        <v>944</v>
      </c>
      <c r="S271" s="996">
        <f>S268-S269-N281</f>
        <v>-1214774.844</v>
      </c>
    </row>
    <row r="272">
      <c r="J272" s="1010" t="s">
        <v>945</v>
      </c>
      <c r="K272" s="994"/>
      <c r="L272" s="1011"/>
      <c r="M272" s="1001"/>
      <c r="N272" s="1001"/>
      <c r="O272" s="1001"/>
      <c r="P272" s="1001"/>
      <c r="Q272" s="1001"/>
      <c r="R272" s="984" t="s">
        <v>275</v>
      </c>
      <c r="S272" s="1006">
        <f>S271/S268</f>
        <v>8.208284768</v>
      </c>
    </row>
    <row r="273">
      <c r="J273" s="1003" t="s">
        <v>946</v>
      </c>
      <c r="K273" s="1004">
        <v>1230.0</v>
      </c>
      <c r="L273" s="1005" t="s">
        <v>947</v>
      </c>
      <c r="M273" s="3"/>
      <c r="N273" s="993">
        <f>Q271+(Q270*K279)</f>
        <v>-23466.19858</v>
      </c>
      <c r="O273" s="1001"/>
      <c r="P273" s="1012" t="s">
        <v>948</v>
      </c>
      <c r="Q273" s="232"/>
      <c r="R273" s="232"/>
      <c r="S273" s="3"/>
    </row>
    <row r="274">
      <c r="J274" s="1014" t="s">
        <v>949</v>
      </c>
      <c r="K274" s="1004">
        <v>3.0</v>
      </c>
      <c r="L274" s="1005" t="s">
        <v>950</v>
      </c>
      <c r="M274" s="3"/>
      <c r="N274" s="993">
        <f>N273*K266+(L267*K285*K266*110)+(L267*K280%*K266*100)</f>
        <v>-559005.9061</v>
      </c>
      <c r="O274" s="1015"/>
      <c r="P274" s="1016" t="s">
        <v>951</v>
      </c>
      <c r="Q274" s="1017">
        <v>567400.0</v>
      </c>
      <c r="R274" s="984" t="s">
        <v>952</v>
      </c>
      <c r="S274" s="998">
        <v>100000.0</v>
      </c>
    </row>
    <row r="275">
      <c r="J275" s="1014" t="s">
        <v>953</v>
      </c>
      <c r="K275" s="1004">
        <f>K266</f>
        <v>31</v>
      </c>
      <c r="L275" s="1005" t="s">
        <v>954</v>
      </c>
      <c r="M275" s="3"/>
      <c r="N275" s="984" t="s">
        <v>375</v>
      </c>
      <c r="O275" s="1010" t="s">
        <v>349</v>
      </c>
      <c r="P275" s="1018" t="s">
        <v>955</v>
      </c>
      <c r="Q275" s="1019">
        <f>L267*K280%*K266*300</f>
        <v>406875</v>
      </c>
      <c r="R275" s="995" t="s">
        <v>956</v>
      </c>
      <c r="S275" s="993">
        <v>26250.0</v>
      </c>
    </row>
    <row r="276">
      <c r="J276" s="1003" t="s">
        <v>957</v>
      </c>
      <c r="K276" s="1004">
        <v>1230.0</v>
      </c>
      <c r="L276" s="1005" t="s">
        <v>958</v>
      </c>
      <c r="M276" s="3"/>
      <c r="N276" s="998">
        <f t="shared" ref="N276:N277" si="55">K268*1.15</f>
        <v>368000</v>
      </c>
      <c r="O276" s="1020">
        <v>15000.0</v>
      </c>
      <c r="P276" s="1021" t="s">
        <v>959</v>
      </c>
      <c r="Q276" s="1019">
        <f>L267*K281*K266*100</f>
        <v>24412.5</v>
      </c>
      <c r="R276" s="1022" t="s">
        <v>960</v>
      </c>
      <c r="S276" s="993">
        <v>25000.0</v>
      </c>
    </row>
    <row r="277">
      <c r="J277" s="1003" t="s">
        <v>961</v>
      </c>
      <c r="K277" s="1004">
        <v>5.0</v>
      </c>
      <c r="L277" s="1005" t="s">
        <v>962</v>
      </c>
      <c r="M277" s="3"/>
      <c r="N277" s="998">
        <f t="shared" si="55"/>
        <v>310500</v>
      </c>
      <c r="O277" s="998">
        <v>15000.0</v>
      </c>
      <c r="P277" s="1018" t="s">
        <v>963</v>
      </c>
      <c r="Q277" s="1024">
        <f>L267*K282*K266*100</f>
        <v>100362.5</v>
      </c>
      <c r="R277" s="1025" t="s">
        <v>964</v>
      </c>
      <c r="S277" s="3"/>
    </row>
    <row r="278">
      <c r="J278" s="1003" t="s">
        <v>965</v>
      </c>
      <c r="K278" s="1004">
        <v>35.0</v>
      </c>
      <c r="L278" s="1026" t="s">
        <v>966</v>
      </c>
      <c r="M278" s="3"/>
      <c r="N278" s="998">
        <f>(K266*3-43.4)*K270*K271</f>
        <v>419120</v>
      </c>
      <c r="O278" s="998">
        <f>(K266*3-43.4)*K279</f>
        <v>29760</v>
      </c>
      <c r="P278" s="1018" t="s">
        <v>967</v>
      </c>
      <c r="Q278" s="1019">
        <f>L267*K283*K266*100</f>
        <v>35262.5</v>
      </c>
      <c r="R278" s="984" t="s">
        <v>952</v>
      </c>
      <c r="S278" s="993">
        <v>60000.0</v>
      </c>
    </row>
    <row r="279">
      <c r="J279" s="1022" t="s">
        <v>968</v>
      </c>
      <c r="K279" s="1027">
        <v>600.0</v>
      </c>
      <c r="L279" s="1000" t="s">
        <v>969</v>
      </c>
      <c r="M279" s="3"/>
      <c r="N279" s="998">
        <f>K273*K274*K275</f>
        <v>114390</v>
      </c>
      <c r="O279" s="998">
        <f>K275*K279</f>
        <v>18600</v>
      </c>
      <c r="P279" s="1021" t="s">
        <v>133</v>
      </c>
      <c r="Q279" s="1019">
        <f>L267*K284*K266*100</f>
        <v>24412.5</v>
      </c>
      <c r="R279" s="995" t="s">
        <v>956</v>
      </c>
      <c r="S279" s="993">
        <v>20000.0</v>
      </c>
    </row>
    <row r="280">
      <c r="J280" s="1028" t="s">
        <v>970</v>
      </c>
      <c r="K280" s="1029">
        <v>25.0</v>
      </c>
      <c r="L280" s="1000" t="s">
        <v>971</v>
      </c>
      <c r="M280" s="3"/>
      <c r="N280" s="998">
        <f>K276*K277*K278</f>
        <v>215250</v>
      </c>
      <c r="O280" s="998">
        <f>K278*K279</f>
        <v>21000</v>
      </c>
      <c r="P280" s="1018" t="s">
        <v>972</v>
      </c>
      <c r="Q280" s="1019">
        <f>L267*K285*K266*250</f>
        <v>74593.75</v>
      </c>
      <c r="R280" s="1022" t="s">
        <v>960</v>
      </c>
      <c r="S280" s="993">
        <v>19167.0</v>
      </c>
    </row>
    <row r="281">
      <c r="J281" s="984" t="s">
        <v>959</v>
      </c>
      <c r="K281" s="1006">
        <v>0.045</v>
      </c>
      <c r="L281" s="1000" t="s">
        <v>973</v>
      </c>
      <c r="M281" s="3"/>
      <c r="N281" s="998">
        <f>SUM(N276:O277)</f>
        <v>708500</v>
      </c>
      <c r="O281" s="1030"/>
      <c r="P281" s="984" t="s">
        <v>345</v>
      </c>
      <c r="Q281" s="996">
        <f>SUM(Q274:Q280)+SUM(S274:S276)</f>
        <v>1384568.75</v>
      </c>
      <c r="R281" s="984" t="s">
        <v>345</v>
      </c>
      <c r="S281" s="993">
        <f>S278+S279+S280</f>
        <v>99167</v>
      </c>
    </row>
    <row r="282">
      <c r="J282" s="1022" t="s">
        <v>974</v>
      </c>
      <c r="K282" s="1006">
        <v>0.185</v>
      </c>
      <c r="L282" s="975"/>
      <c r="M282" s="975"/>
      <c r="N282" s="975"/>
      <c r="O282" s="975"/>
      <c r="P282" s="975"/>
      <c r="Q282" s="975"/>
      <c r="R282" s="975"/>
      <c r="S282" s="975"/>
    </row>
    <row r="283">
      <c r="J283" s="1022" t="s">
        <v>975</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972</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977</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978</v>
      </c>
      <c r="C2" s="200"/>
      <c r="D2" s="223"/>
      <c r="E2" s="223"/>
      <c r="F2" s="223"/>
      <c r="G2" s="223"/>
      <c r="H2" s="223"/>
      <c r="I2" s="223"/>
      <c r="J2" s="223"/>
      <c r="K2" s="200"/>
      <c r="L2" s="200"/>
      <c r="M2" s="200"/>
      <c r="N2" s="200"/>
      <c r="O2" s="1036"/>
      <c r="P2" s="1044">
        <f>month(P3)</f>
        <v>2</v>
      </c>
      <c r="Q2" s="1045" t="s">
        <v>979</v>
      </c>
      <c r="R2" s="1046" t="s">
        <v>980</v>
      </c>
      <c r="S2" s="1047" t="s">
        <v>981</v>
      </c>
      <c r="T2" s="1047" t="s">
        <v>982</v>
      </c>
      <c r="U2" s="1047" t="s">
        <v>983</v>
      </c>
      <c r="V2" s="1048" t="s">
        <v>984</v>
      </c>
      <c r="W2" s="1047" t="s">
        <v>985</v>
      </c>
      <c r="X2" s="1047" t="s">
        <v>986</v>
      </c>
      <c r="Y2" s="1044"/>
      <c r="Z2" s="1044">
        <f>month(Z3)</f>
        <v>3</v>
      </c>
      <c r="AA2" s="1045" t="s">
        <v>979</v>
      </c>
      <c r="AB2" s="1046" t="s">
        <v>980</v>
      </c>
      <c r="AC2" s="1047" t="s">
        <v>981</v>
      </c>
      <c r="AD2" s="1047" t="s">
        <v>982</v>
      </c>
      <c r="AE2" s="1047" t="s">
        <v>983</v>
      </c>
      <c r="AF2" s="1048" t="s">
        <v>987</v>
      </c>
      <c r="AG2" s="1047" t="s">
        <v>985</v>
      </c>
      <c r="AH2" s="1047" t="s">
        <v>986</v>
      </c>
      <c r="AI2" s="1044"/>
      <c r="AJ2" s="1044">
        <f>month(AJ3)</f>
        <v>4</v>
      </c>
      <c r="AK2" s="1045" t="s">
        <v>979</v>
      </c>
      <c r="AL2" s="1046" t="s">
        <v>980</v>
      </c>
      <c r="AM2" s="1047" t="s">
        <v>981</v>
      </c>
      <c r="AN2" s="1047" t="s">
        <v>982</v>
      </c>
      <c r="AO2" s="1047" t="s">
        <v>983</v>
      </c>
      <c r="AP2" s="1048" t="s">
        <v>988</v>
      </c>
      <c r="AQ2" s="1047" t="s">
        <v>985</v>
      </c>
      <c r="AR2" s="1047" t="s">
        <v>986</v>
      </c>
      <c r="AS2" s="1047"/>
      <c r="AT2" s="1044">
        <f>month(AT3)</f>
        <v>5</v>
      </c>
      <c r="AU2" s="1049" t="s">
        <v>979</v>
      </c>
      <c r="AV2" s="1050" t="s">
        <v>980</v>
      </c>
      <c r="AW2" s="1051" t="s">
        <v>981</v>
      </c>
      <c r="AX2" s="1051" t="s">
        <v>982</v>
      </c>
      <c r="AY2" s="1051" t="s">
        <v>983</v>
      </c>
      <c r="AZ2" s="1052" t="s">
        <v>989</v>
      </c>
      <c r="BA2" s="1051" t="s">
        <v>985</v>
      </c>
      <c r="BB2" s="1051" t="s">
        <v>986</v>
      </c>
      <c r="BC2" s="1044"/>
      <c r="BD2" s="1044">
        <f>month(BD3)</f>
        <v>6</v>
      </c>
      <c r="BE2" s="1045" t="s">
        <v>979</v>
      </c>
      <c r="BF2" s="1046" t="s">
        <v>980</v>
      </c>
      <c r="BG2" s="1047" t="s">
        <v>981</v>
      </c>
      <c r="BH2" s="1047" t="s">
        <v>982</v>
      </c>
      <c r="BI2" s="1047" t="s">
        <v>983</v>
      </c>
      <c r="BJ2" s="1048" t="s">
        <v>990</v>
      </c>
      <c r="BK2" s="1047" t="s">
        <v>985</v>
      </c>
      <c r="BL2" s="1047" t="s">
        <v>986</v>
      </c>
      <c r="BM2" s="1044"/>
      <c r="BN2" s="1044">
        <f>month(BN3)</f>
        <v>7</v>
      </c>
      <c r="BO2" s="1045" t="s">
        <v>979</v>
      </c>
      <c r="BP2" s="1046" t="s">
        <v>980</v>
      </c>
      <c r="BQ2" s="1047" t="s">
        <v>981</v>
      </c>
      <c r="BR2" s="1047" t="s">
        <v>982</v>
      </c>
      <c r="BS2" s="1047" t="s">
        <v>983</v>
      </c>
      <c r="BT2" s="1048" t="s">
        <v>991</v>
      </c>
      <c r="BU2" s="1047" t="s">
        <v>985</v>
      </c>
      <c r="BV2" s="1047" t="s">
        <v>986</v>
      </c>
      <c r="BW2" s="1047"/>
      <c r="BX2" s="1044">
        <f>month(BX3)</f>
        <v>8</v>
      </c>
      <c r="BY2" s="1045" t="s">
        <v>979</v>
      </c>
      <c r="BZ2" s="1046" t="s">
        <v>980</v>
      </c>
      <c r="CA2" s="1047" t="s">
        <v>981</v>
      </c>
      <c r="CB2" s="1047" t="s">
        <v>982</v>
      </c>
      <c r="CC2" s="1047" t="s">
        <v>983</v>
      </c>
      <c r="CD2" s="1048" t="s">
        <v>992</v>
      </c>
      <c r="CE2" s="1047" t="s">
        <v>985</v>
      </c>
      <c r="CF2" s="1047" t="s">
        <v>986</v>
      </c>
      <c r="CG2" s="1044"/>
      <c r="CH2" s="1044">
        <f>month(CH3)</f>
        <v>9</v>
      </c>
      <c r="CI2" s="1045" t="s">
        <v>979</v>
      </c>
      <c r="CJ2" s="1046" t="s">
        <v>980</v>
      </c>
      <c r="CK2" s="1047" t="s">
        <v>981</v>
      </c>
      <c r="CL2" s="1047" t="s">
        <v>982</v>
      </c>
      <c r="CM2" s="1047" t="s">
        <v>983</v>
      </c>
      <c r="CN2" s="1048" t="s">
        <v>993</v>
      </c>
      <c r="CO2" s="1047" t="s">
        <v>985</v>
      </c>
      <c r="CP2" s="1047" t="s">
        <v>986</v>
      </c>
      <c r="CQ2" s="1044"/>
      <c r="CR2" s="1044">
        <f>month(CR3)</f>
        <v>10</v>
      </c>
      <c r="CS2" s="1045" t="s">
        <v>979</v>
      </c>
      <c r="CT2" s="1046" t="s">
        <v>980</v>
      </c>
      <c r="CU2" s="1047" t="s">
        <v>981</v>
      </c>
      <c r="CV2" s="1047" t="s">
        <v>982</v>
      </c>
      <c r="CW2" s="1047" t="s">
        <v>983</v>
      </c>
      <c r="CX2" s="1048" t="s">
        <v>994</v>
      </c>
      <c r="CY2" s="1047" t="s">
        <v>985</v>
      </c>
      <c r="CZ2" s="1047" t="s">
        <v>986</v>
      </c>
      <c r="DA2" s="1047"/>
      <c r="DB2" s="1044">
        <f>month(DB3)</f>
        <v>11</v>
      </c>
      <c r="DC2" s="1045" t="s">
        <v>979</v>
      </c>
      <c r="DD2" s="1046" t="s">
        <v>980</v>
      </c>
      <c r="DE2" s="1047" t="s">
        <v>981</v>
      </c>
      <c r="DF2" s="1047" t="s">
        <v>982</v>
      </c>
      <c r="DG2" s="1047" t="s">
        <v>983</v>
      </c>
      <c r="DH2" s="1048" t="s">
        <v>995</v>
      </c>
      <c r="DI2" s="1047" t="s">
        <v>985</v>
      </c>
      <c r="DJ2" s="1047" t="s">
        <v>986</v>
      </c>
      <c r="DK2" s="1044"/>
      <c r="DL2" s="1044">
        <f>month(DL3)</f>
        <v>12</v>
      </c>
      <c r="DM2" s="1045" t="s">
        <v>979</v>
      </c>
      <c r="DN2" s="1046" t="s">
        <v>980</v>
      </c>
      <c r="DO2" s="1047" t="s">
        <v>981</v>
      </c>
      <c r="DP2" s="1047" t="s">
        <v>982</v>
      </c>
      <c r="DQ2" s="1047" t="s">
        <v>983</v>
      </c>
      <c r="DR2" s="1048" t="s">
        <v>996</v>
      </c>
      <c r="DS2" s="1047" t="s">
        <v>985</v>
      </c>
      <c r="DT2" s="1047" t="s">
        <v>986</v>
      </c>
      <c r="DU2" s="1044"/>
      <c r="DV2" s="1044">
        <f>month(DV3)</f>
        <v>1</v>
      </c>
      <c r="DW2" s="1045" t="s">
        <v>979</v>
      </c>
      <c r="DX2" s="1046" t="s">
        <v>980</v>
      </c>
      <c r="DY2" s="1047" t="s">
        <v>981</v>
      </c>
      <c r="DZ2" s="1047" t="s">
        <v>982</v>
      </c>
      <c r="EA2" s="1047" t="s">
        <v>983</v>
      </c>
      <c r="EB2" s="1048" t="s">
        <v>997</v>
      </c>
      <c r="EC2" s="1047" t="s">
        <v>985</v>
      </c>
      <c r="ED2" s="1047" t="s">
        <v>986</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998</v>
      </c>
      <c r="D3" s="1057" t="s">
        <v>580</v>
      </c>
      <c r="E3" s="1057" t="s">
        <v>999</v>
      </c>
      <c r="F3" s="1058" t="s">
        <v>1000</v>
      </c>
      <c r="G3" s="1059" t="s">
        <v>1001</v>
      </c>
      <c r="H3" s="1060" t="s">
        <v>1002</v>
      </c>
      <c r="I3" s="1057" t="s">
        <v>1003</v>
      </c>
      <c r="J3" s="1057" t="s">
        <v>1004</v>
      </c>
      <c r="K3" s="200"/>
      <c r="L3" s="1061" t="s">
        <v>96</v>
      </c>
      <c r="M3" s="1061" t="s">
        <v>549</v>
      </c>
      <c r="N3" s="200"/>
      <c r="O3" s="1036"/>
      <c r="P3" s="1062">
        <v>46054.0</v>
      </c>
      <c r="Q3" s="1063" t="s">
        <v>80</v>
      </c>
      <c r="R3" s="1064" t="s">
        <v>998</v>
      </c>
      <c r="S3" s="1063" t="s">
        <v>580</v>
      </c>
      <c r="T3" s="1063" t="s">
        <v>1005</v>
      </c>
      <c r="U3" s="1063" t="s">
        <v>1006</v>
      </c>
      <c r="V3" s="1063" t="s">
        <v>1007</v>
      </c>
      <c r="W3" s="1063" t="s">
        <v>1008</v>
      </c>
      <c r="X3" s="1063" t="s">
        <v>1009</v>
      </c>
      <c r="Y3" s="1065"/>
      <c r="Z3" s="1062">
        <v>46082.0</v>
      </c>
      <c r="AA3" s="1063" t="s">
        <v>80</v>
      </c>
      <c r="AB3" s="1064" t="s">
        <v>998</v>
      </c>
      <c r="AC3" s="1063" t="s">
        <v>580</v>
      </c>
      <c r="AD3" s="1063" t="s">
        <v>1005</v>
      </c>
      <c r="AE3" s="1063" t="s">
        <v>1006</v>
      </c>
      <c r="AF3" s="1063" t="s">
        <v>1007</v>
      </c>
      <c r="AG3" s="1063" t="s">
        <v>1008</v>
      </c>
      <c r="AH3" s="1063" t="s">
        <v>1009</v>
      </c>
      <c r="AI3" s="1066"/>
      <c r="AJ3" s="1067">
        <v>46113.0</v>
      </c>
      <c r="AK3" s="1063" t="s">
        <v>80</v>
      </c>
      <c r="AL3" s="1064" t="s">
        <v>998</v>
      </c>
      <c r="AM3" s="1063" t="s">
        <v>580</v>
      </c>
      <c r="AN3" s="1063" t="s">
        <v>1005</v>
      </c>
      <c r="AO3" s="1063" t="s">
        <v>1006</v>
      </c>
      <c r="AP3" s="1063" t="s">
        <v>1007</v>
      </c>
      <c r="AQ3" s="1063" t="s">
        <v>1008</v>
      </c>
      <c r="AR3" s="1063" t="s">
        <v>1009</v>
      </c>
      <c r="AS3" s="1065"/>
      <c r="AT3" s="1067">
        <v>46143.0</v>
      </c>
      <c r="AU3" s="1068" t="s">
        <v>80</v>
      </c>
      <c r="AV3" s="1069" t="s">
        <v>998</v>
      </c>
      <c r="AW3" s="1068" t="s">
        <v>580</v>
      </c>
      <c r="AX3" s="1068" t="s">
        <v>1005</v>
      </c>
      <c r="AY3" s="1068" t="s">
        <v>1006</v>
      </c>
      <c r="AZ3" s="1068" t="s">
        <v>1007</v>
      </c>
      <c r="BA3" s="1068" t="s">
        <v>1008</v>
      </c>
      <c r="BB3" s="1068" t="s">
        <v>1009</v>
      </c>
      <c r="BC3" s="1065"/>
      <c r="BD3" s="1067">
        <v>46174.0</v>
      </c>
      <c r="BE3" s="1063" t="s">
        <v>80</v>
      </c>
      <c r="BF3" s="1064" t="s">
        <v>998</v>
      </c>
      <c r="BG3" s="1063" t="s">
        <v>580</v>
      </c>
      <c r="BH3" s="1063" t="s">
        <v>1005</v>
      </c>
      <c r="BI3" s="1063" t="s">
        <v>1006</v>
      </c>
      <c r="BJ3" s="1063" t="s">
        <v>1007</v>
      </c>
      <c r="BK3" s="1063" t="s">
        <v>1008</v>
      </c>
      <c r="BL3" s="1063" t="s">
        <v>1009</v>
      </c>
      <c r="BM3" s="1066"/>
      <c r="BN3" s="1067">
        <v>46205.0</v>
      </c>
      <c r="BO3" s="1063" t="s">
        <v>80</v>
      </c>
      <c r="BP3" s="1064" t="s">
        <v>998</v>
      </c>
      <c r="BQ3" s="1063" t="s">
        <v>580</v>
      </c>
      <c r="BR3" s="1063" t="s">
        <v>1005</v>
      </c>
      <c r="BS3" s="1063" t="s">
        <v>1006</v>
      </c>
      <c r="BT3" s="1063" t="s">
        <v>1007</v>
      </c>
      <c r="BU3" s="1063" t="s">
        <v>1008</v>
      </c>
      <c r="BV3" s="1063" t="s">
        <v>1009</v>
      </c>
      <c r="BW3" s="1065"/>
      <c r="BX3" s="1067">
        <v>46235.0</v>
      </c>
      <c r="BY3" s="1063" t="s">
        <v>80</v>
      </c>
      <c r="BZ3" s="1064" t="s">
        <v>998</v>
      </c>
      <c r="CA3" s="1063" t="s">
        <v>580</v>
      </c>
      <c r="CB3" s="1063" t="s">
        <v>1005</v>
      </c>
      <c r="CC3" s="1063" t="s">
        <v>1006</v>
      </c>
      <c r="CD3" s="1063" t="s">
        <v>1007</v>
      </c>
      <c r="CE3" s="1063" t="s">
        <v>1008</v>
      </c>
      <c r="CF3" s="1063" t="s">
        <v>1009</v>
      </c>
      <c r="CG3" s="1065"/>
      <c r="CH3" s="1067">
        <v>46266.0</v>
      </c>
      <c r="CI3" s="1063" t="s">
        <v>80</v>
      </c>
      <c r="CJ3" s="1064" t="s">
        <v>998</v>
      </c>
      <c r="CK3" s="1063" t="s">
        <v>580</v>
      </c>
      <c r="CL3" s="1063" t="s">
        <v>1005</v>
      </c>
      <c r="CM3" s="1063" t="s">
        <v>1006</v>
      </c>
      <c r="CN3" s="1063" t="s">
        <v>1007</v>
      </c>
      <c r="CO3" s="1063" t="s">
        <v>1008</v>
      </c>
      <c r="CP3" s="1063" t="s">
        <v>1009</v>
      </c>
      <c r="CQ3" s="1066"/>
      <c r="CR3" s="1067">
        <v>46296.0</v>
      </c>
      <c r="CS3" s="1063" t="s">
        <v>80</v>
      </c>
      <c r="CT3" s="1064" t="s">
        <v>998</v>
      </c>
      <c r="CU3" s="1063" t="s">
        <v>580</v>
      </c>
      <c r="CV3" s="1063" t="s">
        <v>1005</v>
      </c>
      <c r="CW3" s="1063" t="s">
        <v>1006</v>
      </c>
      <c r="CX3" s="1063" t="s">
        <v>1007</v>
      </c>
      <c r="CY3" s="1063" t="s">
        <v>1008</v>
      </c>
      <c r="CZ3" s="1063" t="s">
        <v>1009</v>
      </c>
      <c r="DA3" s="1065"/>
      <c r="DB3" s="1067">
        <v>46327.0</v>
      </c>
      <c r="DC3" s="1063" t="s">
        <v>80</v>
      </c>
      <c r="DD3" s="1064" t="s">
        <v>998</v>
      </c>
      <c r="DE3" s="1063" t="s">
        <v>580</v>
      </c>
      <c r="DF3" s="1063" t="s">
        <v>1005</v>
      </c>
      <c r="DG3" s="1063" t="s">
        <v>1006</v>
      </c>
      <c r="DH3" s="1063" t="s">
        <v>1007</v>
      </c>
      <c r="DI3" s="1063" t="s">
        <v>1008</v>
      </c>
      <c r="DJ3" s="1063" t="s">
        <v>1009</v>
      </c>
      <c r="DK3" s="1065"/>
      <c r="DL3" s="1067">
        <v>46357.0</v>
      </c>
      <c r="DM3" s="1063" t="s">
        <v>80</v>
      </c>
      <c r="DN3" s="1064" t="s">
        <v>998</v>
      </c>
      <c r="DO3" s="1063" t="s">
        <v>580</v>
      </c>
      <c r="DP3" s="1063" t="s">
        <v>1005</v>
      </c>
      <c r="DQ3" s="1063" t="s">
        <v>1006</v>
      </c>
      <c r="DR3" s="1063" t="s">
        <v>1007</v>
      </c>
      <c r="DS3" s="1063" t="s">
        <v>1008</v>
      </c>
      <c r="DT3" s="1063" t="s">
        <v>1009</v>
      </c>
      <c r="DU3" s="1065"/>
      <c r="DV3" s="1067">
        <v>46388.0</v>
      </c>
      <c r="DW3" s="1063" t="s">
        <v>80</v>
      </c>
      <c r="DX3" s="1064" t="s">
        <v>998</v>
      </c>
      <c r="DY3" s="1063" t="s">
        <v>580</v>
      </c>
      <c r="DZ3" s="1063" t="s">
        <v>1005</v>
      </c>
      <c r="EA3" s="1063" t="s">
        <v>1006</v>
      </c>
      <c r="EB3" s="1063" t="s">
        <v>1007</v>
      </c>
      <c r="EC3" s="1063" t="s">
        <v>1008</v>
      </c>
      <c r="ED3" s="1063" t="s">
        <v>1009</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162.8</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1010</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IFERROR(__xludf.DUMMYFUNCTION("IMPORTRANGE($P$7,$P$4&amp;AO$2)"),2.0)</f>
        <v>2</v>
      </c>
      <c r="AP4" s="228">
        <f t="shared" ref="AP4:AP299" si="7">COUNTIF(INDIRECT(AP$2 &amp; "L9:L"), AL4)</f>
        <v>0</v>
      </c>
      <c r="AQ4" s="1083">
        <f>IFERROR(__xludf.DUMMYFUNCTION("IMPORTRANGE($P$7,$P$4&amp;AQ$2)"),12.283333333333333)</f>
        <v>12.28333333</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448</v>
      </c>
      <c r="D5" s="1073" t="s">
        <v>89</v>
      </c>
      <c r="E5" s="1073" t="s">
        <v>1011</v>
      </c>
      <c r="F5" s="1074">
        <f t="shared" si="2"/>
        <v>23</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141.3833333</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1012</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7"/>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7"/>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f>
        <v/>
      </c>
      <c r="AO5" s="1082">
        <f>IFERROR(__xludf.DUMMYFUNCTION("""COMPUTED_VALUE"""),0.0)</f>
        <v>0</v>
      </c>
      <c r="AP5" s="228">
        <f t="shared" si="7"/>
        <v>0</v>
      </c>
      <c r="AQ5" s="1083">
        <f>IFERROR(__xludf.DUMMYFUNCTION("""COMPUTED_VALUE"""),0.0)</f>
        <v>0</v>
      </c>
      <c r="AR5" s="228">
        <f>IFERROR(__xludf.DUMMYFUNCTION("""COMPUTED_VALUE"""),0.0)</f>
        <v>0</v>
      </c>
      <c r="AS5" s="223"/>
      <c r="AT5" s="527"/>
      <c r="AU5" s="1087"/>
      <c r="AV5" s="1092"/>
      <c r="AW5" s="1093"/>
      <c r="AX5" s="1093"/>
      <c r="AY5" s="1094"/>
      <c r="AZ5" s="1089">
        <f t="shared" si="8"/>
        <v>0</v>
      </c>
      <c r="BA5" s="1095"/>
      <c r="BB5" s="1089"/>
      <c r="BC5" s="200"/>
      <c r="BD5" s="527"/>
      <c r="BE5" s="1080"/>
      <c r="BF5" s="172"/>
      <c r="BG5" s="955"/>
      <c r="BH5" s="955"/>
      <c r="BI5" s="1082"/>
      <c r="BJ5" s="228">
        <f t="shared" si="9"/>
        <v>0</v>
      </c>
      <c r="BK5" s="1083"/>
      <c r="BL5" s="228"/>
      <c r="BM5" s="200"/>
      <c r="BN5" s="527"/>
      <c r="BO5" s="1080"/>
      <c r="BP5" s="172"/>
      <c r="BQ5" s="955"/>
      <c r="BR5" s="955"/>
      <c r="BS5" s="1082"/>
      <c r="BT5" s="228">
        <f t="shared" si="10"/>
        <v>0</v>
      </c>
      <c r="BU5" s="1083"/>
      <c r="BV5" s="228"/>
      <c r="BW5" s="223"/>
      <c r="BX5" s="527"/>
      <c r="BY5" s="1080"/>
      <c r="BZ5" s="172"/>
      <c r="CA5" s="955"/>
      <c r="CB5" s="955"/>
      <c r="CC5" s="1082"/>
      <c r="CD5" s="228">
        <f t="shared" si="11"/>
        <v>0</v>
      </c>
      <c r="CE5" s="1083"/>
      <c r="CF5" s="228"/>
      <c r="CG5" s="200"/>
      <c r="CH5" s="527"/>
      <c r="CI5" s="1080"/>
      <c r="CJ5" s="172"/>
      <c r="CK5" s="955"/>
      <c r="CL5" s="955"/>
      <c r="CM5" s="1082"/>
      <c r="CN5" s="228">
        <f t="shared" si="12"/>
        <v>0</v>
      </c>
      <c r="CO5" s="1083"/>
      <c r="CP5" s="228"/>
      <c r="CQ5" s="200"/>
      <c r="CR5" s="527"/>
      <c r="CS5" s="1080"/>
      <c r="CT5" s="172"/>
      <c r="CU5" s="955"/>
      <c r="CV5" s="955"/>
      <c r="CW5" s="1082"/>
      <c r="CX5" s="228">
        <f t="shared" si="13"/>
        <v>0</v>
      </c>
      <c r="CY5" s="1083"/>
      <c r="CZ5" s="228"/>
      <c r="DA5" s="223"/>
      <c r="DB5" s="527"/>
      <c r="DC5" s="1080"/>
      <c r="DD5" s="172"/>
      <c r="DE5" s="955"/>
      <c r="DF5" s="955"/>
      <c r="DG5" s="1082"/>
      <c r="DH5" s="228">
        <f t="shared" si="14"/>
        <v>0</v>
      </c>
      <c r="DI5" s="1083"/>
      <c r="DJ5" s="228"/>
      <c r="DK5" s="200"/>
      <c r="DL5" s="527"/>
      <c r="DM5" s="1080"/>
      <c r="DN5" s="172"/>
      <c r="DO5" s="955"/>
      <c r="DP5" s="955"/>
      <c r="DQ5" s="1082"/>
      <c r="DR5" s="228">
        <f t="shared" si="15"/>
        <v>0</v>
      </c>
      <c r="DS5" s="1083"/>
      <c r="DT5" s="228"/>
      <c r="DU5" s="200"/>
      <c r="DV5" s="527"/>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943</v>
      </c>
      <c r="F6" s="1074">
        <f t="shared" si="2"/>
        <v>26</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176.15</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1013</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IFERROR(__xludf.DUMMYFUNCTION("""COMPUTED_VALUE"""),2.0)</f>
        <v>2</v>
      </c>
      <c r="AP6" s="228">
        <f t="shared" si="7"/>
        <v>0</v>
      </c>
      <c r="AQ6" s="1083">
        <f>IFERROR(__xludf.DUMMYFUNCTION("""COMPUTED_VALUE"""),13.466666666666667)</f>
        <v>13.46666667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452</v>
      </c>
      <c r="D7" s="1073" t="s">
        <v>89</v>
      </c>
      <c r="E7" s="1073" t="s">
        <v>943</v>
      </c>
      <c r="F7" s="1074">
        <f t="shared" si="2"/>
        <v>24</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159.2666667</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1014</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IFERROR(__xludf.DUMMYFUNCTION("""COMPUTED_VALUE"""),4.0)</f>
        <v>4</v>
      </c>
      <c r="AP7" s="228">
        <f t="shared" si="7"/>
        <v>0</v>
      </c>
      <c r="AQ7" s="1083">
        <f>IFERROR(__xludf.DUMMYFUNCTION("""COMPUTED_VALUE"""),25.516666666666666)</f>
        <v>25.51666667</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454</v>
      </c>
      <c r="D8" s="1073" t="s">
        <v>89</v>
      </c>
      <c r="E8" s="1073" t="s">
        <v>943</v>
      </c>
      <c r="F8" s="1074">
        <f t="shared" si="2"/>
        <v>30</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186.8833333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IFERROR(__xludf.DUMMYFUNCTION("""COMPUTED_VALUE"""),4.0)</f>
        <v>4</v>
      </c>
      <c r="AP8" s="228">
        <f t="shared" si="7"/>
        <v>0</v>
      </c>
      <c r="AQ8" s="1083">
        <f>IFERROR(__xludf.DUMMYFUNCTION("""COMPUTED_VALUE"""),24.983333333333334)</f>
        <v>24.98333333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456</v>
      </c>
      <c r="D9" s="1073" t="s">
        <v>89</v>
      </c>
      <c r="E9" s="1073" t="s">
        <v>943</v>
      </c>
      <c r="F9" s="1074">
        <f t="shared" si="2"/>
        <v>19</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122.4666667</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IFERROR(__xludf.DUMMYFUNCTION("""COMPUTED_VALUE"""),2.0)</f>
        <v>2</v>
      </c>
      <c r="AP9" s="228">
        <f t="shared" si="7"/>
        <v>0</v>
      </c>
      <c r="AQ9" s="1083">
        <f>IFERROR(__xludf.DUMMYFUNCTION("""COMPUTED_VALUE"""),15.1)</f>
        <v>15.1</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516</v>
      </c>
      <c r="D10" s="1073" t="s">
        <v>560</v>
      </c>
      <c r="E10" s="1073" t="s">
        <v>943</v>
      </c>
      <c r="F10" s="1074">
        <f t="shared" si="2"/>
        <v>39</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117.4833333</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IFERROR(__xludf.DUMMYFUNCTION("""COMPUTED_VALUE"""),4.0)</f>
        <v>4</v>
      </c>
      <c r="AP10" s="228">
        <f t="shared" si="7"/>
        <v>0</v>
      </c>
      <c r="AQ10" s="1083">
        <f>IFERROR(__xludf.DUMMYFUNCTION("""COMPUTED_VALUE"""),12.033333333333333)</f>
        <v>12.03333333</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489</v>
      </c>
      <c r="D11" s="1073" t="s">
        <v>560</v>
      </c>
      <c r="E11" s="1073" t="s">
        <v>943</v>
      </c>
      <c r="F11" s="1074">
        <f t="shared" si="2"/>
        <v>19</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61.41666667</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IFERROR(__xludf.DUMMYFUNCTION("""COMPUTED_VALUE"""),1.0)</f>
        <v>1</v>
      </c>
      <c r="AP11" s="228">
        <f t="shared" si="7"/>
        <v>0</v>
      </c>
      <c r="AQ11" s="1083">
        <f>IFERROR(__xludf.DUMMYFUNCTION("""COMPUTED_VALUE"""),2.466666666666667)</f>
        <v>2.466666667</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517</v>
      </c>
      <c r="D12" s="1073" t="s">
        <v>90</v>
      </c>
      <c r="E12" s="1073" t="s">
        <v>1011</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458</v>
      </c>
      <c r="D13" s="1073" t="s">
        <v>90</v>
      </c>
      <c r="E13" s="1073" t="s">
        <v>1015</v>
      </c>
      <c r="F13" s="1074">
        <f t="shared" si="2"/>
        <v>46</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242.8333333</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IFERROR(__xludf.DUMMYFUNCTION("""COMPUTED_VALUE"""),5.0)</f>
        <v>5</v>
      </c>
      <c r="AP13" s="228">
        <f t="shared" si="7"/>
        <v>0</v>
      </c>
      <c r="AQ13" s="1083">
        <f>IFERROR(__xludf.DUMMYFUNCTION("""COMPUTED_VALUE"""),26.05)</f>
        <v>26.05</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460</v>
      </c>
      <c r="D14" s="1073" t="s">
        <v>90</v>
      </c>
      <c r="E14" s="1073" t="s">
        <v>1015</v>
      </c>
      <c r="F14" s="1074">
        <f t="shared" si="2"/>
        <v>26</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141.2166667</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IFERROR(__xludf.DUMMYFUNCTION("""COMPUTED_VALUE"""),1.0)</f>
        <v>1</v>
      </c>
      <c r="AP14" s="228">
        <f t="shared" si="7"/>
        <v>0</v>
      </c>
      <c r="AQ14" s="1083">
        <f>IFERROR(__xludf.DUMMYFUNCTION("""COMPUTED_VALUE"""),10.333333333333334)</f>
        <v>10.33333333</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469</v>
      </c>
      <c r="D15" s="1073" t="s">
        <v>90</v>
      </c>
      <c r="E15" s="1073" t="s">
        <v>1015</v>
      </c>
      <c r="F15" s="1074">
        <f t="shared" si="2"/>
        <v>43</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225.7666667</v>
      </c>
      <c r="J15" s="1077">
        <f t="shared" si="26"/>
        <v>628</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IFERROR(__xludf.DUMMYFUNCTION("""COMPUTED_VALUE"""),4.0)</f>
        <v>4</v>
      </c>
      <c r="AP15" s="228">
        <f t="shared" si="7"/>
        <v>0</v>
      </c>
      <c r="AQ15" s="1083">
        <f>IFERROR(__xludf.DUMMYFUNCTION("""COMPUTED_VALUE"""),21.316666666666666)</f>
        <v>21.31666667</v>
      </c>
      <c r="AR15" s="228">
        <f>IFERROR(__xludf.DUMMYFUNCTION("""COMPUTED_VALUE"""),56.0)</f>
        <v>56</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467</v>
      </c>
      <c r="D16" s="1073" t="s">
        <v>90</v>
      </c>
      <c r="E16" s="1073" t="s">
        <v>1015</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1015</v>
      </c>
      <c r="F17" s="1074">
        <f t="shared" si="2"/>
        <v>56</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356.4</v>
      </c>
      <c r="J17" s="1077">
        <f t="shared" si="28"/>
        <v>989</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IFERROR(__xludf.DUMMYFUNCTION("""COMPUTED_VALUE"""),5.0)</f>
        <v>5</v>
      </c>
      <c r="AP17" s="228">
        <f t="shared" si="7"/>
        <v>0</v>
      </c>
      <c r="AQ17" s="1083">
        <f>IFERROR(__xludf.DUMMYFUNCTION("""COMPUTED_VALUE"""),34.11666666666667)</f>
        <v>34.11666667</v>
      </c>
      <c r="AR17" s="228">
        <f>IFERROR(__xludf.DUMMYFUNCTION("""COMPUTED_VALUE"""),90.0)</f>
        <v>90</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522</v>
      </c>
      <c r="D18" s="1073" t="s">
        <v>90</v>
      </c>
      <c r="E18" s="1073" t="s">
        <v>1011</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479</v>
      </c>
      <c r="D19" s="1073" t="s">
        <v>90</v>
      </c>
      <c r="E19" s="1073" t="s">
        <v>1015</v>
      </c>
      <c r="F19" s="1074">
        <f t="shared" si="2"/>
        <v>29</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165.6833333</v>
      </c>
      <c r="J19" s="1077">
        <f t="shared" si="30"/>
        <v>372</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IFERROR(__xludf.DUMMYFUNCTION("""COMPUTED_VALUE"""),2.0)</f>
        <v>2</v>
      </c>
      <c r="AP19" s="228">
        <f t="shared" si="7"/>
        <v>0</v>
      </c>
      <c r="AQ19" s="1083">
        <f>IFERROR(__xludf.DUMMYFUNCTION("""COMPUTED_VALUE"""),13.466666666666667)</f>
        <v>13.46666667</v>
      </c>
      <c r="AR19" s="228">
        <f>IFERROR(__xludf.DUMMYFUNCTION("""COMPUTED_VALUE"""),34.0)</f>
        <v>34</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474</v>
      </c>
      <c r="D20" s="1073" t="s">
        <v>90</v>
      </c>
      <c r="E20" s="1073" t="s">
        <v>943</v>
      </c>
      <c r="F20" s="1074">
        <f t="shared" si="2"/>
        <v>27</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139.0666667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IFERROR(__xludf.DUMMYFUNCTION("""COMPUTED_VALUE"""),3.0)</f>
        <v>3</v>
      </c>
      <c r="AP20" s="228">
        <f t="shared" si="7"/>
        <v>0</v>
      </c>
      <c r="AQ20" s="1083">
        <f>IFERROR(__xludf.DUMMYFUNCTION("""COMPUTED_VALUE"""),15.033333333333333)</f>
        <v>15.03333333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472</v>
      </c>
      <c r="D21" s="1073" t="s">
        <v>90</v>
      </c>
      <c r="E21" s="1073" t="s">
        <v>1015</v>
      </c>
      <c r="F21" s="1074">
        <f t="shared" si="2"/>
        <v>50</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141.1166667</v>
      </c>
      <c r="J21" s="1077">
        <f t="shared" si="32"/>
        <v>737</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IFERROR(__xludf.DUMMYFUNCTION("""COMPUTED_VALUE"""),3.0)</f>
        <v>3</v>
      </c>
      <c r="AP21" s="228">
        <f t="shared" si="7"/>
        <v>0</v>
      </c>
      <c r="AQ21" s="1083">
        <f>IFERROR(__xludf.DUMMYFUNCTION("""COMPUTED_VALUE"""),0.0)</f>
        <v>0</v>
      </c>
      <c r="AR21" s="228">
        <f>IFERROR(__xludf.DUMMYFUNCTION("""COMPUTED_VALUE"""),50.0)</f>
        <v>50</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471</v>
      </c>
      <c r="D22" s="1073" t="s">
        <v>90</v>
      </c>
      <c r="E22" s="1073" t="s">
        <v>1015</v>
      </c>
      <c r="F22" s="1074">
        <f t="shared" si="2"/>
        <v>46</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277.3333333</v>
      </c>
      <c r="J22" s="1077">
        <f t="shared" si="33"/>
        <v>754</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IFERROR(__xludf.DUMMYFUNCTION("""COMPUTED_VALUE"""),5.0)</f>
        <v>5</v>
      </c>
      <c r="AP22" s="228">
        <f t="shared" si="7"/>
        <v>0</v>
      </c>
      <c r="AQ22" s="1083">
        <f>IFERROR(__xludf.DUMMYFUNCTION("""COMPUTED_VALUE"""),34.75)</f>
        <v>34.75</v>
      </c>
      <c r="AR22" s="228">
        <f>IFERROR(__xludf.DUMMYFUNCTION("""COMPUTED_VALUE"""),83.0)</f>
        <v>83</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1011</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477</v>
      </c>
      <c r="D24" s="1073" t="s">
        <v>90</v>
      </c>
      <c r="E24" s="1073" t="s">
        <v>1015</v>
      </c>
      <c r="F24" s="1074">
        <f t="shared" si="2"/>
        <v>35</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204.75</v>
      </c>
      <c r="J24" s="1077">
        <f t="shared" si="35"/>
        <v>33</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IFERROR(__xludf.DUMMYFUNCTION("""COMPUTED_VALUE"""),3.0)</f>
        <v>3</v>
      </c>
      <c r="AP24" s="228">
        <f t="shared" si="7"/>
        <v>0</v>
      </c>
      <c r="AQ24" s="1083">
        <f>IFERROR(__xludf.DUMMYFUNCTION("""COMPUTED_VALUE"""),16.65)</f>
        <v>16.65</v>
      </c>
      <c r="AR24" s="228">
        <f>IFERROR(__xludf.DUMMYFUNCTION("""COMPUTED_VALUE"""),33.0)</f>
        <v>33</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484</v>
      </c>
      <c r="D25" s="1073" t="s">
        <v>90</v>
      </c>
      <c r="E25" s="1073" t="s">
        <v>943</v>
      </c>
      <c r="F25" s="1074">
        <f t="shared" si="2"/>
        <v>12</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77.23333333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IFERROR(__xludf.DUMMYFUNCTION("""COMPUTED_VALUE"""),1.0)</f>
        <v>1</v>
      </c>
      <c r="AP25" s="228">
        <f t="shared" si="7"/>
        <v>0</v>
      </c>
      <c r="AQ25" s="1083">
        <f>IFERROR(__xludf.DUMMYFUNCTION("""COMPUTED_VALUE"""),7.083333333333333)</f>
        <v>7.083333333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1011</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1015</v>
      </c>
      <c r="F27" s="1074">
        <f t="shared" si="2"/>
        <v>34</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218.2</v>
      </c>
      <c r="J27" s="1077">
        <f t="shared" si="38"/>
        <v>31</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IFERROR(__xludf.DUMMYFUNCTION("""COMPUTED_VALUE"""),3.0)</f>
        <v>3</v>
      </c>
      <c r="AP27" s="228">
        <f t="shared" si="7"/>
        <v>0</v>
      </c>
      <c r="AQ27" s="1083">
        <f>IFERROR(__xludf.DUMMYFUNCTION("""COMPUTED_VALUE"""),17.766666666666666)</f>
        <v>17.76666667</v>
      </c>
      <c r="AR27" s="228">
        <f>IFERROR(__xludf.DUMMYFUNCTION("""COMPUTED_VALUE"""),31.0)</f>
        <v>31</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481</v>
      </c>
      <c r="D28" s="1073" t="s">
        <v>90</v>
      </c>
      <c r="E28" s="1073" t="s">
        <v>1015</v>
      </c>
      <c r="F28" s="1074">
        <f t="shared" si="2"/>
        <v>46</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304.2166667</v>
      </c>
      <c r="J28" s="1077">
        <f t="shared" si="39"/>
        <v>56</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IFERROR(__xludf.DUMMYFUNCTION("""COMPUTED_VALUE"""),4.0)</f>
        <v>4</v>
      </c>
      <c r="AP28" s="228">
        <f t="shared" si="7"/>
        <v>0</v>
      </c>
      <c r="AQ28" s="1083">
        <f>IFERROR(__xludf.DUMMYFUNCTION("""COMPUTED_VALUE"""),27.483333333333334)</f>
        <v>27.48333333</v>
      </c>
      <c r="AR28" s="228">
        <f>IFERROR(__xludf.DUMMYFUNCTION("""COMPUTED_VALUE"""),56.0)</f>
        <v>56</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1015</v>
      </c>
      <c r="F29" s="1074">
        <f t="shared" si="2"/>
        <v>38</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255.8</v>
      </c>
      <c r="J29" s="1077">
        <f t="shared" si="40"/>
        <v>53</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IFERROR(__xludf.DUMMYFUNCTION("""COMPUTED_VALUE"""),4.0)</f>
        <v>4</v>
      </c>
      <c r="AP29" s="228">
        <f t="shared" si="7"/>
        <v>0</v>
      </c>
      <c r="AQ29" s="1083">
        <f>IFERROR(__xludf.DUMMYFUNCTION("""COMPUTED_VALUE"""),27.333333333333332)</f>
        <v>27.33333333</v>
      </c>
      <c r="AR29" s="228">
        <f>IFERROR(__xludf.DUMMYFUNCTION("""COMPUTED_VALUE"""),53.0)</f>
        <v>53</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526</v>
      </c>
      <c r="D30" s="1073" t="s">
        <v>90</v>
      </c>
      <c r="E30" s="1073" t="s">
        <v>1011</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482</v>
      </c>
      <c r="D31" s="1073" t="s">
        <v>90</v>
      </c>
      <c r="E31" s="1073" t="s">
        <v>943</v>
      </c>
      <c r="F31" s="1074">
        <f t="shared" si="2"/>
        <v>11</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69.96666667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IFERROR(__xludf.DUMMYFUNCTION("""COMPUTED_VALUE"""),4.0)</f>
        <v>4</v>
      </c>
      <c r="AP31" s="228">
        <f t="shared" si="7"/>
        <v>0</v>
      </c>
      <c r="AQ31" s="1083">
        <f>IFERROR(__xludf.DUMMYFUNCTION("""COMPUTED_VALUE"""),23.7)</f>
        <v>23.7</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483</v>
      </c>
      <c r="D32" s="1073" t="s">
        <v>90</v>
      </c>
      <c r="E32" s="1073" t="s">
        <v>1011</v>
      </c>
      <c r="F32" s="1074">
        <f t="shared" si="2"/>
        <v>4</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25.41666667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f>
        <v/>
      </c>
      <c r="AO32" s="1082">
        <f>IFERROR(__xludf.DUMMYFUNCTION("""COMPUTED_VALUE"""),0.0)</f>
        <v>0</v>
      </c>
      <c r="AP32" s="228">
        <f t="shared" si="7"/>
        <v>0</v>
      </c>
      <c r="AQ32" s="1083">
        <f>IFERROR(__xludf.DUMMYFUNCTION("""COMPUTED_VALUE"""),0.0)</f>
        <v>0</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c r="C33" s="1105" t="s">
        <v>486</v>
      </c>
      <c r="D33" s="1073" t="s">
        <v>90</v>
      </c>
      <c r="E33" s="1073" t="s">
        <v>1011</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0"/>
      <c r="AL33" s="184" t="str">
        <f>IFERROR(__xludf.DUMMYFUNCTION("""COMPUTED_VALUE"""),"アスミタ")</f>
        <v>アスミタ</v>
      </c>
      <c r="AM33" s="228" t="str">
        <f>IFERROR(__xludf.DUMMYFUNCTION("""COMPUTED_VALUE"""),"メイド")</f>
        <v>メイド</v>
      </c>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c r="D34" s="1073"/>
      <c r="E34" s="1073" t="s">
        <v>1011</v>
      </c>
      <c r="F34" s="1074">
        <f t="shared" si="2"/>
        <v>0</v>
      </c>
      <c r="G34" s="1075" t="str">
        <f t="shared" si="3"/>
        <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c r="AM34" s="228"/>
      <c r="AN34" s="228" t="str">
        <f>IFERROR(__xludf.DUMMYFUNCTION("""COMPUTED_VALUE"""),"")</f>
        <v/>
      </c>
      <c r="AO34" s="1082" t="str">
        <f>IFERROR(__xludf.DUMMYFUNCTION("""COMPUTED_VALUE"""),"")</f>
        <v/>
      </c>
      <c r="AP34" s="228">
        <f t="shared" si="7"/>
        <v>0</v>
      </c>
      <c r="AQ34" s="1083" t="str">
        <f>IFERROR(__xludf.DUMMYFUNCTION("""COMPUTED_VALUE"""),"")</f>
        <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c r="D35" s="1073"/>
      <c r="E35" s="1073" t="s">
        <v>1011</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c r="AM35" s="228"/>
      <c r="AN35" s="228" t="str">
        <f>IFERROR(__xludf.DUMMYFUNCTION("""COMPUTED_VALUE"""),"")</f>
        <v/>
      </c>
      <c r="AO35" s="1082" t="str">
        <f>IFERROR(__xludf.DUMMYFUNCTION("""COMPUTED_VALUE"""),"")</f>
        <v/>
      </c>
      <c r="AP35" s="228">
        <f t="shared" si="7"/>
        <v>0</v>
      </c>
      <c r="AQ35" s="1083" t="str">
        <f>IFERROR(__xludf.DUMMYFUNCTION("""COMPUTED_VALUE"""),"")</f>
        <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1011</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1011</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1011</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1011</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1011</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1011</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1011</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1011</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1011</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1011</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1011</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1011</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1011</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1011</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1011</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1011</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1011</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1011</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1011</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1011</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1011</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1011</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1011</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1011</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1011</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1011</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1011</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1011</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1011</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1011</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1011</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1011</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1011</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1011</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1011</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1011</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1011</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1011</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1011</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1011</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1011</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1011</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1011</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1011</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1011</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1011</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1011</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1011</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1011</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1011</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1011</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1011</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1011</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1011</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1011</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1011</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1011</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1011</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1011</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1011</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1011</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1011</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1011</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2"/>
      <c r="R300" s="200"/>
      <c r="S300" s="223"/>
      <c r="T300" s="223"/>
      <c r="U300" s="223"/>
      <c r="V300" s="223"/>
      <c r="W300" s="223"/>
      <c r="X300" s="223"/>
      <c r="Y300" s="200"/>
      <c r="Z300" s="200"/>
      <c r="AA300" s="522"/>
      <c r="AB300" s="200"/>
      <c r="AC300" s="223"/>
      <c r="AD300" s="223"/>
      <c r="AE300" s="223"/>
      <c r="AF300" s="223"/>
      <c r="AG300" s="223"/>
      <c r="AH300" s="223"/>
      <c r="AI300" s="200"/>
      <c r="AJ300" s="200"/>
      <c r="AK300" s="522"/>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2"/>
      <c r="BF300" s="200"/>
      <c r="BG300" s="223"/>
      <c r="BH300" s="223"/>
      <c r="BI300" s="223"/>
      <c r="BJ300" s="223"/>
      <c r="BK300" s="223"/>
      <c r="BL300" s="223"/>
      <c r="BM300" s="200"/>
      <c r="BN300" s="200"/>
      <c r="BO300" s="522"/>
      <c r="BP300" s="200"/>
      <c r="BQ300" s="223"/>
      <c r="BR300" s="223"/>
      <c r="BS300" s="223"/>
      <c r="BT300" s="223"/>
      <c r="BU300" s="223"/>
      <c r="BV300" s="223"/>
      <c r="BW300" s="223"/>
      <c r="BX300" s="200"/>
      <c r="BY300" s="522"/>
      <c r="BZ300" s="200"/>
      <c r="CA300" s="223"/>
      <c r="CB300" s="223"/>
      <c r="CC300" s="223"/>
      <c r="CD300" s="223"/>
      <c r="CE300" s="223"/>
      <c r="CF300" s="223"/>
      <c r="CG300" s="200"/>
      <c r="CH300" s="200"/>
      <c r="CI300" s="522"/>
      <c r="CJ300" s="200"/>
      <c r="CK300" s="223"/>
      <c r="CL300" s="223"/>
      <c r="CM300" s="223"/>
      <c r="CN300" s="223"/>
      <c r="CO300" s="223"/>
      <c r="CP300" s="223"/>
      <c r="CQ300" s="200"/>
      <c r="CR300" s="200"/>
      <c r="CS300" s="522"/>
      <c r="CT300" s="200"/>
      <c r="CU300" s="223"/>
      <c r="CV300" s="223"/>
      <c r="CW300" s="223"/>
      <c r="CX300" s="223"/>
      <c r="CY300" s="223"/>
      <c r="CZ300" s="223"/>
      <c r="DA300" s="223"/>
      <c r="DB300" s="200"/>
      <c r="DC300" s="522"/>
      <c r="DD300" s="200"/>
      <c r="DE300" s="223"/>
      <c r="DF300" s="223"/>
      <c r="DG300" s="223"/>
      <c r="DH300" s="223"/>
      <c r="DI300" s="223"/>
      <c r="DJ300" s="223"/>
      <c r="DK300" s="200"/>
      <c r="DL300" s="200"/>
      <c r="DM300" s="522"/>
      <c r="DN300" s="200"/>
      <c r="DO300" s="223"/>
      <c r="DP300" s="223"/>
      <c r="DQ300" s="223"/>
      <c r="DR300" s="223"/>
      <c r="DS300" s="223"/>
      <c r="DT300" s="223"/>
      <c r="DU300" s="200"/>
      <c r="DV300" s="200"/>
      <c r="DW300" s="522"/>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2"/>
      <c r="R301" s="200"/>
      <c r="S301" s="223"/>
      <c r="T301" s="223"/>
      <c r="U301" s="223"/>
      <c r="V301" s="223"/>
      <c r="W301" s="223"/>
      <c r="X301" s="223"/>
      <c r="Y301" s="200"/>
      <c r="Z301" s="200"/>
      <c r="AA301" s="522"/>
      <c r="AB301" s="200"/>
      <c r="AC301" s="223"/>
      <c r="AD301" s="223"/>
      <c r="AE301" s="223"/>
      <c r="AF301" s="223"/>
      <c r="AG301" s="223"/>
      <c r="AH301" s="223"/>
      <c r="AI301" s="200"/>
      <c r="AJ301" s="200"/>
      <c r="AK301" s="522"/>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2"/>
      <c r="BF301" s="200"/>
      <c r="BG301" s="223"/>
      <c r="BH301" s="223"/>
      <c r="BI301" s="223"/>
      <c r="BJ301" s="223"/>
      <c r="BK301" s="223"/>
      <c r="BL301" s="223"/>
      <c r="BM301" s="200"/>
      <c r="BN301" s="200"/>
      <c r="BO301" s="522"/>
      <c r="BP301" s="200"/>
      <c r="BQ301" s="223"/>
      <c r="BR301" s="223"/>
      <c r="BS301" s="223"/>
      <c r="BT301" s="223"/>
      <c r="BU301" s="223"/>
      <c r="BV301" s="223"/>
      <c r="BW301" s="223"/>
      <c r="BX301" s="200"/>
      <c r="BY301" s="522"/>
      <c r="BZ301" s="200"/>
      <c r="CA301" s="223"/>
      <c r="CB301" s="223"/>
      <c r="CC301" s="223"/>
      <c r="CD301" s="223"/>
      <c r="CE301" s="223"/>
      <c r="CF301" s="223"/>
      <c r="CG301" s="200"/>
      <c r="CH301" s="200"/>
      <c r="CI301" s="522"/>
      <c r="CJ301" s="200"/>
      <c r="CK301" s="223"/>
      <c r="CL301" s="223"/>
      <c r="CM301" s="223"/>
      <c r="CN301" s="223"/>
      <c r="CO301" s="223"/>
      <c r="CP301" s="223"/>
      <c r="CQ301" s="200"/>
      <c r="CR301" s="200"/>
      <c r="CS301" s="522"/>
      <c r="CT301" s="200"/>
      <c r="CU301" s="223"/>
      <c r="CV301" s="223"/>
      <c r="CW301" s="223"/>
      <c r="CX301" s="223"/>
      <c r="CY301" s="223"/>
      <c r="CZ301" s="223"/>
      <c r="DA301" s="223"/>
      <c r="DB301" s="200"/>
      <c r="DC301" s="522"/>
      <c r="DD301" s="200"/>
      <c r="DE301" s="223"/>
      <c r="DF301" s="223"/>
      <c r="DG301" s="223"/>
      <c r="DH301" s="223"/>
      <c r="DI301" s="223"/>
      <c r="DJ301" s="223"/>
      <c r="DK301" s="200"/>
      <c r="DL301" s="200"/>
      <c r="DM301" s="522"/>
      <c r="DN301" s="200"/>
      <c r="DO301" s="223"/>
      <c r="DP301" s="223"/>
      <c r="DQ301" s="223"/>
      <c r="DR301" s="223"/>
      <c r="DS301" s="223"/>
      <c r="DT301" s="223"/>
      <c r="DU301" s="200"/>
      <c r="DV301" s="200"/>
      <c r="DW301" s="522"/>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2"/>
      <c r="R302" s="200"/>
      <c r="S302" s="223"/>
      <c r="T302" s="223"/>
      <c r="U302" s="223"/>
      <c r="V302" s="223"/>
      <c r="W302" s="223"/>
      <c r="X302" s="223"/>
      <c r="Y302" s="200"/>
      <c r="Z302" s="200"/>
      <c r="AA302" s="522"/>
      <c r="AB302" s="200"/>
      <c r="AC302" s="223"/>
      <c r="AD302" s="223"/>
      <c r="AE302" s="223"/>
      <c r="AF302" s="223"/>
      <c r="AG302" s="223"/>
      <c r="AH302" s="223"/>
      <c r="AI302" s="200"/>
      <c r="AJ302" s="200"/>
      <c r="AK302" s="522"/>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2"/>
      <c r="BF302" s="200"/>
      <c r="BG302" s="223"/>
      <c r="BH302" s="223"/>
      <c r="BI302" s="223"/>
      <c r="BJ302" s="223"/>
      <c r="BK302" s="223"/>
      <c r="BL302" s="223"/>
      <c r="BM302" s="200"/>
      <c r="BN302" s="200"/>
      <c r="BO302" s="522"/>
      <c r="BP302" s="200"/>
      <c r="BQ302" s="223"/>
      <c r="BR302" s="223"/>
      <c r="BS302" s="223"/>
      <c r="BT302" s="223"/>
      <c r="BU302" s="223"/>
      <c r="BV302" s="223"/>
      <c r="BW302" s="223"/>
      <c r="BX302" s="200"/>
      <c r="BY302" s="522"/>
      <c r="BZ302" s="200"/>
      <c r="CA302" s="223"/>
      <c r="CB302" s="223"/>
      <c r="CC302" s="223"/>
      <c r="CD302" s="223"/>
      <c r="CE302" s="223"/>
      <c r="CF302" s="223"/>
      <c r="CG302" s="200"/>
      <c r="CH302" s="200"/>
      <c r="CI302" s="522"/>
      <c r="CJ302" s="200"/>
      <c r="CK302" s="223"/>
      <c r="CL302" s="223"/>
      <c r="CM302" s="223"/>
      <c r="CN302" s="223"/>
      <c r="CO302" s="223"/>
      <c r="CP302" s="223"/>
      <c r="CQ302" s="200"/>
      <c r="CR302" s="200"/>
      <c r="CS302" s="522"/>
      <c r="CT302" s="200"/>
      <c r="CU302" s="223"/>
      <c r="CV302" s="223"/>
      <c r="CW302" s="223"/>
      <c r="CX302" s="223"/>
      <c r="CY302" s="223"/>
      <c r="CZ302" s="223"/>
      <c r="DA302" s="223"/>
      <c r="DB302" s="200"/>
      <c r="DC302" s="522"/>
      <c r="DD302" s="200"/>
      <c r="DE302" s="223"/>
      <c r="DF302" s="223"/>
      <c r="DG302" s="223"/>
      <c r="DH302" s="223"/>
      <c r="DI302" s="223"/>
      <c r="DJ302" s="223"/>
      <c r="DK302" s="200"/>
      <c r="DL302" s="200"/>
      <c r="DM302" s="522"/>
      <c r="DN302" s="200"/>
      <c r="DO302" s="223"/>
      <c r="DP302" s="223"/>
      <c r="DQ302" s="223"/>
      <c r="DR302" s="223"/>
      <c r="DS302" s="223"/>
      <c r="DT302" s="223"/>
      <c r="DU302" s="200"/>
      <c r="DV302" s="200"/>
      <c r="DW302" s="522"/>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2"/>
      <c r="R303" s="200"/>
      <c r="S303" s="223"/>
      <c r="T303" s="223"/>
      <c r="U303" s="223"/>
      <c r="V303" s="223"/>
      <c r="W303" s="223"/>
      <c r="X303" s="223"/>
      <c r="Y303" s="200"/>
      <c r="Z303" s="200"/>
      <c r="AA303" s="522"/>
      <c r="AB303" s="200"/>
      <c r="AC303" s="223"/>
      <c r="AD303" s="223"/>
      <c r="AE303" s="223"/>
      <c r="AF303" s="223"/>
      <c r="AG303" s="223"/>
      <c r="AH303" s="223"/>
      <c r="AI303" s="200"/>
      <c r="AJ303" s="200"/>
      <c r="AK303" s="522"/>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2"/>
      <c r="BF303" s="200"/>
      <c r="BG303" s="223"/>
      <c r="BH303" s="223"/>
      <c r="BI303" s="223"/>
      <c r="BJ303" s="223"/>
      <c r="BK303" s="223"/>
      <c r="BL303" s="223"/>
      <c r="BM303" s="200"/>
      <c r="BN303" s="200"/>
      <c r="BO303" s="522"/>
      <c r="BP303" s="200"/>
      <c r="BQ303" s="223"/>
      <c r="BR303" s="223"/>
      <c r="BS303" s="223"/>
      <c r="BT303" s="223"/>
      <c r="BU303" s="223"/>
      <c r="BV303" s="223"/>
      <c r="BW303" s="223"/>
      <c r="BX303" s="200"/>
      <c r="BY303" s="522"/>
      <c r="BZ303" s="200"/>
      <c r="CA303" s="223"/>
      <c r="CB303" s="223"/>
      <c r="CC303" s="223"/>
      <c r="CD303" s="223"/>
      <c r="CE303" s="223"/>
      <c r="CF303" s="223"/>
      <c r="CG303" s="200"/>
      <c r="CH303" s="200"/>
      <c r="CI303" s="522"/>
      <c r="CJ303" s="200"/>
      <c r="CK303" s="223"/>
      <c r="CL303" s="223"/>
      <c r="CM303" s="223"/>
      <c r="CN303" s="223"/>
      <c r="CO303" s="223"/>
      <c r="CP303" s="223"/>
      <c r="CQ303" s="200"/>
      <c r="CR303" s="200"/>
      <c r="CS303" s="522"/>
      <c r="CT303" s="200"/>
      <c r="CU303" s="223"/>
      <c r="CV303" s="223"/>
      <c r="CW303" s="223"/>
      <c r="CX303" s="223"/>
      <c r="CY303" s="223"/>
      <c r="CZ303" s="223"/>
      <c r="DA303" s="223"/>
      <c r="DB303" s="200"/>
      <c r="DC303" s="522"/>
      <c r="DD303" s="200"/>
      <c r="DE303" s="223"/>
      <c r="DF303" s="223"/>
      <c r="DG303" s="223"/>
      <c r="DH303" s="223"/>
      <c r="DI303" s="223"/>
      <c r="DJ303" s="223"/>
      <c r="DK303" s="200"/>
      <c r="DL303" s="200"/>
      <c r="DM303" s="522"/>
      <c r="DN303" s="200"/>
      <c r="DO303" s="223"/>
      <c r="DP303" s="223"/>
      <c r="DQ303" s="223"/>
      <c r="DR303" s="223"/>
      <c r="DS303" s="223"/>
      <c r="DT303" s="223"/>
      <c r="DU303" s="200"/>
      <c r="DV303" s="200"/>
      <c r="DW303" s="522"/>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2"/>
      <c r="R304" s="200"/>
      <c r="S304" s="223"/>
      <c r="T304" s="223"/>
      <c r="U304" s="223"/>
      <c r="V304" s="223"/>
      <c r="W304" s="223"/>
      <c r="X304" s="223"/>
      <c r="Y304" s="200"/>
      <c r="Z304" s="200"/>
      <c r="AA304" s="522"/>
      <c r="AB304" s="200"/>
      <c r="AC304" s="223"/>
      <c r="AD304" s="223"/>
      <c r="AE304" s="223"/>
      <c r="AF304" s="223"/>
      <c r="AG304" s="223"/>
      <c r="AH304" s="223"/>
      <c r="AI304" s="200"/>
      <c r="AJ304" s="200"/>
      <c r="AK304" s="522"/>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2"/>
      <c r="BF304" s="200"/>
      <c r="BG304" s="223"/>
      <c r="BH304" s="223"/>
      <c r="BI304" s="223"/>
      <c r="BJ304" s="223"/>
      <c r="BK304" s="223"/>
      <c r="BL304" s="223"/>
      <c r="BM304" s="200"/>
      <c r="BN304" s="200"/>
      <c r="BO304" s="522"/>
      <c r="BP304" s="200"/>
      <c r="BQ304" s="223"/>
      <c r="BR304" s="223"/>
      <c r="BS304" s="223"/>
      <c r="BT304" s="223"/>
      <c r="BU304" s="223"/>
      <c r="BV304" s="223"/>
      <c r="BW304" s="223"/>
      <c r="BX304" s="200"/>
      <c r="BY304" s="522"/>
      <c r="BZ304" s="200"/>
      <c r="CA304" s="223"/>
      <c r="CB304" s="223"/>
      <c r="CC304" s="223"/>
      <c r="CD304" s="223"/>
      <c r="CE304" s="223"/>
      <c r="CF304" s="223"/>
      <c r="CG304" s="200"/>
      <c r="CH304" s="200"/>
      <c r="CI304" s="522"/>
      <c r="CJ304" s="200"/>
      <c r="CK304" s="223"/>
      <c r="CL304" s="223"/>
      <c r="CM304" s="223"/>
      <c r="CN304" s="223"/>
      <c r="CO304" s="223"/>
      <c r="CP304" s="223"/>
      <c r="CQ304" s="200"/>
      <c r="CR304" s="200"/>
      <c r="CS304" s="522"/>
      <c r="CT304" s="200"/>
      <c r="CU304" s="223"/>
      <c r="CV304" s="223"/>
      <c r="CW304" s="223"/>
      <c r="CX304" s="223"/>
      <c r="CY304" s="223"/>
      <c r="CZ304" s="223"/>
      <c r="DA304" s="223"/>
      <c r="DB304" s="200"/>
      <c r="DC304" s="522"/>
      <c r="DD304" s="200"/>
      <c r="DE304" s="223"/>
      <c r="DF304" s="223"/>
      <c r="DG304" s="223"/>
      <c r="DH304" s="223"/>
      <c r="DI304" s="223"/>
      <c r="DJ304" s="223"/>
      <c r="DK304" s="200"/>
      <c r="DL304" s="200"/>
      <c r="DM304" s="522"/>
      <c r="DN304" s="200"/>
      <c r="DO304" s="223"/>
      <c r="DP304" s="223"/>
      <c r="DQ304" s="223"/>
      <c r="DR304" s="223"/>
      <c r="DS304" s="223"/>
      <c r="DT304" s="223"/>
      <c r="DU304" s="200"/>
      <c r="DV304" s="200"/>
      <c r="DW304" s="522"/>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2"/>
      <c r="R305" s="200"/>
      <c r="S305" s="223"/>
      <c r="T305" s="223"/>
      <c r="U305" s="223"/>
      <c r="V305" s="223"/>
      <c r="W305" s="223"/>
      <c r="X305" s="223"/>
      <c r="Y305" s="200"/>
      <c r="Z305" s="200"/>
      <c r="AA305" s="522"/>
      <c r="AB305" s="200"/>
      <c r="AC305" s="223"/>
      <c r="AD305" s="223"/>
      <c r="AE305" s="223"/>
      <c r="AF305" s="223"/>
      <c r="AG305" s="223"/>
      <c r="AH305" s="223"/>
      <c r="AI305" s="200"/>
      <c r="AJ305" s="200"/>
      <c r="AK305" s="522"/>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2"/>
      <c r="BF305" s="200"/>
      <c r="BG305" s="223"/>
      <c r="BH305" s="223"/>
      <c r="BI305" s="223"/>
      <c r="BJ305" s="223"/>
      <c r="BK305" s="223"/>
      <c r="BL305" s="223"/>
      <c r="BM305" s="200"/>
      <c r="BN305" s="200"/>
      <c r="BO305" s="522"/>
      <c r="BP305" s="200"/>
      <c r="BQ305" s="223"/>
      <c r="BR305" s="223"/>
      <c r="BS305" s="223"/>
      <c r="BT305" s="223"/>
      <c r="BU305" s="223"/>
      <c r="BV305" s="223"/>
      <c r="BW305" s="223"/>
      <c r="BX305" s="200"/>
      <c r="BY305" s="522"/>
      <c r="BZ305" s="200"/>
      <c r="CA305" s="223"/>
      <c r="CB305" s="223"/>
      <c r="CC305" s="223"/>
      <c r="CD305" s="223"/>
      <c r="CE305" s="223"/>
      <c r="CF305" s="223"/>
      <c r="CG305" s="200"/>
      <c r="CH305" s="200"/>
      <c r="CI305" s="522"/>
      <c r="CJ305" s="200"/>
      <c r="CK305" s="223"/>
      <c r="CL305" s="223"/>
      <c r="CM305" s="223"/>
      <c r="CN305" s="223"/>
      <c r="CO305" s="223"/>
      <c r="CP305" s="223"/>
      <c r="CQ305" s="200"/>
      <c r="CR305" s="200"/>
      <c r="CS305" s="522"/>
      <c r="CT305" s="200"/>
      <c r="CU305" s="223"/>
      <c r="CV305" s="223"/>
      <c r="CW305" s="223"/>
      <c r="CX305" s="223"/>
      <c r="CY305" s="223"/>
      <c r="CZ305" s="223"/>
      <c r="DA305" s="223"/>
      <c r="DB305" s="200"/>
      <c r="DC305" s="522"/>
      <c r="DD305" s="200"/>
      <c r="DE305" s="223"/>
      <c r="DF305" s="223"/>
      <c r="DG305" s="223"/>
      <c r="DH305" s="223"/>
      <c r="DI305" s="223"/>
      <c r="DJ305" s="223"/>
      <c r="DK305" s="200"/>
      <c r="DL305" s="200"/>
      <c r="DM305" s="522"/>
      <c r="DN305" s="200"/>
      <c r="DO305" s="223"/>
      <c r="DP305" s="223"/>
      <c r="DQ305" s="223"/>
      <c r="DR305" s="223"/>
      <c r="DS305" s="223"/>
      <c r="DT305" s="223"/>
      <c r="DU305" s="200"/>
      <c r="DV305" s="200"/>
      <c r="DW305" s="522"/>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2"/>
      <c r="R306" s="200"/>
      <c r="S306" s="223"/>
      <c r="T306" s="223"/>
      <c r="U306" s="223"/>
      <c r="V306" s="223"/>
      <c r="W306" s="223"/>
      <c r="X306" s="223"/>
      <c r="Y306" s="200"/>
      <c r="Z306" s="200"/>
      <c r="AA306" s="522"/>
      <c r="AB306" s="200"/>
      <c r="AC306" s="223"/>
      <c r="AD306" s="223"/>
      <c r="AE306" s="223"/>
      <c r="AF306" s="223"/>
      <c r="AG306" s="223"/>
      <c r="AH306" s="223"/>
      <c r="AI306" s="200"/>
      <c r="AJ306" s="200"/>
      <c r="AK306" s="522"/>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2"/>
      <c r="BF306" s="200"/>
      <c r="BG306" s="223"/>
      <c r="BH306" s="223"/>
      <c r="BI306" s="223"/>
      <c r="BJ306" s="223"/>
      <c r="BK306" s="223"/>
      <c r="BL306" s="223"/>
      <c r="BM306" s="200"/>
      <c r="BN306" s="200"/>
      <c r="BO306" s="522"/>
      <c r="BP306" s="200"/>
      <c r="BQ306" s="223"/>
      <c r="BR306" s="223"/>
      <c r="BS306" s="223"/>
      <c r="BT306" s="223"/>
      <c r="BU306" s="223"/>
      <c r="BV306" s="223"/>
      <c r="BW306" s="223"/>
      <c r="BX306" s="200"/>
      <c r="BY306" s="522"/>
      <c r="BZ306" s="200"/>
      <c r="CA306" s="223"/>
      <c r="CB306" s="223"/>
      <c r="CC306" s="223"/>
      <c r="CD306" s="223"/>
      <c r="CE306" s="223"/>
      <c r="CF306" s="223"/>
      <c r="CG306" s="200"/>
      <c r="CH306" s="200"/>
      <c r="CI306" s="522"/>
      <c r="CJ306" s="200"/>
      <c r="CK306" s="223"/>
      <c r="CL306" s="223"/>
      <c r="CM306" s="223"/>
      <c r="CN306" s="223"/>
      <c r="CO306" s="223"/>
      <c r="CP306" s="223"/>
      <c r="CQ306" s="200"/>
      <c r="CR306" s="200"/>
      <c r="CS306" s="522"/>
      <c r="CT306" s="200"/>
      <c r="CU306" s="223"/>
      <c r="CV306" s="223"/>
      <c r="CW306" s="223"/>
      <c r="CX306" s="223"/>
      <c r="CY306" s="223"/>
      <c r="CZ306" s="223"/>
      <c r="DA306" s="223"/>
      <c r="DB306" s="200"/>
      <c r="DC306" s="522"/>
      <c r="DD306" s="200"/>
      <c r="DE306" s="223"/>
      <c r="DF306" s="223"/>
      <c r="DG306" s="223"/>
      <c r="DH306" s="223"/>
      <c r="DI306" s="223"/>
      <c r="DJ306" s="223"/>
      <c r="DK306" s="200"/>
      <c r="DL306" s="200"/>
      <c r="DM306" s="522"/>
      <c r="DN306" s="200"/>
      <c r="DO306" s="223"/>
      <c r="DP306" s="223"/>
      <c r="DQ306" s="223"/>
      <c r="DR306" s="223"/>
      <c r="DS306" s="223"/>
      <c r="DT306" s="223"/>
      <c r="DU306" s="200"/>
      <c r="DV306" s="200"/>
      <c r="DW306" s="522"/>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2"/>
      <c r="R307" s="200"/>
      <c r="S307" s="223"/>
      <c r="T307" s="223"/>
      <c r="U307" s="223"/>
      <c r="V307" s="223"/>
      <c r="W307" s="223"/>
      <c r="X307" s="223"/>
      <c r="Y307" s="200"/>
      <c r="Z307" s="200"/>
      <c r="AA307" s="522"/>
      <c r="AB307" s="200"/>
      <c r="AC307" s="223"/>
      <c r="AD307" s="223"/>
      <c r="AE307" s="223"/>
      <c r="AF307" s="223"/>
      <c r="AG307" s="223"/>
      <c r="AH307" s="223"/>
      <c r="AI307" s="200"/>
      <c r="AJ307" s="200"/>
      <c r="AK307" s="522"/>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2"/>
      <c r="BF307" s="200"/>
      <c r="BG307" s="223"/>
      <c r="BH307" s="223"/>
      <c r="BI307" s="223"/>
      <c r="BJ307" s="223"/>
      <c r="BK307" s="223"/>
      <c r="BL307" s="223"/>
      <c r="BM307" s="200"/>
      <c r="BN307" s="200"/>
      <c r="BO307" s="522"/>
      <c r="BP307" s="200"/>
      <c r="BQ307" s="223"/>
      <c r="BR307" s="223"/>
      <c r="BS307" s="223"/>
      <c r="BT307" s="223"/>
      <c r="BU307" s="223"/>
      <c r="BV307" s="223"/>
      <c r="BW307" s="223"/>
      <c r="BX307" s="200"/>
      <c r="BY307" s="522"/>
      <c r="BZ307" s="200"/>
      <c r="CA307" s="223"/>
      <c r="CB307" s="223"/>
      <c r="CC307" s="223"/>
      <c r="CD307" s="223"/>
      <c r="CE307" s="223"/>
      <c r="CF307" s="223"/>
      <c r="CG307" s="200"/>
      <c r="CH307" s="200"/>
      <c r="CI307" s="522"/>
      <c r="CJ307" s="200"/>
      <c r="CK307" s="223"/>
      <c r="CL307" s="223"/>
      <c r="CM307" s="223"/>
      <c r="CN307" s="223"/>
      <c r="CO307" s="223"/>
      <c r="CP307" s="223"/>
      <c r="CQ307" s="200"/>
      <c r="CR307" s="200"/>
      <c r="CS307" s="522"/>
      <c r="CT307" s="200"/>
      <c r="CU307" s="223"/>
      <c r="CV307" s="223"/>
      <c r="CW307" s="223"/>
      <c r="CX307" s="223"/>
      <c r="CY307" s="223"/>
      <c r="CZ307" s="223"/>
      <c r="DA307" s="223"/>
      <c r="DB307" s="200"/>
      <c r="DC307" s="522"/>
      <c r="DD307" s="200"/>
      <c r="DE307" s="223"/>
      <c r="DF307" s="223"/>
      <c r="DG307" s="223"/>
      <c r="DH307" s="223"/>
      <c r="DI307" s="223"/>
      <c r="DJ307" s="223"/>
      <c r="DK307" s="200"/>
      <c r="DL307" s="200"/>
      <c r="DM307" s="522"/>
      <c r="DN307" s="200"/>
      <c r="DO307" s="223"/>
      <c r="DP307" s="223"/>
      <c r="DQ307" s="223"/>
      <c r="DR307" s="223"/>
      <c r="DS307" s="223"/>
      <c r="DT307" s="223"/>
      <c r="DU307" s="200"/>
      <c r="DV307" s="200"/>
      <c r="DW307" s="522"/>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2"/>
      <c r="R308" s="200"/>
      <c r="S308" s="223"/>
      <c r="T308" s="223"/>
      <c r="U308" s="223"/>
      <c r="V308" s="223"/>
      <c r="W308" s="223"/>
      <c r="X308" s="223"/>
      <c r="Y308" s="200"/>
      <c r="Z308" s="200"/>
      <c r="AA308" s="522"/>
      <c r="AB308" s="200"/>
      <c r="AC308" s="223"/>
      <c r="AD308" s="223"/>
      <c r="AE308" s="223"/>
      <c r="AF308" s="223"/>
      <c r="AG308" s="223"/>
      <c r="AH308" s="223"/>
      <c r="AI308" s="200"/>
      <c r="AJ308" s="200"/>
      <c r="AK308" s="522"/>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2"/>
      <c r="BF308" s="200"/>
      <c r="BG308" s="223"/>
      <c r="BH308" s="223"/>
      <c r="BI308" s="223"/>
      <c r="BJ308" s="223"/>
      <c r="BK308" s="223"/>
      <c r="BL308" s="223"/>
      <c r="BM308" s="200"/>
      <c r="BN308" s="200"/>
      <c r="BO308" s="522"/>
      <c r="BP308" s="200"/>
      <c r="BQ308" s="223"/>
      <c r="BR308" s="223"/>
      <c r="BS308" s="223"/>
      <c r="BT308" s="223"/>
      <c r="BU308" s="223"/>
      <c r="BV308" s="223"/>
      <c r="BW308" s="223"/>
      <c r="BX308" s="200"/>
      <c r="BY308" s="522"/>
      <c r="BZ308" s="200"/>
      <c r="CA308" s="223"/>
      <c r="CB308" s="223"/>
      <c r="CC308" s="223"/>
      <c r="CD308" s="223"/>
      <c r="CE308" s="223"/>
      <c r="CF308" s="223"/>
      <c r="CG308" s="200"/>
      <c r="CH308" s="200"/>
      <c r="CI308" s="522"/>
      <c r="CJ308" s="200"/>
      <c r="CK308" s="223"/>
      <c r="CL308" s="223"/>
      <c r="CM308" s="223"/>
      <c r="CN308" s="223"/>
      <c r="CO308" s="223"/>
      <c r="CP308" s="223"/>
      <c r="CQ308" s="200"/>
      <c r="CR308" s="200"/>
      <c r="CS308" s="522"/>
      <c r="CT308" s="200"/>
      <c r="CU308" s="223"/>
      <c r="CV308" s="223"/>
      <c r="CW308" s="223"/>
      <c r="CX308" s="223"/>
      <c r="CY308" s="223"/>
      <c r="CZ308" s="223"/>
      <c r="DA308" s="223"/>
      <c r="DB308" s="200"/>
      <c r="DC308" s="522"/>
      <c r="DD308" s="200"/>
      <c r="DE308" s="223"/>
      <c r="DF308" s="223"/>
      <c r="DG308" s="223"/>
      <c r="DH308" s="223"/>
      <c r="DI308" s="223"/>
      <c r="DJ308" s="223"/>
      <c r="DK308" s="200"/>
      <c r="DL308" s="200"/>
      <c r="DM308" s="522"/>
      <c r="DN308" s="200"/>
      <c r="DO308" s="223"/>
      <c r="DP308" s="223"/>
      <c r="DQ308" s="223"/>
      <c r="DR308" s="223"/>
      <c r="DS308" s="223"/>
      <c r="DT308" s="223"/>
      <c r="DU308" s="200"/>
      <c r="DV308" s="200"/>
      <c r="DW308" s="522"/>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2"/>
      <c r="R309" s="200"/>
      <c r="S309" s="223"/>
      <c r="T309" s="223"/>
      <c r="U309" s="223"/>
      <c r="V309" s="223"/>
      <c r="W309" s="223"/>
      <c r="X309" s="223"/>
      <c r="Y309" s="200"/>
      <c r="Z309" s="200"/>
      <c r="AA309" s="522"/>
      <c r="AB309" s="200"/>
      <c r="AC309" s="223"/>
      <c r="AD309" s="223"/>
      <c r="AE309" s="223"/>
      <c r="AF309" s="223"/>
      <c r="AG309" s="223"/>
      <c r="AH309" s="223"/>
      <c r="AI309" s="200"/>
      <c r="AJ309" s="200"/>
      <c r="AK309" s="522"/>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2"/>
      <c r="BF309" s="200"/>
      <c r="BG309" s="223"/>
      <c r="BH309" s="223"/>
      <c r="BI309" s="223"/>
      <c r="BJ309" s="223"/>
      <c r="BK309" s="223"/>
      <c r="BL309" s="223"/>
      <c r="BM309" s="200"/>
      <c r="BN309" s="200"/>
      <c r="BO309" s="522"/>
      <c r="BP309" s="200"/>
      <c r="BQ309" s="223"/>
      <c r="BR309" s="223"/>
      <c r="BS309" s="223"/>
      <c r="BT309" s="223"/>
      <c r="BU309" s="223"/>
      <c r="BV309" s="223"/>
      <c r="BW309" s="223"/>
      <c r="BX309" s="200"/>
      <c r="BY309" s="522"/>
      <c r="BZ309" s="200"/>
      <c r="CA309" s="223"/>
      <c r="CB309" s="223"/>
      <c r="CC309" s="223"/>
      <c r="CD309" s="223"/>
      <c r="CE309" s="223"/>
      <c r="CF309" s="223"/>
      <c r="CG309" s="200"/>
      <c r="CH309" s="200"/>
      <c r="CI309" s="522"/>
      <c r="CJ309" s="200"/>
      <c r="CK309" s="223"/>
      <c r="CL309" s="223"/>
      <c r="CM309" s="223"/>
      <c r="CN309" s="223"/>
      <c r="CO309" s="223"/>
      <c r="CP309" s="223"/>
      <c r="CQ309" s="200"/>
      <c r="CR309" s="200"/>
      <c r="CS309" s="522"/>
      <c r="CT309" s="200"/>
      <c r="CU309" s="223"/>
      <c r="CV309" s="223"/>
      <c r="CW309" s="223"/>
      <c r="CX309" s="223"/>
      <c r="CY309" s="223"/>
      <c r="CZ309" s="223"/>
      <c r="DA309" s="223"/>
      <c r="DB309" s="200"/>
      <c r="DC309" s="522"/>
      <c r="DD309" s="200"/>
      <c r="DE309" s="223"/>
      <c r="DF309" s="223"/>
      <c r="DG309" s="223"/>
      <c r="DH309" s="223"/>
      <c r="DI309" s="223"/>
      <c r="DJ309" s="223"/>
      <c r="DK309" s="200"/>
      <c r="DL309" s="200"/>
      <c r="DM309" s="522"/>
      <c r="DN309" s="200"/>
      <c r="DO309" s="223"/>
      <c r="DP309" s="223"/>
      <c r="DQ309" s="223"/>
      <c r="DR309" s="223"/>
      <c r="DS309" s="223"/>
      <c r="DT309" s="223"/>
      <c r="DU309" s="200"/>
      <c r="DV309" s="200"/>
      <c r="DW309" s="522"/>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2"/>
      <c r="R310" s="200"/>
      <c r="S310" s="223"/>
      <c r="T310" s="223"/>
      <c r="U310" s="223"/>
      <c r="V310" s="223"/>
      <c r="W310" s="223"/>
      <c r="X310" s="223"/>
      <c r="Y310" s="200"/>
      <c r="Z310" s="200"/>
      <c r="AA310" s="522"/>
      <c r="AB310" s="200"/>
      <c r="AC310" s="223"/>
      <c r="AD310" s="223"/>
      <c r="AE310" s="223"/>
      <c r="AF310" s="223"/>
      <c r="AG310" s="223"/>
      <c r="AH310" s="223"/>
      <c r="AI310" s="200"/>
      <c r="AJ310" s="200"/>
      <c r="AK310" s="522"/>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2"/>
      <c r="BF310" s="200"/>
      <c r="BG310" s="223"/>
      <c r="BH310" s="223"/>
      <c r="BI310" s="223"/>
      <c r="BJ310" s="223"/>
      <c r="BK310" s="223"/>
      <c r="BL310" s="223"/>
      <c r="BM310" s="200"/>
      <c r="BN310" s="200"/>
      <c r="BO310" s="522"/>
      <c r="BP310" s="200"/>
      <c r="BQ310" s="223"/>
      <c r="BR310" s="223"/>
      <c r="BS310" s="223"/>
      <c r="BT310" s="223"/>
      <c r="BU310" s="223"/>
      <c r="BV310" s="223"/>
      <c r="BW310" s="223"/>
      <c r="BX310" s="200"/>
      <c r="BY310" s="522"/>
      <c r="BZ310" s="200"/>
      <c r="CA310" s="223"/>
      <c r="CB310" s="223"/>
      <c r="CC310" s="223"/>
      <c r="CD310" s="223"/>
      <c r="CE310" s="223"/>
      <c r="CF310" s="223"/>
      <c r="CG310" s="200"/>
      <c r="CH310" s="200"/>
      <c r="CI310" s="522"/>
      <c r="CJ310" s="200"/>
      <c r="CK310" s="223"/>
      <c r="CL310" s="223"/>
      <c r="CM310" s="223"/>
      <c r="CN310" s="223"/>
      <c r="CO310" s="223"/>
      <c r="CP310" s="223"/>
      <c r="CQ310" s="200"/>
      <c r="CR310" s="200"/>
      <c r="CS310" s="522"/>
      <c r="CT310" s="200"/>
      <c r="CU310" s="223"/>
      <c r="CV310" s="223"/>
      <c r="CW310" s="223"/>
      <c r="CX310" s="223"/>
      <c r="CY310" s="223"/>
      <c r="CZ310" s="223"/>
      <c r="DA310" s="223"/>
      <c r="DB310" s="200"/>
      <c r="DC310" s="522"/>
      <c r="DD310" s="200"/>
      <c r="DE310" s="223"/>
      <c r="DF310" s="223"/>
      <c r="DG310" s="223"/>
      <c r="DH310" s="223"/>
      <c r="DI310" s="223"/>
      <c r="DJ310" s="223"/>
      <c r="DK310" s="200"/>
      <c r="DL310" s="200"/>
      <c r="DM310" s="522"/>
      <c r="DN310" s="200"/>
      <c r="DO310" s="223"/>
      <c r="DP310" s="223"/>
      <c r="DQ310" s="223"/>
      <c r="DR310" s="223"/>
      <c r="DS310" s="223"/>
      <c r="DT310" s="223"/>
      <c r="DU310" s="200"/>
      <c r="DV310" s="200"/>
      <c r="DW310" s="522"/>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2"/>
      <c r="R311" s="200"/>
      <c r="S311" s="223"/>
      <c r="T311" s="223"/>
      <c r="U311" s="223"/>
      <c r="V311" s="223"/>
      <c r="W311" s="223"/>
      <c r="X311" s="223"/>
      <c r="Y311" s="200"/>
      <c r="Z311" s="200"/>
      <c r="AA311" s="522"/>
      <c r="AB311" s="200"/>
      <c r="AC311" s="223"/>
      <c r="AD311" s="223"/>
      <c r="AE311" s="223"/>
      <c r="AF311" s="223"/>
      <c r="AG311" s="223"/>
      <c r="AH311" s="223"/>
      <c r="AI311" s="200"/>
      <c r="AJ311" s="200"/>
      <c r="AK311" s="522"/>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2"/>
      <c r="BF311" s="200"/>
      <c r="BG311" s="223"/>
      <c r="BH311" s="223"/>
      <c r="BI311" s="223"/>
      <c r="BJ311" s="223"/>
      <c r="BK311" s="223"/>
      <c r="BL311" s="223"/>
      <c r="BM311" s="200"/>
      <c r="BN311" s="200"/>
      <c r="BO311" s="522"/>
      <c r="BP311" s="200"/>
      <c r="BQ311" s="223"/>
      <c r="BR311" s="223"/>
      <c r="BS311" s="223"/>
      <c r="BT311" s="223"/>
      <c r="BU311" s="223"/>
      <c r="BV311" s="223"/>
      <c r="BW311" s="223"/>
      <c r="BX311" s="200"/>
      <c r="BY311" s="522"/>
      <c r="BZ311" s="200"/>
      <c r="CA311" s="223"/>
      <c r="CB311" s="223"/>
      <c r="CC311" s="223"/>
      <c r="CD311" s="223"/>
      <c r="CE311" s="223"/>
      <c r="CF311" s="223"/>
      <c r="CG311" s="200"/>
      <c r="CH311" s="200"/>
      <c r="CI311" s="522"/>
      <c r="CJ311" s="200"/>
      <c r="CK311" s="223"/>
      <c r="CL311" s="223"/>
      <c r="CM311" s="223"/>
      <c r="CN311" s="223"/>
      <c r="CO311" s="223"/>
      <c r="CP311" s="223"/>
      <c r="CQ311" s="200"/>
      <c r="CR311" s="200"/>
      <c r="CS311" s="522"/>
      <c r="CT311" s="200"/>
      <c r="CU311" s="223"/>
      <c r="CV311" s="223"/>
      <c r="CW311" s="223"/>
      <c r="CX311" s="223"/>
      <c r="CY311" s="223"/>
      <c r="CZ311" s="223"/>
      <c r="DA311" s="223"/>
      <c r="DB311" s="200"/>
      <c r="DC311" s="522"/>
      <c r="DD311" s="200"/>
      <c r="DE311" s="223"/>
      <c r="DF311" s="223"/>
      <c r="DG311" s="223"/>
      <c r="DH311" s="223"/>
      <c r="DI311" s="223"/>
      <c r="DJ311" s="223"/>
      <c r="DK311" s="200"/>
      <c r="DL311" s="200"/>
      <c r="DM311" s="522"/>
      <c r="DN311" s="200"/>
      <c r="DO311" s="223"/>
      <c r="DP311" s="223"/>
      <c r="DQ311" s="223"/>
      <c r="DR311" s="223"/>
      <c r="DS311" s="223"/>
      <c r="DT311" s="223"/>
      <c r="DU311" s="200"/>
      <c r="DV311" s="200"/>
      <c r="DW311" s="522"/>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2"/>
      <c r="R312" s="200"/>
      <c r="S312" s="223"/>
      <c r="T312" s="223"/>
      <c r="U312" s="223"/>
      <c r="V312" s="223"/>
      <c r="W312" s="223"/>
      <c r="X312" s="223"/>
      <c r="Y312" s="200"/>
      <c r="Z312" s="200"/>
      <c r="AA312" s="522"/>
      <c r="AB312" s="200"/>
      <c r="AC312" s="223"/>
      <c r="AD312" s="223"/>
      <c r="AE312" s="223"/>
      <c r="AF312" s="223"/>
      <c r="AG312" s="223"/>
      <c r="AH312" s="223"/>
      <c r="AI312" s="200"/>
      <c r="AJ312" s="200"/>
      <c r="AK312" s="522"/>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2"/>
      <c r="BF312" s="200"/>
      <c r="BG312" s="223"/>
      <c r="BH312" s="223"/>
      <c r="BI312" s="223"/>
      <c r="BJ312" s="223"/>
      <c r="BK312" s="223"/>
      <c r="BL312" s="223"/>
      <c r="BM312" s="200"/>
      <c r="BN312" s="200"/>
      <c r="BO312" s="522"/>
      <c r="BP312" s="200"/>
      <c r="BQ312" s="223"/>
      <c r="BR312" s="223"/>
      <c r="BS312" s="223"/>
      <c r="BT312" s="223"/>
      <c r="BU312" s="223"/>
      <c r="BV312" s="223"/>
      <c r="BW312" s="223"/>
      <c r="BX312" s="200"/>
      <c r="BY312" s="522"/>
      <c r="BZ312" s="200"/>
      <c r="CA312" s="223"/>
      <c r="CB312" s="223"/>
      <c r="CC312" s="223"/>
      <c r="CD312" s="223"/>
      <c r="CE312" s="223"/>
      <c r="CF312" s="223"/>
      <c r="CG312" s="200"/>
      <c r="CH312" s="200"/>
      <c r="CI312" s="522"/>
      <c r="CJ312" s="200"/>
      <c r="CK312" s="223"/>
      <c r="CL312" s="223"/>
      <c r="CM312" s="223"/>
      <c r="CN312" s="223"/>
      <c r="CO312" s="223"/>
      <c r="CP312" s="223"/>
      <c r="CQ312" s="200"/>
      <c r="CR312" s="200"/>
      <c r="CS312" s="522"/>
      <c r="CT312" s="200"/>
      <c r="CU312" s="223"/>
      <c r="CV312" s="223"/>
      <c r="CW312" s="223"/>
      <c r="CX312" s="223"/>
      <c r="CY312" s="223"/>
      <c r="CZ312" s="223"/>
      <c r="DA312" s="223"/>
      <c r="DB312" s="200"/>
      <c r="DC312" s="522"/>
      <c r="DD312" s="200"/>
      <c r="DE312" s="223"/>
      <c r="DF312" s="223"/>
      <c r="DG312" s="223"/>
      <c r="DH312" s="223"/>
      <c r="DI312" s="223"/>
      <c r="DJ312" s="223"/>
      <c r="DK312" s="200"/>
      <c r="DL312" s="200"/>
      <c r="DM312" s="522"/>
      <c r="DN312" s="200"/>
      <c r="DO312" s="223"/>
      <c r="DP312" s="223"/>
      <c r="DQ312" s="223"/>
      <c r="DR312" s="223"/>
      <c r="DS312" s="223"/>
      <c r="DT312" s="223"/>
      <c r="DU312" s="200"/>
      <c r="DV312" s="200"/>
      <c r="DW312" s="522"/>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2"/>
      <c r="R313" s="200"/>
      <c r="S313" s="223"/>
      <c r="T313" s="223"/>
      <c r="U313" s="223"/>
      <c r="V313" s="223"/>
      <c r="W313" s="223"/>
      <c r="X313" s="223"/>
      <c r="Y313" s="200"/>
      <c r="Z313" s="200"/>
      <c r="AA313" s="522"/>
      <c r="AB313" s="200"/>
      <c r="AC313" s="223"/>
      <c r="AD313" s="223"/>
      <c r="AE313" s="223"/>
      <c r="AF313" s="223"/>
      <c r="AG313" s="223"/>
      <c r="AH313" s="223"/>
      <c r="AI313" s="200"/>
      <c r="AJ313" s="200"/>
      <c r="AK313" s="522"/>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2"/>
      <c r="BF313" s="200"/>
      <c r="BG313" s="223"/>
      <c r="BH313" s="223"/>
      <c r="BI313" s="223"/>
      <c r="BJ313" s="223"/>
      <c r="BK313" s="223"/>
      <c r="BL313" s="223"/>
      <c r="BM313" s="200"/>
      <c r="BN313" s="200"/>
      <c r="BO313" s="522"/>
      <c r="BP313" s="200"/>
      <c r="BQ313" s="223"/>
      <c r="BR313" s="223"/>
      <c r="BS313" s="223"/>
      <c r="BT313" s="223"/>
      <c r="BU313" s="223"/>
      <c r="BV313" s="223"/>
      <c r="BW313" s="223"/>
      <c r="BX313" s="200"/>
      <c r="BY313" s="522"/>
      <c r="BZ313" s="200"/>
      <c r="CA313" s="223"/>
      <c r="CB313" s="223"/>
      <c r="CC313" s="223"/>
      <c r="CD313" s="223"/>
      <c r="CE313" s="223"/>
      <c r="CF313" s="223"/>
      <c r="CG313" s="200"/>
      <c r="CH313" s="200"/>
      <c r="CI313" s="522"/>
      <c r="CJ313" s="200"/>
      <c r="CK313" s="223"/>
      <c r="CL313" s="223"/>
      <c r="CM313" s="223"/>
      <c r="CN313" s="223"/>
      <c r="CO313" s="223"/>
      <c r="CP313" s="223"/>
      <c r="CQ313" s="200"/>
      <c r="CR313" s="200"/>
      <c r="CS313" s="522"/>
      <c r="CT313" s="200"/>
      <c r="CU313" s="223"/>
      <c r="CV313" s="223"/>
      <c r="CW313" s="223"/>
      <c r="CX313" s="223"/>
      <c r="CY313" s="223"/>
      <c r="CZ313" s="223"/>
      <c r="DA313" s="223"/>
      <c r="DB313" s="200"/>
      <c r="DC313" s="522"/>
      <c r="DD313" s="200"/>
      <c r="DE313" s="223"/>
      <c r="DF313" s="223"/>
      <c r="DG313" s="223"/>
      <c r="DH313" s="223"/>
      <c r="DI313" s="223"/>
      <c r="DJ313" s="223"/>
      <c r="DK313" s="200"/>
      <c r="DL313" s="200"/>
      <c r="DM313" s="522"/>
      <c r="DN313" s="200"/>
      <c r="DO313" s="223"/>
      <c r="DP313" s="223"/>
      <c r="DQ313" s="223"/>
      <c r="DR313" s="223"/>
      <c r="DS313" s="223"/>
      <c r="DT313" s="223"/>
      <c r="DU313" s="200"/>
      <c r="DV313" s="200"/>
      <c r="DW313" s="522"/>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2"/>
      <c r="R314" s="200"/>
      <c r="S314" s="223"/>
      <c r="T314" s="223"/>
      <c r="U314" s="223"/>
      <c r="V314" s="223"/>
      <c r="W314" s="223"/>
      <c r="X314" s="223"/>
      <c r="Y314" s="200"/>
      <c r="Z314" s="200"/>
      <c r="AA314" s="522"/>
      <c r="AB314" s="200"/>
      <c r="AC314" s="223"/>
      <c r="AD314" s="223"/>
      <c r="AE314" s="223"/>
      <c r="AF314" s="223"/>
      <c r="AG314" s="223"/>
      <c r="AH314" s="223"/>
      <c r="AI314" s="200"/>
      <c r="AJ314" s="200"/>
      <c r="AK314" s="522"/>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2"/>
      <c r="BF314" s="200"/>
      <c r="BG314" s="223"/>
      <c r="BH314" s="223"/>
      <c r="BI314" s="223"/>
      <c r="BJ314" s="223"/>
      <c r="BK314" s="223"/>
      <c r="BL314" s="223"/>
      <c r="BM314" s="200"/>
      <c r="BN314" s="200"/>
      <c r="BO314" s="522"/>
      <c r="BP314" s="200"/>
      <c r="BQ314" s="223"/>
      <c r="BR314" s="223"/>
      <c r="BS314" s="223"/>
      <c r="BT314" s="223"/>
      <c r="BU314" s="223"/>
      <c r="BV314" s="223"/>
      <c r="BW314" s="223"/>
      <c r="BX314" s="200"/>
      <c r="BY314" s="522"/>
      <c r="BZ314" s="200"/>
      <c r="CA314" s="223"/>
      <c r="CB314" s="223"/>
      <c r="CC314" s="223"/>
      <c r="CD314" s="223"/>
      <c r="CE314" s="223"/>
      <c r="CF314" s="223"/>
      <c r="CG314" s="200"/>
      <c r="CH314" s="200"/>
      <c r="CI314" s="522"/>
      <c r="CJ314" s="200"/>
      <c r="CK314" s="223"/>
      <c r="CL314" s="223"/>
      <c r="CM314" s="223"/>
      <c r="CN314" s="223"/>
      <c r="CO314" s="223"/>
      <c r="CP314" s="223"/>
      <c r="CQ314" s="200"/>
      <c r="CR314" s="200"/>
      <c r="CS314" s="522"/>
      <c r="CT314" s="200"/>
      <c r="CU314" s="223"/>
      <c r="CV314" s="223"/>
      <c r="CW314" s="223"/>
      <c r="CX314" s="223"/>
      <c r="CY314" s="223"/>
      <c r="CZ314" s="223"/>
      <c r="DA314" s="223"/>
      <c r="DB314" s="200"/>
      <c r="DC314" s="522"/>
      <c r="DD314" s="200"/>
      <c r="DE314" s="223"/>
      <c r="DF314" s="223"/>
      <c r="DG314" s="223"/>
      <c r="DH314" s="223"/>
      <c r="DI314" s="223"/>
      <c r="DJ314" s="223"/>
      <c r="DK314" s="200"/>
      <c r="DL314" s="200"/>
      <c r="DM314" s="522"/>
      <c r="DN314" s="200"/>
      <c r="DO314" s="223"/>
      <c r="DP314" s="223"/>
      <c r="DQ314" s="223"/>
      <c r="DR314" s="223"/>
      <c r="DS314" s="223"/>
      <c r="DT314" s="223"/>
      <c r="DU314" s="200"/>
      <c r="DV314" s="200"/>
      <c r="DW314" s="522"/>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2"/>
      <c r="R315" s="200"/>
      <c r="S315" s="223"/>
      <c r="T315" s="223"/>
      <c r="U315" s="223"/>
      <c r="V315" s="223"/>
      <c r="W315" s="223"/>
      <c r="X315" s="223"/>
      <c r="Y315" s="200"/>
      <c r="Z315" s="200"/>
      <c r="AA315" s="522"/>
      <c r="AB315" s="200"/>
      <c r="AC315" s="223"/>
      <c r="AD315" s="223"/>
      <c r="AE315" s="223"/>
      <c r="AF315" s="223"/>
      <c r="AG315" s="223"/>
      <c r="AH315" s="223"/>
      <c r="AI315" s="200"/>
      <c r="AJ315" s="200"/>
      <c r="AK315" s="522"/>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2"/>
      <c r="BF315" s="200"/>
      <c r="BG315" s="223"/>
      <c r="BH315" s="223"/>
      <c r="BI315" s="223"/>
      <c r="BJ315" s="223"/>
      <c r="BK315" s="223"/>
      <c r="BL315" s="223"/>
      <c r="BM315" s="200"/>
      <c r="BN315" s="200"/>
      <c r="BO315" s="522"/>
      <c r="BP315" s="200"/>
      <c r="BQ315" s="223"/>
      <c r="BR315" s="223"/>
      <c r="BS315" s="223"/>
      <c r="BT315" s="223"/>
      <c r="BU315" s="223"/>
      <c r="BV315" s="223"/>
      <c r="BW315" s="223"/>
      <c r="BX315" s="200"/>
      <c r="BY315" s="522"/>
      <c r="BZ315" s="200"/>
      <c r="CA315" s="223"/>
      <c r="CB315" s="223"/>
      <c r="CC315" s="223"/>
      <c r="CD315" s="223"/>
      <c r="CE315" s="223"/>
      <c r="CF315" s="223"/>
      <c r="CG315" s="200"/>
      <c r="CH315" s="200"/>
      <c r="CI315" s="522"/>
      <c r="CJ315" s="200"/>
      <c r="CK315" s="223"/>
      <c r="CL315" s="223"/>
      <c r="CM315" s="223"/>
      <c r="CN315" s="223"/>
      <c r="CO315" s="223"/>
      <c r="CP315" s="223"/>
      <c r="CQ315" s="200"/>
      <c r="CR315" s="200"/>
      <c r="CS315" s="522"/>
      <c r="CT315" s="200"/>
      <c r="CU315" s="223"/>
      <c r="CV315" s="223"/>
      <c r="CW315" s="223"/>
      <c r="CX315" s="223"/>
      <c r="CY315" s="223"/>
      <c r="CZ315" s="223"/>
      <c r="DA315" s="223"/>
      <c r="DB315" s="200"/>
      <c r="DC315" s="522"/>
      <c r="DD315" s="200"/>
      <c r="DE315" s="223"/>
      <c r="DF315" s="223"/>
      <c r="DG315" s="223"/>
      <c r="DH315" s="223"/>
      <c r="DI315" s="223"/>
      <c r="DJ315" s="223"/>
      <c r="DK315" s="200"/>
      <c r="DL315" s="200"/>
      <c r="DM315" s="522"/>
      <c r="DN315" s="200"/>
      <c r="DO315" s="223"/>
      <c r="DP315" s="223"/>
      <c r="DQ315" s="223"/>
      <c r="DR315" s="223"/>
      <c r="DS315" s="223"/>
      <c r="DT315" s="223"/>
      <c r="DU315" s="200"/>
      <c r="DV315" s="200"/>
      <c r="DW315" s="522"/>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2"/>
      <c r="R316" s="200"/>
      <c r="S316" s="223"/>
      <c r="T316" s="223"/>
      <c r="U316" s="223"/>
      <c r="V316" s="223"/>
      <c r="W316" s="223"/>
      <c r="X316" s="223"/>
      <c r="Y316" s="200"/>
      <c r="Z316" s="200"/>
      <c r="AA316" s="522"/>
      <c r="AB316" s="200"/>
      <c r="AC316" s="223"/>
      <c r="AD316" s="223"/>
      <c r="AE316" s="223"/>
      <c r="AF316" s="223"/>
      <c r="AG316" s="223"/>
      <c r="AH316" s="223"/>
      <c r="AI316" s="200"/>
      <c r="AJ316" s="200"/>
      <c r="AK316" s="522"/>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2"/>
      <c r="BF316" s="200"/>
      <c r="BG316" s="223"/>
      <c r="BH316" s="223"/>
      <c r="BI316" s="223"/>
      <c r="BJ316" s="223"/>
      <c r="BK316" s="223"/>
      <c r="BL316" s="223"/>
      <c r="BM316" s="200"/>
      <c r="BN316" s="200"/>
      <c r="BO316" s="522"/>
      <c r="BP316" s="200"/>
      <c r="BQ316" s="223"/>
      <c r="BR316" s="223"/>
      <c r="BS316" s="223"/>
      <c r="BT316" s="223"/>
      <c r="BU316" s="223"/>
      <c r="BV316" s="223"/>
      <c r="BW316" s="223"/>
      <c r="BX316" s="200"/>
      <c r="BY316" s="522"/>
      <c r="BZ316" s="200"/>
      <c r="CA316" s="223"/>
      <c r="CB316" s="223"/>
      <c r="CC316" s="223"/>
      <c r="CD316" s="223"/>
      <c r="CE316" s="223"/>
      <c r="CF316" s="223"/>
      <c r="CG316" s="200"/>
      <c r="CH316" s="200"/>
      <c r="CI316" s="522"/>
      <c r="CJ316" s="200"/>
      <c r="CK316" s="223"/>
      <c r="CL316" s="223"/>
      <c r="CM316" s="223"/>
      <c r="CN316" s="223"/>
      <c r="CO316" s="223"/>
      <c r="CP316" s="223"/>
      <c r="CQ316" s="200"/>
      <c r="CR316" s="200"/>
      <c r="CS316" s="522"/>
      <c r="CT316" s="200"/>
      <c r="CU316" s="223"/>
      <c r="CV316" s="223"/>
      <c r="CW316" s="223"/>
      <c r="CX316" s="223"/>
      <c r="CY316" s="223"/>
      <c r="CZ316" s="223"/>
      <c r="DA316" s="223"/>
      <c r="DB316" s="200"/>
      <c r="DC316" s="522"/>
      <c r="DD316" s="200"/>
      <c r="DE316" s="223"/>
      <c r="DF316" s="223"/>
      <c r="DG316" s="223"/>
      <c r="DH316" s="223"/>
      <c r="DI316" s="223"/>
      <c r="DJ316" s="223"/>
      <c r="DK316" s="200"/>
      <c r="DL316" s="200"/>
      <c r="DM316" s="522"/>
      <c r="DN316" s="200"/>
      <c r="DO316" s="223"/>
      <c r="DP316" s="223"/>
      <c r="DQ316" s="223"/>
      <c r="DR316" s="223"/>
      <c r="DS316" s="223"/>
      <c r="DT316" s="223"/>
      <c r="DU316" s="200"/>
      <c r="DV316" s="200"/>
      <c r="DW316" s="522"/>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2"/>
      <c r="R317" s="200"/>
      <c r="S317" s="223"/>
      <c r="T317" s="223"/>
      <c r="U317" s="223"/>
      <c r="V317" s="223"/>
      <c r="W317" s="223"/>
      <c r="X317" s="223"/>
      <c r="Y317" s="200"/>
      <c r="Z317" s="200"/>
      <c r="AA317" s="522"/>
      <c r="AB317" s="200"/>
      <c r="AC317" s="223"/>
      <c r="AD317" s="223"/>
      <c r="AE317" s="223"/>
      <c r="AF317" s="223"/>
      <c r="AG317" s="223"/>
      <c r="AH317" s="223"/>
      <c r="AI317" s="200"/>
      <c r="AJ317" s="200"/>
      <c r="AK317" s="522"/>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2"/>
      <c r="BF317" s="200"/>
      <c r="BG317" s="223"/>
      <c r="BH317" s="223"/>
      <c r="BI317" s="223"/>
      <c r="BJ317" s="223"/>
      <c r="BK317" s="223"/>
      <c r="BL317" s="223"/>
      <c r="BM317" s="200"/>
      <c r="BN317" s="200"/>
      <c r="BO317" s="522"/>
      <c r="BP317" s="200"/>
      <c r="BQ317" s="223"/>
      <c r="BR317" s="223"/>
      <c r="BS317" s="223"/>
      <c r="BT317" s="223"/>
      <c r="BU317" s="223"/>
      <c r="BV317" s="223"/>
      <c r="BW317" s="223"/>
      <c r="BX317" s="200"/>
      <c r="BY317" s="522"/>
      <c r="BZ317" s="200"/>
      <c r="CA317" s="223"/>
      <c r="CB317" s="223"/>
      <c r="CC317" s="223"/>
      <c r="CD317" s="223"/>
      <c r="CE317" s="223"/>
      <c r="CF317" s="223"/>
      <c r="CG317" s="200"/>
      <c r="CH317" s="200"/>
      <c r="CI317" s="522"/>
      <c r="CJ317" s="200"/>
      <c r="CK317" s="223"/>
      <c r="CL317" s="223"/>
      <c r="CM317" s="223"/>
      <c r="CN317" s="223"/>
      <c r="CO317" s="223"/>
      <c r="CP317" s="223"/>
      <c r="CQ317" s="200"/>
      <c r="CR317" s="200"/>
      <c r="CS317" s="522"/>
      <c r="CT317" s="200"/>
      <c r="CU317" s="223"/>
      <c r="CV317" s="223"/>
      <c r="CW317" s="223"/>
      <c r="CX317" s="223"/>
      <c r="CY317" s="223"/>
      <c r="CZ317" s="223"/>
      <c r="DA317" s="223"/>
      <c r="DB317" s="200"/>
      <c r="DC317" s="522"/>
      <c r="DD317" s="200"/>
      <c r="DE317" s="223"/>
      <c r="DF317" s="223"/>
      <c r="DG317" s="223"/>
      <c r="DH317" s="223"/>
      <c r="DI317" s="223"/>
      <c r="DJ317" s="223"/>
      <c r="DK317" s="200"/>
      <c r="DL317" s="200"/>
      <c r="DM317" s="522"/>
      <c r="DN317" s="200"/>
      <c r="DO317" s="223"/>
      <c r="DP317" s="223"/>
      <c r="DQ317" s="223"/>
      <c r="DR317" s="223"/>
      <c r="DS317" s="223"/>
      <c r="DT317" s="223"/>
      <c r="DU317" s="200"/>
      <c r="DV317" s="200"/>
      <c r="DW317" s="522"/>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2"/>
      <c r="R318" s="200"/>
      <c r="S318" s="223"/>
      <c r="T318" s="223"/>
      <c r="U318" s="223"/>
      <c r="V318" s="223"/>
      <c r="W318" s="223"/>
      <c r="X318" s="223"/>
      <c r="Y318" s="200"/>
      <c r="Z318" s="200"/>
      <c r="AA318" s="522"/>
      <c r="AB318" s="200"/>
      <c r="AC318" s="223"/>
      <c r="AD318" s="223"/>
      <c r="AE318" s="223"/>
      <c r="AF318" s="223"/>
      <c r="AG318" s="223"/>
      <c r="AH318" s="223"/>
      <c r="AI318" s="200"/>
      <c r="AJ318" s="200"/>
      <c r="AK318" s="522"/>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2"/>
      <c r="BF318" s="200"/>
      <c r="BG318" s="223"/>
      <c r="BH318" s="223"/>
      <c r="BI318" s="223"/>
      <c r="BJ318" s="223"/>
      <c r="BK318" s="223"/>
      <c r="BL318" s="223"/>
      <c r="BM318" s="200"/>
      <c r="BN318" s="200"/>
      <c r="BO318" s="522"/>
      <c r="BP318" s="200"/>
      <c r="BQ318" s="223"/>
      <c r="BR318" s="223"/>
      <c r="BS318" s="223"/>
      <c r="BT318" s="223"/>
      <c r="BU318" s="223"/>
      <c r="BV318" s="223"/>
      <c r="BW318" s="223"/>
      <c r="BX318" s="200"/>
      <c r="BY318" s="522"/>
      <c r="BZ318" s="200"/>
      <c r="CA318" s="223"/>
      <c r="CB318" s="223"/>
      <c r="CC318" s="223"/>
      <c r="CD318" s="223"/>
      <c r="CE318" s="223"/>
      <c r="CF318" s="223"/>
      <c r="CG318" s="200"/>
      <c r="CH318" s="200"/>
      <c r="CI318" s="522"/>
      <c r="CJ318" s="200"/>
      <c r="CK318" s="223"/>
      <c r="CL318" s="223"/>
      <c r="CM318" s="223"/>
      <c r="CN318" s="223"/>
      <c r="CO318" s="223"/>
      <c r="CP318" s="223"/>
      <c r="CQ318" s="200"/>
      <c r="CR318" s="200"/>
      <c r="CS318" s="522"/>
      <c r="CT318" s="200"/>
      <c r="CU318" s="223"/>
      <c r="CV318" s="223"/>
      <c r="CW318" s="223"/>
      <c r="CX318" s="223"/>
      <c r="CY318" s="223"/>
      <c r="CZ318" s="223"/>
      <c r="DA318" s="223"/>
      <c r="DB318" s="200"/>
      <c r="DC318" s="522"/>
      <c r="DD318" s="200"/>
      <c r="DE318" s="223"/>
      <c r="DF318" s="223"/>
      <c r="DG318" s="223"/>
      <c r="DH318" s="223"/>
      <c r="DI318" s="223"/>
      <c r="DJ318" s="223"/>
      <c r="DK318" s="200"/>
      <c r="DL318" s="200"/>
      <c r="DM318" s="522"/>
      <c r="DN318" s="200"/>
      <c r="DO318" s="223"/>
      <c r="DP318" s="223"/>
      <c r="DQ318" s="223"/>
      <c r="DR318" s="223"/>
      <c r="DS318" s="223"/>
      <c r="DT318" s="223"/>
      <c r="DU318" s="200"/>
      <c r="DV318" s="200"/>
      <c r="DW318" s="522"/>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2"/>
      <c r="R319" s="200"/>
      <c r="S319" s="223"/>
      <c r="T319" s="223"/>
      <c r="U319" s="223"/>
      <c r="V319" s="223"/>
      <c r="W319" s="223"/>
      <c r="X319" s="223"/>
      <c r="Y319" s="200"/>
      <c r="Z319" s="200"/>
      <c r="AA319" s="522"/>
      <c r="AB319" s="200"/>
      <c r="AC319" s="223"/>
      <c r="AD319" s="223"/>
      <c r="AE319" s="223"/>
      <c r="AF319" s="223"/>
      <c r="AG319" s="223"/>
      <c r="AH319" s="223"/>
      <c r="AI319" s="200"/>
      <c r="AJ319" s="200"/>
      <c r="AK319" s="522"/>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2"/>
      <c r="BF319" s="200"/>
      <c r="BG319" s="223"/>
      <c r="BH319" s="223"/>
      <c r="BI319" s="223"/>
      <c r="BJ319" s="223"/>
      <c r="BK319" s="223"/>
      <c r="BL319" s="223"/>
      <c r="BM319" s="200"/>
      <c r="BN319" s="200"/>
      <c r="BO319" s="522"/>
      <c r="BP319" s="200"/>
      <c r="BQ319" s="223"/>
      <c r="BR319" s="223"/>
      <c r="BS319" s="223"/>
      <c r="BT319" s="223"/>
      <c r="BU319" s="223"/>
      <c r="BV319" s="223"/>
      <c r="BW319" s="223"/>
      <c r="BX319" s="200"/>
      <c r="BY319" s="522"/>
      <c r="BZ319" s="200"/>
      <c r="CA319" s="223"/>
      <c r="CB319" s="223"/>
      <c r="CC319" s="223"/>
      <c r="CD319" s="223"/>
      <c r="CE319" s="223"/>
      <c r="CF319" s="223"/>
      <c r="CG319" s="200"/>
      <c r="CH319" s="200"/>
      <c r="CI319" s="522"/>
      <c r="CJ319" s="200"/>
      <c r="CK319" s="223"/>
      <c r="CL319" s="223"/>
      <c r="CM319" s="223"/>
      <c r="CN319" s="223"/>
      <c r="CO319" s="223"/>
      <c r="CP319" s="223"/>
      <c r="CQ319" s="200"/>
      <c r="CR319" s="200"/>
      <c r="CS319" s="522"/>
      <c r="CT319" s="200"/>
      <c r="CU319" s="223"/>
      <c r="CV319" s="223"/>
      <c r="CW319" s="223"/>
      <c r="CX319" s="223"/>
      <c r="CY319" s="223"/>
      <c r="CZ319" s="223"/>
      <c r="DA319" s="223"/>
      <c r="DB319" s="200"/>
      <c r="DC319" s="522"/>
      <c r="DD319" s="200"/>
      <c r="DE319" s="223"/>
      <c r="DF319" s="223"/>
      <c r="DG319" s="223"/>
      <c r="DH319" s="223"/>
      <c r="DI319" s="223"/>
      <c r="DJ319" s="223"/>
      <c r="DK319" s="200"/>
      <c r="DL319" s="200"/>
      <c r="DM319" s="522"/>
      <c r="DN319" s="200"/>
      <c r="DO319" s="223"/>
      <c r="DP319" s="223"/>
      <c r="DQ319" s="223"/>
      <c r="DR319" s="223"/>
      <c r="DS319" s="223"/>
      <c r="DT319" s="223"/>
      <c r="DU319" s="200"/>
      <c r="DV319" s="200"/>
      <c r="DW319" s="522"/>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2"/>
      <c r="R320" s="200"/>
      <c r="S320" s="223"/>
      <c r="T320" s="223"/>
      <c r="U320" s="223"/>
      <c r="V320" s="223"/>
      <c r="W320" s="223"/>
      <c r="X320" s="223"/>
      <c r="Y320" s="200"/>
      <c r="Z320" s="200"/>
      <c r="AA320" s="522"/>
      <c r="AB320" s="200"/>
      <c r="AC320" s="223"/>
      <c r="AD320" s="223"/>
      <c r="AE320" s="223"/>
      <c r="AF320" s="223"/>
      <c r="AG320" s="223"/>
      <c r="AH320" s="223"/>
      <c r="AI320" s="200"/>
      <c r="AJ320" s="200"/>
      <c r="AK320" s="522"/>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2"/>
      <c r="BF320" s="200"/>
      <c r="BG320" s="223"/>
      <c r="BH320" s="223"/>
      <c r="BI320" s="223"/>
      <c r="BJ320" s="223"/>
      <c r="BK320" s="223"/>
      <c r="BL320" s="223"/>
      <c r="BM320" s="200"/>
      <c r="BN320" s="200"/>
      <c r="BO320" s="522"/>
      <c r="BP320" s="200"/>
      <c r="BQ320" s="223"/>
      <c r="BR320" s="223"/>
      <c r="BS320" s="223"/>
      <c r="BT320" s="223"/>
      <c r="BU320" s="223"/>
      <c r="BV320" s="223"/>
      <c r="BW320" s="223"/>
      <c r="BX320" s="200"/>
      <c r="BY320" s="522"/>
      <c r="BZ320" s="200"/>
      <c r="CA320" s="223"/>
      <c r="CB320" s="223"/>
      <c r="CC320" s="223"/>
      <c r="CD320" s="223"/>
      <c r="CE320" s="223"/>
      <c r="CF320" s="223"/>
      <c r="CG320" s="200"/>
      <c r="CH320" s="200"/>
      <c r="CI320" s="522"/>
      <c r="CJ320" s="200"/>
      <c r="CK320" s="223"/>
      <c r="CL320" s="223"/>
      <c r="CM320" s="223"/>
      <c r="CN320" s="223"/>
      <c r="CO320" s="223"/>
      <c r="CP320" s="223"/>
      <c r="CQ320" s="200"/>
      <c r="CR320" s="200"/>
      <c r="CS320" s="522"/>
      <c r="CT320" s="200"/>
      <c r="CU320" s="223"/>
      <c r="CV320" s="223"/>
      <c r="CW320" s="223"/>
      <c r="CX320" s="223"/>
      <c r="CY320" s="223"/>
      <c r="CZ320" s="223"/>
      <c r="DA320" s="223"/>
      <c r="DB320" s="200"/>
      <c r="DC320" s="522"/>
      <c r="DD320" s="200"/>
      <c r="DE320" s="223"/>
      <c r="DF320" s="223"/>
      <c r="DG320" s="223"/>
      <c r="DH320" s="223"/>
      <c r="DI320" s="223"/>
      <c r="DJ320" s="223"/>
      <c r="DK320" s="200"/>
      <c r="DL320" s="200"/>
      <c r="DM320" s="522"/>
      <c r="DN320" s="200"/>
      <c r="DO320" s="223"/>
      <c r="DP320" s="223"/>
      <c r="DQ320" s="223"/>
      <c r="DR320" s="223"/>
      <c r="DS320" s="223"/>
      <c r="DT320" s="223"/>
      <c r="DU320" s="200"/>
      <c r="DV320" s="200"/>
      <c r="DW320" s="522"/>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2"/>
      <c r="R321" s="200"/>
      <c r="S321" s="223"/>
      <c r="T321" s="223"/>
      <c r="U321" s="223"/>
      <c r="V321" s="223"/>
      <c r="W321" s="223"/>
      <c r="X321" s="223"/>
      <c r="Y321" s="200"/>
      <c r="Z321" s="200"/>
      <c r="AA321" s="522"/>
      <c r="AB321" s="200"/>
      <c r="AC321" s="223"/>
      <c r="AD321" s="223"/>
      <c r="AE321" s="223"/>
      <c r="AF321" s="223"/>
      <c r="AG321" s="223"/>
      <c r="AH321" s="223"/>
      <c r="AI321" s="200"/>
      <c r="AJ321" s="200"/>
      <c r="AK321" s="522"/>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2"/>
      <c r="BF321" s="200"/>
      <c r="BG321" s="223"/>
      <c r="BH321" s="223"/>
      <c r="BI321" s="223"/>
      <c r="BJ321" s="223"/>
      <c r="BK321" s="223"/>
      <c r="BL321" s="223"/>
      <c r="BM321" s="200"/>
      <c r="BN321" s="200"/>
      <c r="BO321" s="522"/>
      <c r="BP321" s="200"/>
      <c r="BQ321" s="223"/>
      <c r="BR321" s="223"/>
      <c r="BS321" s="223"/>
      <c r="BT321" s="223"/>
      <c r="BU321" s="223"/>
      <c r="BV321" s="223"/>
      <c r="BW321" s="223"/>
      <c r="BX321" s="200"/>
      <c r="BY321" s="522"/>
      <c r="BZ321" s="200"/>
      <c r="CA321" s="223"/>
      <c r="CB321" s="223"/>
      <c r="CC321" s="223"/>
      <c r="CD321" s="223"/>
      <c r="CE321" s="223"/>
      <c r="CF321" s="223"/>
      <c r="CG321" s="200"/>
      <c r="CH321" s="200"/>
      <c r="CI321" s="522"/>
      <c r="CJ321" s="200"/>
      <c r="CK321" s="223"/>
      <c r="CL321" s="223"/>
      <c r="CM321" s="223"/>
      <c r="CN321" s="223"/>
      <c r="CO321" s="223"/>
      <c r="CP321" s="223"/>
      <c r="CQ321" s="200"/>
      <c r="CR321" s="200"/>
      <c r="CS321" s="522"/>
      <c r="CT321" s="200"/>
      <c r="CU321" s="223"/>
      <c r="CV321" s="223"/>
      <c r="CW321" s="223"/>
      <c r="CX321" s="223"/>
      <c r="CY321" s="223"/>
      <c r="CZ321" s="223"/>
      <c r="DA321" s="223"/>
      <c r="DB321" s="200"/>
      <c r="DC321" s="522"/>
      <c r="DD321" s="200"/>
      <c r="DE321" s="223"/>
      <c r="DF321" s="223"/>
      <c r="DG321" s="223"/>
      <c r="DH321" s="223"/>
      <c r="DI321" s="223"/>
      <c r="DJ321" s="223"/>
      <c r="DK321" s="200"/>
      <c r="DL321" s="200"/>
      <c r="DM321" s="522"/>
      <c r="DN321" s="200"/>
      <c r="DO321" s="223"/>
      <c r="DP321" s="223"/>
      <c r="DQ321" s="223"/>
      <c r="DR321" s="223"/>
      <c r="DS321" s="223"/>
      <c r="DT321" s="223"/>
      <c r="DU321" s="200"/>
      <c r="DV321" s="200"/>
      <c r="DW321" s="522"/>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2"/>
      <c r="R322" s="200"/>
      <c r="S322" s="223"/>
      <c r="T322" s="223"/>
      <c r="U322" s="223"/>
      <c r="V322" s="223"/>
      <c r="W322" s="223"/>
      <c r="X322" s="223"/>
      <c r="Y322" s="200"/>
      <c r="Z322" s="200"/>
      <c r="AA322" s="522"/>
      <c r="AB322" s="200"/>
      <c r="AC322" s="223"/>
      <c r="AD322" s="223"/>
      <c r="AE322" s="223"/>
      <c r="AF322" s="223"/>
      <c r="AG322" s="223"/>
      <c r="AH322" s="223"/>
      <c r="AI322" s="200"/>
      <c r="AJ322" s="200"/>
      <c r="AK322" s="522"/>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2"/>
      <c r="BF322" s="200"/>
      <c r="BG322" s="223"/>
      <c r="BH322" s="223"/>
      <c r="BI322" s="223"/>
      <c r="BJ322" s="223"/>
      <c r="BK322" s="223"/>
      <c r="BL322" s="223"/>
      <c r="BM322" s="200"/>
      <c r="BN322" s="200"/>
      <c r="BO322" s="522"/>
      <c r="BP322" s="200"/>
      <c r="BQ322" s="223"/>
      <c r="BR322" s="223"/>
      <c r="BS322" s="223"/>
      <c r="BT322" s="223"/>
      <c r="BU322" s="223"/>
      <c r="BV322" s="223"/>
      <c r="BW322" s="223"/>
      <c r="BX322" s="200"/>
      <c r="BY322" s="522"/>
      <c r="BZ322" s="200"/>
      <c r="CA322" s="223"/>
      <c r="CB322" s="223"/>
      <c r="CC322" s="223"/>
      <c r="CD322" s="223"/>
      <c r="CE322" s="223"/>
      <c r="CF322" s="223"/>
      <c r="CG322" s="200"/>
      <c r="CH322" s="200"/>
      <c r="CI322" s="522"/>
      <c r="CJ322" s="200"/>
      <c r="CK322" s="223"/>
      <c r="CL322" s="223"/>
      <c r="CM322" s="223"/>
      <c r="CN322" s="223"/>
      <c r="CO322" s="223"/>
      <c r="CP322" s="223"/>
      <c r="CQ322" s="200"/>
      <c r="CR322" s="200"/>
      <c r="CS322" s="522"/>
      <c r="CT322" s="200"/>
      <c r="CU322" s="223"/>
      <c r="CV322" s="223"/>
      <c r="CW322" s="223"/>
      <c r="CX322" s="223"/>
      <c r="CY322" s="223"/>
      <c r="CZ322" s="223"/>
      <c r="DA322" s="223"/>
      <c r="DB322" s="200"/>
      <c r="DC322" s="522"/>
      <c r="DD322" s="200"/>
      <c r="DE322" s="223"/>
      <c r="DF322" s="223"/>
      <c r="DG322" s="223"/>
      <c r="DH322" s="223"/>
      <c r="DI322" s="223"/>
      <c r="DJ322" s="223"/>
      <c r="DK322" s="200"/>
      <c r="DL322" s="200"/>
      <c r="DM322" s="522"/>
      <c r="DN322" s="200"/>
      <c r="DO322" s="223"/>
      <c r="DP322" s="223"/>
      <c r="DQ322" s="223"/>
      <c r="DR322" s="223"/>
      <c r="DS322" s="223"/>
      <c r="DT322" s="223"/>
      <c r="DU322" s="200"/>
      <c r="DV322" s="200"/>
      <c r="DW322" s="522"/>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2"/>
      <c r="R323" s="200"/>
      <c r="S323" s="223"/>
      <c r="T323" s="223"/>
      <c r="U323" s="223"/>
      <c r="V323" s="223"/>
      <c r="W323" s="223"/>
      <c r="X323" s="223"/>
      <c r="Y323" s="200"/>
      <c r="Z323" s="200"/>
      <c r="AA323" s="522"/>
      <c r="AB323" s="200"/>
      <c r="AC323" s="223"/>
      <c r="AD323" s="223"/>
      <c r="AE323" s="223"/>
      <c r="AF323" s="223"/>
      <c r="AG323" s="223"/>
      <c r="AH323" s="223"/>
      <c r="AI323" s="200"/>
      <c r="AJ323" s="200"/>
      <c r="AK323" s="522"/>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2"/>
      <c r="BF323" s="200"/>
      <c r="BG323" s="223"/>
      <c r="BH323" s="223"/>
      <c r="BI323" s="223"/>
      <c r="BJ323" s="223"/>
      <c r="BK323" s="223"/>
      <c r="BL323" s="223"/>
      <c r="BM323" s="200"/>
      <c r="BN323" s="200"/>
      <c r="BO323" s="522"/>
      <c r="BP323" s="200"/>
      <c r="BQ323" s="223"/>
      <c r="BR323" s="223"/>
      <c r="BS323" s="223"/>
      <c r="BT323" s="223"/>
      <c r="BU323" s="223"/>
      <c r="BV323" s="223"/>
      <c r="BW323" s="223"/>
      <c r="BX323" s="200"/>
      <c r="BY323" s="522"/>
      <c r="BZ323" s="200"/>
      <c r="CA323" s="223"/>
      <c r="CB323" s="223"/>
      <c r="CC323" s="223"/>
      <c r="CD323" s="223"/>
      <c r="CE323" s="223"/>
      <c r="CF323" s="223"/>
      <c r="CG323" s="200"/>
      <c r="CH323" s="200"/>
      <c r="CI323" s="522"/>
      <c r="CJ323" s="200"/>
      <c r="CK323" s="223"/>
      <c r="CL323" s="223"/>
      <c r="CM323" s="223"/>
      <c r="CN323" s="223"/>
      <c r="CO323" s="223"/>
      <c r="CP323" s="223"/>
      <c r="CQ323" s="200"/>
      <c r="CR323" s="200"/>
      <c r="CS323" s="522"/>
      <c r="CT323" s="200"/>
      <c r="CU323" s="223"/>
      <c r="CV323" s="223"/>
      <c r="CW323" s="223"/>
      <c r="CX323" s="223"/>
      <c r="CY323" s="223"/>
      <c r="CZ323" s="223"/>
      <c r="DA323" s="223"/>
      <c r="DB323" s="200"/>
      <c r="DC323" s="522"/>
      <c r="DD323" s="200"/>
      <c r="DE323" s="223"/>
      <c r="DF323" s="223"/>
      <c r="DG323" s="223"/>
      <c r="DH323" s="223"/>
      <c r="DI323" s="223"/>
      <c r="DJ323" s="223"/>
      <c r="DK323" s="200"/>
      <c r="DL323" s="200"/>
      <c r="DM323" s="522"/>
      <c r="DN323" s="200"/>
      <c r="DO323" s="223"/>
      <c r="DP323" s="223"/>
      <c r="DQ323" s="223"/>
      <c r="DR323" s="223"/>
      <c r="DS323" s="223"/>
      <c r="DT323" s="223"/>
      <c r="DU323" s="200"/>
      <c r="DV323" s="200"/>
      <c r="DW323" s="522"/>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2"/>
      <c r="R324" s="200"/>
      <c r="S324" s="223"/>
      <c r="T324" s="223"/>
      <c r="U324" s="223"/>
      <c r="V324" s="223"/>
      <c r="W324" s="223"/>
      <c r="X324" s="223"/>
      <c r="Y324" s="200"/>
      <c r="Z324" s="200"/>
      <c r="AA324" s="522"/>
      <c r="AB324" s="200"/>
      <c r="AC324" s="223"/>
      <c r="AD324" s="223"/>
      <c r="AE324" s="223"/>
      <c r="AF324" s="223"/>
      <c r="AG324" s="223"/>
      <c r="AH324" s="223"/>
      <c r="AI324" s="200"/>
      <c r="AJ324" s="200"/>
      <c r="AK324" s="522"/>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2"/>
      <c r="BF324" s="200"/>
      <c r="BG324" s="223"/>
      <c r="BH324" s="223"/>
      <c r="BI324" s="223"/>
      <c r="BJ324" s="223"/>
      <c r="BK324" s="223"/>
      <c r="BL324" s="223"/>
      <c r="BM324" s="200"/>
      <c r="BN324" s="200"/>
      <c r="BO324" s="522"/>
      <c r="BP324" s="200"/>
      <c r="BQ324" s="223"/>
      <c r="BR324" s="223"/>
      <c r="BS324" s="223"/>
      <c r="BT324" s="223"/>
      <c r="BU324" s="223"/>
      <c r="BV324" s="223"/>
      <c r="BW324" s="223"/>
      <c r="BX324" s="200"/>
      <c r="BY324" s="522"/>
      <c r="BZ324" s="200"/>
      <c r="CA324" s="223"/>
      <c r="CB324" s="223"/>
      <c r="CC324" s="223"/>
      <c r="CD324" s="223"/>
      <c r="CE324" s="223"/>
      <c r="CF324" s="223"/>
      <c r="CG324" s="200"/>
      <c r="CH324" s="200"/>
      <c r="CI324" s="522"/>
      <c r="CJ324" s="200"/>
      <c r="CK324" s="223"/>
      <c r="CL324" s="223"/>
      <c r="CM324" s="223"/>
      <c r="CN324" s="223"/>
      <c r="CO324" s="223"/>
      <c r="CP324" s="223"/>
      <c r="CQ324" s="200"/>
      <c r="CR324" s="200"/>
      <c r="CS324" s="522"/>
      <c r="CT324" s="200"/>
      <c r="CU324" s="223"/>
      <c r="CV324" s="223"/>
      <c r="CW324" s="223"/>
      <c r="CX324" s="223"/>
      <c r="CY324" s="223"/>
      <c r="CZ324" s="223"/>
      <c r="DA324" s="223"/>
      <c r="DB324" s="200"/>
      <c r="DC324" s="522"/>
      <c r="DD324" s="200"/>
      <c r="DE324" s="223"/>
      <c r="DF324" s="223"/>
      <c r="DG324" s="223"/>
      <c r="DH324" s="223"/>
      <c r="DI324" s="223"/>
      <c r="DJ324" s="223"/>
      <c r="DK324" s="200"/>
      <c r="DL324" s="200"/>
      <c r="DM324" s="522"/>
      <c r="DN324" s="200"/>
      <c r="DO324" s="223"/>
      <c r="DP324" s="223"/>
      <c r="DQ324" s="223"/>
      <c r="DR324" s="223"/>
      <c r="DS324" s="223"/>
      <c r="DT324" s="223"/>
      <c r="DU324" s="200"/>
      <c r="DV324" s="200"/>
      <c r="DW324" s="522"/>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2"/>
      <c r="R325" s="200"/>
      <c r="S325" s="223"/>
      <c r="T325" s="223"/>
      <c r="U325" s="223"/>
      <c r="V325" s="223"/>
      <c r="W325" s="223"/>
      <c r="X325" s="223"/>
      <c r="Y325" s="200"/>
      <c r="Z325" s="200"/>
      <c r="AA325" s="522"/>
      <c r="AB325" s="200"/>
      <c r="AC325" s="223"/>
      <c r="AD325" s="223"/>
      <c r="AE325" s="223"/>
      <c r="AF325" s="223"/>
      <c r="AG325" s="223"/>
      <c r="AH325" s="223"/>
      <c r="AI325" s="200"/>
      <c r="AJ325" s="200"/>
      <c r="AK325" s="522"/>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2"/>
      <c r="BF325" s="200"/>
      <c r="BG325" s="223"/>
      <c r="BH325" s="223"/>
      <c r="BI325" s="223"/>
      <c r="BJ325" s="223"/>
      <c r="BK325" s="223"/>
      <c r="BL325" s="223"/>
      <c r="BM325" s="200"/>
      <c r="BN325" s="200"/>
      <c r="BO325" s="522"/>
      <c r="BP325" s="200"/>
      <c r="BQ325" s="223"/>
      <c r="BR325" s="223"/>
      <c r="BS325" s="223"/>
      <c r="BT325" s="223"/>
      <c r="BU325" s="223"/>
      <c r="BV325" s="223"/>
      <c r="BW325" s="223"/>
      <c r="BX325" s="200"/>
      <c r="BY325" s="522"/>
      <c r="BZ325" s="200"/>
      <c r="CA325" s="223"/>
      <c r="CB325" s="223"/>
      <c r="CC325" s="223"/>
      <c r="CD325" s="223"/>
      <c r="CE325" s="223"/>
      <c r="CF325" s="223"/>
      <c r="CG325" s="200"/>
      <c r="CH325" s="200"/>
      <c r="CI325" s="522"/>
      <c r="CJ325" s="200"/>
      <c r="CK325" s="223"/>
      <c r="CL325" s="223"/>
      <c r="CM325" s="223"/>
      <c r="CN325" s="223"/>
      <c r="CO325" s="223"/>
      <c r="CP325" s="223"/>
      <c r="CQ325" s="200"/>
      <c r="CR325" s="200"/>
      <c r="CS325" s="522"/>
      <c r="CT325" s="200"/>
      <c r="CU325" s="223"/>
      <c r="CV325" s="223"/>
      <c r="CW325" s="223"/>
      <c r="CX325" s="223"/>
      <c r="CY325" s="223"/>
      <c r="CZ325" s="223"/>
      <c r="DA325" s="223"/>
      <c r="DB325" s="200"/>
      <c r="DC325" s="522"/>
      <c r="DD325" s="200"/>
      <c r="DE325" s="223"/>
      <c r="DF325" s="223"/>
      <c r="DG325" s="223"/>
      <c r="DH325" s="223"/>
      <c r="DI325" s="223"/>
      <c r="DJ325" s="223"/>
      <c r="DK325" s="200"/>
      <c r="DL325" s="200"/>
      <c r="DM325" s="522"/>
      <c r="DN325" s="200"/>
      <c r="DO325" s="223"/>
      <c r="DP325" s="223"/>
      <c r="DQ325" s="223"/>
      <c r="DR325" s="223"/>
      <c r="DS325" s="223"/>
      <c r="DT325" s="223"/>
      <c r="DU325" s="200"/>
      <c r="DV325" s="200"/>
      <c r="DW325" s="522"/>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2"/>
      <c r="R326" s="200"/>
      <c r="S326" s="223"/>
      <c r="T326" s="223"/>
      <c r="U326" s="223"/>
      <c r="V326" s="223"/>
      <c r="W326" s="223"/>
      <c r="X326" s="223"/>
      <c r="Y326" s="200"/>
      <c r="Z326" s="200"/>
      <c r="AA326" s="522"/>
      <c r="AB326" s="200"/>
      <c r="AC326" s="223"/>
      <c r="AD326" s="223"/>
      <c r="AE326" s="223"/>
      <c r="AF326" s="223"/>
      <c r="AG326" s="223"/>
      <c r="AH326" s="223"/>
      <c r="AI326" s="200"/>
      <c r="AJ326" s="200"/>
      <c r="AK326" s="522"/>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2"/>
      <c r="BF326" s="200"/>
      <c r="BG326" s="223"/>
      <c r="BH326" s="223"/>
      <c r="BI326" s="223"/>
      <c r="BJ326" s="223"/>
      <c r="BK326" s="223"/>
      <c r="BL326" s="223"/>
      <c r="BM326" s="200"/>
      <c r="BN326" s="200"/>
      <c r="BO326" s="522"/>
      <c r="BP326" s="200"/>
      <c r="BQ326" s="223"/>
      <c r="BR326" s="223"/>
      <c r="BS326" s="223"/>
      <c r="BT326" s="223"/>
      <c r="BU326" s="223"/>
      <c r="BV326" s="223"/>
      <c r="BW326" s="223"/>
      <c r="BX326" s="200"/>
      <c r="BY326" s="522"/>
      <c r="BZ326" s="200"/>
      <c r="CA326" s="223"/>
      <c r="CB326" s="223"/>
      <c r="CC326" s="223"/>
      <c r="CD326" s="223"/>
      <c r="CE326" s="223"/>
      <c r="CF326" s="223"/>
      <c r="CG326" s="200"/>
      <c r="CH326" s="200"/>
      <c r="CI326" s="522"/>
      <c r="CJ326" s="200"/>
      <c r="CK326" s="223"/>
      <c r="CL326" s="223"/>
      <c r="CM326" s="223"/>
      <c r="CN326" s="223"/>
      <c r="CO326" s="223"/>
      <c r="CP326" s="223"/>
      <c r="CQ326" s="200"/>
      <c r="CR326" s="200"/>
      <c r="CS326" s="522"/>
      <c r="CT326" s="200"/>
      <c r="CU326" s="223"/>
      <c r="CV326" s="223"/>
      <c r="CW326" s="223"/>
      <c r="CX326" s="223"/>
      <c r="CY326" s="223"/>
      <c r="CZ326" s="223"/>
      <c r="DA326" s="223"/>
      <c r="DB326" s="200"/>
      <c r="DC326" s="522"/>
      <c r="DD326" s="200"/>
      <c r="DE326" s="223"/>
      <c r="DF326" s="223"/>
      <c r="DG326" s="223"/>
      <c r="DH326" s="223"/>
      <c r="DI326" s="223"/>
      <c r="DJ326" s="223"/>
      <c r="DK326" s="200"/>
      <c r="DL326" s="200"/>
      <c r="DM326" s="522"/>
      <c r="DN326" s="200"/>
      <c r="DO326" s="223"/>
      <c r="DP326" s="223"/>
      <c r="DQ326" s="223"/>
      <c r="DR326" s="223"/>
      <c r="DS326" s="223"/>
      <c r="DT326" s="223"/>
      <c r="DU326" s="200"/>
      <c r="DV326" s="200"/>
      <c r="DW326" s="522"/>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2"/>
      <c r="R327" s="200"/>
      <c r="S327" s="223"/>
      <c r="T327" s="223"/>
      <c r="U327" s="223"/>
      <c r="V327" s="223"/>
      <c r="W327" s="223"/>
      <c r="X327" s="223"/>
      <c r="Y327" s="200"/>
      <c r="Z327" s="200"/>
      <c r="AA327" s="522"/>
      <c r="AB327" s="200"/>
      <c r="AC327" s="223"/>
      <c r="AD327" s="223"/>
      <c r="AE327" s="223"/>
      <c r="AF327" s="223"/>
      <c r="AG327" s="223"/>
      <c r="AH327" s="223"/>
      <c r="AI327" s="200"/>
      <c r="AJ327" s="200"/>
      <c r="AK327" s="522"/>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2"/>
      <c r="BF327" s="200"/>
      <c r="BG327" s="223"/>
      <c r="BH327" s="223"/>
      <c r="BI327" s="223"/>
      <c r="BJ327" s="223"/>
      <c r="BK327" s="223"/>
      <c r="BL327" s="223"/>
      <c r="BM327" s="200"/>
      <c r="BN327" s="200"/>
      <c r="BO327" s="522"/>
      <c r="BP327" s="200"/>
      <c r="BQ327" s="223"/>
      <c r="BR327" s="223"/>
      <c r="BS327" s="223"/>
      <c r="BT327" s="223"/>
      <c r="BU327" s="223"/>
      <c r="BV327" s="223"/>
      <c r="BW327" s="223"/>
      <c r="BX327" s="200"/>
      <c r="BY327" s="522"/>
      <c r="BZ327" s="200"/>
      <c r="CA327" s="223"/>
      <c r="CB327" s="223"/>
      <c r="CC327" s="223"/>
      <c r="CD327" s="223"/>
      <c r="CE327" s="223"/>
      <c r="CF327" s="223"/>
      <c r="CG327" s="200"/>
      <c r="CH327" s="200"/>
      <c r="CI327" s="522"/>
      <c r="CJ327" s="200"/>
      <c r="CK327" s="223"/>
      <c r="CL327" s="223"/>
      <c r="CM327" s="223"/>
      <c r="CN327" s="223"/>
      <c r="CO327" s="223"/>
      <c r="CP327" s="223"/>
      <c r="CQ327" s="200"/>
      <c r="CR327" s="200"/>
      <c r="CS327" s="522"/>
      <c r="CT327" s="200"/>
      <c r="CU327" s="223"/>
      <c r="CV327" s="223"/>
      <c r="CW327" s="223"/>
      <c r="CX327" s="223"/>
      <c r="CY327" s="223"/>
      <c r="CZ327" s="223"/>
      <c r="DA327" s="223"/>
      <c r="DB327" s="200"/>
      <c r="DC327" s="522"/>
      <c r="DD327" s="200"/>
      <c r="DE327" s="223"/>
      <c r="DF327" s="223"/>
      <c r="DG327" s="223"/>
      <c r="DH327" s="223"/>
      <c r="DI327" s="223"/>
      <c r="DJ327" s="223"/>
      <c r="DK327" s="200"/>
      <c r="DL327" s="200"/>
      <c r="DM327" s="522"/>
      <c r="DN327" s="200"/>
      <c r="DO327" s="223"/>
      <c r="DP327" s="223"/>
      <c r="DQ327" s="223"/>
      <c r="DR327" s="223"/>
      <c r="DS327" s="223"/>
      <c r="DT327" s="223"/>
      <c r="DU327" s="200"/>
      <c r="DV327" s="200"/>
      <c r="DW327" s="522"/>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2"/>
      <c r="R328" s="200"/>
      <c r="S328" s="223"/>
      <c r="T328" s="223"/>
      <c r="U328" s="223"/>
      <c r="V328" s="223"/>
      <c r="W328" s="223"/>
      <c r="X328" s="223"/>
      <c r="Y328" s="200"/>
      <c r="Z328" s="200"/>
      <c r="AA328" s="522"/>
      <c r="AB328" s="200"/>
      <c r="AC328" s="223"/>
      <c r="AD328" s="223"/>
      <c r="AE328" s="223"/>
      <c r="AF328" s="223"/>
      <c r="AG328" s="223"/>
      <c r="AH328" s="223"/>
      <c r="AI328" s="200"/>
      <c r="AJ328" s="200"/>
      <c r="AK328" s="522"/>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2"/>
      <c r="BF328" s="200"/>
      <c r="BG328" s="223"/>
      <c r="BH328" s="223"/>
      <c r="BI328" s="223"/>
      <c r="BJ328" s="223"/>
      <c r="BK328" s="223"/>
      <c r="BL328" s="223"/>
      <c r="BM328" s="200"/>
      <c r="BN328" s="200"/>
      <c r="BO328" s="522"/>
      <c r="BP328" s="200"/>
      <c r="BQ328" s="223"/>
      <c r="BR328" s="223"/>
      <c r="BS328" s="223"/>
      <c r="BT328" s="223"/>
      <c r="BU328" s="223"/>
      <c r="BV328" s="223"/>
      <c r="BW328" s="223"/>
      <c r="BX328" s="200"/>
      <c r="BY328" s="522"/>
      <c r="BZ328" s="200"/>
      <c r="CA328" s="223"/>
      <c r="CB328" s="223"/>
      <c r="CC328" s="223"/>
      <c r="CD328" s="223"/>
      <c r="CE328" s="223"/>
      <c r="CF328" s="223"/>
      <c r="CG328" s="200"/>
      <c r="CH328" s="200"/>
      <c r="CI328" s="522"/>
      <c r="CJ328" s="200"/>
      <c r="CK328" s="223"/>
      <c r="CL328" s="223"/>
      <c r="CM328" s="223"/>
      <c r="CN328" s="223"/>
      <c r="CO328" s="223"/>
      <c r="CP328" s="223"/>
      <c r="CQ328" s="200"/>
      <c r="CR328" s="200"/>
      <c r="CS328" s="522"/>
      <c r="CT328" s="200"/>
      <c r="CU328" s="223"/>
      <c r="CV328" s="223"/>
      <c r="CW328" s="223"/>
      <c r="CX328" s="223"/>
      <c r="CY328" s="223"/>
      <c r="CZ328" s="223"/>
      <c r="DA328" s="223"/>
      <c r="DB328" s="200"/>
      <c r="DC328" s="522"/>
      <c r="DD328" s="200"/>
      <c r="DE328" s="223"/>
      <c r="DF328" s="223"/>
      <c r="DG328" s="223"/>
      <c r="DH328" s="223"/>
      <c r="DI328" s="223"/>
      <c r="DJ328" s="223"/>
      <c r="DK328" s="200"/>
      <c r="DL328" s="200"/>
      <c r="DM328" s="522"/>
      <c r="DN328" s="200"/>
      <c r="DO328" s="223"/>
      <c r="DP328" s="223"/>
      <c r="DQ328" s="223"/>
      <c r="DR328" s="223"/>
      <c r="DS328" s="223"/>
      <c r="DT328" s="223"/>
      <c r="DU328" s="200"/>
      <c r="DV328" s="200"/>
      <c r="DW328" s="522"/>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2"/>
      <c r="R329" s="200"/>
      <c r="S329" s="223"/>
      <c r="T329" s="223"/>
      <c r="U329" s="223"/>
      <c r="V329" s="223"/>
      <c r="W329" s="223"/>
      <c r="X329" s="223"/>
      <c r="Y329" s="200"/>
      <c r="Z329" s="200"/>
      <c r="AA329" s="522"/>
      <c r="AB329" s="200"/>
      <c r="AC329" s="223"/>
      <c r="AD329" s="223"/>
      <c r="AE329" s="223"/>
      <c r="AF329" s="223"/>
      <c r="AG329" s="223"/>
      <c r="AH329" s="223"/>
      <c r="AI329" s="200"/>
      <c r="AJ329" s="200"/>
      <c r="AK329" s="522"/>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2"/>
      <c r="BF329" s="200"/>
      <c r="BG329" s="223"/>
      <c r="BH329" s="223"/>
      <c r="BI329" s="223"/>
      <c r="BJ329" s="223"/>
      <c r="BK329" s="223"/>
      <c r="BL329" s="223"/>
      <c r="BM329" s="200"/>
      <c r="BN329" s="200"/>
      <c r="BO329" s="522"/>
      <c r="BP329" s="200"/>
      <c r="BQ329" s="223"/>
      <c r="BR329" s="223"/>
      <c r="BS329" s="223"/>
      <c r="BT329" s="223"/>
      <c r="BU329" s="223"/>
      <c r="BV329" s="223"/>
      <c r="BW329" s="223"/>
      <c r="BX329" s="200"/>
      <c r="BY329" s="522"/>
      <c r="BZ329" s="200"/>
      <c r="CA329" s="223"/>
      <c r="CB329" s="223"/>
      <c r="CC329" s="223"/>
      <c r="CD329" s="223"/>
      <c r="CE329" s="223"/>
      <c r="CF329" s="223"/>
      <c r="CG329" s="200"/>
      <c r="CH329" s="200"/>
      <c r="CI329" s="522"/>
      <c r="CJ329" s="200"/>
      <c r="CK329" s="223"/>
      <c r="CL329" s="223"/>
      <c r="CM329" s="223"/>
      <c r="CN329" s="223"/>
      <c r="CO329" s="223"/>
      <c r="CP329" s="223"/>
      <c r="CQ329" s="200"/>
      <c r="CR329" s="200"/>
      <c r="CS329" s="522"/>
      <c r="CT329" s="200"/>
      <c r="CU329" s="223"/>
      <c r="CV329" s="223"/>
      <c r="CW329" s="223"/>
      <c r="CX329" s="223"/>
      <c r="CY329" s="223"/>
      <c r="CZ329" s="223"/>
      <c r="DA329" s="223"/>
      <c r="DB329" s="200"/>
      <c r="DC329" s="522"/>
      <c r="DD329" s="200"/>
      <c r="DE329" s="223"/>
      <c r="DF329" s="223"/>
      <c r="DG329" s="223"/>
      <c r="DH329" s="223"/>
      <c r="DI329" s="223"/>
      <c r="DJ329" s="223"/>
      <c r="DK329" s="200"/>
      <c r="DL329" s="200"/>
      <c r="DM329" s="522"/>
      <c r="DN329" s="200"/>
      <c r="DO329" s="223"/>
      <c r="DP329" s="223"/>
      <c r="DQ329" s="223"/>
      <c r="DR329" s="223"/>
      <c r="DS329" s="223"/>
      <c r="DT329" s="223"/>
      <c r="DU329" s="200"/>
      <c r="DV329" s="200"/>
      <c r="DW329" s="522"/>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2"/>
      <c r="R330" s="200"/>
      <c r="S330" s="223"/>
      <c r="T330" s="223"/>
      <c r="U330" s="223"/>
      <c r="V330" s="223"/>
      <c r="W330" s="223"/>
      <c r="X330" s="223"/>
      <c r="Y330" s="200"/>
      <c r="Z330" s="200"/>
      <c r="AA330" s="522"/>
      <c r="AB330" s="200"/>
      <c r="AC330" s="223"/>
      <c r="AD330" s="223"/>
      <c r="AE330" s="223"/>
      <c r="AF330" s="223"/>
      <c r="AG330" s="223"/>
      <c r="AH330" s="223"/>
      <c r="AI330" s="200"/>
      <c r="AJ330" s="200"/>
      <c r="AK330" s="522"/>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2"/>
      <c r="BF330" s="200"/>
      <c r="BG330" s="223"/>
      <c r="BH330" s="223"/>
      <c r="BI330" s="223"/>
      <c r="BJ330" s="223"/>
      <c r="BK330" s="223"/>
      <c r="BL330" s="223"/>
      <c r="BM330" s="200"/>
      <c r="BN330" s="200"/>
      <c r="BO330" s="522"/>
      <c r="BP330" s="200"/>
      <c r="BQ330" s="223"/>
      <c r="BR330" s="223"/>
      <c r="BS330" s="223"/>
      <c r="BT330" s="223"/>
      <c r="BU330" s="223"/>
      <c r="BV330" s="223"/>
      <c r="BW330" s="223"/>
      <c r="BX330" s="200"/>
      <c r="BY330" s="522"/>
      <c r="BZ330" s="200"/>
      <c r="CA330" s="223"/>
      <c r="CB330" s="223"/>
      <c r="CC330" s="223"/>
      <c r="CD330" s="223"/>
      <c r="CE330" s="223"/>
      <c r="CF330" s="223"/>
      <c r="CG330" s="200"/>
      <c r="CH330" s="200"/>
      <c r="CI330" s="522"/>
      <c r="CJ330" s="200"/>
      <c r="CK330" s="223"/>
      <c r="CL330" s="223"/>
      <c r="CM330" s="223"/>
      <c r="CN330" s="223"/>
      <c r="CO330" s="223"/>
      <c r="CP330" s="223"/>
      <c r="CQ330" s="200"/>
      <c r="CR330" s="200"/>
      <c r="CS330" s="522"/>
      <c r="CT330" s="200"/>
      <c r="CU330" s="223"/>
      <c r="CV330" s="223"/>
      <c r="CW330" s="223"/>
      <c r="CX330" s="223"/>
      <c r="CY330" s="223"/>
      <c r="CZ330" s="223"/>
      <c r="DA330" s="223"/>
      <c r="DB330" s="200"/>
      <c r="DC330" s="522"/>
      <c r="DD330" s="200"/>
      <c r="DE330" s="223"/>
      <c r="DF330" s="223"/>
      <c r="DG330" s="223"/>
      <c r="DH330" s="223"/>
      <c r="DI330" s="223"/>
      <c r="DJ330" s="223"/>
      <c r="DK330" s="200"/>
      <c r="DL330" s="200"/>
      <c r="DM330" s="522"/>
      <c r="DN330" s="200"/>
      <c r="DO330" s="223"/>
      <c r="DP330" s="223"/>
      <c r="DQ330" s="223"/>
      <c r="DR330" s="223"/>
      <c r="DS330" s="223"/>
      <c r="DT330" s="223"/>
      <c r="DU330" s="200"/>
      <c r="DV330" s="200"/>
      <c r="DW330" s="522"/>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2"/>
      <c r="R331" s="200"/>
      <c r="S331" s="223"/>
      <c r="T331" s="223"/>
      <c r="U331" s="223"/>
      <c r="V331" s="223"/>
      <c r="W331" s="223"/>
      <c r="X331" s="223"/>
      <c r="Y331" s="200"/>
      <c r="Z331" s="200"/>
      <c r="AA331" s="522"/>
      <c r="AB331" s="200"/>
      <c r="AC331" s="223"/>
      <c r="AD331" s="223"/>
      <c r="AE331" s="223"/>
      <c r="AF331" s="223"/>
      <c r="AG331" s="223"/>
      <c r="AH331" s="223"/>
      <c r="AI331" s="200"/>
      <c r="AJ331" s="200"/>
      <c r="AK331" s="522"/>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2"/>
      <c r="BF331" s="200"/>
      <c r="BG331" s="223"/>
      <c r="BH331" s="223"/>
      <c r="BI331" s="223"/>
      <c r="BJ331" s="223"/>
      <c r="BK331" s="223"/>
      <c r="BL331" s="223"/>
      <c r="BM331" s="200"/>
      <c r="BN331" s="200"/>
      <c r="BO331" s="522"/>
      <c r="BP331" s="200"/>
      <c r="BQ331" s="223"/>
      <c r="BR331" s="223"/>
      <c r="BS331" s="223"/>
      <c r="BT331" s="223"/>
      <c r="BU331" s="223"/>
      <c r="BV331" s="223"/>
      <c r="BW331" s="223"/>
      <c r="BX331" s="200"/>
      <c r="BY331" s="522"/>
      <c r="BZ331" s="200"/>
      <c r="CA331" s="223"/>
      <c r="CB331" s="223"/>
      <c r="CC331" s="223"/>
      <c r="CD331" s="223"/>
      <c r="CE331" s="223"/>
      <c r="CF331" s="223"/>
      <c r="CG331" s="200"/>
      <c r="CH331" s="200"/>
      <c r="CI331" s="522"/>
      <c r="CJ331" s="200"/>
      <c r="CK331" s="223"/>
      <c r="CL331" s="223"/>
      <c r="CM331" s="223"/>
      <c r="CN331" s="223"/>
      <c r="CO331" s="223"/>
      <c r="CP331" s="223"/>
      <c r="CQ331" s="200"/>
      <c r="CR331" s="200"/>
      <c r="CS331" s="522"/>
      <c r="CT331" s="200"/>
      <c r="CU331" s="223"/>
      <c r="CV331" s="223"/>
      <c r="CW331" s="223"/>
      <c r="CX331" s="223"/>
      <c r="CY331" s="223"/>
      <c r="CZ331" s="223"/>
      <c r="DA331" s="223"/>
      <c r="DB331" s="200"/>
      <c r="DC331" s="522"/>
      <c r="DD331" s="200"/>
      <c r="DE331" s="223"/>
      <c r="DF331" s="223"/>
      <c r="DG331" s="223"/>
      <c r="DH331" s="223"/>
      <c r="DI331" s="223"/>
      <c r="DJ331" s="223"/>
      <c r="DK331" s="200"/>
      <c r="DL331" s="200"/>
      <c r="DM331" s="522"/>
      <c r="DN331" s="200"/>
      <c r="DO331" s="223"/>
      <c r="DP331" s="223"/>
      <c r="DQ331" s="223"/>
      <c r="DR331" s="223"/>
      <c r="DS331" s="223"/>
      <c r="DT331" s="223"/>
      <c r="DU331" s="200"/>
      <c r="DV331" s="200"/>
      <c r="DW331" s="522"/>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2"/>
      <c r="R332" s="200"/>
      <c r="S332" s="223"/>
      <c r="T332" s="223"/>
      <c r="U332" s="223"/>
      <c r="V332" s="223"/>
      <c r="W332" s="223"/>
      <c r="X332" s="223"/>
      <c r="Y332" s="200"/>
      <c r="Z332" s="200"/>
      <c r="AA332" s="522"/>
      <c r="AB332" s="200"/>
      <c r="AC332" s="223"/>
      <c r="AD332" s="223"/>
      <c r="AE332" s="223"/>
      <c r="AF332" s="223"/>
      <c r="AG332" s="223"/>
      <c r="AH332" s="223"/>
      <c r="AI332" s="200"/>
      <c r="AJ332" s="200"/>
      <c r="AK332" s="522"/>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2"/>
      <c r="BF332" s="200"/>
      <c r="BG332" s="223"/>
      <c r="BH332" s="223"/>
      <c r="BI332" s="223"/>
      <c r="BJ332" s="223"/>
      <c r="BK332" s="223"/>
      <c r="BL332" s="223"/>
      <c r="BM332" s="200"/>
      <c r="BN332" s="200"/>
      <c r="BO332" s="522"/>
      <c r="BP332" s="200"/>
      <c r="BQ332" s="223"/>
      <c r="BR332" s="223"/>
      <c r="BS332" s="223"/>
      <c r="BT332" s="223"/>
      <c r="BU332" s="223"/>
      <c r="BV332" s="223"/>
      <c r="BW332" s="223"/>
      <c r="BX332" s="200"/>
      <c r="BY332" s="522"/>
      <c r="BZ332" s="200"/>
      <c r="CA332" s="223"/>
      <c r="CB332" s="223"/>
      <c r="CC332" s="223"/>
      <c r="CD332" s="223"/>
      <c r="CE332" s="223"/>
      <c r="CF332" s="223"/>
      <c r="CG332" s="200"/>
      <c r="CH332" s="200"/>
      <c r="CI332" s="522"/>
      <c r="CJ332" s="200"/>
      <c r="CK332" s="223"/>
      <c r="CL332" s="223"/>
      <c r="CM332" s="223"/>
      <c r="CN332" s="223"/>
      <c r="CO332" s="223"/>
      <c r="CP332" s="223"/>
      <c r="CQ332" s="200"/>
      <c r="CR332" s="200"/>
      <c r="CS332" s="522"/>
      <c r="CT332" s="200"/>
      <c r="CU332" s="223"/>
      <c r="CV332" s="223"/>
      <c r="CW332" s="223"/>
      <c r="CX332" s="223"/>
      <c r="CY332" s="223"/>
      <c r="CZ332" s="223"/>
      <c r="DA332" s="223"/>
      <c r="DB332" s="200"/>
      <c r="DC332" s="522"/>
      <c r="DD332" s="200"/>
      <c r="DE332" s="223"/>
      <c r="DF332" s="223"/>
      <c r="DG332" s="223"/>
      <c r="DH332" s="223"/>
      <c r="DI332" s="223"/>
      <c r="DJ332" s="223"/>
      <c r="DK332" s="200"/>
      <c r="DL332" s="200"/>
      <c r="DM332" s="522"/>
      <c r="DN332" s="200"/>
      <c r="DO332" s="223"/>
      <c r="DP332" s="223"/>
      <c r="DQ332" s="223"/>
      <c r="DR332" s="223"/>
      <c r="DS332" s="223"/>
      <c r="DT332" s="223"/>
      <c r="DU332" s="200"/>
      <c r="DV332" s="200"/>
      <c r="DW332" s="522"/>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2"/>
      <c r="R333" s="200"/>
      <c r="S333" s="223"/>
      <c r="T333" s="223"/>
      <c r="U333" s="223"/>
      <c r="V333" s="223"/>
      <c r="W333" s="223"/>
      <c r="X333" s="223"/>
      <c r="Y333" s="200"/>
      <c r="Z333" s="200"/>
      <c r="AA333" s="522"/>
      <c r="AB333" s="200"/>
      <c r="AC333" s="223"/>
      <c r="AD333" s="223"/>
      <c r="AE333" s="223"/>
      <c r="AF333" s="223"/>
      <c r="AG333" s="223"/>
      <c r="AH333" s="223"/>
      <c r="AI333" s="200"/>
      <c r="AJ333" s="200"/>
      <c r="AK333" s="522"/>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2"/>
      <c r="BF333" s="200"/>
      <c r="BG333" s="223"/>
      <c r="BH333" s="223"/>
      <c r="BI333" s="223"/>
      <c r="BJ333" s="223"/>
      <c r="BK333" s="223"/>
      <c r="BL333" s="223"/>
      <c r="BM333" s="200"/>
      <c r="BN333" s="200"/>
      <c r="BO333" s="522"/>
      <c r="BP333" s="200"/>
      <c r="BQ333" s="223"/>
      <c r="BR333" s="223"/>
      <c r="BS333" s="223"/>
      <c r="BT333" s="223"/>
      <c r="BU333" s="223"/>
      <c r="BV333" s="223"/>
      <c r="BW333" s="223"/>
      <c r="BX333" s="200"/>
      <c r="BY333" s="522"/>
      <c r="BZ333" s="200"/>
      <c r="CA333" s="223"/>
      <c r="CB333" s="223"/>
      <c r="CC333" s="223"/>
      <c r="CD333" s="223"/>
      <c r="CE333" s="223"/>
      <c r="CF333" s="223"/>
      <c r="CG333" s="200"/>
      <c r="CH333" s="200"/>
      <c r="CI333" s="522"/>
      <c r="CJ333" s="200"/>
      <c r="CK333" s="223"/>
      <c r="CL333" s="223"/>
      <c r="CM333" s="223"/>
      <c r="CN333" s="223"/>
      <c r="CO333" s="223"/>
      <c r="CP333" s="223"/>
      <c r="CQ333" s="200"/>
      <c r="CR333" s="200"/>
      <c r="CS333" s="522"/>
      <c r="CT333" s="200"/>
      <c r="CU333" s="223"/>
      <c r="CV333" s="223"/>
      <c r="CW333" s="223"/>
      <c r="CX333" s="223"/>
      <c r="CY333" s="223"/>
      <c r="CZ333" s="223"/>
      <c r="DA333" s="223"/>
      <c r="DB333" s="200"/>
      <c r="DC333" s="522"/>
      <c r="DD333" s="200"/>
      <c r="DE333" s="223"/>
      <c r="DF333" s="223"/>
      <c r="DG333" s="223"/>
      <c r="DH333" s="223"/>
      <c r="DI333" s="223"/>
      <c r="DJ333" s="223"/>
      <c r="DK333" s="200"/>
      <c r="DL333" s="200"/>
      <c r="DM333" s="522"/>
      <c r="DN333" s="200"/>
      <c r="DO333" s="223"/>
      <c r="DP333" s="223"/>
      <c r="DQ333" s="223"/>
      <c r="DR333" s="223"/>
      <c r="DS333" s="223"/>
      <c r="DT333" s="223"/>
      <c r="DU333" s="200"/>
      <c r="DV333" s="200"/>
      <c r="DW333" s="522"/>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2"/>
      <c r="R334" s="200"/>
      <c r="S334" s="223"/>
      <c r="T334" s="223"/>
      <c r="U334" s="223"/>
      <c r="V334" s="223"/>
      <c r="W334" s="223"/>
      <c r="X334" s="223"/>
      <c r="Y334" s="200"/>
      <c r="Z334" s="200"/>
      <c r="AA334" s="522"/>
      <c r="AB334" s="200"/>
      <c r="AC334" s="223"/>
      <c r="AD334" s="223"/>
      <c r="AE334" s="223"/>
      <c r="AF334" s="223"/>
      <c r="AG334" s="223"/>
      <c r="AH334" s="223"/>
      <c r="AI334" s="200"/>
      <c r="AJ334" s="200"/>
      <c r="AK334" s="522"/>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2"/>
      <c r="BF334" s="200"/>
      <c r="BG334" s="223"/>
      <c r="BH334" s="223"/>
      <c r="BI334" s="223"/>
      <c r="BJ334" s="223"/>
      <c r="BK334" s="223"/>
      <c r="BL334" s="223"/>
      <c r="BM334" s="200"/>
      <c r="BN334" s="200"/>
      <c r="BO334" s="522"/>
      <c r="BP334" s="200"/>
      <c r="BQ334" s="223"/>
      <c r="BR334" s="223"/>
      <c r="BS334" s="223"/>
      <c r="BT334" s="223"/>
      <c r="BU334" s="223"/>
      <c r="BV334" s="223"/>
      <c r="BW334" s="223"/>
      <c r="BX334" s="200"/>
      <c r="BY334" s="522"/>
      <c r="BZ334" s="200"/>
      <c r="CA334" s="223"/>
      <c r="CB334" s="223"/>
      <c r="CC334" s="223"/>
      <c r="CD334" s="223"/>
      <c r="CE334" s="223"/>
      <c r="CF334" s="223"/>
      <c r="CG334" s="200"/>
      <c r="CH334" s="200"/>
      <c r="CI334" s="522"/>
      <c r="CJ334" s="200"/>
      <c r="CK334" s="223"/>
      <c r="CL334" s="223"/>
      <c r="CM334" s="223"/>
      <c r="CN334" s="223"/>
      <c r="CO334" s="223"/>
      <c r="CP334" s="223"/>
      <c r="CQ334" s="200"/>
      <c r="CR334" s="200"/>
      <c r="CS334" s="522"/>
      <c r="CT334" s="200"/>
      <c r="CU334" s="223"/>
      <c r="CV334" s="223"/>
      <c r="CW334" s="223"/>
      <c r="CX334" s="223"/>
      <c r="CY334" s="223"/>
      <c r="CZ334" s="223"/>
      <c r="DA334" s="223"/>
      <c r="DB334" s="200"/>
      <c r="DC334" s="522"/>
      <c r="DD334" s="200"/>
      <c r="DE334" s="223"/>
      <c r="DF334" s="223"/>
      <c r="DG334" s="223"/>
      <c r="DH334" s="223"/>
      <c r="DI334" s="223"/>
      <c r="DJ334" s="223"/>
      <c r="DK334" s="200"/>
      <c r="DL334" s="200"/>
      <c r="DM334" s="522"/>
      <c r="DN334" s="200"/>
      <c r="DO334" s="223"/>
      <c r="DP334" s="223"/>
      <c r="DQ334" s="223"/>
      <c r="DR334" s="223"/>
      <c r="DS334" s="223"/>
      <c r="DT334" s="223"/>
      <c r="DU334" s="200"/>
      <c r="DV334" s="200"/>
      <c r="DW334" s="522"/>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2"/>
      <c r="R335" s="200"/>
      <c r="S335" s="223"/>
      <c r="T335" s="223"/>
      <c r="U335" s="223"/>
      <c r="V335" s="223"/>
      <c r="W335" s="223"/>
      <c r="X335" s="223"/>
      <c r="Y335" s="200"/>
      <c r="Z335" s="200"/>
      <c r="AA335" s="522"/>
      <c r="AB335" s="200"/>
      <c r="AC335" s="223"/>
      <c r="AD335" s="223"/>
      <c r="AE335" s="223"/>
      <c r="AF335" s="223"/>
      <c r="AG335" s="223"/>
      <c r="AH335" s="223"/>
      <c r="AI335" s="200"/>
      <c r="AJ335" s="200"/>
      <c r="AK335" s="522"/>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2"/>
      <c r="BF335" s="200"/>
      <c r="BG335" s="223"/>
      <c r="BH335" s="223"/>
      <c r="BI335" s="223"/>
      <c r="BJ335" s="223"/>
      <c r="BK335" s="223"/>
      <c r="BL335" s="223"/>
      <c r="BM335" s="200"/>
      <c r="BN335" s="200"/>
      <c r="BO335" s="522"/>
      <c r="BP335" s="200"/>
      <c r="BQ335" s="223"/>
      <c r="BR335" s="223"/>
      <c r="BS335" s="223"/>
      <c r="BT335" s="223"/>
      <c r="BU335" s="223"/>
      <c r="BV335" s="223"/>
      <c r="BW335" s="223"/>
      <c r="BX335" s="200"/>
      <c r="BY335" s="522"/>
      <c r="BZ335" s="200"/>
      <c r="CA335" s="223"/>
      <c r="CB335" s="223"/>
      <c r="CC335" s="223"/>
      <c r="CD335" s="223"/>
      <c r="CE335" s="223"/>
      <c r="CF335" s="223"/>
      <c r="CG335" s="200"/>
      <c r="CH335" s="200"/>
      <c r="CI335" s="522"/>
      <c r="CJ335" s="200"/>
      <c r="CK335" s="223"/>
      <c r="CL335" s="223"/>
      <c r="CM335" s="223"/>
      <c r="CN335" s="223"/>
      <c r="CO335" s="223"/>
      <c r="CP335" s="223"/>
      <c r="CQ335" s="200"/>
      <c r="CR335" s="200"/>
      <c r="CS335" s="522"/>
      <c r="CT335" s="200"/>
      <c r="CU335" s="223"/>
      <c r="CV335" s="223"/>
      <c r="CW335" s="223"/>
      <c r="CX335" s="223"/>
      <c r="CY335" s="223"/>
      <c r="CZ335" s="223"/>
      <c r="DA335" s="223"/>
      <c r="DB335" s="200"/>
      <c r="DC335" s="522"/>
      <c r="DD335" s="200"/>
      <c r="DE335" s="223"/>
      <c r="DF335" s="223"/>
      <c r="DG335" s="223"/>
      <c r="DH335" s="223"/>
      <c r="DI335" s="223"/>
      <c r="DJ335" s="223"/>
      <c r="DK335" s="200"/>
      <c r="DL335" s="200"/>
      <c r="DM335" s="522"/>
      <c r="DN335" s="200"/>
      <c r="DO335" s="223"/>
      <c r="DP335" s="223"/>
      <c r="DQ335" s="223"/>
      <c r="DR335" s="223"/>
      <c r="DS335" s="223"/>
      <c r="DT335" s="223"/>
      <c r="DU335" s="200"/>
      <c r="DV335" s="200"/>
      <c r="DW335" s="522"/>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2"/>
      <c r="R336" s="200"/>
      <c r="S336" s="223"/>
      <c r="T336" s="223"/>
      <c r="U336" s="223"/>
      <c r="V336" s="223"/>
      <c r="W336" s="223"/>
      <c r="X336" s="223"/>
      <c r="Y336" s="200"/>
      <c r="Z336" s="200"/>
      <c r="AA336" s="522"/>
      <c r="AB336" s="200"/>
      <c r="AC336" s="223"/>
      <c r="AD336" s="223"/>
      <c r="AE336" s="223"/>
      <c r="AF336" s="223"/>
      <c r="AG336" s="223"/>
      <c r="AH336" s="223"/>
      <c r="AI336" s="200"/>
      <c r="AJ336" s="200"/>
      <c r="AK336" s="522"/>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2"/>
      <c r="BF336" s="200"/>
      <c r="BG336" s="223"/>
      <c r="BH336" s="223"/>
      <c r="BI336" s="223"/>
      <c r="BJ336" s="223"/>
      <c r="BK336" s="223"/>
      <c r="BL336" s="223"/>
      <c r="BM336" s="200"/>
      <c r="BN336" s="200"/>
      <c r="BO336" s="522"/>
      <c r="BP336" s="200"/>
      <c r="BQ336" s="223"/>
      <c r="BR336" s="223"/>
      <c r="BS336" s="223"/>
      <c r="BT336" s="223"/>
      <c r="BU336" s="223"/>
      <c r="BV336" s="223"/>
      <c r="BW336" s="223"/>
      <c r="BX336" s="200"/>
      <c r="BY336" s="522"/>
      <c r="BZ336" s="200"/>
      <c r="CA336" s="223"/>
      <c r="CB336" s="223"/>
      <c r="CC336" s="223"/>
      <c r="CD336" s="223"/>
      <c r="CE336" s="223"/>
      <c r="CF336" s="223"/>
      <c r="CG336" s="200"/>
      <c r="CH336" s="200"/>
      <c r="CI336" s="522"/>
      <c r="CJ336" s="200"/>
      <c r="CK336" s="223"/>
      <c r="CL336" s="223"/>
      <c r="CM336" s="223"/>
      <c r="CN336" s="223"/>
      <c r="CO336" s="223"/>
      <c r="CP336" s="223"/>
      <c r="CQ336" s="200"/>
      <c r="CR336" s="200"/>
      <c r="CS336" s="522"/>
      <c r="CT336" s="200"/>
      <c r="CU336" s="223"/>
      <c r="CV336" s="223"/>
      <c r="CW336" s="223"/>
      <c r="CX336" s="223"/>
      <c r="CY336" s="223"/>
      <c r="CZ336" s="223"/>
      <c r="DA336" s="223"/>
      <c r="DB336" s="200"/>
      <c r="DC336" s="522"/>
      <c r="DD336" s="200"/>
      <c r="DE336" s="223"/>
      <c r="DF336" s="223"/>
      <c r="DG336" s="223"/>
      <c r="DH336" s="223"/>
      <c r="DI336" s="223"/>
      <c r="DJ336" s="223"/>
      <c r="DK336" s="200"/>
      <c r="DL336" s="200"/>
      <c r="DM336" s="522"/>
      <c r="DN336" s="200"/>
      <c r="DO336" s="223"/>
      <c r="DP336" s="223"/>
      <c r="DQ336" s="223"/>
      <c r="DR336" s="223"/>
      <c r="DS336" s="223"/>
      <c r="DT336" s="223"/>
      <c r="DU336" s="200"/>
      <c r="DV336" s="200"/>
      <c r="DW336" s="522"/>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2"/>
      <c r="R337" s="200"/>
      <c r="S337" s="223"/>
      <c r="T337" s="223"/>
      <c r="U337" s="223"/>
      <c r="V337" s="223"/>
      <c r="W337" s="223"/>
      <c r="X337" s="223"/>
      <c r="Y337" s="200"/>
      <c r="Z337" s="200"/>
      <c r="AA337" s="522"/>
      <c r="AB337" s="200"/>
      <c r="AC337" s="223"/>
      <c r="AD337" s="223"/>
      <c r="AE337" s="223"/>
      <c r="AF337" s="223"/>
      <c r="AG337" s="223"/>
      <c r="AH337" s="223"/>
      <c r="AI337" s="200"/>
      <c r="AJ337" s="200"/>
      <c r="AK337" s="522"/>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2"/>
      <c r="BF337" s="200"/>
      <c r="BG337" s="223"/>
      <c r="BH337" s="223"/>
      <c r="BI337" s="223"/>
      <c r="BJ337" s="223"/>
      <c r="BK337" s="223"/>
      <c r="BL337" s="223"/>
      <c r="BM337" s="200"/>
      <c r="BN337" s="200"/>
      <c r="BO337" s="522"/>
      <c r="BP337" s="200"/>
      <c r="BQ337" s="223"/>
      <c r="BR337" s="223"/>
      <c r="BS337" s="223"/>
      <c r="BT337" s="223"/>
      <c r="BU337" s="223"/>
      <c r="BV337" s="223"/>
      <c r="BW337" s="223"/>
      <c r="BX337" s="200"/>
      <c r="BY337" s="522"/>
      <c r="BZ337" s="200"/>
      <c r="CA337" s="223"/>
      <c r="CB337" s="223"/>
      <c r="CC337" s="223"/>
      <c r="CD337" s="223"/>
      <c r="CE337" s="223"/>
      <c r="CF337" s="223"/>
      <c r="CG337" s="200"/>
      <c r="CH337" s="200"/>
      <c r="CI337" s="522"/>
      <c r="CJ337" s="200"/>
      <c r="CK337" s="223"/>
      <c r="CL337" s="223"/>
      <c r="CM337" s="223"/>
      <c r="CN337" s="223"/>
      <c r="CO337" s="223"/>
      <c r="CP337" s="223"/>
      <c r="CQ337" s="200"/>
      <c r="CR337" s="200"/>
      <c r="CS337" s="522"/>
      <c r="CT337" s="200"/>
      <c r="CU337" s="223"/>
      <c r="CV337" s="223"/>
      <c r="CW337" s="223"/>
      <c r="CX337" s="223"/>
      <c r="CY337" s="223"/>
      <c r="CZ337" s="223"/>
      <c r="DA337" s="223"/>
      <c r="DB337" s="200"/>
      <c r="DC337" s="522"/>
      <c r="DD337" s="200"/>
      <c r="DE337" s="223"/>
      <c r="DF337" s="223"/>
      <c r="DG337" s="223"/>
      <c r="DH337" s="223"/>
      <c r="DI337" s="223"/>
      <c r="DJ337" s="223"/>
      <c r="DK337" s="200"/>
      <c r="DL337" s="200"/>
      <c r="DM337" s="522"/>
      <c r="DN337" s="200"/>
      <c r="DO337" s="223"/>
      <c r="DP337" s="223"/>
      <c r="DQ337" s="223"/>
      <c r="DR337" s="223"/>
      <c r="DS337" s="223"/>
      <c r="DT337" s="223"/>
      <c r="DU337" s="200"/>
      <c r="DV337" s="200"/>
      <c r="DW337" s="522"/>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2"/>
      <c r="R338" s="200"/>
      <c r="S338" s="223"/>
      <c r="T338" s="223"/>
      <c r="U338" s="223"/>
      <c r="V338" s="223"/>
      <c r="W338" s="223"/>
      <c r="X338" s="223"/>
      <c r="Y338" s="200"/>
      <c r="Z338" s="200"/>
      <c r="AA338" s="522"/>
      <c r="AB338" s="200"/>
      <c r="AC338" s="223"/>
      <c r="AD338" s="223"/>
      <c r="AE338" s="223"/>
      <c r="AF338" s="223"/>
      <c r="AG338" s="223"/>
      <c r="AH338" s="223"/>
      <c r="AI338" s="200"/>
      <c r="AJ338" s="200"/>
      <c r="AK338" s="522"/>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2"/>
      <c r="BF338" s="200"/>
      <c r="BG338" s="223"/>
      <c r="BH338" s="223"/>
      <c r="BI338" s="223"/>
      <c r="BJ338" s="223"/>
      <c r="BK338" s="223"/>
      <c r="BL338" s="223"/>
      <c r="BM338" s="200"/>
      <c r="BN338" s="200"/>
      <c r="BO338" s="522"/>
      <c r="BP338" s="200"/>
      <c r="BQ338" s="223"/>
      <c r="BR338" s="223"/>
      <c r="BS338" s="223"/>
      <c r="BT338" s="223"/>
      <c r="BU338" s="223"/>
      <c r="BV338" s="223"/>
      <c r="BW338" s="223"/>
      <c r="BX338" s="200"/>
      <c r="BY338" s="522"/>
      <c r="BZ338" s="200"/>
      <c r="CA338" s="223"/>
      <c r="CB338" s="223"/>
      <c r="CC338" s="223"/>
      <c r="CD338" s="223"/>
      <c r="CE338" s="223"/>
      <c r="CF338" s="223"/>
      <c r="CG338" s="200"/>
      <c r="CH338" s="200"/>
      <c r="CI338" s="522"/>
      <c r="CJ338" s="200"/>
      <c r="CK338" s="223"/>
      <c r="CL338" s="223"/>
      <c r="CM338" s="223"/>
      <c r="CN338" s="223"/>
      <c r="CO338" s="223"/>
      <c r="CP338" s="223"/>
      <c r="CQ338" s="200"/>
      <c r="CR338" s="200"/>
      <c r="CS338" s="522"/>
      <c r="CT338" s="200"/>
      <c r="CU338" s="223"/>
      <c r="CV338" s="223"/>
      <c r="CW338" s="223"/>
      <c r="CX338" s="223"/>
      <c r="CY338" s="223"/>
      <c r="CZ338" s="223"/>
      <c r="DA338" s="223"/>
      <c r="DB338" s="200"/>
      <c r="DC338" s="522"/>
      <c r="DD338" s="200"/>
      <c r="DE338" s="223"/>
      <c r="DF338" s="223"/>
      <c r="DG338" s="223"/>
      <c r="DH338" s="223"/>
      <c r="DI338" s="223"/>
      <c r="DJ338" s="223"/>
      <c r="DK338" s="200"/>
      <c r="DL338" s="200"/>
      <c r="DM338" s="522"/>
      <c r="DN338" s="200"/>
      <c r="DO338" s="223"/>
      <c r="DP338" s="223"/>
      <c r="DQ338" s="223"/>
      <c r="DR338" s="223"/>
      <c r="DS338" s="223"/>
      <c r="DT338" s="223"/>
      <c r="DU338" s="200"/>
      <c r="DV338" s="200"/>
      <c r="DW338" s="522"/>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2"/>
      <c r="R339" s="200"/>
      <c r="S339" s="223"/>
      <c r="T339" s="223"/>
      <c r="U339" s="223"/>
      <c r="V339" s="223"/>
      <c r="W339" s="223"/>
      <c r="X339" s="223"/>
      <c r="Y339" s="200"/>
      <c r="Z339" s="200"/>
      <c r="AA339" s="522"/>
      <c r="AB339" s="200"/>
      <c r="AC339" s="223"/>
      <c r="AD339" s="223"/>
      <c r="AE339" s="223"/>
      <c r="AF339" s="223"/>
      <c r="AG339" s="223"/>
      <c r="AH339" s="223"/>
      <c r="AI339" s="200"/>
      <c r="AJ339" s="200"/>
      <c r="AK339" s="522"/>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2"/>
      <c r="BF339" s="200"/>
      <c r="BG339" s="223"/>
      <c r="BH339" s="223"/>
      <c r="BI339" s="223"/>
      <c r="BJ339" s="223"/>
      <c r="BK339" s="223"/>
      <c r="BL339" s="223"/>
      <c r="BM339" s="200"/>
      <c r="BN339" s="200"/>
      <c r="BO339" s="522"/>
      <c r="BP339" s="200"/>
      <c r="BQ339" s="223"/>
      <c r="BR339" s="223"/>
      <c r="BS339" s="223"/>
      <c r="BT339" s="223"/>
      <c r="BU339" s="223"/>
      <c r="BV339" s="223"/>
      <c r="BW339" s="223"/>
      <c r="BX339" s="200"/>
      <c r="BY339" s="522"/>
      <c r="BZ339" s="200"/>
      <c r="CA339" s="223"/>
      <c r="CB339" s="223"/>
      <c r="CC339" s="223"/>
      <c r="CD339" s="223"/>
      <c r="CE339" s="223"/>
      <c r="CF339" s="223"/>
      <c r="CG339" s="200"/>
      <c r="CH339" s="200"/>
      <c r="CI339" s="522"/>
      <c r="CJ339" s="200"/>
      <c r="CK339" s="223"/>
      <c r="CL339" s="223"/>
      <c r="CM339" s="223"/>
      <c r="CN339" s="223"/>
      <c r="CO339" s="223"/>
      <c r="CP339" s="223"/>
      <c r="CQ339" s="200"/>
      <c r="CR339" s="200"/>
      <c r="CS339" s="522"/>
      <c r="CT339" s="200"/>
      <c r="CU339" s="223"/>
      <c r="CV339" s="223"/>
      <c r="CW339" s="223"/>
      <c r="CX339" s="223"/>
      <c r="CY339" s="223"/>
      <c r="CZ339" s="223"/>
      <c r="DA339" s="223"/>
      <c r="DB339" s="200"/>
      <c r="DC339" s="522"/>
      <c r="DD339" s="200"/>
      <c r="DE339" s="223"/>
      <c r="DF339" s="223"/>
      <c r="DG339" s="223"/>
      <c r="DH339" s="223"/>
      <c r="DI339" s="223"/>
      <c r="DJ339" s="223"/>
      <c r="DK339" s="200"/>
      <c r="DL339" s="200"/>
      <c r="DM339" s="522"/>
      <c r="DN339" s="200"/>
      <c r="DO339" s="223"/>
      <c r="DP339" s="223"/>
      <c r="DQ339" s="223"/>
      <c r="DR339" s="223"/>
      <c r="DS339" s="223"/>
      <c r="DT339" s="223"/>
      <c r="DU339" s="200"/>
      <c r="DV339" s="200"/>
      <c r="DW339" s="522"/>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2"/>
      <c r="R340" s="200"/>
      <c r="S340" s="223"/>
      <c r="T340" s="223"/>
      <c r="U340" s="223"/>
      <c r="V340" s="223"/>
      <c r="W340" s="223"/>
      <c r="X340" s="223"/>
      <c r="Y340" s="200"/>
      <c r="Z340" s="200"/>
      <c r="AA340" s="522"/>
      <c r="AB340" s="200"/>
      <c r="AC340" s="223"/>
      <c r="AD340" s="223"/>
      <c r="AE340" s="223"/>
      <c r="AF340" s="223"/>
      <c r="AG340" s="223"/>
      <c r="AH340" s="223"/>
      <c r="AI340" s="200"/>
      <c r="AJ340" s="200"/>
      <c r="AK340" s="522"/>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2"/>
      <c r="BF340" s="200"/>
      <c r="BG340" s="223"/>
      <c r="BH340" s="223"/>
      <c r="BI340" s="223"/>
      <c r="BJ340" s="223"/>
      <c r="BK340" s="223"/>
      <c r="BL340" s="223"/>
      <c r="BM340" s="200"/>
      <c r="BN340" s="200"/>
      <c r="BO340" s="522"/>
      <c r="BP340" s="200"/>
      <c r="BQ340" s="223"/>
      <c r="BR340" s="223"/>
      <c r="BS340" s="223"/>
      <c r="BT340" s="223"/>
      <c r="BU340" s="223"/>
      <c r="BV340" s="223"/>
      <c r="BW340" s="223"/>
      <c r="BX340" s="200"/>
      <c r="BY340" s="522"/>
      <c r="BZ340" s="200"/>
      <c r="CA340" s="223"/>
      <c r="CB340" s="223"/>
      <c r="CC340" s="223"/>
      <c r="CD340" s="223"/>
      <c r="CE340" s="223"/>
      <c r="CF340" s="223"/>
      <c r="CG340" s="200"/>
      <c r="CH340" s="200"/>
      <c r="CI340" s="522"/>
      <c r="CJ340" s="200"/>
      <c r="CK340" s="223"/>
      <c r="CL340" s="223"/>
      <c r="CM340" s="223"/>
      <c r="CN340" s="223"/>
      <c r="CO340" s="223"/>
      <c r="CP340" s="223"/>
      <c r="CQ340" s="200"/>
      <c r="CR340" s="200"/>
      <c r="CS340" s="522"/>
      <c r="CT340" s="200"/>
      <c r="CU340" s="223"/>
      <c r="CV340" s="223"/>
      <c r="CW340" s="223"/>
      <c r="CX340" s="223"/>
      <c r="CY340" s="223"/>
      <c r="CZ340" s="223"/>
      <c r="DA340" s="223"/>
      <c r="DB340" s="200"/>
      <c r="DC340" s="522"/>
      <c r="DD340" s="200"/>
      <c r="DE340" s="223"/>
      <c r="DF340" s="223"/>
      <c r="DG340" s="223"/>
      <c r="DH340" s="223"/>
      <c r="DI340" s="223"/>
      <c r="DJ340" s="223"/>
      <c r="DK340" s="200"/>
      <c r="DL340" s="200"/>
      <c r="DM340" s="522"/>
      <c r="DN340" s="200"/>
      <c r="DO340" s="223"/>
      <c r="DP340" s="223"/>
      <c r="DQ340" s="223"/>
      <c r="DR340" s="223"/>
      <c r="DS340" s="223"/>
      <c r="DT340" s="223"/>
      <c r="DU340" s="200"/>
      <c r="DV340" s="200"/>
      <c r="DW340" s="522"/>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2"/>
      <c r="R341" s="200"/>
      <c r="S341" s="223"/>
      <c r="T341" s="223"/>
      <c r="U341" s="223"/>
      <c r="V341" s="223"/>
      <c r="W341" s="223"/>
      <c r="X341" s="223"/>
      <c r="Y341" s="200"/>
      <c r="Z341" s="200"/>
      <c r="AA341" s="522"/>
      <c r="AB341" s="200"/>
      <c r="AC341" s="223"/>
      <c r="AD341" s="223"/>
      <c r="AE341" s="223"/>
      <c r="AF341" s="223"/>
      <c r="AG341" s="223"/>
      <c r="AH341" s="223"/>
      <c r="AI341" s="200"/>
      <c r="AJ341" s="200"/>
      <c r="AK341" s="522"/>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2"/>
      <c r="BF341" s="200"/>
      <c r="BG341" s="223"/>
      <c r="BH341" s="223"/>
      <c r="BI341" s="223"/>
      <c r="BJ341" s="223"/>
      <c r="BK341" s="223"/>
      <c r="BL341" s="223"/>
      <c r="BM341" s="200"/>
      <c r="BN341" s="200"/>
      <c r="BO341" s="522"/>
      <c r="BP341" s="200"/>
      <c r="BQ341" s="223"/>
      <c r="BR341" s="223"/>
      <c r="BS341" s="223"/>
      <c r="BT341" s="223"/>
      <c r="BU341" s="223"/>
      <c r="BV341" s="223"/>
      <c r="BW341" s="223"/>
      <c r="BX341" s="200"/>
      <c r="BY341" s="522"/>
      <c r="BZ341" s="200"/>
      <c r="CA341" s="223"/>
      <c r="CB341" s="223"/>
      <c r="CC341" s="223"/>
      <c r="CD341" s="223"/>
      <c r="CE341" s="223"/>
      <c r="CF341" s="223"/>
      <c r="CG341" s="200"/>
      <c r="CH341" s="200"/>
      <c r="CI341" s="522"/>
      <c r="CJ341" s="200"/>
      <c r="CK341" s="223"/>
      <c r="CL341" s="223"/>
      <c r="CM341" s="223"/>
      <c r="CN341" s="223"/>
      <c r="CO341" s="223"/>
      <c r="CP341" s="223"/>
      <c r="CQ341" s="200"/>
      <c r="CR341" s="200"/>
      <c r="CS341" s="522"/>
      <c r="CT341" s="200"/>
      <c r="CU341" s="223"/>
      <c r="CV341" s="223"/>
      <c r="CW341" s="223"/>
      <c r="CX341" s="223"/>
      <c r="CY341" s="223"/>
      <c r="CZ341" s="223"/>
      <c r="DA341" s="223"/>
      <c r="DB341" s="200"/>
      <c r="DC341" s="522"/>
      <c r="DD341" s="200"/>
      <c r="DE341" s="223"/>
      <c r="DF341" s="223"/>
      <c r="DG341" s="223"/>
      <c r="DH341" s="223"/>
      <c r="DI341" s="223"/>
      <c r="DJ341" s="223"/>
      <c r="DK341" s="200"/>
      <c r="DL341" s="200"/>
      <c r="DM341" s="522"/>
      <c r="DN341" s="200"/>
      <c r="DO341" s="223"/>
      <c r="DP341" s="223"/>
      <c r="DQ341" s="223"/>
      <c r="DR341" s="223"/>
      <c r="DS341" s="223"/>
      <c r="DT341" s="223"/>
      <c r="DU341" s="200"/>
      <c r="DV341" s="200"/>
      <c r="DW341" s="522"/>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2"/>
      <c r="R342" s="200"/>
      <c r="S342" s="223"/>
      <c r="T342" s="223"/>
      <c r="U342" s="223"/>
      <c r="V342" s="223"/>
      <c r="W342" s="223"/>
      <c r="X342" s="223"/>
      <c r="Y342" s="200"/>
      <c r="Z342" s="200"/>
      <c r="AA342" s="522"/>
      <c r="AB342" s="200"/>
      <c r="AC342" s="223"/>
      <c r="AD342" s="223"/>
      <c r="AE342" s="223"/>
      <c r="AF342" s="223"/>
      <c r="AG342" s="223"/>
      <c r="AH342" s="223"/>
      <c r="AI342" s="200"/>
      <c r="AJ342" s="200"/>
      <c r="AK342" s="522"/>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2"/>
      <c r="BF342" s="200"/>
      <c r="BG342" s="223"/>
      <c r="BH342" s="223"/>
      <c r="BI342" s="223"/>
      <c r="BJ342" s="223"/>
      <c r="BK342" s="223"/>
      <c r="BL342" s="223"/>
      <c r="BM342" s="200"/>
      <c r="BN342" s="200"/>
      <c r="BO342" s="522"/>
      <c r="BP342" s="200"/>
      <c r="BQ342" s="223"/>
      <c r="BR342" s="223"/>
      <c r="BS342" s="223"/>
      <c r="BT342" s="223"/>
      <c r="BU342" s="223"/>
      <c r="BV342" s="223"/>
      <c r="BW342" s="223"/>
      <c r="BX342" s="200"/>
      <c r="BY342" s="522"/>
      <c r="BZ342" s="200"/>
      <c r="CA342" s="223"/>
      <c r="CB342" s="223"/>
      <c r="CC342" s="223"/>
      <c r="CD342" s="223"/>
      <c r="CE342" s="223"/>
      <c r="CF342" s="223"/>
      <c r="CG342" s="200"/>
      <c r="CH342" s="200"/>
      <c r="CI342" s="522"/>
      <c r="CJ342" s="200"/>
      <c r="CK342" s="223"/>
      <c r="CL342" s="223"/>
      <c r="CM342" s="223"/>
      <c r="CN342" s="223"/>
      <c r="CO342" s="223"/>
      <c r="CP342" s="223"/>
      <c r="CQ342" s="200"/>
      <c r="CR342" s="200"/>
      <c r="CS342" s="522"/>
      <c r="CT342" s="200"/>
      <c r="CU342" s="223"/>
      <c r="CV342" s="223"/>
      <c r="CW342" s="223"/>
      <c r="CX342" s="223"/>
      <c r="CY342" s="223"/>
      <c r="CZ342" s="223"/>
      <c r="DA342" s="223"/>
      <c r="DB342" s="200"/>
      <c r="DC342" s="522"/>
      <c r="DD342" s="200"/>
      <c r="DE342" s="223"/>
      <c r="DF342" s="223"/>
      <c r="DG342" s="223"/>
      <c r="DH342" s="223"/>
      <c r="DI342" s="223"/>
      <c r="DJ342" s="223"/>
      <c r="DK342" s="200"/>
      <c r="DL342" s="200"/>
      <c r="DM342" s="522"/>
      <c r="DN342" s="200"/>
      <c r="DO342" s="223"/>
      <c r="DP342" s="223"/>
      <c r="DQ342" s="223"/>
      <c r="DR342" s="223"/>
      <c r="DS342" s="223"/>
      <c r="DT342" s="223"/>
      <c r="DU342" s="200"/>
      <c r="DV342" s="200"/>
      <c r="DW342" s="522"/>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2"/>
      <c r="R343" s="200"/>
      <c r="S343" s="223"/>
      <c r="T343" s="223"/>
      <c r="U343" s="223"/>
      <c r="V343" s="223"/>
      <c r="W343" s="223"/>
      <c r="X343" s="223"/>
      <c r="Y343" s="200"/>
      <c r="Z343" s="200"/>
      <c r="AA343" s="522"/>
      <c r="AB343" s="200"/>
      <c r="AC343" s="223"/>
      <c r="AD343" s="223"/>
      <c r="AE343" s="223"/>
      <c r="AF343" s="223"/>
      <c r="AG343" s="223"/>
      <c r="AH343" s="223"/>
      <c r="AI343" s="200"/>
      <c r="AJ343" s="200"/>
      <c r="AK343" s="522"/>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2"/>
      <c r="BF343" s="200"/>
      <c r="BG343" s="223"/>
      <c r="BH343" s="223"/>
      <c r="BI343" s="223"/>
      <c r="BJ343" s="223"/>
      <c r="BK343" s="223"/>
      <c r="BL343" s="223"/>
      <c r="BM343" s="200"/>
      <c r="BN343" s="200"/>
      <c r="BO343" s="522"/>
      <c r="BP343" s="200"/>
      <c r="BQ343" s="223"/>
      <c r="BR343" s="223"/>
      <c r="BS343" s="223"/>
      <c r="BT343" s="223"/>
      <c r="BU343" s="223"/>
      <c r="BV343" s="223"/>
      <c r="BW343" s="223"/>
      <c r="BX343" s="200"/>
      <c r="BY343" s="522"/>
      <c r="BZ343" s="200"/>
      <c r="CA343" s="223"/>
      <c r="CB343" s="223"/>
      <c r="CC343" s="223"/>
      <c r="CD343" s="223"/>
      <c r="CE343" s="223"/>
      <c r="CF343" s="223"/>
      <c r="CG343" s="200"/>
      <c r="CH343" s="200"/>
      <c r="CI343" s="522"/>
      <c r="CJ343" s="200"/>
      <c r="CK343" s="223"/>
      <c r="CL343" s="223"/>
      <c r="CM343" s="223"/>
      <c r="CN343" s="223"/>
      <c r="CO343" s="223"/>
      <c r="CP343" s="223"/>
      <c r="CQ343" s="200"/>
      <c r="CR343" s="200"/>
      <c r="CS343" s="522"/>
      <c r="CT343" s="200"/>
      <c r="CU343" s="223"/>
      <c r="CV343" s="223"/>
      <c r="CW343" s="223"/>
      <c r="CX343" s="223"/>
      <c r="CY343" s="223"/>
      <c r="CZ343" s="223"/>
      <c r="DA343" s="223"/>
      <c r="DB343" s="200"/>
      <c r="DC343" s="522"/>
      <c r="DD343" s="200"/>
      <c r="DE343" s="223"/>
      <c r="DF343" s="223"/>
      <c r="DG343" s="223"/>
      <c r="DH343" s="223"/>
      <c r="DI343" s="223"/>
      <c r="DJ343" s="223"/>
      <c r="DK343" s="200"/>
      <c r="DL343" s="200"/>
      <c r="DM343" s="522"/>
      <c r="DN343" s="200"/>
      <c r="DO343" s="223"/>
      <c r="DP343" s="223"/>
      <c r="DQ343" s="223"/>
      <c r="DR343" s="223"/>
      <c r="DS343" s="223"/>
      <c r="DT343" s="223"/>
      <c r="DU343" s="200"/>
      <c r="DV343" s="200"/>
      <c r="DW343" s="522"/>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2"/>
      <c r="R344" s="200"/>
      <c r="S344" s="223"/>
      <c r="T344" s="223"/>
      <c r="U344" s="223"/>
      <c r="V344" s="223"/>
      <c r="W344" s="223"/>
      <c r="X344" s="223"/>
      <c r="Y344" s="200"/>
      <c r="Z344" s="200"/>
      <c r="AA344" s="522"/>
      <c r="AB344" s="200"/>
      <c r="AC344" s="223"/>
      <c r="AD344" s="223"/>
      <c r="AE344" s="223"/>
      <c r="AF344" s="223"/>
      <c r="AG344" s="223"/>
      <c r="AH344" s="223"/>
      <c r="AI344" s="200"/>
      <c r="AJ344" s="200"/>
      <c r="AK344" s="522"/>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2"/>
      <c r="BF344" s="200"/>
      <c r="BG344" s="223"/>
      <c r="BH344" s="223"/>
      <c r="BI344" s="223"/>
      <c r="BJ344" s="223"/>
      <c r="BK344" s="223"/>
      <c r="BL344" s="223"/>
      <c r="BM344" s="200"/>
      <c r="BN344" s="200"/>
      <c r="BO344" s="522"/>
      <c r="BP344" s="200"/>
      <c r="BQ344" s="223"/>
      <c r="BR344" s="223"/>
      <c r="BS344" s="223"/>
      <c r="BT344" s="223"/>
      <c r="BU344" s="223"/>
      <c r="BV344" s="223"/>
      <c r="BW344" s="223"/>
      <c r="BX344" s="200"/>
      <c r="BY344" s="522"/>
      <c r="BZ344" s="200"/>
      <c r="CA344" s="223"/>
      <c r="CB344" s="223"/>
      <c r="CC344" s="223"/>
      <c r="CD344" s="223"/>
      <c r="CE344" s="223"/>
      <c r="CF344" s="223"/>
      <c r="CG344" s="200"/>
      <c r="CH344" s="200"/>
      <c r="CI344" s="522"/>
      <c r="CJ344" s="200"/>
      <c r="CK344" s="223"/>
      <c r="CL344" s="223"/>
      <c r="CM344" s="223"/>
      <c r="CN344" s="223"/>
      <c r="CO344" s="223"/>
      <c r="CP344" s="223"/>
      <c r="CQ344" s="200"/>
      <c r="CR344" s="200"/>
      <c r="CS344" s="522"/>
      <c r="CT344" s="200"/>
      <c r="CU344" s="223"/>
      <c r="CV344" s="223"/>
      <c r="CW344" s="223"/>
      <c r="CX344" s="223"/>
      <c r="CY344" s="223"/>
      <c r="CZ344" s="223"/>
      <c r="DA344" s="223"/>
      <c r="DB344" s="200"/>
      <c r="DC344" s="522"/>
      <c r="DD344" s="200"/>
      <c r="DE344" s="223"/>
      <c r="DF344" s="223"/>
      <c r="DG344" s="223"/>
      <c r="DH344" s="223"/>
      <c r="DI344" s="223"/>
      <c r="DJ344" s="223"/>
      <c r="DK344" s="200"/>
      <c r="DL344" s="200"/>
      <c r="DM344" s="522"/>
      <c r="DN344" s="200"/>
      <c r="DO344" s="223"/>
      <c r="DP344" s="223"/>
      <c r="DQ344" s="223"/>
      <c r="DR344" s="223"/>
      <c r="DS344" s="223"/>
      <c r="DT344" s="223"/>
      <c r="DU344" s="200"/>
      <c r="DV344" s="200"/>
      <c r="DW344" s="522"/>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2"/>
      <c r="R345" s="200"/>
      <c r="S345" s="223"/>
      <c r="T345" s="223"/>
      <c r="U345" s="223"/>
      <c r="V345" s="223"/>
      <c r="W345" s="223"/>
      <c r="X345" s="223"/>
      <c r="Y345" s="200"/>
      <c r="Z345" s="200"/>
      <c r="AA345" s="522"/>
      <c r="AB345" s="200"/>
      <c r="AC345" s="223"/>
      <c r="AD345" s="223"/>
      <c r="AE345" s="223"/>
      <c r="AF345" s="223"/>
      <c r="AG345" s="223"/>
      <c r="AH345" s="223"/>
      <c r="AI345" s="200"/>
      <c r="AJ345" s="200"/>
      <c r="AK345" s="522"/>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2"/>
      <c r="BF345" s="200"/>
      <c r="BG345" s="223"/>
      <c r="BH345" s="223"/>
      <c r="BI345" s="223"/>
      <c r="BJ345" s="223"/>
      <c r="BK345" s="223"/>
      <c r="BL345" s="223"/>
      <c r="BM345" s="200"/>
      <c r="BN345" s="200"/>
      <c r="BO345" s="522"/>
      <c r="BP345" s="200"/>
      <c r="BQ345" s="223"/>
      <c r="BR345" s="223"/>
      <c r="BS345" s="223"/>
      <c r="BT345" s="223"/>
      <c r="BU345" s="223"/>
      <c r="BV345" s="223"/>
      <c r="BW345" s="223"/>
      <c r="BX345" s="200"/>
      <c r="BY345" s="522"/>
      <c r="BZ345" s="200"/>
      <c r="CA345" s="223"/>
      <c r="CB345" s="223"/>
      <c r="CC345" s="223"/>
      <c r="CD345" s="223"/>
      <c r="CE345" s="223"/>
      <c r="CF345" s="223"/>
      <c r="CG345" s="200"/>
      <c r="CH345" s="200"/>
      <c r="CI345" s="522"/>
      <c r="CJ345" s="200"/>
      <c r="CK345" s="223"/>
      <c r="CL345" s="223"/>
      <c r="CM345" s="223"/>
      <c r="CN345" s="223"/>
      <c r="CO345" s="223"/>
      <c r="CP345" s="223"/>
      <c r="CQ345" s="200"/>
      <c r="CR345" s="200"/>
      <c r="CS345" s="522"/>
      <c r="CT345" s="200"/>
      <c r="CU345" s="223"/>
      <c r="CV345" s="223"/>
      <c r="CW345" s="223"/>
      <c r="CX345" s="223"/>
      <c r="CY345" s="223"/>
      <c r="CZ345" s="223"/>
      <c r="DA345" s="223"/>
      <c r="DB345" s="200"/>
      <c r="DC345" s="522"/>
      <c r="DD345" s="200"/>
      <c r="DE345" s="223"/>
      <c r="DF345" s="223"/>
      <c r="DG345" s="223"/>
      <c r="DH345" s="223"/>
      <c r="DI345" s="223"/>
      <c r="DJ345" s="223"/>
      <c r="DK345" s="200"/>
      <c r="DL345" s="200"/>
      <c r="DM345" s="522"/>
      <c r="DN345" s="200"/>
      <c r="DO345" s="223"/>
      <c r="DP345" s="223"/>
      <c r="DQ345" s="223"/>
      <c r="DR345" s="223"/>
      <c r="DS345" s="223"/>
      <c r="DT345" s="223"/>
      <c r="DU345" s="200"/>
      <c r="DV345" s="200"/>
      <c r="DW345" s="522"/>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2"/>
      <c r="R346" s="200"/>
      <c r="S346" s="223"/>
      <c r="T346" s="223"/>
      <c r="U346" s="223"/>
      <c r="V346" s="223"/>
      <c r="W346" s="223"/>
      <c r="X346" s="223"/>
      <c r="Y346" s="200"/>
      <c r="Z346" s="200"/>
      <c r="AA346" s="522"/>
      <c r="AB346" s="200"/>
      <c r="AC346" s="223"/>
      <c r="AD346" s="223"/>
      <c r="AE346" s="223"/>
      <c r="AF346" s="223"/>
      <c r="AG346" s="223"/>
      <c r="AH346" s="223"/>
      <c r="AI346" s="200"/>
      <c r="AJ346" s="200"/>
      <c r="AK346" s="522"/>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2"/>
      <c r="BF346" s="200"/>
      <c r="BG346" s="223"/>
      <c r="BH346" s="223"/>
      <c r="BI346" s="223"/>
      <c r="BJ346" s="223"/>
      <c r="BK346" s="223"/>
      <c r="BL346" s="223"/>
      <c r="BM346" s="200"/>
      <c r="BN346" s="200"/>
      <c r="BO346" s="522"/>
      <c r="BP346" s="200"/>
      <c r="BQ346" s="223"/>
      <c r="BR346" s="223"/>
      <c r="BS346" s="223"/>
      <c r="BT346" s="223"/>
      <c r="BU346" s="223"/>
      <c r="BV346" s="223"/>
      <c r="BW346" s="223"/>
      <c r="BX346" s="200"/>
      <c r="BY346" s="522"/>
      <c r="BZ346" s="200"/>
      <c r="CA346" s="223"/>
      <c r="CB346" s="223"/>
      <c r="CC346" s="223"/>
      <c r="CD346" s="223"/>
      <c r="CE346" s="223"/>
      <c r="CF346" s="223"/>
      <c r="CG346" s="200"/>
      <c r="CH346" s="200"/>
      <c r="CI346" s="522"/>
      <c r="CJ346" s="200"/>
      <c r="CK346" s="223"/>
      <c r="CL346" s="223"/>
      <c r="CM346" s="223"/>
      <c r="CN346" s="223"/>
      <c r="CO346" s="223"/>
      <c r="CP346" s="223"/>
      <c r="CQ346" s="200"/>
      <c r="CR346" s="200"/>
      <c r="CS346" s="522"/>
      <c r="CT346" s="200"/>
      <c r="CU346" s="223"/>
      <c r="CV346" s="223"/>
      <c r="CW346" s="223"/>
      <c r="CX346" s="223"/>
      <c r="CY346" s="223"/>
      <c r="CZ346" s="223"/>
      <c r="DA346" s="223"/>
      <c r="DB346" s="200"/>
      <c r="DC346" s="522"/>
      <c r="DD346" s="200"/>
      <c r="DE346" s="223"/>
      <c r="DF346" s="223"/>
      <c r="DG346" s="223"/>
      <c r="DH346" s="223"/>
      <c r="DI346" s="223"/>
      <c r="DJ346" s="223"/>
      <c r="DK346" s="200"/>
      <c r="DL346" s="200"/>
      <c r="DM346" s="522"/>
      <c r="DN346" s="200"/>
      <c r="DO346" s="223"/>
      <c r="DP346" s="223"/>
      <c r="DQ346" s="223"/>
      <c r="DR346" s="223"/>
      <c r="DS346" s="223"/>
      <c r="DT346" s="223"/>
      <c r="DU346" s="200"/>
      <c r="DV346" s="200"/>
      <c r="DW346" s="522"/>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2"/>
      <c r="R347" s="200"/>
      <c r="S347" s="223"/>
      <c r="T347" s="223"/>
      <c r="U347" s="223"/>
      <c r="V347" s="223"/>
      <c r="W347" s="223"/>
      <c r="X347" s="223"/>
      <c r="Y347" s="200"/>
      <c r="Z347" s="200"/>
      <c r="AA347" s="522"/>
      <c r="AB347" s="200"/>
      <c r="AC347" s="223"/>
      <c r="AD347" s="223"/>
      <c r="AE347" s="223"/>
      <c r="AF347" s="223"/>
      <c r="AG347" s="223"/>
      <c r="AH347" s="223"/>
      <c r="AI347" s="200"/>
      <c r="AJ347" s="200"/>
      <c r="AK347" s="522"/>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2"/>
      <c r="BF347" s="200"/>
      <c r="BG347" s="223"/>
      <c r="BH347" s="223"/>
      <c r="BI347" s="223"/>
      <c r="BJ347" s="223"/>
      <c r="BK347" s="223"/>
      <c r="BL347" s="223"/>
      <c r="BM347" s="200"/>
      <c r="BN347" s="200"/>
      <c r="BO347" s="522"/>
      <c r="BP347" s="200"/>
      <c r="BQ347" s="223"/>
      <c r="BR347" s="223"/>
      <c r="BS347" s="223"/>
      <c r="BT347" s="223"/>
      <c r="BU347" s="223"/>
      <c r="BV347" s="223"/>
      <c r="BW347" s="223"/>
      <c r="BX347" s="200"/>
      <c r="BY347" s="522"/>
      <c r="BZ347" s="200"/>
      <c r="CA347" s="223"/>
      <c r="CB347" s="223"/>
      <c r="CC347" s="223"/>
      <c r="CD347" s="223"/>
      <c r="CE347" s="223"/>
      <c r="CF347" s="223"/>
      <c r="CG347" s="200"/>
      <c r="CH347" s="200"/>
      <c r="CI347" s="522"/>
      <c r="CJ347" s="200"/>
      <c r="CK347" s="223"/>
      <c r="CL347" s="223"/>
      <c r="CM347" s="223"/>
      <c r="CN347" s="223"/>
      <c r="CO347" s="223"/>
      <c r="CP347" s="223"/>
      <c r="CQ347" s="200"/>
      <c r="CR347" s="200"/>
      <c r="CS347" s="522"/>
      <c r="CT347" s="200"/>
      <c r="CU347" s="223"/>
      <c r="CV347" s="223"/>
      <c r="CW347" s="223"/>
      <c r="CX347" s="223"/>
      <c r="CY347" s="223"/>
      <c r="CZ347" s="223"/>
      <c r="DA347" s="223"/>
      <c r="DB347" s="200"/>
      <c r="DC347" s="522"/>
      <c r="DD347" s="200"/>
      <c r="DE347" s="223"/>
      <c r="DF347" s="223"/>
      <c r="DG347" s="223"/>
      <c r="DH347" s="223"/>
      <c r="DI347" s="223"/>
      <c r="DJ347" s="223"/>
      <c r="DK347" s="200"/>
      <c r="DL347" s="200"/>
      <c r="DM347" s="522"/>
      <c r="DN347" s="200"/>
      <c r="DO347" s="223"/>
      <c r="DP347" s="223"/>
      <c r="DQ347" s="223"/>
      <c r="DR347" s="223"/>
      <c r="DS347" s="223"/>
      <c r="DT347" s="223"/>
      <c r="DU347" s="200"/>
      <c r="DV347" s="200"/>
      <c r="DW347" s="522"/>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2"/>
      <c r="R348" s="200"/>
      <c r="S348" s="223"/>
      <c r="T348" s="223"/>
      <c r="U348" s="223"/>
      <c r="V348" s="223"/>
      <c r="W348" s="223"/>
      <c r="X348" s="223"/>
      <c r="Y348" s="200"/>
      <c r="Z348" s="200"/>
      <c r="AA348" s="522"/>
      <c r="AB348" s="200"/>
      <c r="AC348" s="223"/>
      <c r="AD348" s="223"/>
      <c r="AE348" s="223"/>
      <c r="AF348" s="223"/>
      <c r="AG348" s="223"/>
      <c r="AH348" s="223"/>
      <c r="AI348" s="200"/>
      <c r="AJ348" s="200"/>
      <c r="AK348" s="522"/>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2"/>
      <c r="BF348" s="200"/>
      <c r="BG348" s="223"/>
      <c r="BH348" s="223"/>
      <c r="BI348" s="223"/>
      <c r="BJ348" s="223"/>
      <c r="BK348" s="223"/>
      <c r="BL348" s="223"/>
      <c r="BM348" s="200"/>
      <c r="BN348" s="200"/>
      <c r="BO348" s="522"/>
      <c r="BP348" s="200"/>
      <c r="BQ348" s="223"/>
      <c r="BR348" s="223"/>
      <c r="BS348" s="223"/>
      <c r="BT348" s="223"/>
      <c r="BU348" s="223"/>
      <c r="BV348" s="223"/>
      <c r="BW348" s="223"/>
      <c r="BX348" s="200"/>
      <c r="BY348" s="522"/>
      <c r="BZ348" s="200"/>
      <c r="CA348" s="223"/>
      <c r="CB348" s="223"/>
      <c r="CC348" s="223"/>
      <c r="CD348" s="223"/>
      <c r="CE348" s="223"/>
      <c r="CF348" s="223"/>
      <c r="CG348" s="200"/>
      <c r="CH348" s="200"/>
      <c r="CI348" s="522"/>
      <c r="CJ348" s="200"/>
      <c r="CK348" s="223"/>
      <c r="CL348" s="223"/>
      <c r="CM348" s="223"/>
      <c r="CN348" s="223"/>
      <c r="CO348" s="223"/>
      <c r="CP348" s="223"/>
      <c r="CQ348" s="200"/>
      <c r="CR348" s="200"/>
      <c r="CS348" s="522"/>
      <c r="CT348" s="200"/>
      <c r="CU348" s="223"/>
      <c r="CV348" s="223"/>
      <c r="CW348" s="223"/>
      <c r="CX348" s="223"/>
      <c r="CY348" s="223"/>
      <c r="CZ348" s="223"/>
      <c r="DA348" s="223"/>
      <c r="DB348" s="200"/>
      <c r="DC348" s="522"/>
      <c r="DD348" s="200"/>
      <c r="DE348" s="223"/>
      <c r="DF348" s="223"/>
      <c r="DG348" s="223"/>
      <c r="DH348" s="223"/>
      <c r="DI348" s="223"/>
      <c r="DJ348" s="223"/>
      <c r="DK348" s="200"/>
      <c r="DL348" s="200"/>
      <c r="DM348" s="522"/>
      <c r="DN348" s="200"/>
      <c r="DO348" s="223"/>
      <c r="DP348" s="223"/>
      <c r="DQ348" s="223"/>
      <c r="DR348" s="223"/>
      <c r="DS348" s="223"/>
      <c r="DT348" s="223"/>
      <c r="DU348" s="200"/>
      <c r="DV348" s="200"/>
      <c r="DW348" s="522"/>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2"/>
      <c r="R349" s="200"/>
      <c r="S349" s="223"/>
      <c r="T349" s="223"/>
      <c r="U349" s="223"/>
      <c r="V349" s="223"/>
      <c r="W349" s="223"/>
      <c r="X349" s="223"/>
      <c r="Y349" s="200"/>
      <c r="Z349" s="200"/>
      <c r="AA349" s="522"/>
      <c r="AB349" s="200"/>
      <c r="AC349" s="223"/>
      <c r="AD349" s="223"/>
      <c r="AE349" s="223"/>
      <c r="AF349" s="223"/>
      <c r="AG349" s="223"/>
      <c r="AH349" s="223"/>
      <c r="AI349" s="200"/>
      <c r="AJ349" s="200"/>
      <c r="AK349" s="522"/>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2"/>
      <c r="BF349" s="200"/>
      <c r="BG349" s="223"/>
      <c r="BH349" s="223"/>
      <c r="BI349" s="223"/>
      <c r="BJ349" s="223"/>
      <c r="BK349" s="223"/>
      <c r="BL349" s="223"/>
      <c r="BM349" s="200"/>
      <c r="BN349" s="200"/>
      <c r="BO349" s="522"/>
      <c r="BP349" s="200"/>
      <c r="BQ349" s="223"/>
      <c r="BR349" s="223"/>
      <c r="BS349" s="223"/>
      <c r="BT349" s="223"/>
      <c r="BU349" s="223"/>
      <c r="BV349" s="223"/>
      <c r="BW349" s="223"/>
      <c r="BX349" s="200"/>
      <c r="BY349" s="522"/>
      <c r="BZ349" s="200"/>
      <c r="CA349" s="223"/>
      <c r="CB349" s="223"/>
      <c r="CC349" s="223"/>
      <c r="CD349" s="223"/>
      <c r="CE349" s="223"/>
      <c r="CF349" s="223"/>
      <c r="CG349" s="200"/>
      <c r="CH349" s="200"/>
      <c r="CI349" s="522"/>
      <c r="CJ349" s="200"/>
      <c r="CK349" s="223"/>
      <c r="CL349" s="223"/>
      <c r="CM349" s="223"/>
      <c r="CN349" s="223"/>
      <c r="CO349" s="223"/>
      <c r="CP349" s="223"/>
      <c r="CQ349" s="200"/>
      <c r="CR349" s="200"/>
      <c r="CS349" s="522"/>
      <c r="CT349" s="200"/>
      <c r="CU349" s="223"/>
      <c r="CV349" s="223"/>
      <c r="CW349" s="223"/>
      <c r="CX349" s="223"/>
      <c r="CY349" s="223"/>
      <c r="CZ349" s="223"/>
      <c r="DA349" s="223"/>
      <c r="DB349" s="200"/>
      <c r="DC349" s="522"/>
      <c r="DD349" s="200"/>
      <c r="DE349" s="223"/>
      <c r="DF349" s="223"/>
      <c r="DG349" s="223"/>
      <c r="DH349" s="223"/>
      <c r="DI349" s="223"/>
      <c r="DJ349" s="223"/>
      <c r="DK349" s="200"/>
      <c r="DL349" s="200"/>
      <c r="DM349" s="522"/>
      <c r="DN349" s="200"/>
      <c r="DO349" s="223"/>
      <c r="DP349" s="223"/>
      <c r="DQ349" s="223"/>
      <c r="DR349" s="223"/>
      <c r="DS349" s="223"/>
      <c r="DT349" s="223"/>
      <c r="DU349" s="200"/>
      <c r="DV349" s="200"/>
      <c r="DW349" s="522"/>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2"/>
      <c r="R350" s="200"/>
      <c r="S350" s="223"/>
      <c r="T350" s="223"/>
      <c r="U350" s="223"/>
      <c r="V350" s="223"/>
      <c r="W350" s="223"/>
      <c r="X350" s="223"/>
      <c r="Y350" s="200"/>
      <c r="Z350" s="200"/>
      <c r="AA350" s="522"/>
      <c r="AB350" s="200"/>
      <c r="AC350" s="223"/>
      <c r="AD350" s="223"/>
      <c r="AE350" s="223"/>
      <c r="AF350" s="223"/>
      <c r="AG350" s="223"/>
      <c r="AH350" s="223"/>
      <c r="AI350" s="200"/>
      <c r="AJ350" s="200"/>
      <c r="AK350" s="522"/>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2"/>
      <c r="BF350" s="200"/>
      <c r="BG350" s="223"/>
      <c r="BH350" s="223"/>
      <c r="BI350" s="223"/>
      <c r="BJ350" s="223"/>
      <c r="BK350" s="223"/>
      <c r="BL350" s="223"/>
      <c r="BM350" s="200"/>
      <c r="BN350" s="200"/>
      <c r="BO350" s="522"/>
      <c r="BP350" s="200"/>
      <c r="BQ350" s="223"/>
      <c r="BR350" s="223"/>
      <c r="BS350" s="223"/>
      <c r="BT350" s="223"/>
      <c r="BU350" s="223"/>
      <c r="BV350" s="223"/>
      <c r="BW350" s="223"/>
      <c r="BX350" s="200"/>
      <c r="BY350" s="522"/>
      <c r="BZ350" s="200"/>
      <c r="CA350" s="223"/>
      <c r="CB350" s="223"/>
      <c r="CC350" s="223"/>
      <c r="CD350" s="223"/>
      <c r="CE350" s="223"/>
      <c r="CF350" s="223"/>
      <c r="CG350" s="200"/>
      <c r="CH350" s="200"/>
      <c r="CI350" s="522"/>
      <c r="CJ350" s="200"/>
      <c r="CK350" s="223"/>
      <c r="CL350" s="223"/>
      <c r="CM350" s="223"/>
      <c r="CN350" s="223"/>
      <c r="CO350" s="223"/>
      <c r="CP350" s="223"/>
      <c r="CQ350" s="200"/>
      <c r="CR350" s="200"/>
      <c r="CS350" s="522"/>
      <c r="CT350" s="200"/>
      <c r="CU350" s="223"/>
      <c r="CV350" s="223"/>
      <c r="CW350" s="223"/>
      <c r="CX350" s="223"/>
      <c r="CY350" s="223"/>
      <c r="CZ350" s="223"/>
      <c r="DA350" s="223"/>
      <c r="DB350" s="200"/>
      <c r="DC350" s="522"/>
      <c r="DD350" s="200"/>
      <c r="DE350" s="223"/>
      <c r="DF350" s="223"/>
      <c r="DG350" s="223"/>
      <c r="DH350" s="223"/>
      <c r="DI350" s="223"/>
      <c r="DJ350" s="223"/>
      <c r="DK350" s="200"/>
      <c r="DL350" s="200"/>
      <c r="DM350" s="522"/>
      <c r="DN350" s="200"/>
      <c r="DO350" s="223"/>
      <c r="DP350" s="223"/>
      <c r="DQ350" s="223"/>
      <c r="DR350" s="223"/>
      <c r="DS350" s="223"/>
      <c r="DT350" s="223"/>
      <c r="DU350" s="200"/>
      <c r="DV350" s="200"/>
      <c r="DW350" s="522"/>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2"/>
      <c r="R351" s="200"/>
      <c r="S351" s="223"/>
      <c r="T351" s="223"/>
      <c r="U351" s="223"/>
      <c r="V351" s="223"/>
      <c r="W351" s="223"/>
      <c r="X351" s="223"/>
      <c r="Y351" s="200"/>
      <c r="Z351" s="200"/>
      <c r="AA351" s="522"/>
      <c r="AB351" s="200"/>
      <c r="AC351" s="223"/>
      <c r="AD351" s="223"/>
      <c r="AE351" s="223"/>
      <c r="AF351" s="223"/>
      <c r="AG351" s="223"/>
      <c r="AH351" s="223"/>
      <c r="AI351" s="200"/>
      <c r="AJ351" s="200"/>
      <c r="AK351" s="522"/>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2"/>
      <c r="BF351" s="200"/>
      <c r="BG351" s="223"/>
      <c r="BH351" s="223"/>
      <c r="BI351" s="223"/>
      <c r="BJ351" s="223"/>
      <c r="BK351" s="223"/>
      <c r="BL351" s="223"/>
      <c r="BM351" s="200"/>
      <c r="BN351" s="200"/>
      <c r="BO351" s="522"/>
      <c r="BP351" s="200"/>
      <c r="BQ351" s="223"/>
      <c r="BR351" s="223"/>
      <c r="BS351" s="223"/>
      <c r="BT351" s="223"/>
      <c r="BU351" s="223"/>
      <c r="BV351" s="223"/>
      <c r="BW351" s="223"/>
      <c r="BX351" s="200"/>
      <c r="BY351" s="522"/>
      <c r="BZ351" s="200"/>
      <c r="CA351" s="223"/>
      <c r="CB351" s="223"/>
      <c r="CC351" s="223"/>
      <c r="CD351" s="223"/>
      <c r="CE351" s="223"/>
      <c r="CF351" s="223"/>
      <c r="CG351" s="200"/>
      <c r="CH351" s="200"/>
      <c r="CI351" s="522"/>
      <c r="CJ351" s="200"/>
      <c r="CK351" s="223"/>
      <c r="CL351" s="223"/>
      <c r="CM351" s="223"/>
      <c r="CN351" s="223"/>
      <c r="CO351" s="223"/>
      <c r="CP351" s="223"/>
      <c r="CQ351" s="200"/>
      <c r="CR351" s="200"/>
      <c r="CS351" s="522"/>
      <c r="CT351" s="200"/>
      <c r="CU351" s="223"/>
      <c r="CV351" s="223"/>
      <c r="CW351" s="223"/>
      <c r="CX351" s="223"/>
      <c r="CY351" s="223"/>
      <c r="CZ351" s="223"/>
      <c r="DA351" s="223"/>
      <c r="DB351" s="200"/>
      <c r="DC351" s="522"/>
      <c r="DD351" s="200"/>
      <c r="DE351" s="223"/>
      <c r="DF351" s="223"/>
      <c r="DG351" s="223"/>
      <c r="DH351" s="223"/>
      <c r="DI351" s="223"/>
      <c r="DJ351" s="223"/>
      <c r="DK351" s="200"/>
      <c r="DL351" s="200"/>
      <c r="DM351" s="522"/>
      <c r="DN351" s="200"/>
      <c r="DO351" s="223"/>
      <c r="DP351" s="223"/>
      <c r="DQ351" s="223"/>
      <c r="DR351" s="223"/>
      <c r="DS351" s="223"/>
      <c r="DT351" s="223"/>
      <c r="DU351" s="200"/>
      <c r="DV351" s="200"/>
      <c r="DW351" s="522"/>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2"/>
      <c r="R352" s="200"/>
      <c r="S352" s="223"/>
      <c r="T352" s="223"/>
      <c r="U352" s="223"/>
      <c r="V352" s="223"/>
      <c r="W352" s="223"/>
      <c r="X352" s="223"/>
      <c r="Y352" s="200"/>
      <c r="Z352" s="200"/>
      <c r="AA352" s="522"/>
      <c r="AB352" s="200"/>
      <c r="AC352" s="223"/>
      <c r="AD352" s="223"/>
      <c r="AE352" s="223"/>
      <c r="AF352" s="223"/>
      <c r="AG352" s="223"/>
      <c r="AH352" s="223"/>
      <c r="AI352" s="200"/>
      <c r="AJ352" s="200"/>
      <c r="AK352" s="522"/>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2"/>
      <c r="BF352" s="200"/>
      <c r="BG352" s="223"/>
      <c r="BH352" s="223"/>
      <c r="BI352" s="223"/>
      <c r="BJ352" s="223"/>
      <c r="BK352" s="223"/>
      <c r="BL352" s="223"/>
      <c r="BM352" s="200"/>
      <c r="BN352" s="200"/>
      <c r="BO352" s="522"/>
      <c r="BP352" s="200"/>
      <c r="BQ352" s="223"/>
      <c r="BR352" s="223"/>
      <c r="BS352" s="223"/>
      <c r="BT352" s="223"/>
      <c r="BU352" s="223"/>
      <c r="BV352" s="223"/>
      <c r="BW352" s="223"/>
      <c r="BX352" s="200"/>
      <c r="BY352" s="522"/>
      <c r="BZ352" s="200"/>
      <c r="CA352" s="223"/>
      <c r="CB352" s="223"/>
      <c r="CC352" s="223"/>
      <c r="CD352" s="223"/>
      <c r="CE352" s="223"/>
      <c r="CF352" s="223"/>
      <c r="CG352" s="200"/>
      <c r="CH352" s="200"/>
      <c r="CI352" s="522"/>
      <c r="CJ352" s="200"/>
      <c r="CK352" s="223"/>
      <c r="CL352" s="223"/>
      <c r="CM352" s="223"/>
      <c r="CN352" s="223"/>
      <c r="CO352" s="223"/>
      <c r="CP352" s="223"/>
      <c r="CQ352" s="200"/>
      <c r="CR352" s="200"/>
      <c r="CS352" s="522"/>
      <c r="CT352" s="200"/>
      <c r="CU352" s="223"/>
      <c r="CV352" s="223"/>
      <c r="CW352" s="223"/>
      <c r="CX352" s="223"/>
      <c r="CY352" s="223"/>
      <c r="CZ352" s="223"/>
      <c r="DA352" s="223"/>
      <c r="DB352" s="200"/>
      <c r="DC352" s="522"/>
      <c r="DD352" s="200"/>
      <c r="DE352" s="223"/>
      <c r="DF352" s="223"/>
      <c r="DG352" s="223"/>
      <c r="DH352" s="223"/>
      <c r="DI352" s="223"/>
      <c r="DJ352" s="223"/>
      <c r="DK352" s="200"/>
      <c r="DL352" s="200"/>
      <c r="DM352" s="522"/>
      <c r="DN352" s="200"/>
      <c r="DO352" s="223"/>
      <c r="DP352" s="223"/>
      <c r="DQ352" s="223"/>
      <c r="DR352" s="223"/>
      <c r="DS352" s="223"/>
      <c r="DT352" s="223"/>
      <c r="DU352" s="200"/>
      <c r="DV352" s="200"/>
      <c r="DW352" s="522"/>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2"/>
      <c r="R353" s="200"/>
      <c r="S353" s="223"/>
      <c r="T353" s="223"/>
      <c r="U353" s="223"/>
      <c r="V353" s="223"/>
      <c r="W353" s="223"/>
      <c r="X353" s="223"/>
      <c r="Y353" s="200"/>
      <c r="Z353" s="200"/>
      <c r="AA353" s="522"/>
      <c r="AB353" s="200"/>
      <c r="AC353" s="223"/>
      <c r="AD353" s="223"/>
      <c r="AE353" s="223"/>
      <c r="AF353" s="223"/>
      <c r="AG353" s="223"/>
      <c r="AH353" s="223"/>
      <c r="AI353" s="200"/>
      <c r="AJ353" s="200"/>
      <c r="AK353" s="522"/>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2"/>
      <c r="BF353" s="200"/>
      <c r="BG353" s="223"/>
      <c r="BH353" s="223"/>
      <c r="BI353" s="223"/>
      <c r="BJ353" s="223"/>
      <c r="BK353" s="223"/>
      <c r="BL353" s="223"/>
      <c r="BM353" s="200"/>
      <c r="BN353" s="200"/>
      <c r="BO353" s="522"/>
      <c r="BP353" s="200"/>
      <c r="BQ353" s="223"/>
      <c r="BR353" s="223"/>
      <c r="BS353" s="223"/>
      <c r="BT353" s="223"/>
      <c r="BU353" s="223"/>
      <c r="BV353" s="223"/>
      <c r="BW353" s="223"/>
      <c r="BX353" s="200"/>
      <c r="BY353" s="522"/>
      <c r="BZ353" s="200"/>
      <c r="CA353" s="223"/>
      <c r="CB353" s="223"/>
      <c r="CC353" s="223"/>
      <c r="CD353" s="223"/>
      <c r="CE353" s="223"/>
      <c r="CF353" s="223"/>
      <c r="CG353" s="200"/>
      <c r="CH353" s="200"/>
      <c r="CI353" s="522"/>
      <c r="CJ353" s="200"/>
      <c r="CK353" s="223"/>
      <c r="CL353" s="223"/>
      <c r="CM353" s="223"/>
      <c r="CN353" s="223"/>
      <c r="CO353" s="223"/>
      <c r="CP353" s="223"/>
      <c r="CQ353" s="200"/>
      <c r="CR353" s="200"/>
      <c r="CS353" s="522"/>
      <c r="CT353" s="200"/>
      <c r="CU353" s="223"/>
      <c r="CV353" s="223"/>
      <c r="CW353" s="223"/>
      <c r="CX353" s="223"/>
      <c r="CY353" s="223"/>
      <c r="CZ353" s="223"/>
      <c r="DA353" s="223"/>
      <c r="DB353" s="200"/>
      <c r="DC353" s="522"/>
      <c r="DD353" s="200"/>
      <c r="DE353" s="223"/>
      <c r="DF353" s="223"/>
      <c r="DG353" s="223"/>
      <c r="DH353" s="223"/>
      <c r="DI353" s="223"/>
      <c r="DJ353" s="223"/>
      <c r="DK353" s="200"/>
      <c r="DL353" s="200"/>
      <c r="DM353" s="522"/>
      <c r="DN353" s="200"/>
      <c r="DO353" s="223"/>
      <c r="DP353" s="223"/>
      <c r="DQ353" s="223"/>
      <c r="DR353" s="223"/>
      <c r="DS353" s="223"/>
      <c r="DT353" s="223"/>
      <c r="DU353" s="200"/>
      <c r="DV353" s="200"/>
      <c r="DW353" s="522"/>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2"/>
      <c r="R354" s="200"/>
      <c r="S354" s="223"/>
      <c r="T354" s="223"/>
      <c r="U354" s="223"/>
      <c r="V354" s="223"/>
      <c r="W354" s="223"/>
      <c r="X354" s="223"/>
      <c r="Y354" s="200"/>
      <c r="Z354" s="200"/>
      <c r="AA354" s="522"/>
      <c r="AB354" s="200"/>
      <c r="AC354" s="223"/>
      <c r="AD354" s="223"/>
      <c r="AE354" s="223"/>
      <c r="AF354" s="223"/>
      <c r="AG354" s="223"/>
      <c r="AH354" s="223"/>
      <c r="AI354" s="200"/>
      <c r="AJ354" s="200"/>
      <c r="AK354" s="522"/>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2"/>
      <c r="BF354" s="200"/>
      <c r="BG354" s="223"/>
      <c r="BH354" s="223"/>
      <c r="BI354" s="223"/>
      <c r="BJ354" s="223"/>
      <c r="BK354" s="223"/>
      <c r="BL354" s="223"/>
      <c r="BM354" s="200"/>
      <c r="BN354" s="200"/>
      <c r="BO354" s="522"/>
      <c r="BP354" s="200"/>
      <c r="BQ354" s="223"/>
      <c r="BR354" s="223"/>
      <c r="BS354" s="223"/>
      <c r="BT354" s="223"/>
      <c r="BU354" s="223"/>
      <c r="BV354" s="223"/>
      <c r="BW354" s="223"/>
      <c r="BX354" s="200"/>
      <c r="BY354" s="522"/>
      <c r="BZ354" s="200"/>
      <c r="CA354" s="223"/>
      <c r="CB354" s="223"/>
      <c r="CC354" s="223"/>
      <c r="CD354" s="223"/>
      <c r="CE354" s="223"/>
      <c r="CF354" s="223"/>
      <c r="CG354" s="200"/>
      <c r="CH354" s="200"/>
      <c r="CI354" s="522"/>
      <c r="CJ354" s="200"/>
      <c r="CK354" s="223"/>
      <c r="CL354" s="223"/>
      <c r="CM354" s="223"/>
      <c r="CN354" s="223"/>
      <c r="CO354" s="223"/>
      <c r="CP354" s="223"/>
      <c r="CQ354" s="200"/>
      <c r="CR354" s="200"/>
      <c r="CS354" s="522"/>
      <c r="CT354" s="200"/>
      <c r="CU354" s="223"/>
      <c r="CV354" s="223"/>
      <c r="CW354" s="223"/>
      <c r="CX354" s="223"/>
      <c r="CY354" s="223"/>
      <c r="CZ354" s="223"/>
      <c r="DA354" s="223"/>
      <c r="DB354" s="200"/>
      <c r="DC354" s="522"/>
      <c r="DD354" s="200"/>
      <c r="DE354" s="223"/>
      <c r="DF354" s="223"/>
      <c r="DG354" s="223"/>
      <c r="DH354" s="223"/>
      <c r="DI354" s="223"/>
      <c r="DJ354" s="223"/>
      <c r="DK354" s="200"/>
      <c r="DL354" s="200"/>
      <c r="DM354" s="522"/>
      <c r="DN354" s="200"/>
      <c r="DO354" s="223"/>
      <c r="DP354" s="223"/>
      <c r="DQ354" s="223"/>
      <c r="DR354" s="223"/>
      <c r="DS354" s="223"/>
      <c r="DT354" s="223"/>
      <c r="DU354" s="200"/>
      <c r="DV354" s="200"/>
      <c r="DW354" s="522"/>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2"/>
      <c r="R355" s="200"/>
      <c r="S355" s="223"/>
      <c r="T355" s="223"/>
      <c r="U355" s="223"/>
      <c r="V355" s="223"/>
      <c r="W355" s="223"/>
      <c r="X355" s="223"/>
      <c r="Y355" s="200"/>
      <c r="Z355" s="200"/>
      <c r="AA355" s="522"/>
      <c r="AB355" s="200"/>
      <c r="AC355" s="223"/>
      <c r="AD355" s="223"/>
      <c r="AE355" s="223"/>
      <c r="AF355" s="223"/>
      <c r="AG355" s="223"/>
      <c r="AH355" s="223"/>
      <c r="AI355" s="200"/>
      <c r="AJ355" s="200"/>
      <c r="AK355" s="522"/>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2"/>
      <c r="BF355" s="200"/>
      <c r="BG355" s="223"/>
      <c r="BH355" s="223"/>
      <c r="BI355" s="223"/>
      <c r="BJ355" s="223"/>
      <c r="BK355" s="223"/>
      <c r="BL355" s="223"/>
      <c r="BM355" s="200"/>
      <c r="BN355" s="200"/>
      <c r="BO355" s="522"/>
      <c r="BP355" s="200"/>
      <c r="BQ355" s="223"/>
      <c r="BR355" s="223"/>
      <c r="BS355" s="223"/>
      <c r="BT355" s="223"/>
      <c r="BU355" s="223"/>
      <c r="BV355" s="223"/>
      <c r="BW355" s="223"/>
      <c r="BX355" s="200"/>
      <c r="BY355" s="522"/>
      <c r="BZ355" s="200"/>
      <c r="CA355" s="223"/>
      <c r="CB355" s="223"/>
      <c r="CC355" s="223"/>
      <c r="CD355" s="223"/>
      <c r="CE355" s="223"/>
      <c r="CF355" s="223"/>
      <c r="CG355" s="200"/>
      <c r="CH355" s="200"/>
      <c r="CI355" s="522"/>
      <c r="CJ355" s="200"/>
      <c r="CK355" s="223"/>
      <c r="CL355" s="223"/>
      <c r="CM355" s="223"/>
      <c r="CN355" s="223"/>
      <c r="CO355" s="223"/>
      <c r="CP355" s="223"/>
      <c r="CQ355" s="200"/>
      <c r="CR355" s="200"/>
      <c r="CS355" s="522"/>
      <c r="CT355" s="200"/>
      <c r="CU355" s="223"/>
      <c r="CV355" s="223"/>
      <c r="CW355" s="223"/>
      <c r="CX355" s="223"/>
      <c r="CY355" s="223"/>
      <c r="CZ355" s="223"/>
      <c r="DA355" s="223"/>
      <c r="DB355" s="200"/>
      <c r="DC355" s="522"/>
      <c r="DD355" s="200"/>
      <c r="DE355" s="223"/>
      <c r="DF355" s="223"/>
      <c r="DG355" s="223"/>
      <c r="DH355" s="223"/>
      <c r="DI355" s="223"/>
      <c r="DJ355" s="223"/>
      <c r="DK355" s="200"/>
      <c r="DL355" s="200"/>
      <c r="DM355" s="522"/>
      <c r="DN355" s="200"/>
      <c r="DO355" s="223"/>
      <c r="DP355" s="223"/>
      <c r="DQ355" s="223"/>
      <c r="DR355" s="223"/>
      <c r="DS355" s="223"/>
      <c r="DT355" s="223"/>
      <c r="DU355" s="200"/>
      <c r="DV355" s="200"/>
      <c r="DW355" s="522"/>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2"/>
      <c r="R356" s="200"/>
      <c r="S356" s="223"/>
      <c r="T356" s="223"/>
      <c r="U356" s="223"/>
      <c r="V356" s="223"/>
      <c r="W356" s="223"/>
      <c r="X356" s="223"/>
      <c r="Y356" s="200"/>
      <c r="Z356" s="200"/>
      <c r="AA356" s="522"/>
      <c r="AB356" s="200"/>
      <c r="AC356" s="223"/>
      <c r="AD356" s="223"/>
      <c r="AE356" s="223"/>
      <c r="AF356" s="223"/>
      <c r="AG356" s="223"/>
      <c r="AH356" s="223"/>
      <c r="AI356" s="200"/>
      <c r="AJ356" s="200"/>
      <c r="AK356" s="522"/>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2"/>
      <c r="BF356" s="200"/>
      <c r="BG356" s="223"/>
      <c r="BH356" s="223"/>
      <c r="BI356" s="223"/>
      <c r="BJ356" s="223"/>
      <c r="BK356" s="223"/>
      <c r="BL356" s="223"/>
      <c r="BM356" s="200"/>
      <c r="BN356" s="200"/>
      <c r="BO356" s="522"/>
      <c r="BP356" s="200"/>
      <c r="BQ356" s="223"/>
      <c r="BR356" s="223"/>
      <c r="BS356" s="223"/>
      <c r="BT356" s="223"/>
      <c r="BU356" s="223"/>
      <c r="BV356" s="223"/>
      <c r="BW356" s="223"/>
      <c r="BX356" s="200"/>
      <c r="BY356" s="522"/>
      <c r="BZ356" s="200"/>
      <c r="CA356" s="223"/>
      <c r="CB356" s="223"/>
      <c r="CC356" s="223"/>
      <c r="CD356" s="223"/>
      <c r="CE356" s="223"/>
      <c r="CF356" s="223"/>
      <c r="CG356" s="200"/>
      <c r="CH356" s="200"/>
      <c r="CI356" s="522"/>
      <c r="CJ356" s="200"/>
      <c r="CK356" s="223"/>
      <c r="CL356" s="223"/>
      <c r="CM356" s="223"/>
      <c r="CN356" s="223"/>
      <c r="CO356" s="223"/>
      <c r="CP356" s="223"/>
      <c r="CQ356" s="200"/>
      <c r="CR356" s="200"/>
      <c r="CS356" s="522"/>
      <c r="CT356" s="200"/>
      <c r="CU356" s="223"/>
      <c r="CV356" s="223"/>
      <c r="CW356" s="223"/>
      <c r="CX356" s="223"/>
      <c r="CY356" s="223"/>
      <c r="CZ356" s="223"/>
      <c r="DA356" s="223"/>
      <c r="DB356" s="200"/>
      <c r="DC356" s="522"/>
      <c r="DD356" s="200"/>
      <c r="DE356" s="223"/>
      <c r="DF356" s="223"/>
      <c r="DG356" s="223"/>
      <c r="DH356" s="223"/>
      <c r="DI356" s="223"/>
      <c r="DJ356" s="223"/>
      <c r="DK356" s="200"/>
      <c r="DL356" s="200"/>
      <c r="DM356" s="522"/>
      <c r="DN356" s="200"/>
      <c r="DO356" s="223"/>
      <c r="DP356" s="223"/>
      <c r="DQ356" s="223"/>
      <c r="DR356" s="223"/>
      <c r="DS356" s="223"/>
      <c r="DT356" s="223"/>
      <c r="DU356" s="200"/>
      <c r="DV356" s="200"/>
      <c r="DW356" s="522"/>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2"/>
      <c r="R357" s="200"/>
      <c r="S357" s="223"/>
      <c r="T357" s="223"/>
      <c r="U357" s="223"/>
      <c r="V357" s="223"/>
      <c r="W357" s="223"/>
      <c r="X357" s="223"/>
      <c r="Y357" s="200"/>
      <c r="Z357" s="200"/>
      <c r="AA357" s="522"/>
      <c r="AB357" s="200"/>
      <c r="AC357" s="223"/>
      <c r="AD357" s="223"/>
      <c r="AE357" s="223"/>
      <c r="AF357" s="223"/>
      <c r="AG357" s="223"/>
      <c r="AH357" s="223"/>
      <c r="AI357" s="200"/>
      <c r="AJ357" s="200"/>
      <c r="AK357" s="522"/>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2"/>
      <c r="BF357" s="200"/>
      <c r="BG357" s="223"/>
      <c r="BH357" s="223"/>
      <c r="BI357" s="223"/>
      <c r="BJ357" s="223"/>
      <c r="BK357" s="223"/>
      <c r="BL357" s="223"/>
      <c r="BM357" s="200"/>
      <c r="BN357" s="200"/>
      <c r="BO357" s="522"/>
      <c r="BP357" s="200"/>
      <c r="BQ357" s="223"/>
      <c r="BR357" s="223"/>
      <c r="BS357" s="223"/>
      <c r="BT357" s="223"/>
      <c r="BU357" s="223"/>
      <c r="BV357" s="223"/>
      <c r="BW357" s="223"/>
      <c r="BX357" s="200"/>
      <c r="BY357" s="522"/>
      <c r="BZ357" s="200"/>
      <c r="CA357" s="223"/>
      <c r="CB357" s="223"/>
      <c r="CC357" s="223"/>
      <c r="CD357" s="223"/>
      <c r="CE357" s="223"/>
      <c r="CF357" s="223"/>
      <c r="CG357" s="200"/>
      <c r="CH357" s="200"/>
      <c r="CI357" s="522"/>
      <c r="CJ357" s="200"/>
      <c r="CK357" s="223"/>
      <c r="CL357" s="223"/>
      <c r="CM357" s="223"/>
      <c r="CN357" s="223"/>
      <c r="CO357" s="223"/>
      <c r="CP357" s="223"/>
      <c r="CQ357" s="200"/>
      <c r="CR357" s="200"/>
      <c r="CS357" s="522"/>
      <c r="CT357" s="200"/>
      <c r="CU357" s="223"/>
      <c r="CV357" s="223"/>
      <c r="CW357" s="223"/>
      <c r="CX357" s="223"/>
      <c r="CY357" s="223"/>
      <c r="CZ357" s="223"/>
      <c r="DA357" s="223"/>
      <c r="DB357" s="200"/>
      <c r="DC357" s="522"/>
      <c r="DD357" s="200"/>
      <c r="DE357" s="223"/>
      <c r="DF357" s="223"/>
      <c r="DG357" s="223"/>
      <c r="DH357" s="223"/>
      <c r="DI357" s="223"/>
      <c r="DJ357" s="223"/>
      <c r="DK357" s="200"/>
      <c r="DL357" s="200"/>
      <c r="DM357" s="522"/>
      <c r="DN357" s="200"/>
      <c r="DO357" s="223"/>
      <c r="DP357" s="223"/>
      <c r="DQ357" s="223"/>
      <c r="DR357" s="223"/>
      <c r="DS357" s="223"/>
      <c r="DT357" s="223"/>
      <c r="DU357" s="200"/>
      <c r="DV357" s="200"/>
      <c r="DW357" s="522"/>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2"/>
      <c r="R358" s="200"/>
      <c r="S358" s="223"/>
      <c r="T358" s="223"/>
      <c r="U358" s="223"/>
      <c r="V358" s="223"/>
      <c r="W358" s="223"/>
      <c r="X358" s="223"/>
      <c r="Y358" s="200"/>
      <c r="Z358" s="200"/>
      <c r="AA358" s="522"/>
      <c r="AB358" s="200"/>
      <c r="AC358" s="223"/>
      <c r="AD358" s="223"/>
      <c r="AE358" s="223"/>
      <c r="AF358" s="223"/>
      <c r="AG358" s="223"/>
      <c r="AH358" s="223"/>
      <c r="AI358" s="200"/>
      <c r="AJ358" s="200"/>
      <c r="AK358" s="522"/>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2"/>
      <c r="BF358" s="200"/>
      <c r="BG358" s="223"/>
      <c r="BH358" s="223"/>
      <c r="BI358" s="223"/>
      <c r="BJ358" s="223"/>
      <c r="BK358" s="223"/>
      <c r="BL358" s="223"/>
      <c r="BM358" s="200"/>
      <c r="BN358" s="200"/>
      <c r="BO358" s="522"/>
      <c r="BP358" s="200"/>
      <c r="BQ358" s="223"/>
      <c r="BR358" s="223"/>
      <c r="BS358" s="223"/>
      <c r="BT358" s="223"/>
      <c r="BU358" s="223"/>
      <c r="BV358" s="223"/>
      <c r="BW358" s="223"/>
      <c r="BX358" s="200"/>
      <c r="BY358" s="522"/>
      <c r="BZ358" s="200"/>
      <c r="CA358" s="223"/>
      <c r="CB358" s="223"/>
      <c r="CC358" s="223"/>
      <c r="CD358" s="223"/>
      <c r="CE358" s="223"/>
      <c r="CF358" s="223"/>
      <c r="CG358" s="200"/>
      <c r="CH358" s="200"/>
      <c r="CI358" s="522"/>
      <c r="CJ358" s="200"/>
      <c r="CK358" s="223"/>
      <c r="CL358" s="223"/>
      <c r="CM358" s="223"/>
      <c r="CN358" s="223"/>
      <c r="CO358" s="223"/>
      <c r="CP358" s="223"/>
      <c r="CQ358" s="200"/>
      <c r="CR358" s="200"/>
      <c r="CS358" s="522"/>
      <c r="CT358" s="200"/>
      <c r="CU358" s="223"/>
      <c r="CV358" s="223"/>
      <c r="CW358" s="223"/>
      <c r="CX358" s="223"/>
      <c r="CY358" s="223"/>
      <c r="CZ358" s="223"/>
      <c r="DA358" s="223"/>
      <c r="DB358" s="200"/>
      <c r="DC358" s="522"/>
      <c r="DD358" s="200"/>
      <c r="DE358" s="223"/>
      <c r="DF358" s="223"/>
      <c r="DG358" s="223"/>
      <c r="DH358" s="223"/>
      <c r="DI358" s="223"/>
      <c r="DJ358" s="223"/>
      <c r="DK358" s="200"/>
      <c r="DL358" s="200"/>
      <c r="DM358" s="522"/>
      <c r="DN358" s="200"/>
      <c r="DO358" s="223"/>
      <c r="DP358" s="223"/>
      <c r="DQ358" s="223"/>
      <c r="DR358" s="223"/>
      <c r="DS358" s="223"/>
      <c r="DT358" s="223"/>
      <c r="DU358" s="200"/>
      <c r="DV358" s="200"/>
      <c r="DW358" s="522"/>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2"/>
      <c r="R359" s="200"/>
      <c r="S359" s="223"/>
      <c r="T359" s="223"/>
      <c r="U359" s="223"/>
      <c r="V359" s="223"/>
      <c r="W359" s="223"/>
      <c r="X359" s="223"/>
      <c r="Y359" s="200"/>
      <c r="Z359" s="200"/>
      <c r="AA359" s="522"/>
      <c r="AB359" s="200"/>
      <c r="AC359" s="223"/>
      <c r="AD359" s="223"/>
      <c r="AE359" s="223"/>
      <c r="AF359" s="223"/>
      <c r="AG359" s="223"/>
      <c r="AH359" s="223"/>
      <c r="AI359" s="200"/>
      <c r="AJ359" s="200"/>
      <c r="AK359" s="522"/>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2"/>
      <c r="BF359" s="200"/>
      <c r="BG359" s="223"/>
      <c r="BH359" s="223"/>
      <c r="BI359" s="223"/>
      <c r="BJ359" s="223"/>
      <c r="BK359" s="223"/>
      <c r="BL359" s="223"/>
      <c r="BM359" s="200"/>
      <c r="BN359" s="200"/>
      <c r="BO359" s="522"/>
      <c r="BP359" s="200"/>
      <c r="BQ359" s="223"/>
      <c r="BR359" s="223"/>
      <c r="BS359" s="223"/>
      <c r="BT359" s="223"/>
      <c r="BU359" s="223"/>
      <c r="BV359" s="223"/>
      <c r="BW359" s="223"/>
      <c r="BX359" s="200"/>
      <c r="BY359" s="522"/>
      <c r="BZ359" s="200"/>
      <c r="CA359" s="223"/>
      <c r="CB359" s="223"/>
      <c r="CC359" s="223"/>
      <c r="CD359" s="223"/>
      <c r="CE359" s="223"/>
      <c r="CF359" s="223"/>
      <c r="CG359" s="200"/>
      <c r="CH359" s="200"/>
      <c r="CI359" s="522"/>
      <c r="CJ359" s="200"/>
      <c r="CK359" s="223"/>
      <c r="CL359" s="223"/>
      <c r="CM359" s="223"/>
      <c r="CN359" s="223"/>
      <c r="CO359" s="223"/>
      <c r="CP359" s="223"/>
      <c r="CQ359" s="200"/>
      <c r="CR359" s="200"/>
      <c r="CS359" s="522"/>
      <c r="CT359" s="200"/>
      <c r="CU359" s="223"/>
      <c r="CV359" s="223"/>
      <c r="CW359" s="223"/>
      <c r="CX359" s="223"/>
      <c r="CY359" s="223"/>
      <c r="CZ359" s="223"/>
      <c r="DA359" s="223"/>
      <c r="DB359" s="200"/>
      <c r="DC359" s="522"/>
      <c r="DD359" s="200"/>
      <c r="DE359" s="223"/>
      <c r="DF359" s="223"/>
      <c r="DG359" s="223"/>
      <c r="DH359" s="223"/>
      <c r="DI359" s="223"/>
      <c r="DJ359" s="223"/>
      <c r="DK359" s="200"/>
      <c r="DL359" s="200"/>
      <c r="DM359" s="522"/>
      <c r="DN359" s="200"/>
      <c r="DO359" s="223"/>
      <c r="DP359" s="223"/>
      <c r="DQ359" s="223"/>
      <c r="DR359" s="223"/>
      <c r="DS359" s="223"/>
      <c r="DT359" s="223"/>
      <c r="DU359" s="200"/>
      <c r="DV359" s="200"/>
      <c r="DW359" s="522"/>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2"/>
      <c r="R360" s="200"/>
      <c r="S360" s="223"/>
      <c r="T360" s="223"/>
      <c r="U360" s="223"/>
      <c r="V360" s="223"/>
      <c r="W360" s="223"/>
      <c r="X360" s="223"/>
      <c r="Y360" s="200"/>
      <c r="Z360" s="200"/>
      <c r="AA360" s="522"/>
      <c r="AB360" s="200"/>
      <c r="AC360" s="223"/>
      <c r="AD360" s="223"/>
      <c r="AE360" s="223"/>
      <c r="AF360" s="223"/>
      <c r="AG360" s="223"/>
      <c r="AH360" s="223"/>
      <c r="AI360" s="200"/>
      <c r="AJ360" s="200"/>
      <c r="AK360" s="522"/>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2"/>
      <c r="BF360" s="200"/>
      <c r="BG360" s="223"/>
      <c r="BH360" s="223"/>
      <c r="BI360" s="223"/>
      <c r="BJ360" s="223"/>
      <c r="BK360" s="223"/>
      <c r="BL360" s="223"/>
      <c r="BM360" s="200"/>
      <c r="BN360" s="200"/>
      <c r="BO360" s="522"/>
      <c r="BP360" s="200"/>
      <c r="BQ360" s="223"/>
      <c r="BR360" s="223"/>
      <c r="BS360" s="223"/>
      <c r="BT360" s="223"/>
      <c r="BU360" s="223"/>
      <c r="BV360" s="223"/>
      <c r="BW360" s="223"/>
      <c r="BX360" s="200"/>
      <c r="BY360" s="522"/>
      <c r="BZ360" s="200"/>
      <c r="CA360" s="223"/>
      <c r="CB360" s="223"/>
      <c r="CC360" s="223"/>
      <c r="CD360" s="223"/>
      <c r="CE360" s="223"/>
      <c r="CF360" s="223"/>
      <c r="CG360" s="200"/>
      <c r="CH360" s="200"/>
      <c r="CI360" s="522"/>
      <c r="CJ360" s="200"/>
      <c r="CK360" s="223"/>
      <c r="CL360" s="223"/>
      <c r="CM360" s="223"/>
      <c r="CN360" s="223"/>
      <c r="CO360" s="223"/>
      <c r="CP360" s="223"/>
      <c r="CQ360" s="200"/>
      <c r="CR360" s="200"/>
      <c r="CS360" s="522"/>
      <c r="CT360" s="200"/>
      <c r="CU360" s="223"/>
      <c r="CV360" s="223"/>
      <c r="CW360" s="223"/>
      <c r="CX360" s="223"/>
      <c r="CY360" s="223"/>
      <c r="CZ360" s="223"/>
      <c r="DA360" s="223"/>
      <c r="DB360" s="200"/>
      <c r="DC360" s="522"/>
      <c r="DD360" s="200"/>
      <c r="DE360" s="223"/>
      <c r="DF360" s="223"/>
      <c r="DG360" s="223"/>
      <c r="DH360" s="223"/>
      <c r="DI360" s="223"/>
      <c r="DJ360" s="223"/>
      <c r="DK360" s="200"/>
      <c r="DL360" s="200"/>
      <c r="DM360" s="522"/>
      <c r="DN360" s="200"/>
      <c r="DO360" s="223"/>
      <c r="DP360" s="223"/>
      <c r="DQ360" s="223"/>
      <c r="DR360" s="223"/>
      <c r="DS360" s="223"/>
      <c r="DT360" s="223"/>
      <c r="DU360" s="200"/>
      <c r="DV360" s="200"/>
      <c r="DW360" s="522"/>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2"/>
      <c r="R361" s="200"/>
      <c r="S361" s="223"/>
      <c r="T361" s="223"/>
      <c r="U361" s="223"/>
      <c r="V361" s="223"/>
      <c r="W361" s="223"/>
      <c r="X361" s="223"/>
      <c r="Y361" s="200"/>
      <c r="Z361" s="200"/>
      <c r="AA361" s="522"/>
      <c r="AB361" s="200"/>
      <c r="AC361" s="223"/>
      <c r="AD361" s="223"/>
      <c r="AE361" s="223"/>
      <c r="AF361" s="223"/>
      <c r="AG361" s="223"/>
      <c r="AH361" s="223"/>
      <c r="AI361" s="200"/>
      <c r="AJ361" s="200"/>
      <c r="AK361" s="522"/>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2"/>
      <c r="BF361" s="200"/>
      <c r="BG361" s="223"/>
      <c r="BH361" s="223"/>
      <c r="BI361" s="223"/>
      <c r="BJ361" s="223"/>
      <c r="BK361" s="223"/>
      <c r="BL361" s="223"/>
      <c r="BM361" s="200"/>
      <c r="BN361" s="200"/>
      <c r="BO361" s="522"/>
      <c r="BP361" s="200"/>
      <c r="BQ361" s="223"/>
      <c r="BR361" s="223"/>
      <c r="BS361" s="223"/>
      <c r="BT361" s="223"/>
      <c r="BU361" s="223"/>
      <c r="BV361" s="223"/>
      <c r="BW361" s="223"/>
      <c r="BX361" s="200"/>
      <c r="BY361" s="522"/>
      <c r="BZ361" s="200"/>
      <c r="CA361" s="223"/>
      <c r="CB361" s="223"/>
      <c r="CC361" s="223"/>
      <c r="CD361" s="223"/>
      <c r="CE361" s="223"/>
      <c r="CF361" s="223"/>
      <c r="CG361" s="200"/>
      <c r="CH361" s="200"/>
      <c r="CI361" s="522"/>
      <c r="CJ361" s="200"/>
      <c r="CK361" s="223"/>
      <c r="CL361" s="223"/>
      <c r="CM361" s="223"/>
      <c r="CN361" s="223"/>
      <c r="CO361" s="223"/>
      <c r="CP361" s="223"/>
      <c r="CQ361" s="200"/>
      <c r="CR361" s="200"/>
      <c r="CS361" s="522"/>
      <c r="CT361" s="200"/>
      <c r="CU361" s="223"/>
      <c r="CV361" s="223"/>
      <c r="CW361" s="223"/>
      <c r="CX361" s="223"/>
      <c r="CY361" s="223"/>
      <c r="CZ361" s="223"/>
      <c r="DA361" s="223"/>
      <c r="DB361" s="200"/>
      <c r="DC361" s="522"/>
      <c r="DD361" s="200"/>
      <c r="DE361" s="223"/>
      <c r="DF361" s="223"/>
      <c r="DG361" s="223"/>
      <c r="DH361" s="223"/>
      <c r="DI361" s="223"/>
      <c r="DJ361" s="223"/>
      <c r="DK361" s="200"/>
      <c r="DL361" s="200"/>
      <c r="DM361" s="522"/>
      <c r="DN361" s="200"/>
      <c r="DO361" s="223"/>
      <c r="DP361" s="223"/>
      <c r="DQ361" s="223"/>
      <c r="DR361" s="223"/>
      <c r="DS361" s="223"/>
      <c r="DT361" s="223"/>
      <c r="DU361" s="200"/>
      <c r="DV361" s="200"/>
      <c r="DW361" s="522"/>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2"/>
      <c r="R362" s="200"/>
      <c r="S362" s="223"/>
      <c r="T362" s="223"/>
      <c r="U362" s="223"/>
      <c r="V362" s="223"/>
      <c r="W362" s="223"/>
      <c r="X362" s="223"/>
      <c r="Y362" s="200"/>
      <c r="Z362" s="200"/>
      <c r="AA362" s="522"/>
      <c r="AB362" s="200"/>
      <c r="AC362" s="223"/>
      <c r="AD362" s="223"/>
      <c r="AE362" s="223"/>
      <c r="AF362" s="223"/>
      <c r="AG362" s="223"/>
      <c r="AH362" s="223"/>
      <c r="AI362" s="200"/>
      <c r="AJ362" s="200"/>
      <c r="AK362" s="522"/>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2"/>
      <c r="BF362" s="200"/>
      <c r="BG362" s="223"/>
      <c r="BH362" s="223"/>
      <c r="BI362" s="223"/>
      <c r="BJ362" s="223"/>
      <c r="BK362" s="223"/>
      <c r="BL362" s="223"/>
      <c r="BM362" s="200"/>
      <c r="BN362" s="200"/>
      <c r="BO362" s="522"/>
      <c r="BP362" s="200"/>
      <c r="BQ362" s="223"/>
      <c r="BR362" s="223"/>
      <c r="BS362" s="223"/>
      <c r="BT362" s="223"/>
      <c r="BU362" s="223"/>
      <c r="BV362" s="223"/>
      <c r="BW362" s="223"/>
      <c r="BX362" s="200"/>
      <c r="BY362" s="522"/>
      <c r="BZ362" s="200"/>
      <c r="CA362" s="223"/>
      <c r="CB362" s="223"/>
      <c r="CC362" s="223"/>
      <c r="CD362" s="223"/>
      <c r="CE362" s="223"/>
      <c r="CF362" s="223"/>
      <c r="CG362" s="200"/>
      <c r="CH362" s="200"/>
      <c r="CI362" s="522"/>
      <c r="CJ362" s="200"/>
      <c r="CK362" s="223"/>
      <c r="CL362" s="223"/>
      <c r="CM362" s="223"/>
      <c r="CN362" s="223"/>
      <c r="CO362" s="223"/>
      <c r="CP362" s="223"/>
      <c r="CQ362" s="200"/>
      <c r="CR362" s="200"/>
      <c r="CS362" s="522"/>
      <c r="CT362" s="200"/>
      <c r="CU362" s="223"/>
      <c r="CV362" s="223"/>
      <c r="CW362" s="223"/>
      <c r="CX362" s="223"/>
      <c r="CY362" s="223"/>
      <c r="CZ362" s="223"/>
      <c r="DA362" s="223"/>
      <c r="DB362" s="200"/>
      <c r="DC362" s="522"/>
      <c r="DD362" s="200"/>
      <c r="DE362" s="223"/>
      <c r="DF362" s="223"/>
      <c r="DG362" s="223"/>
      <c r="DH362" s="223"/>
      <c r="DI362" s="223"/>
      <c r="DJ362" s="223"/>
      <c r="DK362" s="200"/>
      <c r="DL362" s="200"/>
      <c r="DM362" s="522"/>
      <c r="DN362" s="200"/>
      <c r="DO362" s="223"/>
      <c r="DP362" s="223"/>
      <c r="DQ362" s="223"/>
      <c r="DR362" s="223"/>
      <c r="DS362" s="223"/>
      <c r="DT362" s="223"/>
      <c r="DU362" s="200"/>
      <c r="DV362" s="200"/>
      <c r="DW362" s="522"/>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2"/>
      <c r="R363" s="200"/>
      <c r="S363" s="223"/>
      <c r="T363" s="223"/>
      <c r="U363" s="223"/>
      <c r="V363" s="223"/>
      <c r="W363" s="223"/>
      <c r="X363" s="223"/>
      <c r="Y363" s="200"/>
      <c r="Z363" s="200"/>
      <c r="AA363" s="522"/>
      <c r="AB363" s="200"/>
      <c r="AC363" s="223"/>
      <c r="AD363" s="223"/>
      <c r="AE363" s="223"/>
      <c r="AF363" s="223"/>
      <c r="AG363" s="223"/>
      <c r="AH363" s="223"/>
      <c r="AI363" s="200"/>
      <c r="AJ363" s="200"/>
      <c r="AK363" s="522"/>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2"/>
      <c r="BF363" s="200"/>
      <c r="BG363" s="223"/>
      <c r="BH363" s="223"/>
      <c r="BI363" s="223"/>
      <c r="BJ363" s="223"/>
      <c r="BK363" s="223"/>
      <c r="BL363" s="223"/>
      <c r="BM363" s="200"/>
      <c r="BN363" s="200"/>
      <c r="BO363" s="522"/>
      <c r="BP363" s="200"/>
      <c r="BQ363" s="223"/>
      <c r="BR363" s="223"/>
      <c r="BS363" s="223"/>
      <c r="BT363" s="223"/>
      <c r="BU363" s="223"/>
      <c r="BV363" s="223"/>
      <c r="BW363" s="223"/>
      <c r="BX363" s="200"/>
      <c r="BY363" s="522"/>
      <c r="BZ363" s="200"/>
      <c r="CA363" s="223"/>
      <c r="CB363" s="223"/>
      <c r="CC363" s="223"/>
      <c r="CD363" s="223"/>
      <c r="CE363" s="223"/>
      <c r="CF363" s="223"/>
      <c r="CG363" s="200"/>
      <c r="CH363" s="200"/>
      <c r="CI363" s="522"/>
      <c r="CJ363" s="200"/>
      <c r="CK363" s="223"/>
      <c r="CL363" s="223"/>
      <c r="CM363" s="223"/>
      <c r="CN363" s="223"/>
      <c r="CO363" s="223"/>
      <c r="CP363" s="223"/>
      <c r="CQ363" s="200"/>
      <c r="CR363" s="200"/>
      <c r="CS363" s="522"/>
      <c r="CT363" s="200"/>
      <c r="CU363" s="223"/>
      <c r="CV363" s="223"/>
      <c r="CW363" s="223"/>
      <c r="CX363" s="223"/>
      <c r="CY363" s="223"/>
      <c r="CZ363" s="223"/>
      <c r="DA363" s="223"/>
      <c r="DB363" s="200"/>
      <c r="DC363" s="522"/>
      <c r="DD363" s="200"/>
      <c r="DE363" s="223"/>
      <c r="DF363" s="223"/>
      <c r="DG363" s="223"/>
      <c r="DH363" s="223"/>
      <c r="DI363" s="223"/>
      <c r="DJ363" s="223"/>
      <c r="DK363" s="200"/>
      <c r="DL363" s="200"/>
      <c r="DM363" s="522"/>
      <c r="DN363" s="200"/>
      <c r="DO363" s="223"/>
      <c r="DP363" s="223"/>
      <c r="DQ363" s="223"/>
      <c r="DR363" s="223"/>
      <c r="DS363" s="223"/>
      <c r="DT363" s="223"/>
      <c r="DU363" s="200"/>
      <c r="DV363" s="200"/>
      <c r="DW363" s="522"/>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2"/>
      <c r="R364" s="200"/>
      <c r="S364" s="223"/>
      <c r="T364" s="223"/>
      <c r="U364" s="223"/>
      <c r="V364" s="223"/>
      <c r="W364" s="223"/>
      <c r="X364" s="223"/>
      <c r="Y364" s="200"/>
      <c r="Z364" s="200"/>
      <c r="AA364" s="522"/>
      <c r="AB364" s="200"/>
      <c r="AC364" s="223"/>
      <c r="AD364" s="223"/>
      <c r="AE364" s="223"/>
      <c r="AF364" s="223"/>
      <c r="AG364" s="223"/>
      <c r="AH364" s="223"/>
      <c r="AI364" s="200"/>
      <c r="AJ364" s="200"/>
      <c r="AK364" s="522"/>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2"/>
      <c r="BF364" s="200"/>
      <c r="BG364" s="223"/>
      <c r="BH364" s="223"/>
      <c r="BI364" s="223"/>
      <c r="BJ364" s="223"/>
      <c r="BK364" s="223"/>
      <c r="BL364" s="223"/>
      <c r="BM364" s="200"/>
      <c r="BN364" s="200"/>
      <c r="BO364" s="522"/>
      <c r="BP364" s="200"/>
      <c r="BQ364" s="223"/>
      <c r="BR364" s="223"/>
      <c r="BS364" s="223"/>
      <c r="BT364" s="223"/>
      <c r="BU364" s="223"/>
      <c r="BV364" s="223"/>
      <c r="BW364" s="223"/>
      <c r="BX364" s="200"/>
      <c r="BY364" s="522"/>
      <c r="BZ364" s="200"/>
      <c r="CA364" s="223"/>
      <c r="CB364" s="223"/>
      <c r="CC364" s="223"/>
      <c r="CD364" s="223"/>
      <c r="CE364" s="223"/>
      <c r="CF364" s="223"/>
      <c r="CG364" s="200"/>
      <c r="CH364" s="200"/>
      <c r="CI364" s="522"/>
      <c r="CJ364" s="200"/>
      <c r="CK364" s="223"/>
      <c r="CL364" s="223"/>
      <c r="CM364" s="223"/>
      <c r="CN364" s="223"/>
      <c r="CO364" s="223"/>
      <c r="CP364" s="223"/>
      <c r="CQ364" s="200"/>
      <c r="CR364" s="200"/>
      <c r="CS364" s="522"/>
      <c r="CT364" s="200"/>
      <c r="CU364" s="223"/>
      <c r="CV364" s="223"/>
      <c r="CW364" s="223"/>
      <c r="CX364" s="223"/>
      <c r="CY364" s="223"/>
      <c r="CZ364" s="223"/>
      <c r="DA364" s="223"/>
      <c r="DB364" s="200"/>
      <c r="DC364" s="522"/>
      <c r="DD364" s="200"/>
      <c r="DE364" s="223"/>
      <c r="DF364" s="223"/>
      <c r="DG364" s="223"/>
      <c r="DH364" s="223"/>
      <c r="DI364" s="223"/>
      <c r="DJ364" s="223"/>
      <c r="DK364" s="200"/>
      <c r="DL364" s="200"/>
      <c r="DM364" s="522"/>
      <c r="DN364" s="200"/>
      <c r="DO364" s="223"/>
      <c r="DP364" s="223"/>
      <c r="DQ364" s="223"/>
      <c r="DR364" s="223"/>
      <c r="DS364" s="223"/>
      <c r="DT364" s="223"/>
      <c r="DU364" s="200"/>
      <c r="DV364" s="200"/>
      <c r="DW364" s="522"/>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2"/>
      <c r="R365" s="200"/>
      <c r="S365" s="223"/>
      <c r="T365" s="223"/>
      <c r="U365" s="223"/>
      <c r="V365" s="223"/>
      <c r="W365" s="223"/>
      <c r="X365" s="223"/>
      <c r="Y365" s="200"/>
      <c r="Z365" s="200"/>
      <c r="AA365" s="522"/>
      <c r="AB365" s="200"/>
      <c r="AC365" s="223"/>
      <c r="AD365" s="223"/>
      <c r="AE365" s="223"/>
      <c r="AF365" s="223"/>
      <c r="AG365" s="223"/>
      <c r="AH365" s="223"/>
      <c r="AI365" s="200"/>
      <c r="AJ365" s="200"/>
      <c r="AK365" s="522"/>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2"/>
      <c r="BF365" s="200"/>
      <c r="BG365" s="223"/>
      <c r="BH365" s="223"/>
      <c r="BI365" s="223"/>
      <c r="BJ365" s="223"/>
      <c r="BK365" s="223"/>
      <c r="BL365" s="223"/>
      <c r="BM365" s="200"/>
      <c r="BN365" s="200"/>
      <c r="BO365" s="522"/>
      <c r="BP365" s="200"/>
      <c r="BQ365" s="223"/>
      <c r="BR365" s="223"/>
      <c r="BS365" s="223"/>
      <c r="BT365" s="223"/>
      <c r="BU365" s="223"/>
      <c r="BV365" s="223"/>
      <c r="BW365" s="223"/>
      <c r="BX365" s="200"/>
      <c r="BY365" s="522"/>
      <c r="BZ365" s="200"/>
      <c r="CA365" s="223"/>
      <c r="CB365" s="223"/>
      <c r="CC365" s="223"/>
      <c r="CD365" s="223"/>
      <c r="CE365" s="223"/>
      <c r="CF365" s="223"/>
      <c r="CG365" s="200"/>
      <c r="CH365" s="200"/>
      <c r="CI365" s="522"/>
      <c r="CJ365" s="200"/>
      <c r="CK365" s="223"/>
      <c r="CL365" s="223"/>
      <c r="CM365" s="223"/>
      <c r="CN365" s="223"/>
      <c r="CO365" s="223"/>
      <c r="CP365" s="223"/>
      <c r="CQ365" s="200"/>
      <c r="CR365" s="200"/>
      <c r="CS365" s="522"/>
      <c r="CT365" s="200"/>
      <c r="CU365" s="223"/>
      <c r="CV365" s="223"/>
      <c r="CW365" s="223"/>
      <c r="CX365" s="223"/>
      <c r="CY365" s="223"/>
      <c r="CZ365" s="223"/>
      <c r="DA365" s="223"/>
      <c r="DB365" s="200"/>
      <c r="DC365" s="522"/>
      <c r="DD365" s="200"/>
      <c r="DE365" s="223"/>
      <c r="DF365" s="223"/>
      <c r="DG365" s="223"/>
      <c r="DH365" s="223"/>
      <c r="DI365" s="223"/>
      <c r="DJ365" s="223"/>
      <c r="DK365" s="200"/>
      <c r="DL365" s="200"/>
      <c r="DM365" s="522"/>
      <c r="DN365" s="200"/>
      <c r="DO365" s="223"/>
      <c r="DP365" s="223"/>
      <c r="DQ365" s="223"/>
      <c r="DR365" s="223"/>
      <c r="DS365" s="223"/>
      <c r="DT365" s="223"/>
      <c r="DU365" s="200"/>
      <c r="DV365" s="200"/>
      <c r="DW365" s="522"/>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2"/>
      <c r="R366" s="200"/>
      <c r="S366" s="223"/>
      <c r="T366" s="223"/>
      <c r="U366" s="223"/>
      <c r="V366" s="223"/>
      <c r="W366" s="223"/>
      <c r="X366" s="223"/>
      <c r="Y366" s="200"/>
      <c r="Z366" s="200"/>
      <c r="AA366" s="522"/>
      <c r="AB366" s="200"/>
      <c r="AC366" s="223"/>
      <c r="AD366" s="223"/>
      <c r="AE366" s="223"/>
      <c r="AF366" s="223"/>
      <c r="AG366" s="223"/>
      <c r="AH366" s="223"/>
      <c r="AI366" s="200"/>
      <c r="AJ366" s="200"/>
      <c r="AK366" s="522"/>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2"/>
      <c r="BF366" s="200"/>
      <c r="BG366" s="223"/>
      <c r="BH366" s="223"/>
      <c r="BI366" s="223"/>
      <c r="BJ366" s="223"/>
      <c r="BK366" s="223"/>
      <c r="BL366" s="223"/>
      <c r="BM366" s="200"/>
      <c r="BN366" s="200"/>
      <c r="BO366" s="522"/>
      <c r="BP366" s="200"/>
      <c r="BQ366" s="223"/>
      <c r="BR366" s="223"/>
      <c r="BS366" s="223"/>
      <c r="BT366" s="223"/>
      <c r="BU366" s="223"/>
      <c r="BV366" s="223"/>
      <c r="BW366" s="223"/>
      <c r="BX366" s="200"/>
      <c r="BY366" s="522"/>
      <c r="BZ366" s="200"/>
      <c r="CA366" s="223"/>
      <c r="CB366" s="223"/>
      <c r="CC366" s="223"/>
      <c r="CD366" s="223"/>
      <c r="CE366" s="223"/>
      <c r="CF366" s="223"/>
      <c r="CG366" s="200"/>
      <c r="CH366" s="200"/>
      <c r="CI366" s="522"/>
      <c r="CJ366" s="200"/>
      <c r="CK366" s="223"/>
      <c r="CL366" s="223"/>
      <c r="CM366" s="223"/>
      <c r="CN366" s="223"/>
      <c r="CO366" s="223"/>
      <c r="CP366" s="223"/>
      <c r="CQ366" s="200"/>
      <c r="CR366" s="200"/>
      <c r="CS366" s="522"/>
      <c r="CT366" s="200"/>
      <c r="CU366" s="223"/>
      <c r="CV366" s="223"/>
      <c r="CW366" s="223"/>
      <c r="CX366" s="223"/>
      <c r="CY366" s="223"/>
      <c r="CZ366" s="223"/>
      <c r="DA366" s="223"/>
      <c r="DB366" s="200"/>
      <c r="DC366" s="522"/>
      <c r="DD366" s="200"/>
      <c r="DE366" s="223"/>
      <c r="DF366" s="223"/>
      <c r="DG366" s="223"/>
      <c r="DH366" s="223"/>
      <c r="DI366" s="223"/>
      <c r="DJ366" s="223"/>
      <c r="DK366" s="200"/>
      <c r="DL366" s="200"/>
      <c r="DM366" s="522"/>
      <c r="DN366" s="200"/>
      <c r="DO366" s="223"/>
      <c r="DP366" s="223"/>
      <c r="DQ366" s="223"/>
      <c r="DR366" s="223"/>
      <c r="DS366" s="223"/>
      <c r="DT366" s="223"/>
      <c r="DU366" s="200"/>
      <c r="DV366" s="200"/>
      <c r="DW366" s="522"/>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2"/>
      <c r="R367" s="200"/>
      <c r="S367" s="223"/>
      <c r="T367" s="223"/>
      <c r="U367" s="223"/>
      <c r="V367" s="223"/>
      <c r="W367" s="223"/>
      <c r="X367" s="223"/>
      <c r="Y367" s="200"/>
      <c r="Z367" s="200"/>
      <c r="AA367" s="522"/>
      <c r="AB367" s="200"/>
      <c r="AC367" s="223"/>
      <c r="AD367" s="223"/>
      <c r="AE367" s="223"/>
      <c r="AF367" s="223"/>
      <c r="AG367" s="223"/>
      <c r="AH367" s="223"/>
      <c r="AI367" s="200"/>
      <c r="AJ367" s="200"/>
      <c r="AK367" s="522"/>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2"/>
      <c r="BF367" s="200"/>
      <c r="BG367" s="223"/>
      <c r="BH367" s="223"/>
      <c r="BI367" s="223"/>
      <c r="BJ367" s="223"/>
      <c r="BK367" s="223"/>
      <c r="BL367" s="223"/>
      <c r="BM367" s="200"/>
      <c r="BN367" s="200"/>
      <c r="BO367" s="522"/>
      <c r="BP367" s="200"/>
      <c r="BQ367" s="223"/>
      <c r="BR367" s="223"/>
      <c r="BS367" s="223"/>
      <c r="BT367" s="223"/>
      <c r="BU367" s="223"/>
      <c r="BV367" s="223"/>
      <c r="BW367" s="223"/>
      <c r="BX367" s="200"/>
      <c r="BY367" s="522"/>
      <c r="BZ367" s="200"/>
      <c r="CA367" s="223"/>
      <c r="CB367" s="223"/>
      <c r="CC367" s="223"/>
      <c r="CD367" s="223"/>
      <c r="CE367" s="223"/>
      <c r="CF367" s="223"/>
      <c r="CG367" s="200"/>
      <c r="CH367" s="200"/>
      <c r="CI367" s="522"/>
      <c r="CJ367" s="200"/>
      <c r="CK367" s="223"/>
      <c r="CL367" s="223"/>
      <c r="CM367" s="223"/>
      <c r="CN367" s="223"/>
      <c r="CO367" s="223"/>
      <c r="CP367" s="223"/>
      <c r="CQ367" s="200"/>
      <c r="CR367" s="200"/>
      <c r="CS367" s="522"/>
      <c r="CT367" s="200"/>
      <c r="CU367" s="223"/>
      <c r="CV367" s="223"/>
      <c r="CW367" s="223"/>
      <c r="CX367" s="223"/>
      <c r="CY367" s="223"/>
      <c r="CZ367" s="223"/>
      <c r="DA367" s="223"/>
      <c r="DB367" s="200"/>
      <c r="DC367" s="522"/>
      <c r="DD367" s="200"/>
      <c r="DE367" s="223"/>
      <c r="DF367" s="223"/>
      <c r="DG367" s="223"/>
      <c r="DH367" s="223"/>
      <c r="DI367" s="223"/>
      <c r="DJ367" s="223"/>
      <c r="DK367" s="200"/>
      <c r="DL367" s="200"/>
      <c r="DM367" s="522"/>
      <c r="DN367" s="200"/>
      <c r="DO367" s="223"/>
      <c r="DP367" s="223"/>
      <c r="DQ367" s="223"/>
      <c r="DR367" s="223"/>
      <c r="DS367" s="223"/>
      <c r="DT367" s="223"/>
      <c r="DU367" s="200"/>
      <c r="DV367" s="200"/>
      <c r="DW367" s="522"/>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2"/>
      <c r="R368" s="200"/>
      <c r="S368" s="223"/>
      <c r="T368" s="223"/>
      <c r="U368" s="223"/>
      <c r="V368" s="223"/>
      <c r="W368" s="223"/>
      <c r="X368" s="223"/>
      <c r="Y368" s="200"/>
      <c r="Z368" s="200"/>
      <c r="AA368" s="522"/>
      <c r="AB368" s="200"/>
      <c r="AC368" s="223"/>
      <c r="AD368" s="223"/>
      <c r="AE368" s="223"/>
      <c r="AF368" s="223"/>
      <c r="AG368" s="223"/>
      <c r="AH368" s="223"/>
      <c r="AI368" s="200"/>
      <c r="AJ368" s="200"/>
      <c r="AK368" s="522"/>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2"/>
      <c r="BF368" s="200"/>
      <c r="BG368" s="223"/>
      <c r="BH368" s="223"/>
      <c r="BI368" s="223"/>
      <c r="BJ368" s="223"/>
      <c r="BK368" s="223"/>
      <c r="BL368" s="223"/>
      <c r="BM368" s="200"/>
      <c r="BN368" s="200"/>
      <c r="BO368" s="522"/>
      <c r="BP368" s="200"/>
      <c r="BQ368" s="223"/>
      <c r="BR368" s="223"/>
      <c r="BS368" s="223"/>
      <c r="BT368" s="223"/>
      <c r="BU368" s="223"/>
      <c r="BV368" s="223"/>
      <c r="BW368" s="223"/>
      <c r="BX368" s="200"/>
      <c r="BY368" s="522"/>
      <c r="BZ368" s="200"/>
      <c r="CA368" s="223"/>
      <c r="CB368" s="223"/>
      <c r="CC368" s="223"/>
      <c r="CD368" s="223"/>
      <c r="CE368" s="223"/>
      <c r="CF368" s="223"/>
      <c r="CG368" s="200"/>
      <c r="CH368" s="200"/>
      <c r="CI368" s="522"/>
      <c r="CJ368" s="200"/>
      <c r="CK368" s="223"/>
      <c r="CL368" s="223"/>
      <c r="CM368" s="223"/>
      <c r="CN368" s="223"/>
      <c r="CO368" s="223"/>
      <c r="CP368" s="223"/>
      <c r="CQ368" s="200"/>
      <c r="CR368" s="200"/>
      <c r="CS368" s="522"/>
      <c r="CT368" s="200"/>
      <c r="CU368" s="223"/>
      <c r="CV368" s="223"/>
      <c r="CW368" s="223"/>
      <c r="CX368" s="223"/>
      <c r="CY368" s="223"/>
      <c r="CZ368" s="223"/>
      <c r="DA368" s="223"/>
      <c r="DB368" s="200"/>
      <c r="DC368" s="522"/>
      <c r="DD368" s="200"/>
      <c r="DE368" s="223"/>
      <c r="DF368" s="223"/>
      <c r="DG368" s="223"/>
      <c r="DH368" s="223"/>
      <c r="DI368" s="223"/>
      <c r="DJ368" s="223"/>
      <c r="DK368" s="200"/>
      <c r="DL368" s="200"/>
      <c r="DM368" s="522"/>
      <c r="DN368" s="200"/>
      <c r="DO368" s="223"/>
      <c r="DP368" s="223"/>
      <c r="DQ368" s="223"/>
      <c r="DR368" s="223"/>
      <c r="DS368" s="223"/>
      <c r="DT368" s="223"/>
      <c r="DU368" s="200"/>
      <c r="DV368" s="200"/>
      <c r="DW368" s="522"/>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2"/>
      <c r="R369" s="200"/>
      <c r="S369" s="223"/>
      <c r="T369" s="223"/>
      <c r="U369" s="223"/>
      <c r="V369" s="223"/>
      <c r="W369" s="223"/>
      <c r="X369" s="223"/>
      <c r="Y369" s="200"/>
      <c r="Z369" s="200"/>
      <c r="AA369" s="522"/>
      <c r="AB369" s="200"/>
      <c r="AC369" s="223"/>
      <c r="AD369" s="223"/>
      <c r="AE369" s="223"/>
      <c r="AF369" s="223"/>
      <c r="AG369" s="223"/>
      <c r="AH369" s="223"/>
      <c r="AI369" s="200"/>
      <c r="AJ369" s="200"/>
      <c r="AK369" s="522"/>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2"/>
      <c r="BF369" s="200"/>
      <c r="BG369" s="223"/>
      <c r="BH369" s="223"/>
      <c r="BI369" s="223"/>
      <c r="BJ369" s="223"/>
      <c r="BK369" s="223"/>
      <c r="BL369" s="223"/>
      <c r="BM369" s="200"/>
      <c r="BN369" s="200"/>
      <c r="BO369" s="522"/>
      <c r="BP369" s="200"/>
      <c r="BQ369" s="223"/>
      <c r="BR369" s="223"/>
      <c r="BS369" s="223"/>
      <c r="BT369" s="223"/>
      <c r="BU369" s="223"/>
      <c r="BV369" s="223"/>
      <c r="BW369" s="223"/>
      <c r="BX369" s="200"/>
      <c r="BY369" s="522"/>
      <c r="BZ369" s="200"/>
      <c r="CA369" s="223"/>
      <c r="CB369" s="223"/>
      <c r="CC369" s="223"/>
      <c r="CD369" s="223"/>
      <c r="CE369" s="223"/>
      <c r="CF369" s="223"/>
      <c r="CG369" s="200"/>
      <c r="CH369" s="200"/>
      <c r="CI369" s="522"/>
      <c r="CJ369" s="200"/>
      <c r="CK369" s="223"/>
      <c r="CL369" s="223"/>
      <c r="CM369" s="223"/>
      <c r="CN369" s="223"/>
      <c r="CO369" s="223"/>
      <c r="CP369" s="223"/>
      <c r="CQ369" s="200"/>
      <c r="CR369" s="200"/>
      <c r="CS369" s="522"/>
      <c r="CT369" s="200"/>
      <c r="CU369" s="223"/>
      <c r="CV369" s="223"/>
      <c r="CW369" s="223"/>
      <c r="CX369" s="223"/>
      <c r="CY369" s="223"/>
      <c r="CZ369" s="223"/>
      <c r="DA369" s="223"/>
      <c r="DB369" s="200"/>
      <c r="DC369" s="522"/>
      <c r="DD369" s="200"/>
      <c r="DE369" s="223"/>
      <c r="DF369" s="223"/>
      <c r="DG369" s="223"/>
      <c r="DH369" s="223"/>
      <c r="DI369" s="223"/>
      <c r="DJ369" s="223"/>
      <c r="DK369" s="200"/>
      <c r="DL369" s="200"/>
      <c r="DM369" s="522"/>
      <c r="DN369" s="200"/>
      <c r="DO369" s="223"/>
      <c r="DP369" s="223"/>
      <c r="DQ369" s="223"/>
      <c r="DR369" s="223"/>
      <c r="DS369" s="223"/>
      <c r="DT369" s="223"/>
      <c r="DU369" s="200"/>
      <c r="DV369" s="200"/>
      <c r="DW369" s="522"/>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2"/>
      <c r="R370" s="200"/>
      <c r="S370" s="223"/>
      <c r="T370" s="223"/>
      <c r="U370" s="223"/>
      <c r="V370" s="223"/>
      <c r="W370" s="223"/>
      <c r="X370" s="223"/>
      <c r="Y370" s="200"/>
      <c r="Z370" s="200"/>
      <c r="AA370" s="522"/>
      <c r="AB370" s="200"/>
      <c r="AC370" s="223"/>
      <c r="AD370" s="223"/>
      <c r="AE370" s="223"/>
      <c r="AF370" s="223"/>
      <c r="AG370" s="223"/>
      <c r="AH370" s="223"/>
      <c r="AI370" s="200"/>
      <c r="AJ370" s="200"/>
      <c r="AK370" s="522"/>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2"/>
      <c r="BF370" s="200"/>
      <c r="BG370" s="223"/>
      <c r="BH370" s="223"/>
      <c r="BI370" s="223"/>
      <c r="BJ370" s="223"/>
      <c r="BK370" s="223"/>
      <c r="BL370" s="223"/>
      <c r="BM370" s="200"/>
      <c r="BN370" s="200"/>
      <c r="BO370" s="522"/>
      <c r="BP370" s="200"/>
      <c r="BQ370" s="223"/>
      <c r="BR370" s="223"/>
      <c r="BS370" s="223"/>
      <c r="BT370" s="223"/>
      <c r="BU370" s="223"/>
      <c r="BV370" s="223"/>
      <c r="BW370" s="223"/>
      <c r="BX370" s="200"/>
      <c r="BY370" s="522"/>
      <c r="BZ370" s="200"/>
      <c r="CA370" s="223"/>
      <c r="CB370" s="223"/>
      <c r="CC370" s="223"/>
      <c r="CD370" s="223"/>
      <c r="CE370" s="223"/>
      <c r="CF370" s="223"/>
      <c r="CG370" s="200"/>
      <c r="CH370" s="200"/>
      <c r="CI370" s="522"/>
      <c r="CJ370" s="200"/>
      <c r="CK370" s="223"/>
      <c r="CL370" s="223"/>
      <c r="CM370" s="223"/>
      <c r="CN370" s="223"/>
      <c r="CO370" s="223"/>
      <c r="CP370" s="223"/>
      <c r="CQ370" s="200"/>
      <c r="CR370" s="200"/>
      <c r="CS370" s="522"/>
      <c r="CT370" s="200"/>
      <c r="CU370" s="223"/>
      <c r="CV370" s="223"/>
      <c r="CW370" s="223"/>
      <c r="CX370" s="223"/>
      <c r="CY370" s="223"/>
      <c r="CZ370" s="223"/>
      <c r="DA370" s="223"/>
      <c r="DB370" s="200"/>
      <c r="DC370" s="522"/>
      <c r="DD370" s="200"/>
      <c r="DE370" s="223"/>
      <c r="DF370" s="223"/>
      <c r="DG370" s="223"/>
      <c r="DH370" s="223"/>
      <c r="DI370" s="223"/>
      <c r="DJ370" s="223"/>
      <c r="DK370" s="200"/>
      <c r="DL370" s="200"/>
      <c r="DM370" s="522"/>
      <c r="DN370" s="200"/>
      <c r="DO370" s="223"/>
      <c r="DP370" s="223"/>
      <c r="DQ370" s="223"/>
      <c r="DR370" s="223"/>
      <c r="DS370" s="223"/>
      <c r="DT370" s="223"/>
      <c r="DU370" s="200"/>
      <c r="DV370" s="200"/>
      <c r="DW370" s="522"/>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2"/>
      <c r="R371" s="200"/>
      <c r="S371" s="223"/>
      <c r="T371" s="223"/>
      <c r="U371" s="223"/>
      <c r="V371" s="223"/>
      <c r="W371" s="223"/>
      <c r="X371" s="223"/>
      <c r="Y371" s="200"/>
      <c r="Z371" s="200"/>
      <c r="AA371" s="522"/>
      <c r="AB371" s="200"/>
      <c r="AC371" s="223"/>
      <c r="AD371" s="223"/>
      <c r="AE371" s="223"/>
      <c r="AF371" s="223"/>
      <c r="AG371" s="223"/>
      <c r="AH371" s="223"/>
      <c r="AI371" s="200"/>
      <c r="AJ371" s="200"/>
      <c r="AK371" s="522"/>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2"/>
      <c r="BF371" s="200"/>
      <c r="BG371" s="223"/>
      <c r="BH371" s="223"/>
      <c r="BI371" s="223"/>
      <c r="BJ371" s="223"/>
      <c r="BK371" s="223"/>
      <c r="BL371" s="223"/>
      <c r="BM371" s="200"/>
      <c r="BN371" s="200"/>
      <c r="BO371" s="522"/>
      <c r="BP371" s="200"/>
      <c r="BQ371" s="223"/>
      <c r="BR371" s="223"/>
      <c r="BS371" s="223"/>
      <c r="BT371" s="223"/>
      <c r="BU371" s="223"/>
      <c r="BV371" s="223"/>
      <c r="BW371" s="223"/>
      <c r="BX371" s="200"/>
      <c r="BY371" s="522"/>
      <c r="BZ371" s="200"/>
      <c r="CA371" s="223"/>
      <c r="CB371" s="223"/>
      <c r="CC371" s="223"/>
      <c r="CD371" s="223"/>
      <c r="CE371" s="223"/>
      <c r="CF371" s="223"/>
      <c r="CG371" s="200"/>
      <c r="CH371" s="200"/>
      <c r="CI371" s="522"/>
      <c r="CJ371" s="200"/>
      <c r="CK371" s="223"/>
      <c r="CL371" s="223"/>
      <c r="CM371" s="223"/>
      <c r="CN371" s="223"/>
      <c r="CO371" s="223"/>
      <c r="CP371" s="223"/>
      <c r="CQ371" s="200"/>
      <c r="CR371" s="200"/>
      <c r="CS371" s="522"/>
      <c r="CT371" s="200"/>
      <c r="CU371" s="223"/>
      <c r="CV371" s="223"/>
      <c r="CW371" s="223"/>
      <c r="CX371" s="223"/>
      <c r="CY371" s="223"/>
      <c r="CZ371" s="223"/>
      <c r="DA371" s="223"/>
      <c r="DB371" s="200"/>
      <c r="DC371" s="522"/>
      <c r="DD371" s="200"/>
      <c r="DE371" s="223"/>
      <c r="DF371" s="223"/>
      <c r="DG371" s="223"/>
      <c r="DH371" s="223"/>
      <c r="DI371" s="223"/>
      <c r="DJ371" s="223"/>
      <c r="DK371" s="200"/>
      <c r="DL371" s="200"/>
      <c r="DM371" s="522"/>
      <c r="DN371" s="200"/>
      <c r="DO371" s="223"/>
      <c r="DP371" s="223"/>
      <c r="DQ371" s="223"/>
      <c r="DR371" s="223"/>
      <c r="DS371" s="223"/>
      <c r="DT371" s="223"/>
      <c r="DU371" s="200"/>
      <c r="DV371" s="200"/>
      <c r="DW371" s="522"/>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2"/>
      <c r="R372" s="200"/>
      <c r="S372" s="223"/>
      <c r="T372" s="223"/>
      <c r="U372" s="223"/>
      <c r="V372" s="223"/>
      <c r="W372" s="223"/>
      <c r="X372" s="223"/>
      <c r="Y372" s="200"/>
      <c r="Z372" s="200"/>
      <c r="AA372" s="522"/>
      <c r="AB372" s="200"/>
      <c r="AC372" s="223"/>
      <c r="AD372" s="223"/>
      <c r="AE372" s="223"/>
      <c r="AF372" s="223"/>
      <c r="AG372" s="223"/>
      <c r="AH372" s="223"/>
      <c r="AI372" s="200"/>
      <c r="AJ372" s="200"/>
      <c r="AK372" s="522"/>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2"/>
      <c r="BF372" s="200"/>
      <c r="BG372" s="223"/>
      <c r="BH372" s="223"/>
      <c r="BI372" s="223"/>
      <c r="BJ372" s="223"/>
      <c r="BK372" s="223"/>
      <c r="BL372" s="223"/>
      <c r="BM372" s="200"/>
      <c r="BN372" s="200"/>
      <c r="BO372" s="522"/>
      <c r="BP372" s="200"/>
      <c r="BQ372" s="223"/>
      <c r="BR372" s="223"/>
      <c r="BS372" s="223"/>
      <c r="BT372" s="223"/>
      <c r="BU372" s="223"/>
      <c r="BV372" s="223"/>
      <c r="BW372" s="223"/>
      <c r="BX372" s="200"/>
      <c r="BY372" s="522"/>
      <c r="BZ372" s="200"/>
      <c r="CA372" s="223"/>
      <c r="CB372" s="223"/>
      <c r="CC372" s="223"/>
      <c r="CD372" s="223"/>
      <c r="CE372" s="223"/>
      <c r="CF372" s="223"/>
      <c r="CG372" s="200"/>
      <c r="CH372" s="200"/>
      <c r="CI372" s="522"/>
      <c r="CJ372" s="200"/>
      <c r="CK372" s="223"/>
      <c r="CL372" s="223"/>
      <c r="CM372" s="223"/>
      <c r="CN372" s="223"/>
      <c r="CO372" s="223"/>
      <c r="CP372" s="223"/>
      <c r="CQ372" s="200"/>
      <c r="CR372" s="200"/>
      <c r="CS372" s="522"/>
      <c r="CT372" s="200"/>
      <c r="CU372" s="223"/>
      <c r="CV372" s="223"/>
      <c r="CW372" s="223"/>
      <c r="CX372" s="223"/>
      <c r="CY372" s="223"/>
      <c r="CZ372" s="223"/>
      <c r="DA372" s="223"/>
      <c r="DB372" s="200"/>
      <c r="DC372" s="522"/>
      <c r="DD372" s="200"/>
      <c r="DE372" s="223"/>
      <c r="DF372" s="223"/>
      <c r="DG372" s="223"/>
      <c r="DH372" s="223"/>
      <c r="DI372" s="223"/>
      <c r="DJ372" s="223"/>
      <c r="DK372" s="200"/>
      <c r="DL372" s="200"/>
      <c r="DM372" s="522"/>
      <c r="DN372" s="200"/>
      <c r="DO372" s="223"/>
      <c r="DP372" s="223"/>
      <c r="DQ372" s="223"/>
      <c r="DR372" s="223"/>
      <c r="DS372" s="223"/>
      <c r="DT372" s="223"/>
      <c r="DU372" s="200"/>
      <c r="DV372" s="200"/>
      <c r="DW372" s="522"/>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2"/>
      <c r="R373" s="200"/>
      <c r="S373" s="223"/>
      <c r="T373" s="223"/>
      <c r="U373" s="223"/>
      <c r="V373" s="223"/>
      <c r="W373" s="223"/>
      <c r="X373" s="223"/>
      <c r="Y373" s="200"/>
      <c r="Z373" s="200"/>
      <c r="AA373" s="522"/>
      <c r="AB373" s="200"/>
      <c r="AC373" s="223"/>
      <c r="AD373" s="223"/>
      <c r="AE373" s="223"/>
      <c r="AF373" s="223"/>
      <c r="AG373" s="223"/>
      <c r="AH373" s="223"/>
      <c r="AI373" s="200"/>
      <c r="AJ373" s="200"/>
      <c r="AK373" s="522"/>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2"/>
      <c r="BF373" s="200"/>
      <c r="BG373" s="223"/>
      <c r="BH373" s="223"/>
      <c r="BI373" s="223"/>
      <c r="BJ373" s="223"/>
      <c r="BK373" s="223"/>
      <c r="BL373" s="223"/>
      <c r="BM373" s="200"/>
      <c r="BN373" s="200"/>
      <c r="BO373" s="522"/>
      <c r="BP373" s="200"/>
      <c r="BQ373" s="223"/>
      <c r="BR373" s="223"/>
      <c r="BS373" s="223"/>
      <c r="BT373" s="223"/>
      <c r="BU373" s="223"/>
      <c r="BV373" s="223"/>
      <c r="BW373" s="223"/>
      <c r="BX373" s="200"/>
      <c r="BY373" s="522"/>
      <c r="BZ373" s="200"/>
      <c r="CA373" s="223"/>
      <c r="CB373" s="223"/>
      <c r="CC373" s="223"/>
      <c r="CD373" s="223"/>
      <c r="CE373" s="223"/>
      <c r="CF373" s="223"/>
      <c r="CG373" s="200"/>
      <c r="CH373" s="200"/>
      <c r="CI373" s="522"/>
      <c r="CJ373" s="200"/>
      <c r="CK373" s="223"/>
      <c r="CL373" s="223"/>
      <c r="CM373" s="223"/>
      <c r="CN373" s="223"/>
      <c r="CO373" s="223"/>
      <c r="CP373" s="223"/>
      <c r="CQ373" s="200"/>
      <c r="CR373" s="200"/>
      <c r="CS373" s="522"/>
      <c r="CT373" s="200"/>
      <c r="CU373" s="223"/>
      <c r="CV373" s="223"/>
      <c r="CW373" s="223"/>
      <c r="CX373" s="223"/>
      <c r="CY373" s="223"/>
      <c r="CZ373" s="223"/>
      <c r="DA373" s="223"/>
      <c r="DB373" s="200"/>
      <c r="DC373" s="522"/>
      <c r="DD373" s="200"/>
      <c r="DE373" s="223"/>
      <c r="DF373" s="223"/>
      <c r="DG373" s="223"/>
      <c r="DH373" s="223"/>
      <c r="DI373" s="223"/>
      <c r="DJ373" s="223"/>
      <c r="DK373" s="200"/>
      <c r="DL373" s="200"/>
      <c r="DM373" s="522"/>
      <c r="DN373" s="200"/>
      <c r="DO373" s="223"/>
      <c r="DP373" s="223"/>
      <c r="DQ373" s="223"/>
      <c r="DR373" s="223"/>
      <c r="DS373" s="223"/>
      <c r="DT373" s="223"/>
      <c r="DU373" s="200"/>
      <c r="DV373" s="200"/>
      <c r="DW373" s="522"/>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2"/>
      <c r="R374" s="200"/>
      <c r="S374" s="223"/>
      <c r="T374" s="223"/>
      <c r="U374" s="223"/>
      <c r="V374" s="223"/>
      <c r="W374" s="223"/>
      <c r="X374" s="223"/>
      <c r="Y374" s="200"/>
      <c r="Z374" s="200"/>
      <c r="AA374" s="522"/>
      <c r="AB374" s="200"/>
      <c r="AC374" s="223"/>
      <c r="AD374" s="223"/>
      <c r="AE374" s="223"/>
      <c r="AF374" s="223"/>
      <c r="AG374" s="223"/>
      <c r="AH374" s="223"/>
      <c r="AI374" s="200"/>
      <c r="AJ374" s="200"/>
      <c r="AK374" s="522"/>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2"/>
      <c r="BF374" s="200"/>
      <c r="BG374" s="223"/>
      <c r="BH374" s="223"/>
      <c r="BI374" s="223"/>
      <c r="BJ374" s="223"/>
      <c r="BK374" s="223"/>
      <c r="BL374" s="223"/>
      <c r="BM374" s="200"/>
      <c r="BN374" s="200"/>
      <c r="BO374" s="522"/>
      <c r="BP374" s="200"/>
      <c r="BQ374" s="223"/>
      <c r="BR374" s="223"/>
      <c r="BS374" s="223"/>
      <c r="BT374" s="223"/>
      <c r="BU374" s="223"/>
      <c r="BV374" s="223"/>
      <c r="BW374" s="223"/>
      <c r="BX374" s="200"/>
      <c r="BY374" s="522"/>
      <c r="BZ374" s="200"/>
      <c r="CA374" s="223"/>
      <c r="CB374" s="223"/>
      <c r="CC374" s="223"/>
      <c r="CD374" s="223"/>
      <c r="CE374" s="223"/>
      <c r="CF374" s="223"/>
      <c r="CG374" s="200"/>
      <c r="CH374" s="200"/>
      <c r="CI374" s="522"/>
      <c r="CJ374" s="200"/>
      <c r="CK374" s="223"/>
      <c r="CL374" s="223"/>
      <c r="CM374" s="223"/>
      <c r="CN374" s="223"/>
      <c r="CO374" s="223"/>
      <c r="CP374" s="223"/>
      <c r="CQ374" s="200"/>
      <c r="CR374" s="200"/>
      <c r="CS374" s="522"/>
      <c r="CT374" s="200"/>
      <c r="CU374" s="223"/>
      <c r="CV374" s="223"/>
      <c r="CW374" s="223"/>
      <c r="CX374" s="223"/>
      <c r="CY374" s="223"/>
      <c r="CZ374" s="223"/>
      <c r="DA374" s="223"/>
      <c r="DB374" s="200"/>
      <c r="DC374" s="522"/>
      <c r="DD374" s="200"/>
      <c r="DE374" s="223"/>
      <c r="DF374" s="223"/>
      <c r="DG374" s="223"/>
      <c r="DH374" s="223"/>
      <c r="DI374" s="223"/>
      <c r="DJ374" s="223"/>
      <c r="DK374" s="200"/>
      <c r="DL374" s="200"/>
      <c r="DM374" s="522"/>
      <c r="DN374" s="200"/>
      <c r="DO374" s="223"/>
      <c r="DP374" s="223"/>
      <c r="DQ374" s="223"/>
      <c r="DR374" s="223"/>
      <c r="DS374" s="223"/>
      <c r="DT374" s="223"/>
      <c r="DU374" s="200"/>
      <c r="DV374" s="200"/>
      <c r="DW374" s="522"/>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2"/>
      <c r="R375" s="200"/>
      <c r="S375" s="223"/>
      <c r="T375" s="223"/>
      <c r="U375" s="223"/>
      <c r="V375" s="223"/>
      <c r="W375" s="223"/>
      <c r="X375" s="223"/>
      <c r="Y375" s="200"/>
      <c r="Z375" s="200"/>
      <c r="AA375" s="522"/>
      <c r="AB375" s="200"/>
      <c r="AC375" s="223"/>
      <c r="AD375" s="223"/>
      <c r="AE375" s="223"/>
      <c r="AF375" s="223"/>
      <c r="AG375" s="223"/>
      <c r="AH375" s="223"/>
      <c r="AI375" s="200"/>
      <c r="AJ375" s="200"/>
      <c r="AK375" s="522"/>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2"/>
      <c r="BF375" s="200"/>
      <c r="BG375" s="223"/>
      <c r="BH375" s="223"/>
      <c r="BI375" s="223"/>
      <c r="BJ375" s="223"/>
      <c r="BK375" s="223"/>
      <c r="BL375" s="223"/>
      <c r="BM375" s="200"/>
      <c r="BN375" s="200"/>
      <c r="BO375" s="522"/>
      <c r="BP375" s="200"/>
      <c r="BQ375" s="223"/>
      <c r="BR375" s="223"/>
      <c r="BS375" s="223"/>
      <c r="BT375" s="223"/>
      <c r="BU375" s="223"/>
      <c r="BV375" s="223"/>
      <c r="BW375" s="223"/>
      <c r="BX375" s="200"/>
      <c r="BY375" s="522"/>
      <c r="BZ375" s="200"/>
      <c r="CA375" s="223"/>
      <c r="CB375" s="223"/>
      <c r="CC375" s="223"/>
      <c r="CD375" s="223"/>
      <c r="CE375" s="223"/>
      <c r="CF375" s="223"/>
      <c r="CG375" s="200"/>
      <c r="CH375" s="200"/>
      <c r="CI375" s="522"/>
      <c r="CJ375" s="200"/>
      <c r="CK375" s="223"/>
      <c r="CL375" s="223"/>
      <c r="CM375" s="223"/>
      <c r="CN375" s="223"/>
      <c r="CO375" s="223"/>
      <c r="CP375" s="223"/>
      <c r="CQ375" s="200"/>
      <c r="CR375" s="200"/>
      <c r="CS375" s="522"/>
      <c r="CT375" s="200"/>
      <c r="CU375" s="223"/>
      <c r="CV375" s="223"/>
      <c r="CW375" s="223"/>
      <c r="CX375" s="223"/>
      <c r="CY375" s="223"/>
      <c r="CZ375" s="223"/>
      <c r="DA375" s="223"/>
      <c r="DB375" s="200"/>
      <c r="DC375" s="522"/>
      <c r="DD375" s="200"/>
      <c r="DE375" s="223"/>
      <c r="DF375" s="223"/>
      <c r="DG375" s="223"/>
      <c r="DH375" s="223"/>
      <c r="DI375" s="223"/>
      <c r="DJ375" s="223"/>
      <c r="DK375" s="200"/>
      <c r="DL375" s="200"/>
      <c r="DM375" s="522"/>
      <c r="DN375" s="200"/>
      <c r="DO375" s="223"/>
      <c r="DP375" s="223"/>
      <c r="DQ375" s="223"/>
      <c r="DR375" s="223"/>
      <c r="DS375" s="223"/>
      <c r="DT375" s="223"/>
      <c r="DU375" s="200"/>
      <c r="DV375" s="200"/>
      <c r="DW375" s="522"/>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2"/>
      <c r="R376" s="200"/>
      <c r="S376" s="223"/>
      <c r="T376" s="223"/>
      <c r="U376" s="223"/>
      <c r="V376" s="223"/>
      <c r="W376" s="223"/>
      <c r="X376" s="223"/>
      <c r="Y376" s="200"/>
      <c r="Z376" s="200"/>
      <c r="AA376" s="522"/>
      <c r="AB376" s="200"/>
      <c r="AC376" s="223"/>
      <c r="AD376" s="223"/>
      <c r="AE376" s="223"/>
      <c r="AF376" s="223"/>
      <c r="AG376" s="223"/>
      <c r="AH376" s="223"/>
      <c r="AI376" s="200"/>
      <c r="AJ376" s="200"/>
      <c r="AK376" s="522"/>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2"/>
      <c r="BF376" s="200"/>
      <c r="BG376" s="223"/>
      <c r="BH376" s="223"/>
      <c r="BI376" s="223"/>
      <c r="BJ376" s="223"/>
      <c r="BK376" s="223"/>
      <c r="BL376" s="223"/>
      <c r="BM376" s="200"/>
      <c r="BN376" s="200"/>
      <c r="BO376" s="522"/>
      <c r="BP376" s="200"/>
      <c r="BQ376" s="223"/>
      <c r="BR376" s="223"/>
      <c r="BS376" s="223"/>
      <c r="BT376" s="223"/>
      <c r="BU376" s="223"/>
      <c r="BV376" s="223"/>
      <c r="BW376" s="223"/>
      <c r="BX376" s="200"/>
      <c r="BY376" s="522"/>
      <c r="BZ376" s="200"/>
      <c r="CA376" s="223"/>
      <c r="CB376" s="223"/>
      <c r="CC376" s="223"/>
      <c r="CD376" s="223"/>
      <c r="CE376" s="223"/>
      <c r="CF376" s="223"/>
      <c r="CG376" s="200"/>
      <c r="CH376" s="200"/>
      <c r="CI376" s="522"/>
      <c r="CJ376" s="200"/>
      <c r="CK376" s="223"/>
      <c r="CL376" s="223"/>
      <c r="CM376" s="223"/>
      <c r="CN376" s="223"/>
      <c r="CO376" s="223"/>
      <c r="CP376" s="223"/>
      <c r="CQ376" s="200"/>
      <c r="CR376" s="200"/>
      <c r="CS376" s="522"/>
      <c r="CT376" s="200"/>
      <c r="CU376" s="223"/>
      <c r="CV376" s="223"/>
      <c r="CW376" s="223"/>
      <c r="CX376" s="223"/>
      <c r="CY376" s="223"/>
      <c r="CZ376" s="223"/>
      <c r="DA376" s="223"/>
      <c r="DB376" s="200"/>
      <c r="DC376" s="522"/>
      <c r="DD376" s="200"/>
      <c r="DE376" s="223"/>
      <c r="DF376" s="223"/>
      <c r="DG376" s="223"/>
      <c r="DH376" s="223"/>
      <c r="DI376" s="223"/>
      <c r="DJ376" s="223"/>
      <c r="DK376" s="200"/>
      <c r="DL376" s="200"/>
      <c r="DM376" s="522"/>
      <c r="DN376" s="200"/>
      <c r="DO376" s="223"/>
      <c r="DP376" s="223"/>
      <c r="DQ376" s="223"/>
      <c r="DR376" s="223"/>
      <c r="DS376" s="223"/>
      <c r="DT376" s="223"/>
      <c r="DU376" s="200"/>
      <c r="DV376" s="200"/>
      <c r="DW376" s="522"/>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2"/>
      <c r="R377" s="200"/>
      <c r="S377" s="223"/>
      <c r="T377" s="223"/>
      <c r="U377" s="223"/>
      <c r="V377" s="223"/>
      <c r="W377" s="223"/>
      <c r="X377" s="223"/>
      <c r="Y377" s="200"/>
      <c r="Z377" s="200"/>
      <c r="AA377" s="522"/>
      <c r="AB377" s="200"/>
      <c r="AC377" s="223"/>
      <c r="AD377" s="223"/>
      <c r="AE377" s="223"/>
      <c r="AF377" s="223"/>
      <c r="AG377" s="223"/>
      <c r="AH377" s="223"/>
      <c r="AI377" s="200"/>
      <c r="AJ377" s="200"/>
      <c r="AK377" s="522"/>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2"/>
      <c r="BF377" s="200"/>
      <c r="BG377" s="223"/>
      <c r="BH377" s="223"/>
      <c r="BI377" s="223"/>
      <c r="BJ377" s="223"/>
      <c r="BK377" s="223"/>
      <c r="BL377" s="223"/>
      <c r="BM377" s="200"/>
      <c r="BN377" s="200"/>
      <c r="BO377" s="522"/>
      <c r="BP377" s="200"/>
      <c r="BQ377" s="223"/>
      <c r="BR377" s="223"/>
      <c r="BS377" s="223"/>
      <c r="BT377" s="223"/>
      <c r="BU377" s="223"/>
      <c r="BV377" s="223"/>
      <c r="BW377" s="223"/>
      <c r="BX377" s="200"/>
      <c r="BY377" s="522"/>
      <c r="BZ377" s="200"/>
      <c r="CA377" s="223"/>
      <c r="CB377" s="223"/>
      <c r="CC377" s="223"/>
      <c r="CD377" s="223"/>
      <c r="CE377" s="223"/>
      <c r="CF377" s="223"/>
      <c r="CG377" s="200"/>
      <c r="CH377" s="200"/>
      <c r="CI377" s="522"/>
      <c r="CJ377" s="200"/>
      <c r="CK377" s="223"/>
      <c r="CL377" s="223"/>
      <c r="CM377" s="223"/>
      <c r="CN377" s="223"/>
      <c r="CO377" s="223"/>
      <c r="CP377" s="223"/>
      <c r="CQ377" s="200"/>
      <c r="CR377" s="200"/>
      <c r="CS377" s="522"/>
      <c r="CT377" s="200"/>
      <c r="CU377" s="223"/>
      <c r="CV377" s="223"/>
      <c r="CW377" s="223"/>
      <c r="CX377" s="223"/>
      <c r="CY377" s="223"/>
      <c r="CZ377" s="223"/>
      <c r="DA377" s="223"/>
      <c r="DB377" s="200"/>
      <c r="DC377" s="522"/>
      <c r="DD377" s="200"/>
      <c r="DE377" s="223"/>
      <c r="DF377" s="223"/>
      <c r="DG377" s="223"/>
      <c r="DH377" s="223"/>
      <c r="DI377" s="223"/>
      <c r="DJ377" s="223"/>
      <c r="DK377" s="200"/>
      <c r="DL377" s="200"/>
      <c r="DM377" s="522"/>
      <c r="DN377" s="200"/>
      <c r="DO377" s="223"/>
      <c r="DP377" s="223"/>
      <c r="DQ377" s="223"/>
      <c r="DR377" s="223"/>
      <c r="DS377" s="223"/>
      <c r="DT377" s="223"/>
      <c r="DU377" s="200"/>
      <c r="DV377" s="200"/>
      <c r="DW377" s="522"/>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2"/>
      <c r="R378" s="200"/>
      <c r="S378" s="223"/>
      <c r="T378" s="223"/>
      <c r="U378" s="223"/>
      <c r="V378" s="223"/>
      <c r="W378" s="223"/>
      <c r="X378" s="223"/>
      <c r="Y378" s="200"/>
      <c r="Z378" s="200"/>
      <c r="AA378" s="522"/>
      <c r="AB378" s="200"/>
      <c r="AC378" s="223"/>
      <c r="AD378" s="223"/>
      <c r="AE378" s="223"/>
      <c r="AF378" s="223"/>
      <c r="AG378" s="223"/>
      <c r="AH378" s="223"/>
      <c r="AI378" s="200"/>
      <c r="AJ378" s="200"/>
      <c r="AK378" s="522"/>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2"/>
      <c r="BF378" s="200"/>
      <c r="BG378" s="223"/>
      <c r="BH378" s="223"/>
      <c r="BI378" s="223"/>
      <c r="BJ378" s="223"/>
      <c r="BK378" s="223"/>
      <c r="BL378" s="223"/>
      <c r="BM378" s="200"/>
      <c r="BN378" s="200"/>
      <c r="BO378" s="522"/>
      <c r="BP378" s="200"/>
      <c r="BQ378" s="223"/>
      <c r="BR378" s="223"/>
      <c r="BS378" s="223"/>
      <c r="BT378" s="223"/>
      <c r="BU378" s="223"/>
      <c r="BV378" s="223"/>
      <c r="BW378" s="223"/>
      <c r="BX378" s="200"/>
      <c r="BY378" s="522"/>
      <c r="BZ378" s="200"/>
      <c r="CA378" s="223"/>
      <c r="CB378" s="223"/>
      <c r="CC378" s="223"/>
      <c r="CD378" s="223"/>
      <c r="CE378" s="223"/>
      <c r="CF378" s="223"/>
      <c r="CG378" s="200"/>
      <c r="CH378" s="200"/>
      <c r="CI378" s="522"/>
      <c r="CJ378" s="200"/>
      <c r="CK378" s="223"/>
      <c r="CL378" s="223"/>
      <c r="CM378" s="223"/>
      <c r="CN378" s="223"/>
      <c r="CO378" s="223"/>
      <c r="CP378" s="223"/>
      <c r="CQ378" s="200"/>
      <c r="CR378" s="200"/>
      <c r="CS378" s="522"/>
      <c r="CT378" s="200"/>
      <c r="CU378" s="223"/>
      <c r="CV378" s="223"/>
      <c r="CW378" s="223"/>
      <c r="CX378" s="223"/>
      <c r="CY378" s="223"/>
      <c r="CZ378" s="223"/>
      <c r="DA378" s="223"/>
      <c r="DB378" s="200"/>
      <c r="DC378" s="522"/>
      <c r="DD378" s="200"/>
      <c r="DE378" s="223"/>
      <c r="DF378" s="223"/>
      <c r="DG378" s="223"/>
      <c r="DH378" s="223"/>
      <c r="DI378" s="223"/>
      <c r="DJ378" s="223"/>
      <c r="DK378" s="200"/>
      <c r="DL378" s="200"/>
      <c r="DM378" s="522"/>
      <c r="DN378" s="200"/>
      <c r="DO378" s="223"/>
      <c r="DP378" s="223"/>
      <c r="DQ378" s="223"/>
      <c r="DR378" s="223"/>
      <c r="DS378" s="223"/>
      <c r="DT378" s="223"/>
      <c r="DU378" s="200"/>
      <c r="DV378" s="200"/>
      <c r="DW378" s="522"/>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2"/>
      <c r="R379" s="200"/>
      <c r="S379" s="223"/>
      <c r="T379" s="223"/>
      <c r="U379" s="223"/>
      <c r="V379" s="223"/>
      <c r="W379" s="223"/>
      <c r="X379" s="223"/>
      <c r="Y379" s="200"/>
      <c r="Z379" s="200"/>
      <c r="AA379" s="522"/>
      <c r="AB379" s="200"/>
      <c r="AC379" s="223"/>
      <c r="AD379" s="223"/>
      <c r="AE379" s="223"/>
      <c r="AF379" s="223"/>
      <c r="AG379" s="223"/>
      <c r="AH379" s="223"/>
      <c r="AI379" s="200"/>
      <c r="AJ379" s="200"/>
      <c r="AK379" s="522"/>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2"/>
      <c r="BF379" s="200"/>
      <c r="BG379" s="223"/>
      <c r="BH379" s="223"/>
      <c r="BI379" s="223"/>
      <c r="BJ379" s="223"/>
      <c r="BK379" s="223"/>
      <c r="BL379" s="223"/>
      <c r="BM379" s="200"/>
      <c r="BN379" s="200"/>
      <c r="BO379" s="522"/>
      <c r="BP379" s="200"/>
      <c r="BQ379" s="223"/>
      <c r="BR379" s="223"/>
      <c r="BS379" s="223"/>
      <c r="BT379" s="223"/>
      <c r="BU379" s="223"/>
      <c r="BV379" s="223"/>
      <c r="BW379" s="223"/>
      <c r="BX379" s="200"/>
      <c r="BY379" s="522"/>
      <c r="BZ379" s="200"/>
      <c r="CA379" s="223"/>
      <c r="CB379" s="223"/>
      <c r="CC379" s="223"/>
      <c r="CD379" s="223"/>
      <c r="CE379" s="223"/>
      <c r="CF379" s="223"/>
      <c r="CG379" s="200"/>
      <c r="CH379" s="200"/>
      <c r="CI379" s="522"/>
      <c r="CJ379" s="200"/>
      <c r="CK379" s="223"/>
      <c r="CL379" s="223"/>
      <c r="CM379" s="223"/>
      <c r="CN379" s="223"/>
      <c r="CO379" s="223"/>
      <c r="CP379" s="223"/>
      <c r="CQ379" s="200"/>
      <c r="CR379" s="200"/>
      <c r="CS379" s="522"/>
      <c r="CT379" s="200"/>
      <c r="CU379" s="223"/>
      <c r="CV379" s="223"/>
      <c r="CW379" s="223"/>
      <c r="CX379" s="223"/>
      <c r="CY379" s="223"/>
      <c r="CZ379" s="223"/>
      <c r="DA379" s="223"/>
      <c r="DB379" s="200"/>
      <c r="DC379" s="522"/>
      <c r="DD379" s="200"/>
      <c r="DE379" s="223"/>
      <c r="DF379" s="223"/>
      <c r="DG379" s="223"/>
      <c r="DH379" s="223"/>
      <c r="DI379" s="223"/>
      <c r="DJ379" s="223"/>
      <c r="DK379" s="200"/>
      <c r="DL379" s="200"/>
      <c r="DM379" s="522"/>
      <c r="DN379" s="200"/>
      <c r="DO379" s="223"/>
      <c r="DP379" s="223"/>
      <c r="DQ379" s="223"/>
      <c r="DR379" s="223"/>
      <c r="DS379" s="223"/>
      <c r="DT379" s="223"/>
      <c r="DU379" s="200"/>
      <c r="DV379" s="200"/>
      <c r="DW379" s="522"/>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2"/>
      <c r="R380" s="200"/>
      <c r="S380" s="223"/>
      <c r="T380" s="223"/>
      <c r="U380" s="223"/>
      <c r="V380" s="223"/>
      <c r="W380" s="223"/>
      <c r="X380" s="223"/>
      <c r="Y380" s="200"/>
      <c r="Z380" s="200"/>
      <c r="AA380" s="522"/>
      <c r="AB380" s="200"/>
      <c r="AC380" s="223"/>
      <c r="AD380" s="223"/>
      <c r="AE380" s="223"/>
      <c r="AF380" s="223"/>
      <c r="AG380" s="223"/>
      <c r="AH380" s="223"/>
      <c r="AI380" s="200"/>
      <c r="AJ380" s="200"/>
      <c r="AK380" s="522"/>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2"/>
      <c r="BF380" s="200"/>
      <c r="BG380" s="223"/>
      <c r="BH380" s="223"/>
      <c r="BI380" s="223"/>
      <c r="BJ380" s="223"/>
      <c r="BK380" s="223"/>
      <c r="BL380" s="223"/>
      <c r="BM380" s="200"/>
      <c r="BN380" s="200"/>
      <c r="BO380" s="522"/>
      <c r="BP380" s="200"/>
      <c r="BQ380" s="223"/>
      <c r="BR380" s="223"/>
      <c r="BS380" s="223"/>
      <c r="BT380" s="223"/>
      <c r="BU380" s="223"/>
      <c r="BV380" s="223"/>
      <c r="BW380" s="223"/>
      <c r="BX380" s="200"/>
      <c r="BY380" s="522"/>
      <c r="BZ380" s="200"/>
      <c r="CA380" s="223"/>
      <c r="CB380" s="223"/>
      <c r="CC380" s="223"/>
      <c r="CD380" s="223"/>
      <c r="CE380" s="223"/>
      <c r="CF380" s="223"/>
      <c r="CG380" s="200"/>
      <c r="CH380" s="200"/>
      <c r="CI380" s="522"/>
      <c r="CJ380" s="200"/>
      <c r="CK380" s="223"/>
      <c r="CL380" s="223"/>
      <c r="CM380" s="223"/>
      <c r="CN380" s="223"/>
      <c r="CO380" s="223"/>
      <c r="CP380" s="223"/>
      <c r="CQ380" s="200"/>
      <c r="CR380" s="200"/>
      <c r="CS380" s="522"/>
      <c r="CT380" s="200"/>
      <c r="CU380" s="223"/>
      <c r="CV380" s="223"/>
      <c r="CW380" s="223"/>
      <c r="CX380" s="223"/>
      <c r="CY380" s="223"/>
      <c r="CZ380" s="223"/>
      <c r="DA380" s="223"/>
      <c r="DB380" s="200"/>
      <c r="DC380" s="522"/>
      <c r="DD380" s="200"/>
      <c r="DE380" s="223"/>
      <c r="DF380" s="223"/>
      <c r="DG380" s="223"/>
      <c r="DH380" s="223"/>
      <c r="DI380" s="223"/>
      <c r="DJ380" s="223"/>
      <c r="DK380" s="200"/>
      <c r="DL380" s="200"/>
      <c r="DM380" s="522"/>
      <c r="DN380" s="200"/>
      <c r="DO380" s="223"/>
      <c r="DP380" s="223"/>
      <c r="DQ380" s="223"/>
      <c r="DR380" s="223"/>
      <c r="DS380" s="223"/>
      <c r="DT380" s="223"/>
      <c r="DU380" s="200"/>
      <c r="DV380" s="200"/>
      <c r="DW380" s="522"/>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2"/>
      <c r="R381" s="200"/>
      <c r="S381" s="223"/>
      <c r="T381" s="223"/>
      <c r="U381" s="223"/>
      <c r="V381" s="223"/>
      <c r="W381" s="223"/>
      <c r="X381" s="223"/>
      <c r="Y381" s="200"/>
      <c r="Z381" s="200"/>
      <c r="AA381" s="522"/>
      <c r="AB381" s="200"/>
      <c r="AC381" s="223"/>
      <c r="AD381" s="223"/>
      <c r="AE381" s="223"/>
      <c r="AF381" s="223"/>
      <c r="AG381" s="223"/>
      <c r="AH381" s="223"/>
      <c r="AI381" s="200"/>
      <c r="AJ381" s="200"/>
      <c r="AK381" s="522"/>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2"/>
      <c r="BF381" s="200"/>
      <c r="BG381" s="223"/>
      <c r="BH381" s="223"/>
      <c r="BI381" s="223"/>
      <c r="BJ381" s="223"/>
      <c r="BK381" s="223"/>
      <c r="BL381" s="223"/>
      <c r="BM381" s="200"/>
      <c r="BN381" s="200"/>
      <c r="BO381" s="522"/>
      <c r="BP381" s="200"/>
      <c r="BQ381" s="223"/>
      <c r="BR381" s="223"/>
      <c r="BS381" s="223"/>
      <c r="BT381" s="223"/>
      <c r="BU381" s="223"/>
      <c r="BV381" s="223"/>
      <c r="BW381" s="223"/>
      <c r="BX381" s="200"/>
      <c r="BY381" s="522"/>
      <c r="BZ381" s="200"/>
      <c r="CA381" s="223"/>
      <c r="CB381" s="223"/>
      <c r="CC381" s="223"/>
      <c r="CD381" s="223"/>
      <c r="CE381" s="223"/>
      <c r="CF381" s="223"/>
      <c r="CG381" s="200"/>
      <c r="CH381" s="200"/>
      <c r="CI381" s="522"/>
      <c r="CJ381" s="200"/>
      <c r="CK381" s="223"/>
      <c r="CL381" s="223"/>
      <c r="CM381" s="223"/>
      <c r="CN381" s="223"/>
      <c r="CO381" s="223"/>
      <c r="CP381" s="223"/>
      <c r="CQ381" s="200"/>
      <c r="CR381" s="200"/>
      <c r="CS381" s="522"/>
      <c r="CT381" s="200"/>
      <c r="CU381" s="223"/>
      <c r="CV381" s="223"/>
      <c r="CW381" s="223"/>
      <c r="CX381" s="223"/>
      <c r="CY381" s="223"/>
      <c r="CZ381" s="223"/>
      <c r="DA381" s="223"/>
      <c r="DB381" s="200"/>
      <c r="DC381" s="522"/>
      <c r="DD381" s="200"/>
      <c r="DE381" s="223"/>
      <c r="DF381" s="223"/>
      <c r="DG381" s="223"/>
      <c r="DH381" s="223"/>
      <c r="DI381" s="223"/>
      <c r="DJ381" s="223"/>
      <c r="DK381" s="200"/>
      <c r="DL381" s="200"/>
      <c r="DM381" s="522"/>
      <c r="DN381" s="200"/>
      <c r="DO381" s="223"/>
      <c r="DP381" s="223"/>
      <c r="DQ381" s="223"/>
      <c r="DR381" s="223"/>
      <c r="DS381" s="223"/>
      <c r="DT381" s="223"/>
      <c r="DU381" s="200"/>
      <c r="DV381" s="200"/>
      <c r="DW381" s="522"/>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2"/>
      <c r="R382" s="200"/>
      <c r="S382" s="223"/>
      <c r="T382" s="223"/>
      <c r="U382" s="223"/>
      <c r="V382" s="223"/>
      <c r="W382" s="223"/>
      <c r="X382" s="223"/>
      <c r="Y382" s="200"/>
      <c r="Z382" s="200"/>
      <c r="AA382" s="522"/>
      <c r="AB382" s="200"/>
      <c r="AC382" s="223"/>
      <c r="AD382" s="223"/>
      <c r="AE382" s="223"/>
      <c r="AF382" s="223"/>
      <c r="AG382" s="223"/>
      <c r="AH382" s="223"/>
      <c r="AI382" s="200"/>
      <c r="AJ382" s="200"/>
      <c r="AK382" s="522"/>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2"/>
      <c r="BF382" s="200"/>
      <c r="BG382" s="223"/>
      <c r="BH382" s="223"/>
      <c r="BI382" s="223"/>
      <c r="BJ382" s="223"/>
      <c r="BK382" s="223"/>
      <c r="BL382" s="223"/>
      <c r="BM382" s="200"/>
      <c r="BN382" s="200"/>
      <c r="BO382" s="522"/>
      <c r="BP382" s="200"/>
      <c r="BQ382" s="223"/>
      <c r="BR382" s="223"/>
      <c r="BS382" s="223"/>
      <c r="BT382" s="223"/>
      <c r="BU382" s="223"/>
      <c r="BV382" s="223"/>
      <c r="BW382" s="223"/>
      <c r="BX382" s="200"/>
      <c r="BY382" s="522"/>
      <c r="BZ382" s="200"/>
      <c r="CA382" s="223"/>
      <c r="CB382" s="223"/>
      <c r="CC382" s="223"/>
      <c r="CD382" s="223"/>
      <c r="CE382" s="223"/>
      <c r="CF382" s="223"/>
      <c r="CG382" s="200"/>
      <c r="CH382" s="200"/>
      <c r="CI382" s="522"/>
      <c r="CJ382" s="200"/>
      <c r="CK382" s="223"/>
      <c r="CL382" s="223"/>
      <c r="CM382" s="223"/>
      <c r="CN382" s="223"/>
      <c r="CO382" s="223"/>
      <c r="CP382" s="223"/>
      <c r="CQ382" s="200"/>
      <c r="CR382" s="200"/>
      <c r="CS382" s="522"/>
      <c r="CT382" s="200"/>
      <c r="CU382" s="223"/>
      <c r="CV382" s="223"/>
      <c r="CW382" s="223"/>
      <c r="CX382" s="223"/>
      <c r="CY382" s="223"/>
      <c r="CZ382" s="223"/>
      <c r="DA382" s="223"/>
      <c r="DB382" s="200"/>
      <c r="DC382" s="522"/>
      <c r="DD382" s="200"/>
      <c r="DE382" s="223"/>
      <c r="DF382" s="223"/>
      <c r="DG382" s="223"/>
      <c r="DH382" s="223"/>
      <c r="DI382" s="223"/>
      <c r="DJ382" s="223"/>
      <c r="DK382" s="200"/>
      <c r="DL382" s="200"/>
      <c r="DM382" s="522"/>
      <c r="DN382" s="200"/>
      <c r="DO382" s="223"/>
      <c r="DP382" s="223"/>
      <c r="DQ382" s="223"/>
      <c r="DR382" s="223"/>
      <c r="DS382" s="223"/>
      <c r="DT382" s="223"/>
      <c r="DU382" s="200"/>
      <c r="DV382" s="200"/>
      <c r="DW382" s="522"/>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2"/>
      <c r="R383" s="200"/>
      <c r="S383" s="223"/>
      <c r="T383" s="223"/>
      <c r="U383" s="223"/>
      <c r="V383" s="223"/>
      <c r="W383" s="223"/>
      <c r="X383" s="223"/>
      <c r="Y383" s="200"/>
      <c r="Z383" s="200"/>
      <c r="AA383" s="522"/>
      <c r="AB383" s="200"/>
      <c r="AC383" s="223"/>
      <c r="AD383" s="223"/>
      <c r="AE383" s="223"/>
      <c r="AF383" s="223"/>
      <c r="AG383" s="223"/>
      <c r="AH383" s="223"/>
      <c r="AI383" s="200"/>
      <c r="AJ383" s="200"/>
      <c r="AK383" s="522"/>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2"/>
      <c r="BF383" s="200"/>
      <c r="BG383" s="223"/>
      <c r="BH383" s="223"/>
      <c r="BI383" s="223"/>
      <c r="BJ383" s="223"/>
      <c r="BK383" s="223"/>
      <c r="BL383" s="223"/>
      <c r="BM383" s="200"/>
      <c r="BN383" s="200"/>
      <c r="BO383" s="522"/>
      <c r="BP383" s="200"/>
      <c r="BQ383" s="223"/>
      <c r="BR383" s="223"/>
      <c r="BS383" s="223"/>
      <c r="BT383" s="223"/>
      <c r="BU383" s="223"/>
      <c r="BV383" s="223"/>
      <c r="BW383" s="223"/>
      <c r="BX383" s="200"/>
      <c r="BY383" s="522"/>
      <c r="BZ383" s="200"/>
      <c r="CA383" s="223"/>
      <c r="CB383" s="223"/>
      <c r="CC383" s="223"/>
      <c r="CD383" s="223"/>
      <c r="CE383" s="223"/>
      <c r="CF383" s="223"/>
      <c r="CG383" s="200"/>
      <c r="CH383" s="200"/>
      <c r="CI383" s="522"/>
      <c r="CJ383" s="200"/>
      <c r="CK383" s="223"/>
      <c r="CL383" s="223"/>
      <c r="CM383" s="223"/>
      <c r="CN383" s="223"/>
      <c r="CO383" s="223"/>
      <c r="CP383" s="223"/>
      <c r="CQ383" s="200"/>
      <c r="CR383" s="200"/>
      <c r="CS383" s="522"/>
      <c r="CT383" s="200"/>
      <c r="CU383" s="223"/>
      <c r="CV383" s="223"/>
      <c r="CW383" s="223"/>
      <c r="CX383" s="223"/>
      <c r="CY383" s="223"/>
      <c r="CZ383" s="223"/>
      <c r="DA383" s="223"/>
      <c r="DB383" s="200"/>
      <c r="DC383" s="522"/>
      <c r="DD383" s="200"/>
      <c r="DE383" s="223"/>
      <c r="DF383" s="223"/>
      <c r="DG383" s="223"/>
      <c r="DH383" s="223"/>
      <c r="DI383" s="223"/>
      <c r="DJ383" s="223"/>
      <c r="DK383" s="200"/>
      <c r="DL383" s="200"/>
      <c r="DM383" s="522"/>
      <c r="DN383" s="200"/>
      <c r="DO383" s="223"/>
      <c r="DP383" s="223"/>
      <c r="DQ383" s="223"/>
      <c r="DR383" s="223"/>
      <c r="DS383" s="223"/>
      <c r="DT383" s="223"/>
      <c r="DU383" s="200"/>
      <c r="DV383" s="200"/>
      <c r="DW383" s="522"/>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2"/>
      <c r="R384" s="200"/>
      <c r="S384" s="223"/>
      <c r="T384" s="223"/>
      <c r="U384" s="223"/>
      <c r="V384" s="223"/>
      <c r="W384" s="223"/>
      <c r="X384" s="223"/>
      <c r="Y384" s="200"/>
      <c r="Z384" s="200"/>
      <c r="AA384" s="522"/>
      <c r="AB384" s="200"/>
      <c r="AC384" s="223"/>
      <c r="AD384" s="223"/>
      <c r="AE384" s="223"/>
      <c r="AF384" s="223"/>
      <c r="AG384" s="223"/>
      <c r="AH384" s="223"/>
      <c r="AI384" s="200"/>
      <c r="AJ384" s="200"/>
      <c r="AK384" s="522"/>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2"/>
      <c r="BF384" s="200"/>
      <c r="BG384" s="223"/>
      <c r="BH384" s="223"/>
      <c r="BI384" s="223"/>
      <c r="BJ384" s="223"/>
      <c r="BK384" s="223"/>
      <c r="BL384" s="223"/>
      <c r="BM384" s="200"/>
      <c r="BN384" s="200"/>
      <c r="BO384" s="522"/>
      <c r="BP384" s="200"/>
      <c r="BQ384" s="223"/>
      <c r="BR384" s="223"/>
      <c r="BS384" s="223"/>
      <c r="BT384" s="223"/>
      <c r="BU384" s="223"/>
      <c r="BV384" s="223"/>
      <c r="BW384" s="223"/>
      <c r="BX384" s="200"/>
      <c r="BY384" s="522"/>
      <c r="BZ384" s="200"/>
      <c r="CA384" s="223"/>
      <c r="CB384" s="223"/>
      <c r="CC384" s="223"/>
      <c r="CD384" s="223"/>
      <c r="CE384" s="223"/>
      <c r="CF384" s="223"/>
      <c r="CG384" s="200"/>
      <c r="CH384" s="200"/>
      <c r="CI384" s="522"/>
      <c r="CJ384" s="200"/>
      <c r="CK384" s="223"/>
      <c r="CL384" s="223"/>
      <c r="CM384" s="223"/>
      <c r="CN384" s="223"/>
      <c r="CO384" s="223"/>
      <c r="CP384" s="223"/>
      <c r="CQ384" s="200"/>
      <c r="CR384" s="200"/>
      <c r="CS384" s="522"/>
      <c r="CT384" s="200"/>
      <c r="CU384" s="223"/>
      <c r="CV384" s="223"/>
      <c r="CW384" s="223"/>
      <c r="CX384" s="223"/>
      <c r="CY384" s="223"/>
      <c r="CZ384" s="223"/>
      <c r="DA384" s="223"/>
      <c r="DB384" s="200"/>
      <c r="DC384" s="522"/>
      <c r="DD384" s="200"/>
      <c r="DE384" s="223"/>
      <c r="DF384" s="223"/>
      <c r="DG384" s="223"/>
      <c r="DH384" s="223"/>
      <c r="DI384" s="223"/>
      <c r="DJ384" s="223"/>
      <c r="DK384" s="200"/>
      <c r="DL384" s="200"/>
      <c r="DM384" s="522"/>
      <c r="DN384" s="200"/>
      <c r="DO384" s="223"/>
      <c r="DP384" s="223"/>
      <c r="DQ384" s="223"/>
      <c r="DR384" s="223"/>
      <c r="DS384" s="223"/>
      <c r="DT384" s="223"/>
      <c r="DU384" s="200"/>
      <c r="DV384" s="200"/>
      <c r="DW384" s="522"/>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2"/>
      <c r="R385" s="200"/>
      <c r="S385" s="223"/>
      <c r="T385" s="223"/>
      <c r="U385" s="223"/>
      <c r="V385" s="223"/>
      <c r="W385" s="223"/>
      <c r="X385" s="223"/>
      <c r="Y385" s="200"/>
      <c r="Z385" s="200"/>
      <c r="AA385" s="522"/>
      <c r="AB385" s="200"/>
      <c r="AC385" s="223"/>
      <c r="AD385" s="223"/>
      <c r="AE385" s="223"/>
      <c r="AF385" s="223"/>
      <c r="AG385" s="223"/>
      <c r="AH385" s="223"/>
      <c r="AI385" s="200"/>
      <c r="AJ385" s="200"/>
      <c r="AK385" s="522"/>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2"/>
      <c r="BF385" s="200"/>
      <c r="BG385" s="223"/>
      <c r="BH385" s="223"/>
      <c r="BI385" s="223"/>
      <c r="BJ385" s="223"/>
      <c r="BK385" s="223"/>
      <c r="BL385" s="223"/>
      <c r="BM385" s="200"/>
      <c r="BN385" s="200"/>
      <c r="BO385" s="522"/>
      <c r="BP385" s="200"/>
      <c r="BQ385" s="223"/>
      <c r="BR385" s="223"/>
      <c r="BS385" s="223"/>
      <c r="BT385" s="223"/>
      <c r="BU385" s="223"/>
      <c r="BV385" s="223"/>
      <c r="BW385" s="223"/>
      <c r="BX385" s="200"/>
      <c r="BY385" s="522"/>
      <c r="BZ385" s="200"/>
      <c r="CA385" s="223"/>
      <c r="CB385" s="223"/>
      <c r="CC385" s="223"/>
      <c r="CD385" s="223"/>
      <c r="CE385" s="223"/>
      <c r="CF385" s="223"/>
      <c r="CG385" s="200"/>
      <c r="CH385" s="200"/>
      <c r="CI385" s="522"/>
      <c r="CJ385" s="200"/>
      <c r="CK385" s="223"/>
      <c r="CL385" s="223"/>
      <c r="CM385" s="223"/>
      <c r="CN385" s="223"/>
      <c r="CO385" s="223"/>
      <c r="CP385" s="223"/>
      <c r="CQ385" s="200"/>
      <c r="CR385" s="200"/>
      <c r="CS385" s="522"/>
      <c r="CT385" s="200"/>
      <c r="CU385" s="223"/>
      <c r="CV385" s="223"/>
      <c r="CW385" s="223"/>
      <c r="CX385" s="223"/>
      <c r="CY385" s="223"/>
      <c r="CZ385" s="223"/>
      <c r="DA385" s="223"/>
      <c r="DB385" s="200"/>
      <c r="DC385" s="522"/>
      <c r="DD385" s="200"/>
      <c r="DE385" s="223"/>
      <c r="DF385" s="223"/>
      <c r="DG385" s="223"/>
      <c r="DH385" s="223"/>
      <c r="DI385" s="223"/>
      <c r="DJ385" s="223"/>
      <c r="DK385" s="200"/>
      <c r="DL385" s="200"/>
      <c r="DM385" s="522"/>
      <c r="DN385" s="200"/>
      <c r="DO385" s="223"/>
      <c r="DP385" s="223"/>
      <c r="DQ385" s="223"/>
      <c r="DR385" s="223"/>
      <c r="DS385" s="223"/>
      <c r="DT385" s="223"/>
      <c r="DU385" s="200"/>
      <c r="DV385" s="200"/>
      <c r="DW385" s="522"/>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2"/>
      <c r="R386" s="200"/>
      <c r="S386" s="223"/>
      <c r="T386" s="223"/>
      <c r="U386" s="223"/>
      <c r="V386" s="223"/>
      <c r="W386" s="223"/>
      <c r="X386" s="223"/>
      <c r="Y386" s="200"/>
      <c r="Z386" s="200"/>
      <c r="AA386" s="522"/>
      <c r="AB386" s="200"/>
      <c r="AC386" s="223"/>
      <c r="AD386" s="223"/>
      <c r="AE386" s="223"/>
      <c r="AF386" s="223"/>
      <c r="AG386" s="223"/>
      <c r="AH386" s="223"/>
      <c r="AI386" s="200"/>
      <c r="AJ386" s="200"/>
      <c r="AK386" s="522"/>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2"/>
      <c r="BF386" s="200"/>
      <c r="BG386" s="223"/>
      <c r="BH386" s="223"/>
      <c r="BI386" s="223"/>
      <c r="BJ386" s="223"/>
      <c r="BK386" s="223"/>
      <c r="BL386" s="223"/>
      <c r="BM386" s="200"/>
      <c r="BN386" s="200"/>
      <c r="BO386" s="522"/>
      <c r="BP386" s="200"/>
      <c r="BQ386" s="223"/>
      <c r="BR386" s="223"/>
      <c r="BS386" s="223"/>
      <c r="BT386" s="223"/>
      <c r="BU386" s="223"/>
      <c r="BV386" s="223"/>
      <c r="BW386" s="223"/>
      <c r="BX386" s="200"/>
      <c r="BY386" s="522"/>
      <c r="BZ386" s="200"/>
      <c r="CA386" s="223"/>
      <c r="CB386" s="223"/>
      <c r="CC386" s="223"/>
      <c r="CD386" s="223"/>
      <c r="CE386" s="223"/>
      <c r="CF386" s="223"/>
      <c r="CG386" s="200"/>
      <c r="CH386" s="200"/>
      <c r="CI386" s="522"/>
      <c r="CJ386" s="200"/>
      <c r="CK386" s="223"/>
      <c r="CL386" s="223"/>
      <c r="CM386" s="223"/>
      <c r="CN386" s="223"/>
      <c r="CO386" s="223"/>
      <c r="CP386" s="223"/>
      <c r="CQ386" s="200"/>
      <c r="CR386" s="200"/>
      <c r="CS386" s="522"/>
      <c r="CT386" s="200"/>
      <c r="CU386" s="223"/>
      <c r="CV386" s="223"/>
      <c r="CW386" s="223"/>
      <c r="CX386" s="223"/>
      <c r="CY386" s="223"/>
      <c r="CZ386" s="223"/>
      <c r="DA386" s="223"/>
      <c r="DB386" s="200"/>
      <c r="DC386" s="522"/>
      <c r="DD386" s="200"/>
      <c r="DE386" s="223"/>
      <c r="DF386" s="223"/>
      <c r="DG386" s="223"/>
      <c r="DH386" s="223"/>
      <c r="DI386" s="223"/>
      <c r="DJ386" s="223"/>
      <c r="DK386" s="200"/>
      <c r="DL386" s="200"/>
      <c r="DM386" s="522"/>
      <c r="DN386" s="200"/>
      <c r="DO386" s="223"/>
      <c r="DP386" s="223"/>
      <c r="DQ386" s="223"/>
      <c r="DR386" s="223"/>
      <c r="DS386" s="223"/>
      <c r="DT386" s="223"/>
      <c r="DU386" s="200"/>
      <c r="DV386" s="200"/>
      <c r="DW386" s="522"/>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2"/>
      <c r="R387" s="200"/>
      <c r="S387" s="223"/>
      <c r="T387" s="223"/>
      <c r="U387" s="223"/>
      <c r="V387" s="223"/>
      <c r="W387" s="223"/>
      <c r="X387" s="223"/>
      <c r="Y387" s="200"/>
      <c r="Z387" s="200"/>
      <c r="AA387" s="522"/>
      <c r="AB387" s="200"/>
      <c r="AC387" s="223"/>
      <c r="AD387" s="223"/>
      <c r="AE387" s="223"/>
      <c r="AF387" s="223"/>
      <c r="AG387" s="223"/>
      <c r="AH387" s="223"/>
      <c r="AI387" s="200"/>
      <c r="AJ387" s="200"/>
      <c r="AK387" s="522"/>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2"/>
      <c r="BF387" s="200"/>
      <c r="BG387" s="223"/>
      <c r="BH387" s="223"/>
      <c r="BI387" s="223"/>
      <c r="BJ387" s="223"/>
      <c r="BK387" s="223"/>
      <c r="BL387" s="223"/>
      <c r="BM387" s="200"/>
      <c r="BN387" s="200"/>
      <c r="BO387" s="522"/>
      <c r="BP387" s="200"/>
      <c r="BQ387" s="223"/>
      <c r="BR387" s="223"/>
      <c r="BS387" s="223"/>
      <c r="BT387" s="223"/>
      <c r="BU387" s="223"/>
      <c r="BV387" s="223"/>
      <c r="BW387" s="223"/>
      <c r="BX387" s="200"/>
      <c r="BY387" s="522"/>
      <c r="BZ387" s="200"/>
      <c r="CA387" s="223"/>
      <c r="CB387" s="223"/>
      <c r="CC387" s="223"/>
      <c r="CD387" s="223"/>
      <c r="CE387" s="223"/>
      <c r="CF387" s="223"/>
      <c r="CG387" s="200"/>
      <c r="CH387" s="200"/>
      <c r="CI387" s="522"/>
      <c r="CJ387" s="200"/>
      <c r="CK387" s="223"/>
      <c r="CL387" s="223"/>
      <c r="CM387" s="223"/>
      <c r="CN387" s="223"/>
      <c r="CO387" s="223"/>
      <c r="CP387" s="223"/>
      <c r="CQ387" s="200"/>
      <c r="CR387" s="200"/>
      <c r="CS387" s="522"/>
      <c r="CT387" s="200"/>
      <c r="CU387" s="223"/>
      <c r="CV387" s="223"/>
      <c r="CW387" s="223"/>
      <c r="CX387" s="223"/>
      <c r="CY387" s="223"/>
      <c r="CZ387" s="223"/>
      <c r="DA387" s="223"/>
      <c r="DB387" s="200"/>
      <c r="DC387" s="522"/>
      <c r="DD387" s="200"/>
      <c r="DE387" s="223"/>
      <c r="DF387" s="223"/>
      <c r="DG387" s="223"/>
      <c r="DH387" s="223"/>
      <c r="DI387" s="223"/>
      <c r="DJ387" s="223"/>
      <c r="DK387" s="200"/>
      <c r="DL387" s="200"/>
      <c r="DM387" s="522"/>
      <c r="DN387" s="200"/>
      <c r="DO387" s="223"/>
      <c r="DP387" s="223"/>
      <c r="DQ387" s="223"/>
      <c r="DR387" s="223"/>
      <c r="DS387" s="223"/>
      <c r="DT387" s="223"/>
      <c r="DU387" s="200"/>
      <c r="DV387" s="200"/>
      <c r="DW387" s="522"/>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2"/>
      <c r="R388" s="200"/>
      <c r="S388" s="223"/>
      <c r="T388" s="223"/>
      <c r="U388" s="223"/>
      <c r="V388" s="223"/>
      <c r="W388" s="223"/>
      <c r="X388" s="223"/>
      <c r="Y388" s="200"/>
      <c r="Z388" s="200"/>
      <c r="AA388" s="522"/>
      <c r="AB388" s="200"/>
      <c r="AC388" s="223"/>
      <c r="AD388" s="223"/>
      <c r="AE388" s="223"/>
      <c r="AF388" s="223"/>
      <c r="AG388" s="223"/>
      <c r="AH388" s="223"/>
      <c r="AI388" s="200"/>
      <c r="AJ388" s="200"/>
      <c r="AK388" s="522"/>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2"/>
      <c r="BF388" s="200"/>
      <c r="BG388" s="223"/>
      <c r="BH388" s="223"/>
      <c r="BI388" s="223"/>
      <c r="BJ388" s="223"/>
      <c r="BK388" s="223"/>
      <c r="BL388" s="223"/>
      <c r="BM388" s="200"/>
      <c r="BN388" s="200"/>
      <c r="BO388" s="522"/>
      <c r="BP388" s="200"/>
      <c r="BQ388" s="223"/>
      <c r="BR388" s="223"/>
      <c r="BS388" s="223"/>
      <c r="BT388" s="223"/>
      <c r="BU388" s="223"/>
      <c r="BV388" s="223"/>
      <c r="BW388" s="223"/>
      <c r="BX388" s="200"/>
      <c r="BY388" s="522"/>
      <c r="BZ388" s="200"/>
      <c r="CA388" s="223"/>
      <c r="CB388" s="223"/>
      <c r="CC388" s="223"/>
      <c r="CD388" s="223"/>
      <c r="CE388" s="223"/>
      <c r="CF388" s="223"/>
      <c r="CG388" s="200"/>
      <c r="CH388" s="200"/>
      <c r="CI388" s="522"/>
      <c r="CJ388" s="200"/>
      <c r="CK388" s="223"/>
      <c r="CL388" s="223"/>
      <c r="CM388" s="223"/>
      <c r="CN388" s="223"/>
      <c r="CO388" s="223"/>
      <c r="CP388" s="223"/>
      <c r="CQ388" s="200"/>
      <c r="CR388" s="200"/>
      <c r="CS388" s="522"/>
      <c r="CT388" s="200"/>
      <c r="CU388" s="223"/>
      <c r="CV388" s="223"/>
      <c r="CW388" s="223"/>
      <c r="CX388" s="223"/>
      <c r="CY388" s="223"/>
      <c r="CZ388" s="223"/>
      <c r="DA388" s="223"/>
      <c r="DB388" s="200"/>
      <c r="DC388" s="522"/>
      <c r="DD388" s="200"/>
      <c r="DE388" s="223"/>
      <c r="DF388" s="223"/>
      <c r="DG388" s="223"/>
      <c r="DH388" s="223"/>
      <c r="DI388" s="223"/>
      <c r="DJ388" s="223"/>
      <c r="DK388" s="200"/>
      <c r="DL388" s="200"/>
      <c r="DM388" s="522"/>
      <c r="DN388" s="200"/>
      <c r="DO388" s="223"/>
      <c r="DP388" s="223"/>
      <c r="DQ388" s="223"/>
      <c r="DR388" s="223"/>
      <c r="DS388" s="223"/>
      <c r="DT388" s="223"/>
      <c r="DU388" s="200"/>
      <c r="DV388" s="200"/>
      <c r="DW388" s="522"/>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2"/>
      <c r="R389" s="200"/>
      <c r="S389" s="223"/>
      <c r="T389" s="223"/>
      <c r="U389" s="223"/>
      <c r="V389" s="223"/>
      <c r="W389" s="223"/>
      <c r="X389" s="223"/>
      <c r="Y389" s="200"/>
      <c r="Z389" s="200"/>
      <c r="AA389" s="522"/>
      <c r="AB389" s="200"/>
      <c r="AC389" s="223"/>
      <c r="AD389" s="223"/>
      <c r="AE389" s="223"/>
      <c r="AF389" s="223"/>
      <c r="AG389" s="223"/>
      <c r="AH389" s="223"/>
      <c r="AI389" s="200"/>
      <c r="AJ389" s="200"/>
      <c r="AK389" s="522"/>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2"/>
      <c r="BF389" s="200"/>
      <c r="BG389" s="223"/>
      <c r="BH389" s="223"/>
      <c r="BI389" s="223"/>
      <c r="BJ389" s="223"/>
      <c r="BK389" s="223"/>
      <c r="BL389" s="223"/>
      <c r="BM389" s="200"/>
      <c r="BN389" s="200"/>
      <c r="BO389" s="522"/>
      <c r="BP389" s="200"/>
      <c r="BQ389" s="223"/>
      <c r="BR389" s="223"/>
      <c r="BS389" s="223"/>
      <c r="BT389" s="223"/>
      <c r="BU389" s="223"/>
      <c r="BV389" s="223"/>
      <c r="BW389" s="223"/>
      <c r="BX389" s="200"/>
      <c r="BY389" s="522"/>
      <c r="BZ389" s="200"/>
      <c r="CA389" s="223"/>
      <c r="CB389" s="223"/>
      <c r="CC389" s="223"/>
      <c r="CD389" s="223"/>
      <c r="CE389" s="223"/>
      <c r="CF389" s="223"/>
      <c r="CG389" s="200"/>
      <c r="CH389" s="200"/>
      <c r="CI389" s="522"/>
      <c r="CJ389" s="200"/>
      <c r="CK389" s="223"/>
      <c r="CL389" s="223"/>
      <c r="CM389" s="223"/>
      <c r="CN389" s="223"/>
      <c r="CO389" s="223"/>
      <c r="CP389" s="223"/>
      <c r="CQ389" s="200"/>
      <c r="CR389" s="200"/>
      <c r="CS389" s="522"/>
      <c r="CT389" s="200"/>
      <c r="CU389" s="223"/>
      <c r="CV389" s="223"/>
      <c r="CW389" s="223"/>
      <c r="CX389" s="223"/>
      <c r="CY389" s="223"/>
      <c r="CZ389" s="223"/>
      <c r="DA389" s="223"/>
      <c r="DB389" s="200"/>
      <c r="DC389" s="522"/>
      <c r="DD389" s="200"/>
      <c r="DE389" s="223"/>
      <c r="DF389" s="223"/>
      <c r="DG389" s="223"/>
      <c r="DH389" s="223"/>
      <c r="DI389" s="223"/>
      <c r="DJ389" s="223"/>
      <c r="DK389" s="200"/>
      <c r="DL389" s="200"/>
      <c r="DM389" s="522"/>
      <c r="DN389" s="200"/>
      <c r="DO389" s="223"/>
      <c r="DP389" s="223"/>
      <c r="DQ389" s="223"/>
      <c r="DR389" s="223"/>
      <c r="DS389" s="223"/>
      <c r="DT389" s="223"/>
      <c r="DU389" s="200"/>
      <c r="DV389" s="200"/>
      <c r="DW389" s="522"/>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2"/>
      <c r="R390" s="200"/>
      <c r="S390" s="223"/>
      <c r="T390" s="223"/>
      <c r="U390" s="223"/>
      <c r="V390" s="223"/>
      <c r="W390" s="223"/>
      <c r="X390" s="223"/>
      <c r="Y390" s="200"/>
      <c r="Z390" s="200"/>
      <c r="AA390" s="522"/>
      <c r="AB390" s="200"/>
      <c r="AC390" s="223"/>
      <c r="AD390" s="223"/>
      <c r="AE390" s="223"/>
      <c r="AF390" s="223"/>
      <c r="AG390" s="223"/>
      <c r="AH390" s="223"/>
      <c r="AI390" s="200"/>
      <c r="AJ390" s="200"/>
      <c r="AK390" s="522"/>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2"/>
      <c r="BF390" s="200"/>
      <c r="BG390" s="223"/>
      <c r="BH390" s="223"/>
      <c r="BI390" s="223"/>
      <c r="BJ390" s="223"/>
      <c r="BK390" s="223"/>
      <c r="BL390" s="223"/>
      <c r="BM390" s="200"/>
      <c r="BN390" s="200"/>
      <c r="BO390" s="522"/>
      <c r="BP390" s="200"/>
      <c r="BQ390" s="223"/>
      <c r="BR390" s="223"/>
      <c r="BS390" s="223"/>
      <c r="BT390" s="223"/>
      <c r="BU390" s="223"/>
      <c r="BV390" s="223"/>
      <c r="BW390" s="223"/>
      <c r="BX390" s="200"/>
      <c r="BY390" s="522"/>
      <c r="BZ390" s="200"/>
      <c r="CA390" s="223"/>
      <c r="CB390" s="223"/>
      <c r="CC390" s="223"/>
      <c r="CD390" s="223"/>
      <c r="CE390" s="223"/>
      <c r="CF390" s="223"/>
      <c r="CG390" s="200"/>
      <c r="CH390" s="200"/>
      <c r="CI390" s="522"/>
      <c r="CJ390" s="200"/>
      <c r="CK390" s="223"/>
      <c r="CL390" s="223"/>
      <c r="CM390" s="223"/>
      <c r="CN390" s="223"/>
      <c r="CO390" s="223"/>
      <c r="CP390" s="223"/>
      <c r="CQ390" s="200"/>
      <c r="CR390" s="200"/>
      <c r="CS390" s="522"/>
      <c r="CT390" s="200"/>
      <c r="CU390" s="223"/>
      <c r="CV390" s="223"/>
      <c r="CW390" s="223"/>
      <c r="CX390" s="223"/>
      <c r="CY390" s="223"/>
      <c r="CZ390" s="223"/>
      <c r="DA390" s="223"/>
      <c r="DB390" s="200"/>
      <c r="DC390" s="522"/>
      <c r="DD390" s="200"/>
      <c r="DE390" s="223"/>
      <c r="DF390" s="223"/>
      <c r="DG390" s="223"/>
      <c r="DH390" s="223"/>
      <c r="DI390" s="223"/>
      <c r="DJ390" s="223"/>
      <c r="DK390" s="200"/>
      <c r="DL390" s="200"/>
      <c r="DM390" s="522"/>
      <c r="DN390" s="200"/>
      <c r="DO390" s="223"/>
      <c r="DP390" s="223"/>
      <c r="DQ390" s="223"/>
      <c r="DR390" s="223"/>
      <c r="DS390" s="223"/>
      <c r="DT390" s="223"/>
      <c r="DU390" s="200"/>
      <c r="DV390" s="200"/>
      <c r="DW390" s="522"/>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2"/>
      <c r="R391" s="200"/>
      <c r="S391" s="223"/>
      <c r="T391" s="223"/>
      <c r="U391" s="223"/>
      <c r="V391" s="223"/>
      <c r="W391" s="223"/>
      <c r="X391" s="223"/>
      <c r="Y391" s="200"/>
      <c r="Z391" s="200"/>
      <c r="AA391" s="522"/>
      <c r="AB391" s="200"/>
      <c r="AC391" s="223"/>
      <c r="AD391" s="223"/>
      <c r="AE391" s="223"/>
      <c r="AF391" s="223"/>
      <c r="AG391" s="223"/>
      <c r="AH391" s="223"/>
      <c r="AI391" s="200"/>
      <c r="AJ391" s="200"/>
      <c r="AK391" s="522"/>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2"/>
      <c r="BF391" s="200"/>
      <c r="BG391" s="223"/>
      <c r="BH391" s="223"/>
      <c r="BI391" s="223"/>
      <c r="BJ391" s="223"/>
      <c r="BK391" s="223"/>
      <c r="BL391" s="223"/>
      <c r="BM391" s="200"/>
      <c r="BN391" s="200"/>
      <c r="BO391" s="522"/>
      <c r="BP391" s="200"/>
      <c r="BQ391" s="223"/>
      <c r="BR391" s="223"/>
      <c r="BS391" s="223"/>
      <c r="BT391" s="223"/>
      <c r="BU391" s="223"/>
      <c r="BV391" s="223"/>
      <c r="BW391" s="223"/>
      <c r="BX391" s="200"/>
      <c r="BY391" s="522"/>
      <c r="BZ391" s="200"/>
      <c r="CA391" s="223"/>
      <c r="CB391" s="223"/>
      <c r="CC391" s="223"/>
      <c r="CD391" s="223"/>
      <c r="CE391" s="223"/>
      <c r="CF391" s="223"/>
      <c r="CG391" s="200"/>
      <c r="CH391" s="200"/>
      <c r="CI391" s="522"/>
      <c r="CJ391" s="200"/>
      <c r="CK391" s="223"/>
      <c r="CL391" s="223"/>
      <c r="CM391" s="223"/>
      <c r="CN391" s="223"/>
      <c r="CO391" s="223"/>
      <c r="CP391" s="223"/>
      <c r="CQ391" s="200"/>
      <c r="CR391" s="200"/>
      <c r="CS391" s="522"/>
      <c r="CT391" s="200"/>
      <c r="CU391" s="223"/>
      <c r="CV391" s="223"/>
      <c r="CW391" s="223"/>
      <c r="CX391" s="223"/>
      <c r="CY391" s="223"/>
      <c r="CZ391" s="223"/>
      <c r="DA391" s="223"/>
      <c r="DB391" s="200"/>
      <c r="DC391" s="522"/>
      <c r="DD391" s="200"/>
      <c r="DE391" s="223"/>
      <c r="DF391" s="223"/>
      <c r="DG391" s="223"/>
      <c r="DH391" s="223"/>
      <c r="DI391" s="223"/>
      <c r="DJ391" s="223"/>
      <c r="DK391" s="200"/>
      <c r="DL391" s="200"/>
      <c r="DM391" s="522"/>
      <c r="DN391" s="200"/>
      <c r="DO391" s="223"/>
      <c r="DP391" s="223"/>
      <c r="DQ391" s="223"/>
      <c r="DR391" s="223"/>
      <c r="DS391" s="223"/>
      <c r="DT391" s="223"/>
      <c r="DU391" s="200"/>
      <c r="DV391" s="200"/>
      <c r="DW391" s="522"/>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2"/>
      <c r="R392" s="200"/>
      <c r="S392" s="223"/>
      <c r="T392" s="223"/>
      <c r="U392" s="223"/>
      <c r="V392" s="223"/>
      <c r="W392" s="223"/>
      <c r="X392" s="223"/>
      <c r="Y392" s="200"/>
      <c r="Z392" s="200"/>
      <c r="AA392" s="522"/>
      <c r="AB392" s="200"/>
      <c r="AC392" s="223"/>
      <c r="AD392" s="223"/>
      <c r="AE392" s="223"/>
      <c r="AF392" s="223"/>
      <c r="AG392" s="223"/>
      <c r="AH392" s="223"/>
      <c r="AI392" s="200"/>
      <c r="AJ392" s="200"/>
      <c r="AK392" s="522"/>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2"/>
      <c r="BF392" s="200"/>
      <c r="BG392" s="223"/>
      <c r="BH392" s="223"/>
      <c r="BI392" s="223"/>
      <c r="BJ392" s="223"/>
      <c r="BK392" s="223"/>
      <c r="BL392" s="223"/>
      <c r="BM392" s="200"/>
      <c r="BN392" s="200"/>
      <c r="BO392" s="522"/>
      <c r="BP392" s="200"/>
      <c r="BQ392" s="223"/>
      <c r="BR392" s="223"/>
      <c r="BS392" s="223"/>
      <c r="BT392" s="223"/>
      <c r="BU392" s="223"/>
      <c r="BV392" s="223"/>
      <c r="BW392" s="223"/>
      <c r="BX392" s="200"/>
      <c r="BY392" s="522"/>
      <c r="BZ392" s="200"/>
      <c r="CA392" s="223"/>
      <c r="CB392" s="223"/>
      <c r="CC392" s="223"/>
      <c r="CD392" s="223"/>
      <c r="CE392" s="223"/>
      <c r="CF392" s="223"/>
      <c r="CG392" s="200"/>
      <c r="CH392" s="200"/>
      <c r="CI392" s="522"/>
      <c r="CJ392" s="200"/>
      <c r="CK392" s="223"/>
      <c r="CL392" s="223"/>
      <c r="CM392" s="223"/>
      <c r="CN392" s="223"/>
      <c r="CO392" s="223"/>
      <c r="CP392" s="223"/>
      <c r="CQ392" s="200"/>
      <c r="CR392" s="200"/>
      <c r="CS392" s="522"/>
      <c r="CT392" s="200"/>
      <c r="CU392" s="223"/>
      <c r="CV392" s="223"/>
      <c r="CW392" s="223"/>
      <c r="CX392" s="223"/>
      <c r="CY392" s="223"/>
      <c r="CZ392" s="223"/>
      <c r="DA392" s="223"/>
      <c r="DB392" s="200"/>
      <c r="DC392" s="522"/>
      <c r="DD392" s="200"/>
      <c r="DE392" s="223"/>
      <c r="DF392" s="223"/>
      <c r="DG392" s="223"/>
      <c r="DH392" s="223"/>
      <c r="DI392" s="223"/>
      <c r="DJ392" s="223"/>
      <c r="DK392" s="200"/>
      <c r="DL392" s="200"/>
      <c r="DM392" s="522"/>
      <c r="DN392" s="200"/>
      <c r="DO392" s="223"/>
      <c r="DP392" s="223"/>
      <c r="DQ392" s="223"/>
      <c r="DR392" s="223"/>
      <c r="DS392" s="223"/>
      <c r="DT392" s="223"/>
      <c r="DU392" s="200"/>
      <c r="DV392" s="200"/>
      <c r="DW392" s="522"/>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2"/>
      <c r="R393" s="200"/>
      <c r="S393" s="223"/>
      <c r="T393" s="223"/>
      <c r="U393" s="223"/>
      <c r="V393" s="223"/>
      <c r="W393" s="223"/>
      <c r="X393" s="223"/>
      <c r="Y393" s="200"/>
      <c r="Z393" s="200"/>
      <c r="AA393" s="522"/>
      <c r="AB393" s="200"/>
      <c r="AC393" s="223"/>
      <c r="AD393" s="223"/>
      <c r="AE393" s="223"/>
      <c r="AF393" s="223"/>
      <c r="AG393" s="223"/>
      <c r="AH393" s="223"/>
      <c r="AI393" s="200"/>
      <c r="AJ393" s="200"/>
      <c r="AK393" s="522"/>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2"/>
      <c r="BF393" s="200"/>
      <c r="BG393" s="223"/>
      <c r="BH393" s="223"/>
      <c r="BI393" s="223"/>
      <c r="BJ393" s="223"/>
      <c r="BK393" s="223"/>
      <c r="BL393" s="223"/>
      <c r="BM393" s="200"/>
      <c r="BN393" s="200"/>
      <c r="BO393" s="522"/>
      <c r="BP393" s="200"/>
      <c r="BQ393" s="223"/>
      <c r="BR393" s="223"/>
      <c r="BS393" s="223"/>
      <c r="BT393" s="223"/>
      <c r="BU393" s="223"/>
      <c r="BV393" s="223"/>
      <c r="BW393" s="223"/>
      <c r="BX393" s="200"/>
      <c r="BY393" s="522"/>
      <c r="BZ393" s="200"/>
      <c r="CA393" s="223"/>
      <c r="CB393" s="223"/>
      <c r="CC393" s="223"/>
      <c r="CD393" s="223"/>
      <c r="CE393" s="223"/>
      <c r="CF393" s="223"/>
      <c r="CG393" s="200"/>
      <c r="CH393" s="200"/>
      <c r="CI393" s="522"/>
      <c r="CJ393" s="200"/>
      <c r="CK393" s="223"/>
      <c r="CL393" s="223"/>
      <c r="CM393" s="223"/>
      <c r="CN393" s="223"/>
      <c r="CO393" s="223"/>
      <c r="CP393" s="223"/>
      <c r="CQ393" s="200"/>
      <c r="CR393" s="200"/>
      <c r="CS393" s="522"/>
      <c r="CT393" s="200"/>
      <c r="CU393" s="223"/>
      <c r="CV393" s="223"/>
      <c r="CW393" s="223"/>
      <c r="CX393" s="223"/>
      <c r="CY393" s="223"/>
      <c r="CZ393" s="223"/>
      <c r="DA393" s="223"/>
      <c r="DB393" s="200"/>
      <c r="DC393" s="522"/>
      <c r="DD393" s="200"/>
      <c r="DE393" s="223"/>
      <c r="DF393" s="223"/>
      <c r="DG393" s="223"/>
      <c r="DH393" s="223"/>
      <c r="DI393" s="223"/>
      <c r="DJ393" s="223"/>
      <c r="DK393" s="200"/>
      <c r="DL393" s="200"/>
      <c r="DM393" s="522"/>
      <c r="DN393" s="200"/>
      <c r="DO393" s="223"/>
      <c r="DP393" s="223"/>
      <c r="DQ393" s="223"/>
      <c r="DR393" s="223"/>
      <c r="DS393" s="223"/>
      <c r="DT393" s="223"/>
      <c r="DU393" s="200"/>
      <c r="DV393" s="200"/>
      <c r="DW393" s="522"/>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2"/>
      <c r="R394" s="200"/>
      <c r="S394" s="223"/>
      <c r="T394" s="223"/>
      <c r="U394" s="223"/>
      <c r="V394" s="223"/>
      <c r="W394" s="223"/>
      <c r="X394" s="223"/>
      <c r="Y394" s="200"/>
      <c r="Z394" s="200"/>
      <c r="AA394" s="522"/>
      <c r="AB394" s="200"/>
      <c r="AC394" s="223"/>
      <c r="AD394" s="223"/>
      <c r="AE394" s="223"/>
      <c r="AF394" s="223"/>
      <c r="AG394" s="223"/>
      <c r="AH394" s="223"/>
      <c r="AI394" s="200"/>
      <c r="AJ394" s="200"/>
      <c r="AK394" s="522"/>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2"/>
      <c r="BF394" s="200"/>
      <c r="BG394" s="223"/>
      <c r="BH394" s="223"/>
      <c r="BI394" s="223"/>
      <c r="BJ394" s="223"/>
      <c r="BK394" s="223"/>
      <c r="BL394" s="223"/>
      <c r="BM394" s="200"/>
      <c r="BN394" s="200"/>
      <c r="BO394" s="522"/>
      <c r="BP394" s="200"/>
      <c r="BQ394" s="223"/>
      <c r="BR394" s="223"/>
      <c r="BS394" s="223"/>
      <c r="BT394" s="223"/>
      <c r="BU394" s="223"/>
      <c r="BV394" s="223"/>
      <c r="BW394" s="223"/>
      <c r="BX394" s="200"/>
      <c r="BY394" s="522"/>
      <c r="BZ394" s="200"/>
      <c r="CA394" s="223"/>
      <c r="CB394" s="223"/>
      <c r="CC394" s="223"/>
      <c r="CD394" s="223"/>
      <c r="CE394" s="223"/>
      <c r="CF394" s="223"/>
      <c r="CG394" s="200"/>
      <c r="CH394" s="200"/>
      <c r="CI394" s="522"/>
      <c r="CJ394" s="200"/>
      <c r="CK394" s="223"/>
      <c r="CL394" s="223"/>
      <c r="CM394" s="223"/>
      <c r="CN394" s="223"/>
      <c r="CO394" s="223"/>
      <c r="CP394" s="223"/>
      <c r="CQ394" s="200"/>
      <c r="CR394" s="200"/>
      <c r="CS394" s="522"/>
      <c r="CT394" s="200"/>
      <c r="CU394" s="223"/>
      <c r="CV394" s="223"/>
      <c r="CW394" s="223"/>
      <c r="CX394" s="223"/>
      <c r="CY394" s="223"/>
      <c r="CZ394" s="223"/>
      <c r="DA394" s="223"/>
      <c r="DB394" s="200"/>
      <c r="DC394" s="522"/>
      <c r="DD394" s="200"/>
      <c r="DE394" s="223"/>
      <c r="DF394" s="223"/>
      <c r="DG394" s="223"/>
      <c r="DH394" s="223"/>
      <c r="DI394" s="223"/>
      <c r="DJ394" s="223"/>
      <c r="DK394" s="200"/>
      <c r="DL394" s="200"/>
      <c r="DM394" s="522"/>
      <c r="DN394" s="200"/>
      <c r="DO394" s="223"/>
      <c r="DP394" s="223"/>
      <c r="DQ394" s="223"/>
      <c r="DR394" s="223"/>
      <c r="DS394" s="223"/>
      <c r="DT394" s="223"/>
      <c r="DU394" s="200"/>
      <c r="DV394" s="200"/>
      <c r="DW394" s="522"/>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2"/>
      <c r="R395" s="200"/>
      <c r="S395" s="223"/>
      <c r="T395" s="223"/>
      <c r="U395" s="223"/>
      <c r="V395" s="223"/>
      <c r="W395" s="223"/>
      <c r="X395" s="223"/>
      <c r="Y395" s="200"/>
      <c r="Z395" s="200"/>
      <c r="AA395" s="522"/>
      <c r="AB395" s="200"/>
      <c r="AC395" s="223"/>
      <c r="AD395" s="223"/>
      <c r="AE395" s="223"/>
      <c r="AF395" s="223"/>
      <c r="AG395" s="223"/>
      <c r="AH395" s="223"/>
      <c r="AI395" s="200"/>
      <c r="AJ395" s="200"/>
      <c r="AK395" s="522"/>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2"/>
      <c r="BF395" s="200"/>
      <c r="BG395" s="223"/>
      <c r="BH395" s="223"/>
      <c r="BI395" s="223"/>
      <c r="BJ395" s="223"/>
      <c r="BK395" s="223"/>
      <c r="BL395" s="223"/>
      <c r="BM395" s="200"/>
      <c r="BN395" s="200"/>
      <c r="BO395" s="522"/>
      <c r="BP395" s="200"/>
      <c r="BQ395" s="223"/>
      <c r="BR395" s="223"/>
      <c r="BS395" s="223"/>
      <c r="BT395" s="223"/>
      <c r="BU395" s="223"/>
      <c r="BV395" s="223"/>
      <c r="BW395" s="223"/>
      <c r="BX395" s="200"/>
      <c r="BY395" s="522"/>
      <c r="BZ395" s="200"/>
      <c r="CA395" s="223"/>
      <c r="CB395" s="223"/>
      <c r="CC395" s="223"/>
      <c r="CD395" s="223"/>
      <c r="CE395" s="223"/>
      <c r="CF395" s="223"/>
      <c r="CG395" s="200"/>
      <c r="CH395" s="200"/>
      <c r="CI395" s="522"/>
      <c r="CJ395" s="200"/>
      <c r="CK395" s="223"/>
      <c r="CL395" s="223"/>
      <c r="CM395" s="223"/>
      <c r="CN395" s="223"/>
      <c r="CO395" s="223"/>
      <c r="CP395" s="223"/>
      <c r="CQ395" s="200"/>
      <c r="CR395" s="200"/>
      <c r="CS395" s="522"/>
      <c r="CT395" s="200"/>
      <c r="CU395" s="223"/>
      <c r="CV395" s="223"/>
      <c r="CW395" s="223"/>
      <c r="CX395" s="223"/>
      <c r="CY395" s="223"/>
      <c r="CZ395" s="223"/>
      <c r="DA395" s="223"/>
      <c r="DB395" s="200"/>
      <c r="DC395" s="522"/>
      <c r="DD395" s="200"/>
      <c r="DE395" s="223"/>
      <c r="DF395" s="223"/>
      <c r="DG395" s="223"/>
      <c r="DH395" s="223"/>
      <c r="DI395" s="223"/>
      <c r="DJ395" s="223"/>
      <c r="DK395" s="200"/>
      <c r="DL395" s="200"/>
      <c r="DM395" s="522"/>
      <c r="DN395" s="200"/>
      <c r="DO395" s="223"/>
      <c r="DP395" s="223"/>
      <c r="DQ395" s="223"/>
      <c r="DR395" s="223"/>
      <c r="DS395" s="223"/>
      <c r="DT395" s="223"/>
      <c r="DU395" s="200"/>
      <c r="DV395" s="200"/>
      <c r="DW395" s="522"/>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2"/>
      <c r="R396" s="200"/>
      <c r="S396" s="223"/>
      <c r="T396" s="223"/>
      <c r="U396" s="223"/>
      <c r="V396" s="223"/>
      <c r="W396" s="223"/>
      <c r="X396" s="223"/>
      <c r="Y396" s="200"/>
      <c r="Z396" s="200"/>
      <c r="AA396" s="522"/>
      <c r="AB396" s="200"/>
      <c r="AC396" s="223"/>
      <c r="AD396" s="223"/>
      <c r="AE396" s="223"/>
      <c r="AF396" s="223"/>
      <c r="AG396" s="223"/>
      <c r="AH396" s="223"/>
      <c r="AI396" s="200"/>
      <c r="AJ396" s="200"/>
      <c r="AK396" s="522"/>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2"/>
      <c r="BF396" s="200"/>
      <c r="BG396" s="223"/>
      <c r="BH396" s="223"/>
      <c r="BI396" s="223"/>
      <c r="BJ396" s="223"/>
      <c r="BK396" s="223"/>
      <c r="BL396" s="223"/>
      <c r="BM396" s="200"/>
      <c r="BN396" s="200"/>
      <c r="BO396" s="522"/>
      <c r="BP396" s="200"/>
      <c r="BQ396" s="223"/>
      <c r="BR396" s="223"/>
      <c r="BS396" s="223"/>
      <c r="BT396" s="223"/>
      <c r="BU396" s="223"/>
      <c r="BV396" s="223"/>
      <c r="BW396" s="223"/>
      <c r="BX396" s="200"/>
      <c r="BY396" s="522"/>
      <c r="BZ396" s="200"/>
      <c r="CA396" s="223"/>
      <c r="CB396" s="223"/>
      <c r="CC396" s="223"/>
      <c r="CD396" s="223"/>
      <c r="CE396" s="223"/>
      <c r="CF396" s="223"/>
      <c r="CG396" s="200"/>
      <c r="CH396" s="200"/>
      <c r="CI396" s="522"/>
      <c r="CJ396" s="200"/>
      <c r="CK396" s="223"/>
      <c r="CL396" s="223"/>
      <c r="CM396" s="223"/>
      <c r="CN396" s="223"/>
      <c r="CO396" s="223"/>
      <c r="CP396" s="223"/>
      <c r="CQ396" s="200"/>
      <c r="CR396" s="200"/>
      <c r="CS396" s="522"/>
      <c r="CT396" s="200"/>
      <c r="CU396" s="223"/>
      <c r="CV396" s="223"/>
      <c r="CW396" s="223"/>
      <c r="CX396" s="223"/>
      <c r="CY396" s="223"/>
      <c r="CZ396" s="223"/>
      <c r="DA396" s="223"/>
      <c r="DB396" s="200"/>
      <c r="DC396" s="522"/>
      <c r="DD396" s="200"/>
      <c r="DE396" s="223"/>
      <c r="DF396" s="223"/>
      <c r="DG396" s="223"/>
      <c r="DH396" s="223"/>
      <c r="DI396" s="223"/>
      <c r="DJ396" s="223"/>
      <c r="DK396" s="200"/>
      <c r="DL396" s="200"/>
      <c r="DM396" s="522"/>
      <c r="DN396" s="200"/>
      <c r="DO396" s="223"/>
      <c r="DP396" s="223"/>
      <c r="DQ396" s="223"/>
      <c r="DR396" s="223"/>
      <c r="DS396" s="223"/>
      <c r="DT396" s="223"/>
      <c r="DU396" s="200"/>
      <c r="DV396" s="200"/>
      <c r="DW396" s="522"/>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2"/>
      <c r="R397" s="200"/>
      <c r="S397" s="223"/>
      <c r="T397" s="223"/>
      <c r="U397" s="223"/>
      <c r="V397" s="223"/>
      <c r="W397" s="223"/>
      <c r="X397" s="223"/>
      <c r="Y397" s="200"/>
      <c r="Z397" s="200"/>
      <c r="AA397" s="522"/>
      <c r="AB397" s="200"/>
      <c r="AC397" s="223"/>
      <c r="AD397" s="223"/>
      <c r="AE397" s="223"/>
      <c r="AF397" s="223"/>
      <c r="AG397" s="223"/>
      <c r="AH397" s="223"/>
      <c r="AI397" s="200"/>
      <c r="AJ397" s="200"/>
      <c r="AK397" s="522"/>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2"/>
      <c r="BF397" s="200"/>
      <c r="BG397" s="223"/>
      <c r="BH397" s="223"/>
      <c r="BI397" s="223"/>
      <c r="BJ397" s="223"/>
      <c r="BK397" s="223"/>
      <c r="BL397" s="223"/>
      <c r="BM397" s="200"/>
      <c r="BN397" s="200"/>
      <c r="BO397" s="522"/>
      <c r="BP397" s="200"/>
      <c r="BQ397" s="223"/>
      <c r="BR397" s="223"/>
      <c r="BS397" s="223"/>
      <c r="BT397" s="223"/>
      <c r="BU397" s="223"/>
      <c r="BV397" s="223"/>
      <c r="BW397" s="223"/>
      <c r="BX397" s="200"/>
      <c r="BY397" s="522"/>
      <c r="BZ397" s="200"/>
      <c r="CA397" s="223"/>
      <c r="CB397" s="223"/>
      <c r="CC397" s="223"/>
      <c r="CD397" s="223"/>
      <c r="CE397" s="223"/>
      <c r="CF397" s="223"/>
      <c r="CG397" s="200"/>
      <c r="CH397" s="200"/>
      <c r="CI397" s="522"/>
      <c r="CJ397" s="200"/>
      <c r="CK397" s="223"/>
      <c r="CL397" s="223"/>
      <c r="CM397" s="223"/>
      <c r="CN397" s="223"/>
      <c r="CO397" s="223"/>
      <c r="CP397" s="223"/>
      <c r="CQ397" s="200"/>
      <c r="CR397" s="200"/>
      <c r="CS397" s="522"/>
      <c r="CT397" s="200"/>
      <c r="CU397" s="223"/>
      <c r="CV397" s="223"/>
      <c r="CW397" s="223"/>
      <c r="CX397" s="223"/>
      <c r="CY397" s="223"/>
      <c r="CZ397" s="223"/>
      <c r="DA397" s="223"/>
      <c r="DB397" s="200"/>
      <c r="DC397" s="522"/>
      <c r="DD397" s="200"/>
      <c r="DE397" s="223"/>
      <c r="DF397" s="223"/>
      <c r="DG397" s="223"/>
      <c r="DH397" s="223"/>
      <c r="DI397" s="223"/>
      <c r="DJ397" s="223"/>
      <c r="DK397" s="200"/>
      <c r="DL397" s="200"/>
      <c r="DM397" s="522"/>
      <c r="DN397" s="200"/>
      <c r="DO397" s="223"/>
      <c r="DP397" s="223"/>
      <c r="DQ397" s="223"/>
      <c r="DR397" s="223"/>
      <c r="DS397" s="223"/>
      <c r="DT397" s="223"/>
      <c r="DU397" s="200"/>
      <c r="DV397" s="200"/>
      <c r="DW397" s="522"/>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2"/>
      <c r="R398" s="200"/>
      <c r="S398" s="223"/>
      <c r="T398" s="223"/>
      <c r="U398" s="223"/>
      <c r="V398" s="223"/>
      <c r="W398" s="223"/>
      <c r="X398" s="223"/>
      <c r="Y398" s="200"/>
      <c r="Z398" s="200"/>
      <c r="AA398" s="522"/>
      <c r="AB398" s="200"/>
      <c r="AC398" s="223"/>
      <c r="AD398" s="223"/>
      <c r="AE398" s="223"/>
      <c r="AF398" s="223"/>
      <c r="AG398" s="223"/>
      <c r="AH398" s="223"/>
      <c r="AI398" s="200"/>
      <c r="AJ398" s="200"/>
      <c r="AK398" s="522"/>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2"/>
      <c r="BF398" s="200"/>
      <c r="BG398" s="223"/>
      <c r="BH398" s="223"/>
      <c r="BI398" s="223"/>
      <c r="BJ398" s="223"/>
      <c r="BK398" s="223"/>
      <c r="BL398" s="223"/>
      <c r="BM398" s="200"/>
      <c r="BN398" s="200"/>
      <c r="BO398" s="522"/>
      <c r="BP398" s="200"/>
      <c r="BQ398" s="223"/>
      <c r="BR398" s="223"/>
      <c r="BS398" s="223"/>
      <c r="BT398" s="223"/>
      <c r="BU398" s="223"/>
      <c r="BV398" s="223"/>
      <c r="BW398" s="223"/>
      <c r="BX398" s="200"/>
      <c r="BY398" s="522"/>
      <c r="BZ398" s="200"/>
      <c r="CA398" s="223"/>
      <c r="CB398" s="223"/>
      <c r="CC398" s="223"/>
      <c r="CD398" s="223"/>
      <c r="CE398" s="223"/>
      <c r="CF398" s="223"/>
      <c r="CG398" s="200"/>
      <c r="CH398" s="200"/>
      <c r="CI398" s="522"/>
      <c r="CJ398" s="200"/>
      <c r="CK398" s="223"/>
      <c r="CL398" s="223"/>
      <c r="CM398" s="223"/>
      <c r="CN398" s="223"/>
      <c r="CO398" s="223"/>
      <c r="CP398" s="223"/>
      <c r="CQ398" s="200"/>
      <c r="CR398" s="200"/>
      <c r="CS398" s="522"/>
      <c r="CT398" s="200"/>
      <c r="CU398" s="223"/>
      <c r="CV398" s="223"/>
      <c r="CW398" s="223"/>
      <c r="CX398" s="223"/>
      <c r="CY398" s="223"/>
      <c r="CZ398" s="223"/>
      <c r="DA398" s="223"/>
      <c r="DB398" s="200"/>
      <c r="DC398" s="522"/>
      <c r="DD398" s="200"/>
      <c r="DE398" s="223"/>
      <c r="DF398" s="223"/>
      <c r="DG398" s="223"/>
      <c r="DH398" s="223"/>
      <c r="DI398" s="223"/>
      <c r="DJ398" s="223"/>
      <c r="DK398" s="200"/>
      <c r="DL398" s="200"/>
      <c r="DM398" s="522"/>
      <c r="DN398" s="200"/>
      <c r="DO398" s="223"/>
      <c r="DP398" s="223"/>
      <c r="DQ398" s="223"/>
      <c r="DR398" s="223"/>
      <c r="DS398" s="223"/>
      <c r="DT398" s="223"/>
      <c r="DU398" s="200"/>
      <c r="DV398" s="200"/>
      <c r="DW398" s="522"/>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2"/>
      <c r="R399" s="200"/>
      <c r="S399" s="223"/>
      <c r="T399" s="223"/>
      <c r="U399" s="223"/>
      <c r="V399" s="223"/>
      <c r="W399" s="223"/>
      <c r="X399" s="223"/>
      <c r="Y399" s="200"/>
      <c r="Z399" s="200"/>
      <c r="AA399" s="522"/>
      <c r="AB399" s="200"/>
      <c r="AC399" s="223"/>
      <c r="AD399" s="223"/>
      <c r="AE399" s="223"/>
      <c r="AF399" s="223"/>
      <c r="AG399" s="223"/>
      <c r="AH399" s="223"/>
      <c r="AI399" s="200"/>
      <c r="AJ399" s="200"/>
      <c r="AK399" s="522"/>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2"/>
      <c r="BF399" s="200"/>
      <c r="BG399" s="223"/>
      <c r="BH399" s="223"/>
      <c r="BI399" s="223"/>
      <c r="BJ399" s="223"/>
      <c r="BK399" s="223"/>
      <c r="BL399" s="223"/>
      <c r="BM399" s="200"/>
      <c r="BN399" s="200"/>
      <c r="BO399" s="522"/>
      <c r="BP399" s="200"/>
      <c r="BQ399" s="223"/>
      <c r="BR399" s="223"/>
      <c r="BS399" s="223"/>
      <c r="BT399" s="223"/>
      <c r="BU399" s="223"/>
      <c r="BV399" s="223"/>
      <c r="BW399" s="223"/>
      <c r="BX399" s="200"/>
      <c r="BY399" s="522"/>
      <c r="BZ399" s="200"/>
      <c r="CA399" s="223"/>
      <c r="CB399" s="223"/>
      <c r="CC399" s="223"/>
      <c r="CD399" s="223"/>
      <c r="CE399" s="223"/>
      <c r="CF399" s="223"/>
      <c r="CG399" s="200"/>
      <c r="CH399" s="200"/>
      <c r="CI399" s="522"/>
      <c r="CJ399" s="200"/>
      <c r="CK399" s="223"/>
      <c r="CL399" s="223"/>
      <c r="CM399" s="223"/>
      <c r="CN399" s="223"/>
      <c r="CO399" s="223"/>
      <c r="CP399" s="223"/>
      <c r="CQ399" s="200"/>
      <c r="CR399" s="200"/>
      <c r="CS399" s="522"/>
      <c r="CT399" s="200"/>
      <c r="CU399" s="223"/>
      <c r="CV399" s="223"/>
      <c r="CW399" s="223"/>
      <c r="CX399" s="223"/>
      <c r="CY399" s="223"/>
      <c r="CZ399" s="223"/>
      <c r="DA399" s="223"/>
      <c r="DB399" s="200"/>
      <c r="DC399" s="522"/>
      <c r="DD399" s="200"/>
      <c r="DE399" s="223"/>
      <c r="DF399" s="223"/>
      <c r="DG399" s="223"/>
      <c r="DH399" s="223"/>
      <c r="DI399" s="223"/>
      <c r="DJ399" s="223"/>
      <c r="DK399" s="200"/>
      <c r="DL399" s="200"/>
      <c r="DM399" s="522"/>
      <c r="DN399" s="200"/>
      <c r="DO399" s="223"/>
      <c r="DP399" s="223"/>
      <c r="DQ399" s="223"/>
      <c r="DR399" s="223"/>
      <c r="DS399" s="223"/>
      <c r="DT399" s="223"/>
      <c r="DU399" s="200"/>
      <c r="DV399" s="200"/>
      <c r="DW399" s="522"/>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2"/>
      <c r="R400" s="200"/>
      <c r="S400" s="223"/>
      <c r="T400" s="223"/>
      <c r="U400" s="223"/>
      <c r="V400" s="223"/>
      <c r="W400" s="223"/>
      <c r="X400" s="223"/>
      <c r="Y400" s="200"/>
      <c r="Z400" s="200"/>
      <c r="AA400" s="522"/>
      <c r="AB400" s="200"/>
      <c r="AC400" s="223"/>
      <c r="AD400" s="223"/>
      <c r="AE400" s="223"/>
      <c r="AF400" s="223"/>
      <c r="AG400" s="223"/>
      <c r="AH400" s="223"/>
      <c r="AI400" s="200"/>
      <c r="AJ400" s="200"/>
      <c r="AK400" s="522"/>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2"/>
      <c r="BF400" s="200"/>
      <c r="BG400" s="223"/>
      <c r="BH400" s="223"/>
      <c r="BI400" s="223"/>
      <c r="BJ400" s="223"/>
      <c r="BK400" s="223"/>
      <c r="BL400" s="223"/>
      <c r="BM400" s="200"/>
      <c r="BN400" s="200"/>
      <c r="BO400" s="522"/>
      <c r="BP400" s="200"/>
      <c r="BQ400" s="223"/>
      <c r="BR400" s="223"/>
      <c r="BS400" s="223"/>
      <c r="BT400" s="223"/>
      <c r="BU400" s="223"/>
      <c r="BV400" s="223"/>
      <c r="BW400" s="223"/>
      <c r="BX400" s="200"/>
      <c r="BY400" s="522"/>
      <c r="BZ400" s="200"/>
      <c r="CA400" s="223"/>
      <c r="CB400" s="223"/>
      <c r="CC400" s="223"/>
      <c r="CD400" s="223"/>
      <c r="CE400" s="223"/>
      <c r="CF400" s="223"/>
      <c r="CG400" s="200"/>
      <c r="CH400" s="200"/>
      <c r="CI400" s="522"/>
      <c r="CJ400" s="200"/>
      <c r="CK400" s="223"/>
      <c r="CL400" s="223"/>
      <c r="CM400" s="223"/>
      <c r="CN400" s="223"/>
      <c r="CO400" s="223"/>
      <c r="CP400" s="223"/>
      <c r="CQ400" s="200"/>
      <c r="CR400" s="200"/>
      <c r="CS400" s="522"/>
      <c r="CT400" s="200"/>
      <c r="CU400" s="223"/>
      <c r="CV400" s="223"/>
      <c r="CW400" s="223"/>
      <c r="CX400" s="223"/>
      <c r="CY400" s="223"/>
      <c r="CZ400" s="223"/>
      <c r="DA400" s="223"/>
      <c r="DB400" s="200"/>
      <c r="DC400" s="522"/>
      <c r="DD400" s="200"/>
      <c r="DE400" s="223"/>
      <c r="DF400" s="223"/>
      <c r="DG400" s="223"/>
      <c r="DH400" s="223"/>
      <c r="DI400" s="223"/>
      <c r="DJ400" s="223"/>
      <c r="DK400" s="200"/>
      <c r="DL400" s="200"/>
      <c r="DM400" s="522"/>
      <c r="DN400" s="200"/>
      <c r="DO400" s="223"/>
      <c r="DP400" s="223"/>
      <c r="DQ400" s="223"/>
      <c r="DR400" s="223"/>
      <c r="DS400" s="223"/>
      <c r="DT400" s="223"/>
      <c r="DU400" s="200"/>
      <c r="DV400" s="200"/>
      <c r="DW400" s="522"/>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2"/>
      <c r="R401" s="200"/>
      <c r="S401" s="223"/>
      <c r="T401" s="223"/>
      <c r="U401" s="223"/>
      <c r="V401" s="223"/>
      <c r="W401" s="223"/>
      <c r="X401" s="223"/>
      <c r="Y401" s="200"/>
      <c r="Z401" s="200"/>
      <c r="AA401" s="522"/>
      <c r="AB401" s="200"/>
      <c r="AC401" s="223"/>
      <c r="AD401" s="223"/>
      <c r="AE401" s="223"/>
      <c r="AF401" s="223"/>
      <c r="AG401" s="223"/>
      <c r="AH401" s="223"/>
      <c r="AI401" s="200"/>
      <c r="AJ401" s="200"/>
      <c r="AK401" s="522"/>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2"/>
      <c r="BF401" s="200"/>
      <c r="BG401" s="223"/>
      <c r="BH401" s="223"/>
      <c r="BI401" s="223"/>
      <c r="BJ401" s="223"/>
      <c r="BK401" s="223"/>
      <c r="BL401" s="223"/>
      <c r="BM401" s="200"/>
      <c r="BN401" s="200"/>
      <c r="BO401" s="522"/>
      <c r="BP401" s="200"/>
      <c r="BQ401" s="223"/>
      <c r="BR401" s="223"/>
      <c r="BS401" s="223"/>
      <c r="BT401" s="223"/>
      <c r="BU401" s="223"/>
      <c r="BV401" s="223"/>
      <c r="BW401" s="223"/>
      <c r="BX401" s="200"/>
      <c r="BY401" s="522"/>
      <c r="BZ401" s="200"/>
      <c r="CA401" s="223"/>
      <c r="CB401" s="223"/>
      <c r="CC401" s="223"/>
      <c r="CD401" s="223"/>
      <c r="CE401" s="223"/>
      <c r="CF401" s="223"/>
      <c r="CG401" s="200"/>
      <c r="CH401" s="200"/>
      <c r="CI401" s="522"/>
      <c r="CJ401" s="200"/>
      <c r="CK401" s="223"/>
      <c r="CL401" s="223"/>
      <c r="CM401" s="223"/>
      <c r="CN401" s="223"/>
      <c r="CO401" s="223"/>
      <c r="CP401" s="223"/>
      <c r="CQ401" s="200"/>
      <c r="CR401" s="200"/>
      <c r="CS401" s="522"/>
      <c r="CT401" s="200"/>
      <c r="CU401" s="223"/>
      <c r="CV401" s="223"/>
      <c r="CW401" s="223"/>
      <c r="CX401" s="223"/>
      <c r="CY401" s="223"/>
      <c r="CZ401" s="223"/>
      <c r="DA401" s="223"/>
      <c r="DB401" s="200"/>
      <c r="DC401" s="522"/>
      <c r="DD401" s="200"/>
      <c r="DE401" s="223"/>
      <c r="DF401" s="223"/>
      <c r="DG401" s="223"/>
      <c r="DH401" s="223"/>
      <c r="DI401" s="223"/>
      <c r="DJ401" s="223"/>
      <c r="DK401" s="200"/>
      <c r="DL401" s="200"/>
      <c r="DM401" s="522"/>
      <c r="DN401" s="200"/>
      <c r="DO401" s="223"/>
      <c r="DP401" s="223"/>
      <c r="DQ401" s="223"/>
      <c r="DR401" s="223"/>
      <c r="DS401" s="223"/>
      <c r="DT401" s="223"/>
      <c r="DU401" s="200"/>
      <c r="DV401" s="200"/>
      <c r="DW401" s="522"/>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2"/>
      <c r="R402" s="200"/>
      <c r="S402" s="223"/>
      <c r="T402" s="223"/>
      <c r="U402" s="223"/>
      <c r="V402" s="223"/>
      <c r="W402" s="223"/>
      <c r="X402" s="223"/>
      <c r="Y402" s="200"/>
      <c r="Z402" s="200"/>
      <c r="AA402" s="522"/>
      <c r="AB402" s="200"/>
      <c r="AC402" s="223"/>
      <c r="AD402" s="223"/>
      <c r="AE402" s="223"/>
      <c r="AF402" s="223"/>
      <c r="AG402" s="223"/>
      <c r="AH402" s="223"/>
      <c r="AI402" s="200"/>
      <c r="AJ402" s="200"/>
      <c r="AK402" s="522"/>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2"/>
      <c r="BF402" s="200"/>
      <c r="BG402" s="223"/>
      <c r="BH402" s="223"/>
      <c r="BI402" s="223"/>
      <c r="BJ402" s="223"/>
      <c r="BK402" s="223"/>
      <c r="BL402" s="223"/>
      <c r="BM402" s="200"/>
      <c r="BN402" s="200"/>
      <c r="BO402" s="522"/>
      <c r="BP402" s="200"/>
      <c r="BQ402" s="223"/>
      <c r="BR402" s="223"/>
      <c r="BS402" s="223"/>
      <c r="BT402" s="223"/>
      <c r="BU402" s="223"/>
      <c r="BV402" s="223"/>
      <c r="BW402" s="223"/>
      <c r="BX402" s="200"/>
      <c r="BY402" s="522"/>
      <c r="BZ402" s="200"/>
      <c r="CA402" s="223"/>
      <c r="CB402" s="223"/>
      <c r="CC402" s="223"/>
      <c r="CD402" s="223"/>
      <c r="CE402" s="223"/>
      <c r="CF402" s="223"/>
      <c r="CG402" s="200"/>
      <c r="CH402" s="200"/>
      <c r="CI402" s="522"/>
      <c r="CJ402" s="200"/>
      <c r="CK402" s="223"/>
      <c r="CL402" s="223"/>
      <c r="CM402" s="223"/>
      <c r="CN402" s="223"/>
      <c r="CO402" s="223"/>
      <c r="CP402" s="223"/>
      <c r="CQ402" s="200"/>
      <c r="CR402" s="200"/>
      <c r="CS402" s="522"/>
      <c r="CT402" s="200"/>
      <c r="CU402" s="223"/>
      <c r="CV402" s="223"/>
      <c r="CW402" s="223"/>
      <c r="CX402" s="223"/>
      <c r="CY402" s="223"/>
      <c r="CZ402" s="223"/>
      <c r="DA402" s="223"/>
      <c r="DB402" s="200"/>
      <c r="DC402" s="522"/>
      <c r="DD402" s="200"/>
      <c r="DE402" s="223"/>
      <c r="DF402" s="223"/>
      <c r="DG402" s="223"/>
      <c r="DH402" s="223"/>
      <c r="DI402" s="223"/>
      <c r="DJ402" s="223"/>
      <c r="DK402" s="200"/>
      <c r="DL402" s="200"/>
      <c r="DM402" s="522"/>
      <c r="DN402" s="200"/>
      <c r="DO402" s="223"/>
      <c r="DP402" s="223"/>
      <c r="DQ402" s="223"/>
      <c r="DR402" s="223"/>
      <c r="DS402" s="223"/>
      <c r="DT402" s="223"/>
      <c r="DU402" s="200"/>
      <c r="DV402" s="200"/>
      <c r="DW402" s="522"/>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2"/>
      <c r="R403" s="200"/>
      <c r="S403" s="223"/>
      <c r="T403" s="223"/>
      <c r="U403" s="223"/>
      <c r="V403" s="223"/>
      <c r="W403" s="223"/>
      <c r="X403" s="223"/>
      <c r="Y403" s="200"/>
      <c r="Z403" s="200"/>
      <c r="AA403" s="522"/>
      <c r="AB403" s="200"/>
      <c r="AC403" s="223"/>
      <c r="AD403" s="223"/>
      <c r="AE403" s="223"/>
      <c r="AF403" s="223"/>
      <c r="AG403" s="223"/>
      <c r="AH403" s="223"/>
      <c r="AI403" s="200"/>
      <c r="AJ403" s="200"/>
      <c r="AK403" s="522"/>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2"/>
      <c r="BF403" s="200"/>
      <c r="BG403" s="223"/>
      <c r="BH403" s="223"/>
      <c r="BI403" s="223"/>
      <c r="BJ403" s="223"/>
      <c r="BK403" s="223"/>
      <c r="BL403" s="223"/>
      <c r="BM403" s="200"/>
      <c r="BN403" s="200"/>
      <c r="BO403" s="522"/>
      <c r="BP403" s="200"/>
      <c r="BQ403" s="223"/>
      <c r="BR403" s="223"/>
      <c r="BS403" s="223"/>
      <c r="BT403" s="223"/>
      <c r="BU403" s="223"/>
      <c r="BV403" s="223"/>
      <c r="BW403" s="223"/>
      <c r="BX403" s="200"/>
      <c r="BY403" s="522"/>
      <c r="BZ403" s="200"/>
      <c r="CA403" s="223"/>
      <c r="CB403" s="223"/>
      <c r="CC403" s="223"/>
      <c r="CD403" s="223"/>
      <c r="CE403" s="223"/>
      <c r="CF403" s="223"/>
      <c r="CG403" s="200"/>
      <c r="CH403" s="200"/>
      <c r="CI403" s="522"/>
      <c r="CJ403" s="200"/>
      <c r="CK403" s="223"/>
      <c r="CL403" s="223"/>
      <c r="CM403" s="223"/>
      <c r="CN403" s="223"/>
      <c r="CO403" s="223"/>
      <c r="CP403" s="223"/>
      <c r="CQ403" s="200"/>
      <c r="CR403" s="200"/>
      <c r="CS403" s="522"/>
      <c r="CT403" s="200"/>
      <c r="CU403" s="223"/>
      <c r="CV403" s="223"/>
      <c r="CW403" s="223"/>
      <c r="CX403" s="223"/>
      <c r="CY403" s="223"/>
      <c r="CZ403" s="223"/>
      <c r="DA403" s="223"/>
      <c r="DB403" s="200"/>
      <c r="DC403" s="522"/>
      <c r="DD403" s="200"/>
      <c r="DE403" s="223"/>
      <c r="DF403" s="223"/>
      <c r="DG403" s="223"/>
      <c r="DH403" s="223"/>
      <c r="DI403" s="223"/>
      <c r="DJ403" s="223"/>
      <c r="DK403" s="200"/>
      <c r="DL403" s="200"/>
      <c r="DM403" s="522"/>
      <c r="DN403" s="200"/>
      <c r="DO403" s="223"/>
      <c r="DP403" s="223"/>
      <c r="DQ403" s="223"/>
      <c r="DR403" s="223"/>
      <c r="DS403" s="223"/>
      <c r="DT403" s="223"/>
      <c r="DU403" s="200"/>
      <c r="DV403" s="200"/>
      <c r="DW403" s="522"/>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2"/>
      <c r="R404" s="200"/>
      <c r="S404" s="223"/>
      <c r="T404" s="223"/>
      <c r="U404" s="223"/>
      <c r="V404" s="223"/>
      <c r="W404" s="223"/>
      <c r="X404" s="223"/>
      <c r="Y404" s="200"/>
      <c r="Z404" s="200"/>
      <c r="AA404" s="522"/>
      <c r="AB404" s="200"/>
      <c r="AC404" s="223"/>
      <c r="AD404" s="223"/>
      <c r="AE404" s="223"/>
      <c r="AF404" s="223"/>
      <c r="AG404" s="223"/>
      <c r="AH404" s="223"/>
      <c r="AI404" s="200"/>
      <c r="AJ404" s="200"/>
      <c r="AK404" s="522"/>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2"/>
      <c r="BF404" s="200"/>
      <c r="BG404" s="223"/>
      <c r="BH404" s="223"/>
      <c r="BI404" s="223"/>
      <c r="BJ404" s="223"/>
      <c r="BK404" s="223"/>
      <c r="BL404" s="223"/>
      <c r="BM404" s="200"/>
      <c r="BN404" s="200"/>
      <c r="BO404" s="522"/>
      <c r="BP404" s="200"/>
      <c r="BQ404" s="223"/>
      <c r="BR404" s="223"/>
      <c r="BS404" s="223"/>
      <c r="BT404" s="223"/>
      <c r="BU404" s="223"/>
      <c r="BV404" s="223"/>
      <c r="BW404" s="223"/>
      <c r="BX404" s="200"/>
      <c r="BY404" s="522"/>
      <c r="BZ404" s="200"/>
      <c r="CA404" s="223"/>
      <c r="CB404" s="223"/>
      <c r="CC404" s="223"/>
      <c r="CD404" s="223"/>
      <c r="CE404" s="223"/>
      <c r="CF404" s="223"/>
      <c r="CG404" s="200"/>
      <c r="CH404" s="200"/>
      <c r="CI404" s="522"/>
      <c r="CJ404" s="200"/>
      <c r="CK404" s="223"/>
      <c r="CL404" s="223"/>
      <c r="CM404" s="223"/>
      <c r="CN404" s="223"/>
      <c r="CO404" s="223"/>
      <c r="CP404" s="223"/>
      <c r="CQ404" s="200"/>
      <c r="CR404" s="200"/>
      <c r="CS404" s="522"/>
      <c r="CT404" s="200"/>
      <c r="CU404" s="223"/>
      <c r="CV404" s="223"/>
      <c r="CW404" s="223"/>
      <c r="CX404" s="223"/>
      <c r="CY404" s="223"/>
      <c r="CZ404" s="223"/>
      <c r="DA404" s="223"/>
      <c r="DB404" s="200"/>
      <c r="DC404" s="522"/>
      <c r="DD404" s="200"/>
      <c r="DE404" s="223"/>
      <c r="DF404" s="223"/>
      <c r="DG404" s="223"/>
      <c r="DH404" s="223"/>
      <c r="DI404" s="223"/>
      <c r="DJ404" s="223"/>
      <c r="DK404" s="200"/>
      <c r="DL404" s="200"/>
      <c r="DM404" s="522"/>
      <c r="DN404" s="200"/>
      <c r="DO404" s="223"/>
      <c r="DP404" s="223"/>
      <c r="DQ404" s="223"/>
      <c r="DR404" s="223"/>
      <c r="DS404" s="223"/>
      <c r="DT404" s="223"/>
      <c r="DU404" s="200"/>
      <c r="DV404" s="200"/>
      <c r="DW404" s="522"/>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2"/>
      <c r="R405" s="200"/>
      <c r="S405" s="223"/>
      <c r="T405" s="223"/>
      <c r="U405" s="223"/>
      <c r="V405" s="223"/>
      <c r="W405" s="223"/>
      <c r="X405" s="223"/>
      <c r="Y405" s="200"/>
      <c r="Z405" s="200"/>
      <c r="AA405" s="522"/>
      <c r="AB405" s="200"/>
      <c r="AC405" s="223"/>
      <c r="AD405" s="223"/>
      <c r="AE405" s="223"/>
      <c r="AF405" s="223"/>
      <c r="AG405" s="223"/>
      <c r="AH405" s="223"/>
      <c r="AI405" s="200"/>
      <c r="AJ405" s="200"/>
      <c r="AK405" s="522"/>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2"/>
      <c r="BF405" s="200"/>
      <c r="BG405" s="223"/>
      <c r="BH405" s="223"/>
      <c r="BI405" s="223"/>
      <c r="BJ405" s="223"/>
      <c r="BK405" s="223"/>
      <c r="BL405" s="223"/>
      <c r="BM405" s="200"/>
      <c r="BN405" s="200"/>
      <c r="BO405" s="522"/>
      <c r="BP405" s="200"/>
      <c r="BQ405" s="223"/>
      <c r="BR405" s="223"/>
      <c r="BS405" s="223"/>
      <c r="BT405" s="223"/>
      <c r="BU405" s="223"/>
      <c r="BV405" s="223"/>
      <c r="BW405" s="223"/>
      <c r="BX405" s="200"/>
      <c r="BY405" s="522"/>
      <c r="BZ405" s="200"/>
      <c r="CA405" s="223"/>
      <c r="CB405" s="223"/>
      <c r="CC405" s="223"/>
      <c r="CD405" s="223"/>
      <c r="CE405" s="223"/>
      <c r="CF405" s="223"/>
      <c r="CG405" s="200"/>
      <c r="CH405" s="200"/>
      <c r="CI405" s="522"/>
      <c r="CJ405" s="200"/>
      <c r="CK405" s="223"/>
      <c r="CL405" s="223"/>
      <c r="CM405" s="223"/>
      <c r="CN405" s="223"/>
      <c r="CO405" s="223"/>
      <c r="CP405" s="223"/>
      <c r="CQ405" s="200"/>
      <c r="CR405" s="200"/>
      <c r="CS405" s="522"/>
      <c r="CT405" s="200"/>
      <c r="CU405" s="223"/>
      <c r="CV405" s="223"/>
      <c r="CW405" s="223"/>
      <c r="CX405" s="223"/>
      <c r="CY405" s="223"/>
      <c r="CZ405" s="223"/>
      <c r="DA405" s="223"/>
      <c r="DB405" s="200"/>
      <c r="DC405" s="522"/>
      <c r="DD405" s="200"/>
      <c r="DE405" s="223"/>
      <c r="DF405" s="223"/>
      <c r="DG405" s="223"/>
      <c r="DH405" s="223"/>
      <c r="DI405" s="223"/>
      <c r="DJ405" s="223"/>
      <c r="DK405" s="200"/>
      <c r="DL405" s="200"/>
      <c r="DM405" s="522"/>
      <c r="DN405" s="200"/>
      <c r="DO405" s="223"/>
      <c r="DP405" s="223"/>
      <c r="DQ405" s="223"/>
      <c r="DR405" s="223"/>
      <c r="DS405" s="223"/>
      <c r="DT405" s="223"/>
      <c r="DU405" s="200"/>
      <c r="DV405" s="200"/>
      <c r="DW405" s="522"/>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2"/>
      <c r="R406" s="200"/>
      <c r="S406" s="223"/>
      <c r="T406" s="223"/>
      <c r="U406" s="223"/>
      <c r="V406" s="223"/>
      <c r="W406" s="223"/>
      <c r="X406" s="223"/>
      <c r="Y406" s="200"/>
      <c r="Z406" s="200"/>
      <c r="AA406" s="522"/>
      <c r="AB406" s="200"/>
      <c r="AC406" s="223"/>
      <c r="AD406" s="223"/>
      <c r="AE406" s="223"/>
      <c r="AF406" s="223"/>
      <c r="AG406" s="223"/>
      <c r="AH406" s="223"/>
      <c r="AI406" s="200"/>
      <c r="AJ406" s="200"/>
      <c r="AK406" s="522"/>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2"/>
      <c r="BF406" s="200"/>
      <c r="BG406" s="223"/>
      <c r="BH406" s="223"/>
      <c r="BI406" s="223"/>
      <c r="BJ406" s="223"/>
      <c r="BK406" s="223"/>
      <c r="BL406" s="223"/>
      <c r="BM406" s="200"/>
      <c r="BN406" s="200"/>
      <c r="BO406" s="522"/>
      <c r="BP406" s="200"/>
      <c r="BQ406" s="223"/>
      <c r="BR406" s="223"/>
      <c r="BS406" s="223"/>
      <c r="BT406" s="223"/>
      <c r="BU406" s="223"/>
      <c r="BV406" s="223"/>
      <c r="BW406" s="223"/>
      <c r="BX406" s="200"/>
      <c r="BY406" s="522"/>
      <c r="BZ406" s="200"/>
      <c r="CA406" s="223"/>
      <c r="CB406" s="223"/>
      <c r="CC406" s="223"/>
      <c r="CD406" s="223"/>
      <c r="CE406" s="223"/>
      <c r="CF406" s="223"/>
      <c r="CG406" s="200"/>
      <c r="CH406" s="200"/>
      <c r="CI406" s="522"/>
      <c r="CJ406" s="200"/>
      <c r="CK406" s="223"/>
      <c r="CL406" s="223"/>
      <c r="CM406" s="223"/>
      <c r="CN406" s="223"/>
      <c r="CO406" s="223"/>
      <c r="CP406" s="223"/>
      <c r="CQ406" s="200"/>
      <c r="CR406" s="200"/>
      <c r="CS406" s="522"/>
      <c r="CT406" s="200"/>
      <c r="CU406" s="223"/>
      <c r="CV406" s="223"/>
      <c r="CW406" s="223"/>
      <c r="CX406" s="223"/>
      <c r="CY406" s="223"/>
      <c r="CZ406" s="223"/>
      <c r="DA406" s="223"/>
      <c r="DB406" s="200"/>
      <c r="DC406" s="522"/>
      <c r="DD406" s="200"/>
      <c r="DE406" s="223"/>
      <c r="DF406" s="223"/>
      <c r="DG406" s="223"/>
      <c r="DH406" s="223"/>
      <c r="DI406" s="223"/>
      <c r="DJ406" s="223"/>
      <c r="DK406" s="200"/>
      <c r="DL406" s="200"/>
      <c r="DM406" s="522"/>
      <c r="DN406" s="200"/>
      <c r="DO406" s="223"/>
      <c r="DP406" s="223"/>
      <c r="DQ406" s="223"/>
      <c r="DR406" s="223"/>
      <c r="DS406" s="223"/>
      <c r="DT406" s="223"/>
      <c r="DU406" s="200"/>
      <c r="DV406" s="200"/>
      <c r="DW406" s="522"/>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2"/>
      <c r="R407" s="200"/>
      <c r="S407" s="223"/>
      <c r="T407" s="223"/>
      <c r="U407" s="223"/>
      <c r="V407" s="223"/>
      <c r="W407" s="223"/>
      <c r="X407" s="223"/>
      <c r="Y407" s="200"/>
      <c r="Z407" s="200"/>
      <c r="AA407" s="522"/>
      <c r="AB407" s="200"/>
      <c r="AC407" s="223"/>
      <c r="AD407" s="223"/>
      <c r="AE407" s="223"/>
      <c r="AF407" s="223"/>
      <c r="AG407" s="223"/>
      <c r="AH407" s="223"/>
      <c r="AI407" s="200"/>
      <c r="AJ407" s="200"/>
      <c r="AK407" s="522"/>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2"/>
      <c r="BF407" s="200"/>
      <c r="BG407" s="223"/>
      <c r="BH407" s="223"/>
      <c r="BI407" s="223"/>
      <c r="BJ407" s="223"/>
      <c r="BK407" s="223"/>
      <c r="BL407" s="223"/>
      <c r="BM407" s="200"/>
      <c r="BN407" s="200"/>
      <c r="BO407" s="522"/>
      <c r="BP407" s="200"/>
      <c r="BQ407" s="223"/>
      <c r="BR407" s="223"/>
      <c r="BS407" s="223"/>
      <c r="BT407" s="223"/>
      <c r="BU407" s="223"/>
      <c r="BV407" s="223"/>
      <c r="BW407" s="223"/>
      <c r="BX407" s="200"/>
      <c r="BY407" s="522"/>
      <c r="BZ407" s="200"/>
      <c r="CA407" s="223"/>
      <c r="CB407" s="223"/>
      <c r="CC407" s="223"/>
      <c r="CD407" s="223"/>
      <c r="CE407" s="223"/>
      <c r="CF407" s="223"/>
      <c r="CG407" s="200"/>
      <c r="CH407" s="200"/>
      <c r="CI407" s="522"/>
      <c r="CJ407" s="200"/>
      <c r="CK407" s="223"/>
      <c r="CL407" s="223"/>
      <c r="CM407" s="223"/>
      <c r="CN407" s="223"/>
      <c r="CO407" s="223"/>
      <c r="CP407" s="223"/>
      <c r="CQ407" s="200"/>
      <c r="CR407" s="200"/>
      <c r="CS407" s="522"/>
      <c r="CT407" s="200"/>
      <c r="CU407" s="223"/>
      <c r="CV407" s="223"/>
      <c r="CW407" s="223"/>
      <c r="CX407" s="223"/>
      <c r="CY407" s="223"/>
      <c r="CZ407" s="223"/>
      <c r="DA407" s="223"/>
      <c r="DB407" s="200"/>
      <c r="DC407" s="522"/>
      <c r="DD407" s="200"/>
      <c r="DE407" s="223"/>
      <c r="DF407" s="223"/>
      <c r="DG407" s="223"/>
      <c r="DH407" s="223"/>
      <c r="DI407" s="223"/>
      <c r="DJ407" s="223"/>
      <c r="DK407" s="200"/>
      <c r="DL407" s="200"/>
      <c r="DM407" s="522"/>
      <c r="DN407" s="200"/>
      <c r="DO407" s="223"/>
      <c r="DP407" s="223"/>
      <c r="DQ407" s="223"/>
      <c r="DR407" s="223"/>
      <c r="DS407" s="223"/>
      <c r="DT407" s="223"/>
      <c r="DU407" s="200"/>
      <c r="DV407" s="200"/>
      <c r="DW407" s="522"/>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2"/>
      <c r="R408" s="200"/>
      <c r="S408" s="223"/>
      <c r="T408" s="223"/>
      <c r="U408" s="223"/>
      <c r="V408" s="223"/>
      <c r="W408" s="223"/>
      <c r="X408" s="223"/>
      <c r="Y408" s="200"/>
      <c r="Z408" s="200"/>
      <c r="AA408" s="522"/>
      <c r="AB408" s="200"/>
      <c r="AC408" s="223"/>
      <c r="AD408" s="223"/>
      <c r="AE408" s="223"/>
      <c r="AF408" s="223"/>
      <c r="AG408" s="223"/>
      <c r="AH408" s="223"/>
      <c r="AI408" s="200"/>
      <c r="AJ408" s="200"/>
      <c r="AK408" s="522"/>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2"/>
      <c r="BF408" s="200"/>
      <c r="BG408" s="223"/>
      <c r="BH408" s="223"/>
      <c r="BI408" s="223"/>
      <c r="BJ408" s="223"/>
      <c r="BK408" s="223"/>
      <c r="BL408" s="223"/>
      <c r="BM408" s="200"/>
      <c r="BN408" s="200"/>
      <c r="BO408" s="522"/>
      <c r="BP408" s="200"/>
      <c r="BQ408" s="223"/>
      <c r="BR408" s="223"/>
      <c r="BS408" s="223"/>
      <c r="BT408" s="223"/>
      <c r="BU408" s="223"/>
      <c r="BV408" s="223"/>
      <c r="BW408" s="223"/>
      <c r="BX408" s="200"/>
      <c r="BY408" s="522"/>
      <c r="BZ408" s="200"/>
      <c r="CA408" s="223"/>
      <c r="CB408" s="223"/>
      <c r="CC408" s="223"/>
      <c r="CD408" s="223"/>
      <c r="CE408" s="223"/>
      <c r="CF408" s="223"/>
      <c r="CG408" s="200"/>
      <c r="CH408" s="200"/>
      <c r="CI408" s="522"/>
      <c r="CJ408" s="200"/>
      <c r="CK408" s="223"/>
      <c r="CL408" s="223"/>
      <c r="CM408" s="223"/>
      <c r="CN408" s="223"/>
      <c r="CO408" s="223"/>
      <c r="CP408" s="223"/>
      <c r="CQ408" s="200"/>
      <c r="CR408" s="200"/>
      <c r="CS408" s="522"/>
      <c r="CT408" s="200"/>
      <c r="CU408" s="223"/>
      <c r="CV408" s="223"/>
      <c r="CW408" s="223"/>
      <c r="CX408" s="223"/>
      <c r="CY408" s="223"/>
      <c r="CZ408" s="223"/>
      <c r="DA408" s="223"/>
      <c r="DB408" s="200"/>
      <c r="DC408" s="522"/>
      <c r="DD408" s="200"/>
      <c r="DE408" s="223"/>
      <c r="DF408" s="223"/>
      <c r="DG408" s="223"/>
      <c r="DH408" s="223"/>
      <c r="DI408" s="223"/>
      <c r="DJ408" s="223"/>
      <c r="DK408" s="200"/>
      <c r="DL408" s="200"/>
      <c r="DM408" s="522"/>
      <c r="DN408" s="200"/>
      <c r="DO408" s="223"/>
      <c r="DP408" s="223"/>
      <c r="DQ408" s="223"/>
      <c r="DR408" s="223"/>
      <c r="DS408" s="223"/>
      <c r="DT408" s="223"/>
      <c r="DU408" s="200"/>
      <c r="DV408" s="200"/>
      <c r="DW408" s="522"/>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2"/>
      <c r="R409" s="200"/>
      <c r="S409" s="223"/>
      <c r="T409" s="223"/>
      <c r="U409" s="223"/>
      <c r="V409" s="223"/>
      <c r="W409" s="223"/>
      <c r="X409" s="223"/>
      <c r="Y409" s="200"/>
      <c r="Z409" s="200"/>
      <c r="AA409" s="522"/>
      <c r="AB409" s="200"/>
      <c r="AC409" s="223"/>
      <c r="AD409" s="223"/>
      <c r="AE409" s="223"/>
      <c r="AF409" s="223"/>
      <c r="AG409" s="223"/>
      <c r="AH409" s="223"/>
      <c r="AI409" s="200"/>
      <c r="AJ409" s="200"/>
      <c r="AK409" s="522"/>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2"/>
      <c r="BF409" s="200"/>
      <c r="BG409" s="223"/>
      <c r="BH409" s="223"/>
      <c r="BI409" s="223"/>
      <c r="BJ409" s="223"/>
      <c r="BK409" s="223"/>
      <c r="BL409" s="223"/>
      <c r="BM409" s="200"/>
      <c r="BN409" s="200"/>
      <c r="BO409" s="522"/>
      <c r="BP409" s="200"/>
      <c r="BQ409" s="223"/>
      <c r="BR409" s="223"/>
      <c r="BS409" s="223"/>
      <c r="BT409" s="223"/>
      <c r="BU409" s="223"/>
      <c r="BV409" s="223"/>
      <c r="BW409" s="223"/>
      <c r="BX409" s="200"/>
      <c r="BY409" s="522"/>
      <c r="BZ409" s="200"/>
      <c r="CA409" s="223"/>
      <c r="CB409" s="223"/>
      <c r="CC409" s="223"/>
      <c r="CD409" s="223"/>
      <c r="CE409" s="223"/>
      <c r="CF409" s="223"/>
      <c r="CG409" s="200"/>
      <c r="CH409" s="200"/>
      <c r="CI409" s="522"/>
      <c r="CJ409" s="200"/>
      <c r="CK409" s="223"/>
      <c r="CL409" s="223"/>
      <c r="CM409" s="223"/>
      <c r="CN409" s="223"/>
      <c r="CO409" s="223"/>
      <c r="CP409" s="223"/>
      <c r="CQ409" s="200"/>
      <c r="CR409" s="200"/>
      <c r="CS409" s="522"/>
      <c r="CT409" s="200"/>
      <c r="CU409" s="223"/>
      <c r="CV409" s="223"/>
      <c r="CW409" s="223"/>
      <c r="CX409" s="223"/>
      <c r="CY409" s="223"/>
      <c r="CZ409" s="223"/>
      <c r="DA409" s="223"/>
      <c r="DB409" s="200"/>
      <c r="DC409" s="522"/>
      <c r="DD409" s="200"/>
      <c r="DE409" s="223"/>
      <c r="DF409" s="223"/>
      <c r="DG409" s="223"/>
      <c r="DH409" s="223"/>
      <c r="DI409" s="223"/>
      <c r="DJ409" s="223"/>
      <c r="DK409" s="200"/>
      <c r="DL409" s="200"/>
      <c r="DM409" s="522"/>
      <c r="DN409" s="200"/>
      <c r="DO409" s="223"/>
      <c r="DP409" s="223"/>
      <c r="DQ409" s="223"/>
      <c r="DR409" s="223"/>
      <c r="DS409" s="223"/>
      <c r="DT409" s="223"/>
      <c r="DU409" s="200"/>
      <c r="DV409" s="200"/>
      <c r="DW409" s="522"/>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2"/>
      <c r="R410" s="200"/>
      <c r="S410" s="223"/>
      <c r="T410" s="223"/>
      <c r="U410" s="223"/>
      <c r="V410" s="223"/>
      <c r="W410" s="223"/>
      <c r="X410" s="223"/>
      <c r="Y410" s="200"/>
      <c r="Z410" s="200"/>
      <c r="AA410" s="522"/>
      <c r="AB410" s="200"/>
      <c r="AC410" s="223"/>
      <c r="AD410" s="223"/>
      <c r="AE410" s="223"/>
      <c r="AF410" s="223"/>
      <c r="AG410" s="223"/>
      <c r="AH410" s="223"/>
      <c r="AI410" s="200"/>
      <c r="AJ410" s="200"/>
      <c r="AK410" s="522"/>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2"/>
      <c r="BF410" s="200"/>
      <c r="BG410" s="223"/>
      <c r="BH410" s="223"/>
      <c r="BI410" s="223"/>
      <c r="BJ410" s="223"/>
      <c r="BK410" s="223"/>
      <c r="BL410" s="223"/>
      <c r="BM410" s="200"/>
      <c r="BN410" s="200"/>
      <c r="BO410" s="522"/>
      <c r="BP410" s="200"/>
      <c r="BQ410" s="223"/>
      <c r="BR410" s="223"/>
      <c r="BS410" s="223"/>
      <c r="BT410" s="223"/>
      <c r="BU410" s="223"/>
      <c r="BV410" s="223"/>
      <c r="BW410" s="223"/>
      <c r="BX410" s="200"/>
      <c r="BY410" s="522"/>
      <c r="BZ410" s="200"/>
      <c r="CA410" s="223"/>
      <c r="CB410" s="223"/>
      <c r="CC410" s="223"/>
      <c r="CD410" s="223"/>
      <c r="CE410" s="223"/>
      <c r="CF410" s="223"/>
      <c r="CG410" s="200"/>
      <c r="CH410" s="200"/>
      <c r="CI410" s="522"/>
      <c r="CJ410" s="200"/>
      <c r="CK410" s="223"/>
      <c r="CL410" s="223"/>
      <c r="CM410" s="223"/>
      <c r="CN410" s="223"/>
      <c r="CO410" s="223"/>
      <c r="CP410" s="223"/>
      <c r="CQ410" s="200"/>
      <c r="CR410" s="200"/>
      <c r="CS410" s="522"/>
      <c r="CT410" s="200"/>
      <c r="CU410" s="223"/>
      <c r="CV410" s="223"/>
      <c r="CW410" s="223"/>
      <c r="CX410" s="223"/>
      <c r="CY410" s="223"/>
      <c r="CZ410" s="223"/>
      <c r="DA410" s="223"/>
      <c r="DB410" s="200"/>
      <c r="DC410" s="522"/>
      <c r="DD410" s="200"/>
      <c r="DE410" s="223"/>
      <c r="DF410" s="223"/>
      <c r="DG410" s="223"/>
      <c r="DH410" s="223"/>
      <c r="DI410" s="223"/>
      <c r="DJ410" s="223"/>
      <c r="DK410" s="200"/>
      <c r="DL410" s="200"/>
      <c r="DM410" s="522"/>
      <c r="DN410" s="200"/>
      <c r="DO410" s="223"/>
      <c r="DP410" s="223"/>
      <c r="DQ410" s="223"/>
      <c r="DR410" s="223"/>
      <c r="DS410" s="223"/>
      <c r="DT410" s="223"/>
      <c r="DU410" s="200"/>
      <c r="DV410" s="200"/>
      <c r="DW410" s="522"/>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2"/>
      <c r="R411" s="200"/>
      <c r="S411" s="223"/>
      <c r="T411" s="223"/>
      <c r="U411" s="223"/>
      <c r="V411" s="223"/>
      <c r="W411" s="223"/>
      <c r="X411" s="223"/>
      <c r="Y411" s="200"/>
      <c r="Z411" s="200"/>
      <c r="AA411" s="522"/>
      <c r="AB411" s="200"/>
      <c r="AC411" s="223"/>
      <c r="AD411" s="223"/>
      <c r="AE411" s="223"/>
      <c r="AF411" s="223"/>
      <c r="AG411" s="223"/>
      <c r="AH411" s="223"/>
      <c r="AI411" s="200"/>
      <c r="AJ411" s="200"/>
      <c r="AK411" s="522"/>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2"/>
      <c r="BF411" s="200"/>
      <c r="BG411" s="223"/>
      <c r="BH411" s="223"/>
      <c r="BI411" s="223"/>
      <c r="BJ411" s="223"/>
      <c r="BK411" s="223"/>
      <c r="BL411" s="223"/>
      <c r="BM411" s="200"/>
      <c r="BN411" s="200"/>
      <c r="BO411" s="522"/>
      <c r="BP411" s="200"/>
      <c r="BQ411" s="223"/>
      <c r="BR411" s="223"/>
      <c r="BS411" s="223"/>
      <c r="BT411" s="223"/>
      <c r="BU411" s="223"/>
      <c r="BV411" s="223"/>
      <c r="BW411" s="223"/>
      <c r="BX411" s="200"/>
      <c r="BY411" s="522"/>
      <c r="BZ411" s="200"/>
      <c r="CA411" s="223"/>
      <c r="CB411" s="223"/>
      <c r="CC411" s="223"/>
      <c r="CD411" s="223"/>
      <c r="CE411" s="223"/>
      <c r="CF411" s="223"/>
      <c r="CG411" s="200"/>
      <c r="CH411" s="200"/>
      <c r="CI411" s="522"/>
      <c r="CJ411" s="200"/>
      <c r="CK411" s="223"/>
      <c r="CL411" s="223"/>
      <c r="CM411" s="223"/>
      <c r="CN411" s="223"/>
      <c r="CO411" s="223"/>
      <c r="CP411" s="223"/>
      <c r="CQ411" s="200"/>
      <c r="CR411" s="200"/>
      <c r="CS411" s="522"/>
      <c r="CT411" s="200"/>
      <c r="CU411" s="223"/>
      <c r="CV411" s="223"/>
      <c r="CW411" s="223"/>
      <c r="CX411" s="223"/>
      <c r="CY411" s="223"/>
      <c r="CZ411" s="223"/>
      <c r="DA411" s="223"/>
      <c r="DB411" s="200"/>
      <c r="DC411" s="522"/>
      <c r="DD411" s="200"/>
      <c r="DE411" s="223"/>
      <c r="DF411" s="223"/>
      <c r="DG411" s="223"/>
      <c r="DH411" s="223"/>
      <c r="DI411" s="223"/>
      <c r="DJ411" s="223"/>
      <c r="DK411" s="200"/>
      <c r="DL411" s="200"/>
      <c r="DM411" s="522"/>
      <c r="DN411" s="200"/>
      <c r="DO411" s="223"/>
      <c r="DP411" s="223"/>
      <c r="DQ411" s="223"/>
      <c r="DR411" s="223"/>
      <c r="DS411" s="223"/>
      <c r="DT411" s="223"/>
      <c r="DU411" s="200"/>
      <c r="DV411" s="200"/>
      <c r="DW411" s="522"/>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2"/>
      <c r="R412" s="200"/>
      <c r="S412" s="223"/>
      <c r="T412" s="223"/>
      <c r="U412" s="223"/>
      <c r="V412" s="223"/>
      <c r="W412" s="223"/>
      <c r="X412" s="223"/>
      <c r="Y412" s="200"/>
      <c r="Z412" s="200"/>
      <c r="AA412" s="522"/>
      <c r="AB412" s="200"/>
      <c r="AC412" s="223"/>
      <c r="AD412" s="223"/>
      <c r="AE412" s="223"/>
      <c r="AF412" s="223"/>
      <c r="AG412" s="223"/>
      <c r="AH412" s="223"/>
      <c r="AI412" s="200"/>
      <c r="AJ412" s="200"/>
      <c r="AK412" s="522"/>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2"/>
      <c r="BF412" s="200"/>
      <c r="BG412" s="223"/>
      <c r="BH412" s="223"/>
      <c r="BI412" s="223"/>
      <c r="BJ412" s="223"/>
      <c r="BK412" s="223"/>
      <c r="BL412" s="223"/>
      <c r="BM412" s="200"/>
      <c r="BN412" s="200"/>
      <c r="BO412" s="522"/>
      <c r="BP412" s="200"/>
      <c r="BQ412" s="223"/>
      <c r="BR412" s="223"/>
      <c r="BS412" s="223"/>
      <c r="BT412" s="223"/>
      <c r="BU412" s="223"/>
      <c r="BV412" s="223"/>
      <c r="BW412" s="223"/>
      <c r="BX412" s="200"/>
      <c r="BY412" s="522"/>
      <c r="BZ412" s="200"/>
      <c r="CA412" s="223"/>
      <c r="CB412" s="223"/>
      <c r="CC412" s="223"/>
      <c r="CD412" s="223"/>
      <c r="CE412" s="223"/>
      <c r="CF412" s="223"/>
      <c r="CG412" s="200"/>
      <c r="CH412" s="200"/>
      <c r="CI412" s="522"/>
      <c r="CJ412" s="200"/>
      <c r="CK412" s="223"/>
      <c r="CL412" s="223"/>
      <c r="CM412" s="223"/>
      <c r="CN412" s="223"/>
      <c r="CO412" s="223"/>
      <c r="CP412" s="223"/>
      <c r="CQ412" s="200"/>
      <c r="CR412" s="200"/>
      <c r="CS412" s="522"/>
      <c r="CT412" s="200"/>
      <c r="CU412" s="223"/>
      <c r="CV412" s="223"/>
      <c r="CW412" s="223"/>
      <c r="CX412" s="223"/>
      <c r="CY412" s="223"/>
      <c r="CZ412" s="223"/>
      <c r="DA412" s="223"/>
      <c r="DB412" s="200"/>
      <c r="DC412" s="522"/>
      <c r="DD412" s="200"/>
      <c r="DE412" s="223"/>
      <c r="DF412" s="223"/>
      <c r="DG412" s="223"/>
      <c r="DH412" s="223"/>
      <c r="DI412" s="223"/>
      <c r="DJ412" s="223"/>
      <c r="DK412" s="200"/>
      <c r="DL412" s="200"/>
      <c r="DM412" s="522"/>
      <c r="DN412" s="200"/>
      <c r="DO412" s="223"/>
      <c r="DP412" s="223"/>
      <c r="DQ412" s="223"/>
      <c r="DR412" s="223"/>
      <c r="DS412" s="223"/>
      <c r="DT412" s="223"/>
      <c r="DU412" s="200"/>
      <c r="DV412" s="200"/>
      <c r="DW412" s="522"/>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2"/>
      <c r="R413" s="200"/>
      <c r="S413" s="223"/>
      <c r="T413" s="223"/>
      <c r="U413" s="223"/>
      <c r="V413" s="223"/>
      <c r="W413" s="223"/>
      <c r="X413" s="223"/>
      <c r="Y413" s="200"/>
      <c r="Z413" s="200"/>
      <c r="AA413" s="522"/>
      <c r="AB413" s="200"/>
      <c r="AC413" s="223"/>
      <c r="AD413" s="223"/>
      <c r="AE413" s="223"/>
      <c r="AF413" s="223"/>
      <c r="AG413" s="223"/>
      <c r="AH413" s="223"/>
      <c r="AI413" s="200"/>
      <c r="AJ413" s="200"/>
      <c r="AK413" s="522"/>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2"/>
      <c r="BF413" s="200"/>
      <c r="BG413" s="223"/>
      <c r="BH413" s="223"/>
      <c r="BI413" s="223"/>
      <c r="BJ413" s="223"/>
      <c r="BK413" s="223"/>
      <c r="BL413" s="223"/>
      <c r="BM413" s="200"/>
      <c r="BN413" s="200"/>
      <c r="BO413" s="522"/>
      <c r="BP413" s="200"/>
      <c r="BQ413" s="223"/>
      <c r="BR413" s="223"/>
      <c r="BS413" s="223"/>
      <c r="BT413" s="223"/>
      <c r="BU413" s="223"/>
      <c r="BV413" s="223"/>
      <c r="BW413" s="223"/>
      <c r="BX413" s="200"/>
      <c r="BY413" s="522"/>
      <c r="BZ413" s="200"/>
      <c r="CA413" s="223"/>
      <c r="CB413" s="223"/>
      <c r="CC413" s="223"/>
      <c r="CD413" s="223"/>
      <c r="CE413" s="223"/>
      <c r="CF413" s="223"/>
      <c r="CG413" s="200"/>
      <c r="CH413" s="200"/>
      <c r="CI413" s="522"/>
      <c r="CJ413" s="200"/>
      <c r="CK413" s="223"/>
      <c r="CL413" s="223"/>
      <c r="CM413" s="223"/>
      <c r="CN413" s="223"/>
      <c r="CO413" s="223"/>
      <c r="CP413" s="223"/>
      <c r="CQ413" s="200"/>
      <c r="CR413" s="200"/>
      <c r="CS413" s="522"/>
      <c r="CT413" s="200"/>
      <c r="CU413" s="223"/>
      <c r="CV413" s="223"/>
      <c r="CW413" s="223"/>
      <c r="CX413" s="223"/>
      <c r="CY413" s="223"/>
      <c r="CZ413" s="223"/>
      <c r="DA413" s="223"/>
      <c r="DB413" s="200"/>
      <c r="DC413" s="522"/>
      <c r="DD413" s="200"/>
      <c r="DE413" s="223"/>
      <c r="DF413" s="223"/>
      <c r="DG413" s="223"/>
      <c r="DH413" s="223"/>
      <c r="DI413" s="223"/>
      <c r="DJ413" s="223"/>
      <c r="DK413" s="200"/>
      <c r="DL413" s="200"/>
      <c r="DM413" s="522"/>
      <c r="DN413" s="200"/>
      <c r="DO413" s="223"/>
      <c r="DP413" s="223"/>
      <c r="DQ413" s="223"/>
      <c r="DR413" s="223"/>
      <c r="DS413" s="223"/>
      <c r="DT413" s="223"/>
      <c r="DU413" s="200"/>
      <c r="DV413" s="200"/>
      <c r="DW413" s="522"/>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2"/>
      <c r="R414" s="200"/>
      <c r="S414" s="223"/>
      <c r="T414" s="223"/>
      <c r="U414" s="223"/>
      <c r="V414" s="223"/>
      <c r="W414" s="223"/>
      <c r="X414" s="223"/>
      <c r="Y414" s="200"/>
      <c r="Z414" s="200"/>
      <c r="AA414" s="522"/>
      <c r="AB414" s="200"/>
      <c r="AC414" s="223"/>
      <c r="AD414" s="223"/>
      <c r="AE414" s="223"/>
      <c r="AF414" s="223"/>
      <c r="AG414" s="223"/>
      <c r="AH414" s="223"/>
      <c r="AI414" s="200"/>
      <c r="AJ414" s="200"/>
      <c r="AK414" s="522"/>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2"/>
      <c r="BF414" s="200"/>
      <c r="BG414" s="223"/>
      <c r="BH414" s="223"/>
      <c r="BI414" s="223"/>
      <c r="BJ414" s="223"/>
      <c r="BK414" s="223"/>
      <c r="BL414" s="223"/>
      <c r="BM414" s="200"/>
      <c r="BN414" s="200"/>
      <c r="BO414" s="522"/>
      <c r="BP414" s="200"/>
      <c r="BQ414" s="223"/>
      <c r="BR414" s="223"/>
      <c r="BS414" s="223"/>
      <c r="BT414" s="223"/>
      <c r="BU414" s="223"/>
      <c r="BV414" s="223"/>
      <c r="BW414" s="223"/>
      <c r="BX414" s="200"/>
      <c r="BY414" s="522"/>
      <c r="BZ414" s="200"/>
      <c r="CA414" s="223"/>
      <c r="CB414" s="223"/>
      <c r="CC414" s="223"/>
      <c r="CD414" s="223"/>
      <c r="CE414" s="223"/>
      <c r="CF414" s="223"/>
      <c r="CG414" s="200"/>
      <c r="CH414" s="200"/>
      <c r="CI414" s="522"/>
      <c r="CJ414" s="200"/>
      <c r="CK414" s="223"/>
      <c r="CL414" s="223"/>
      <c r="CM414" s="223"/>
      <c r="CN414" s="223"/>
      <c r="CO414" s="223"/>
      <c r="CP414" s="223"/>
      <c r="CQ414" s="200"/>
      <c r="CR414" s="200"/>
      <c r="CS414" s="522"/>
      <c r="CT414" s="200"/>
      <c r="CU414" s="223"/>
      <c r="CV414" s="223"/>
      <c r="CW414" s="223"/>
      <c r="CX414" s="223"/>
      <c r="CY414" s="223"/>
      <c r="CZ414" s="223"/>
      <c r="DA414" s="223"/>
      <c r="DB414" s="200"/>
      <c r="DC414" s="522"/>
      <c r="DD414" s="200"/>
      <c r="DE414" s="223"/>
      <c r="DF414" s="223"/>
      <c r="DG414" s="223"/>
      <c r="DH414" s="223"/>
      <c r="DI414" s="223"/>
      <c r="DJ414" s="223"/>
      <c r="DK414" s="200"/>
      <c r="DL414" s="200"/>
      <c r="DM414" s="522"/>
      <c r="DN414" s="200"/>
      <c r="DO414" s="223"/>
      <c r="DP414" s="223"/>
      <c r="DQ414" s="223"/>
      <c r="DR414" s="223"/>
      <c r="DS414" s="223"/>
      <c r="DT414" s="223"/>
      <c r="DU414" s="200"/>
      <c r="DV414" s="200"/>
      <c r="DW414" s="522"/>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2"/>
      <c r="R415" s="200"/>
      <c r="S415" s="223"/>
      <c r="T415" s="223"/>
      <c r="U415" s="223"/>
      <c r="V415" s="223"/>
      <c r="W415" s="223"/>
      <c r="X415" s="223"/>
      <c r="Y415" s="200"/>
      <c r="Z415" s="200"/>
      <c r="AA415" s="522"/>
      <c r="AB415" s="200"/>
      <c r="AC415" s="223"/>
      <c r="AD415" s="223"/>
      <c r="AE415" s="223"/>
      <c r="AF415" s="223"/>
      <c r="AG415" s="223"/>
      <c r="AH415" s="223"/>
      <c r="AI415" s="200"/>
      <c r="AJ415" s="200"/>
      <c r="AK415" s="522"/>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2"/>
      <c r="BF415" s="200"/>
      <c r="BG415" s="223"/>
      <c r="BH415" s="223"/>
      <c r="BI415" s="223"/>
      <c r="BJ415" s="223"/>
      <c r="BK415" s="223"/>
      <c r="BL415" s="223"/>
      <c r="BM415" s="200"/>
      <c r="BN415" s="200"/>
      <c r="BO415" s="522"/>
      <c r="BP415" s="200"/>
      <c r="BQ415" s="223"/>
      <c r="BR415" s="223"/>
      <c r="BS415" s="223"/>
      <c r="BT415" s="223"/>
      <c r="BU415" s="223"/>
      <c r="BV415" s="223"/>
      <c r="BW415" s="223"/>
      <c r="BX415" s="200"/>
      <c r="BY415" s="522"/>
      <c r="BZ415" s="200"/>
      <c r="CA415" s="223"/>
      <c r="CB415" s="223"/>
      <c r="CC415" s="223"/>
      <c r="CD415" s="223"/>
      <c r="CE415" s="223"/>
      <c r="CF415" s="223"/>
      <c r="CG415" s="200"/>
      <c r="CH415" s="200"/>
      <c r="CI415" s="522"/>
      <c r="CJ415" s="200"/>
      <c r="CK415" s="223"/>
      <c r="CL415" s="223"/>
      <c r="CM415" s="223"/>
      <c r="CN415" s="223"/>
      <c r="CO415" s="223"/>
      <c r="CP415" s="223"/>
      <c r="CQ415" s="200"/>
      <c r="CR415" s="200"/>
      <c r="CS415" s="522"/>
      <c r="CT415" s="200"/>
      <c r="CU415" s="223"/>
      <c r="CV415" s="223"/>
      <c r="CW415" s="223"/>
      <c r="CX415" s="223"/>
      <c r="CY415" s="223"/>
      <c r="CZ415" s="223"/>
      <c r="DA415" s="223"/>
      <c r="DB415" s="200"/>
      <c r="DC415" s="522"/>
      <c r="DD415" s="200"/>
      <c r="DE415" s="223"/>
      <c r="DF415" s="223"/>
      <c r="DG415" s="223"/>
      <c r="DH415" s="223"/>
      <c r="DI415" s="223"/>
      <c r="DJ415" s="223"/>
      <c r="DK415" s="200"/>
      <c r="DL415" s="200"/>
      <c r="DM415" s="522"/>
      <c r="DN415" s="200"/>
      <c r="DO415" s="223"/>
      <c r="DP415" s="223"/>
      <c r="DQ415" s="223"/>
      <c r="DR415" s="223"/>
      <c r="DS415" s="223"/>
      <c r="DT415" s="223"/>
      <c r="DU415" s="200"/>
      <c r="DV415" s="200"/>
      <c r="DW415" s="522"/>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2"/>
      <c r="R416" s="200"/>
      <c r="S416" s="223"/>
      <c r="T416" s="223"/>
      <c r="U416" s="223"/>
      <c r="V416" s="223"/>
      <c r="W416" s="223"/>
      <c r="X416" s="223"/>
      <c r="Y416" s="200"/>
      <c r="Z416" s="200"/>
      <c r="AA416" s="522"/>
      <c r="AB416" s="200"/>
      <c r="AC416" s="223"/>
      <c r="AD416" s="223"/>
      <c r="AE416" s="223"/>
      <c r="AF416" s="223"/>
      <c r="AG416" s="223"/>
      <c r="AH416" s="223"/>
      <c r="AI416" s="200"/>
      <c r="AJ416" s="200"/>
      <c r="AK416" s="522"/>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2"/>
      <c r="BF416" s="200"/>
      <c r="BG416" s="223"/>
      <c r="BH416" s="223"/>
      <c r="BI416" s="223"/>
      <c r="BJ416" s="223"/>
      <c r="BK416" s="223"/>
      <c r="BL416" s="223"/>
      <c r="BM416" s="200"/>
      <c r="BN416" s="200"/>
      <c r="BO416" s="522"/>
      <c r="BP416" s="200"/>
      <c r="BQ416" s="223"/>
      <c r="BR416" s="223"/>
      <c r="BS416" s="223"/>
      <c r="BT416" s="223"/>
      <c r="BU416" s="223"/>
      <c r="BV416" s="223"/>
      <c r="BW416" s="223"/>
      <c r="BX416" s="200"/>
      <c r="BY416" s="522"/>
      <c r="BZ416" s="200"/>
      <c r="CA416" s="223"/>
      <c r="CB416" s="223"/>
      <c r="CC416" s="223"/>
      <c r="CD416" s="223"/>
      <c r="CE416" s="223"/>
      <c r="CF416" s="223"/>
      <c r="CG416" s="200"/>
      <c r="CH416" s="200"/>
      <c r="CI416" s="522"/>
      <c r="CJ416" s="200"/>
      <c r="CK416" s="223"/>
      <c r="CL416" s="223"/>
      <c r="CM416" s="223"/>
      <c r="CN416" s="223"/>
      <c r="CO416" s="223"/>
      <c r="CP416" s="223"/>
      <c r="CQ416" s="200"/>
      <c r="CR416" s="200"/>
      <c r="CS416" s="522"/>
      <c r="CT416" s="200"/>
      <c r="CU416" s="223"/>
      <c r="CV416" s="223"/>
      <c r="CW416" s="223"/>
      <c r="CX416" s="223"/>
      <c r="CY416" s="223"/>
      <c r="CZ416" s="223"/>
      <c r="DA416" s="223"/>
      <c r="DB416" s="200"/>
      <c r="DC416" s="522"/>
      <c r="DD416" s="200"/>
      <c r="DE416" s="223"/>
      <c r="DF416" s="223"/>
      <c r="DG416" s="223"/>
      <c r="DH416" s="223"/>
      <c r="DI416" s="223"/>
      <c r="DJ416" s="223"/>
      <c r="DK416" s="200"/>
      <c r="DL416" s="200"/>
      <c r="DM416" s="522"/>
      <c r="DN416" s="200"/>
      <c r="DO416" s="223"/>
      <c r="DP416" s="223"/>
      <c r="DQ416" s="223"/>
      <c r="DR416" s="223"/>
      <c r="DS416" s="223"/>
      <c r="DT416" s="223"/>
      <c r="DU416" s="200"/>
      <c r="DV416" s="200"/>
      <c r="DW416" s="522"/>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2"/>
      <c r="R417" s="200"/>
      <c r="S417" s="223"/>
      <c r="T417" s="223"/>
      <c r="U417" s="223"/>
      <c r="V417" s="223"/>
      <c r="W417" s="223"/>
      <c r="X417" s="223"/>
      <c r="Y417" s="200"/>
      <c r="Z417" s="200"/>
      <c r="AA417" s="522"/>
      <c r="AB417" s="200"/>
      <c r="AC417" s="223"/>
      <c r="AD417" s="223"/>
      <c r="AE417" s="223"/>
      <c r="AF417" s="223"/>
      <c r="AG417" s="223"/>
      <c r="AH417" s="223"/>
      <c r="AI417" s="200"/>
      <c r="AJ417" s="200"/>
      <c r="AK417" s="522"/>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2"/>
      <c r="BF417" s="200"/>
      <c r="BG417" s="223"/>
      <c r="BH417" s="223"/>
      <c r="BI417" s="223"/>
      <c r="BJ417" s="223"/>
      <c r="BK417" s="223"/>
      <c r="BL417" s="223"/>
      <c r="BM417" s="200"/>
      <c r="BN417" s="200"/>
      <c r="BO417" s="522"/>
      <c r="BP417" s="200"/>
      <c r="BQ417" s="223"/>
      <c r="BR417" s="223"/>
      <c r="BS417" s="223"/>
      <c r="BT417" s="223"/>
      <c r="BU417" s="223"/>
      <c r="BV417" s="223"/>
      <c r="BW417" s="223"/>
      <c r="BX417" s="200"/>
      <c r="BY417" s="522"/>
      <c r="BZ417" s="200"/>
      <c r="CA417" s="223"/>
      <c r="CB417" s="223"/>
      <c r="CC417" s="223"/>
      <c r="CD417" s="223"/>
      <c r="CE417" s="223"/>
      <c r="CF417" s="223"/>
      <c r="CG417" s="200"/>
      <c r="CH417" s="200"/>
      <c r="CI417" s="522"/>
      <c r="CJ417" s="200"/>
      <c r="CK417" s="223"/>
      <c r="CL417" s="223"/>
      <c r="CM417" s="223"/>
      <c r="CN417" s="223"/>
      <c r="CO417" s="223"/>
      <c r="CP417" s="223"/>
      <c r="CQ417" s="200"/>
      <c r="CR417" s="200"/>
      <c r="CS417" s="522"/>
      <c r="CT417" s="200"/>
      <c r="CU417" s="223"/>
      <c r="CV417" s="223"/>
      <c r="CW417" s="223"/>
      <c r="CX417" s="223"/>
      <c r="CY417" s="223"/>
      <c r="CZ417" s="223"/>
      <c r="DA417" s="223"/>
      <c r="DB417" s="200"/>
      <c r="DC417" s="522"/>
      <c r="DD417" s="200"/>
      <c r="DE417" s="223"/>
      <c r="DF417" s="223"/>
      <c r="DG417" s="223"/>
      <c r="DH417" s="223"/>
      <c r="DI417" s="223"/>
      <c r="DJ417" s="223"/>
      <c r="DK417" s="200"/>
      <c r="DL417" s="200"/>
      <c r="DM417" s="522"/>
      <c r="DN417" s="200"/>
      <c r="DO417" s="223"/>
      <c r="DP417" s="223"/>
      <c r="DQ417" s="223"/>
      <c r="DR417" s="223"/>
      <c r="DS417" s="223"/>
      <c r="DT417" s="223"/>
      <c r="DU417" s="200"/>
      <c r="DV417" s="200"/>
      <c r="DW417" s="522"/>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2"/>
      <c r="R418" s="200"/>
      <c r="S418" s="223"/>
      <c r="T418" s="223"/>
      <c r="U418" s="223"/>
      <c r="V418" s="223"/>
      <c r="W418" s="223"/>
      <c r="X418" s="223"/>
      <c r="Y418" s="200"/>
      <c r="Z418" s="200"/>
      <c r="AA418" s="522"/>
      <c r="AB418" s="200"/>
      <c r="AC418" s="223"/>
      <c r="AD418" s="223"/>
      <c r="AE418" s="223"/>
      <c r="AF418" s="223"/>
      <c r="AG418" s="223"/>
      <c r="AH418" s="223"/>
      <c r="AI418" s="200"/>
      <c r="AJ418" s="200"/>
      <c r="AK418" s="522"/>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2"/>
      <c r="BF418" s="200"/>
      <c r="BG418" s="223"/>
      <c r="BH418" s="223"/>
      <c r="BI418" s="223"/>
      <c r="BJ418" s="223"/>
      <c r="BK418" s="223"/>
      <c r="BL418" s="223"/>
      <c r="BM418" s="200"/>
      <c r="BN418" s="200"/>
      <c r="BO418" s="522"/>
      <c r="BP418" s="200"/>
      <c r="BQ418" s="223"/>
      <c r="BR418" s="223"/>
      <c r="BS418" s="223"/>
      <c r="BT418" s="223"/>
      <c r="BU418" s="223"/>
      <c r="BV418" s="223"/>
      <c r="BW418" s="223"/>
      <c r="BX418" s="200"/>
      <c r="BY418" s="522"/>
      <c r="BZ418" s="200"/>
      <c r="CA418" s="223"/>
      <c r="CB418" s="223"/>
      <c r="CC418" s="223"/>
      <c r="CD418" s="223"/>
      <c r="CE418" s="223"/>
      <c r="CF418" s="223"/>
      <c r="CG418" s="200"/>
      <c r="CH418" s="200"/>
      <c r="CI418" s="522"/>
      <c r="CJ418" s="200"/>
      <c r="CK418" s="223"/>
      <c r="CL418" s="223"/>
      <c r="CM418" s="223"/>
      <c r="CN418" s="223"/>
      <c r="CO418" s="223"/>
      <c r="CP418" s="223"/>
      <c r="CQ418" s="200"/>
      <c r="CR418" s="200"/>
      <c r="CS418" s="522"/>
      <c r="CT418" s="200"/>
      <c r="CU418" s="223"/>
      <c r="CV418" s="223"/>
      <c r="CW418" s="223"/>
      <c r="CX418" s="223"/>
      <c r="CY418" s="223"/>
      <c r="CZ418" s="223"/>
      <c r="DA418" s="223"/>
      <c r="DB418" s="200"/>
      <c r="DC418" s="522"/>
      <c r="DD418" s="200"/>
      <c r="DE418" s="223"/>
      <c r="DF418" s="223"/>
      <c r="DG418" s="223"/>
      <c r="DH418" s="223"/>
      <c r="DI418" s="223"/>
      <c r="DJ418" s="223"/>
      <c r="DK418" s="200"/>
      <c r="DL418" s="200"/>
      <c r="DM418" s="522"/>
      <c r="DN418" s="200"/>
      <c r="DO418" s="223"/>
      <c r="DP418" s="223"/>
      <c r="DQ418" s="223"/>
      <c r="DR418" s="223"/>
      <c r="DS418" s="223"/>
      <c r="DT418" s="223"/>
      <c r="DU418" s="200"/>
      <c r="DV418" s="200"/>
      <c r="DW418" s="522"/>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2"/>
      <c r="R419" s="200"/>
      <c r="S419" s="223"/>
      <c r="T419" s="223"/>
      <c r="U419" s="223"/>
      <c r="V419" s="223"/>
      <c r="W419" s="223"/>
      <c r="X419" s="223"/>
      <c r="Y419" s="200"/>
      <c r="Z419" s="200"/>
      <c r="AA419" s="522"/>
      <c r="AB419" s="200"/>
      <c r="AC419" s="223"/>
      <c r="AD419" s="223"/>
      <c r="AE419" s="223"/>
      <c r="AF419" s="223"/>
      <c r="AG419" s="223"/>
      <c r="AH419" s="223"/>
      <c r="AI419" s="200"/>
      <c r="AJ419" s="200"/>
      <c r="AK419" s="522"/>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2"/>
      <c r="BF419" s="200"/>
      <c r="BG419" s="223"/>
      <c r="BH419" s="223"/>
      <c r="BI419" s="223"/>
      <c r="BJ419" s="223"/>
      <c r="BK419" s="223"/>
      <c r="BL419" s="223"/>
      <c r="BM419" s="200"/>
      <c r="BN419" s="200"/>
      <c r="BO419" s="522"/>
      <c r="BP419" s="200"/>
      <c r="BQ419" s="223"/>
      <c r="BR419" s="223"/>
      <c r="BS419" s="223"/>
      <c r="BT419" s="223"/>
      <c r="BU419" s="223"/>
      <c r="BV419" s="223"/>
      <c r="BW419" s="223"/>
      <c r="BX419" s="200"/>
      <c r="BY419" s="522"/>
      <c r="BZ419" s="200"/>
      <c r="CA419" s="223"/>
      <c r="CB419" s="223"/>
      <c r="CC419" s="223"/>
      <c r="CD419" s="223"/>
      <c r="CE419" s="223"/>
      <c r="CF419" s="223"/>
      <c r="CG419" s="200"/>
      <c r="CH419" s="200"/>
      <c r="CI419" s="522"/>
      <c r="CJ419" s="200"/>
      <c r="CK419" s="223"/>
      <c r="CL419" s="223"/>
      <c r="CM419" s="223"/>
      <c r="CN419" s="223"/>
      <c r="CO419" s="223"/>
      <c r="CP419" s="223"/>
      <c r="CQ419" s="200"/>
      <c r="CR419" s="200"/>
      <c r="CS419" s="522"/>
      <c r="CT419" s="200"/>
      <c r="CU419" s="223"/>
      <c r="CV419" s="223"/>
      <c r="CW419" s="223"/>
      <c r="CX419" s="223"/>
      <c r="CY419" s="223"/>
      <c r="CZ419" s="223"/>
      <c r="DA419" s="223"/>
      <c r="DB419" s="200"/>
      <c r="DC419" s="522"/>
      <c r="DD419" s="200"/>
      <c r="DE419" s="223"/>
      <c r="DF419" s="223"/>
      <c r="DG419" s="223"/>
      <c r="DH419" s="223"/>
      <c r="DI419" s="223"/>
      <c r="DJ419" s="223"/>
      <c r="DK419" s="200"/>
      <c r="DL419" s="200"/>
      <c r="DM419" s="522"/>
      <c r="DN419" s="200"/>
      <c r="DO419" s="223"/>
      <c r="DP419" s="223"/>
      <c r="DQ419" s="223"/>
      <c r="DR419" s="223"/>
      <c r="DS419" s="223"/>
      <c r="DT419" s="223"/>
      <c r="DU419" s="200"/>
      <c r="DV419" s="200"/>
      <c r="DW419" s="522"/>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2"/>
      <c r="R420" s="200"/>
      <c r="S420" s="223"/>
      <c r="T420" s="223"/>
      <c r="U420" s="223"/>
      <c r="V420" s="223"/>
      <c r="W420" s="223"/>
      <c r="X420" s="223"/>
      <c r="Y420" s="200"/>
      <c r="Z420" s="200"/>
      <c r="AA420" s="522"/>
      <c r="AB420" s="200"/>
      <c r="AC420" s="223"/>
      <c r="AD420" s="223"/>
      <c r="AE420" s="223"/>
      <c r="AF420" s="223"/>
      <c r="AG420" s="223"/>
      <c r="AH420" s="223"/>
      <c r="AI420" s="200"/>
      <c r="AJ420" s="200"/>
      <c r="AK420" s="522"/>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2"/>
      <c r="BF420" s="200"/>
      <c r="BG420" s="223"/>
      <c r="BH420" s="223"/>
      <c r="BI420" s="223"/>
      <c r="BJ420" s="223"/>
      <c r="BK420" s="223"/>
      <c r="BL420" s="223"/>
      <c r="BM420" s="200"/>
      <c r="BN420" s="200"/>
      <c r="BO420" s="522"/>
      <c r="BP420" s="200"/>
      <c r="BQ420" s="223"/>
      <c r="BR420" s="223"/>
      <c r="BS420" s="223"/>
      <c r="BT420" s="223"/>
      <c r="BU420" s="223"/>
      <c r="BV420" s="223"/>
      <c r="BW420" s="223"/>
      <c r="BX420" s="200"/>
      <c r="BY420" s="522"/>
      <c r="BZ420" s="200"/>
      <c r="CA420" s="223"/>
      <c r="CB420" s="223"/>
      <c r="CC420" s="223"/>
      <c r="CD420" s="223"/>
      <c r="CE420" s="223"/>
      <c r="CF420" s="223"/>
      <c r="CG420" s="200"/>
      <c r="CH420" s="200"/>
      <c r="CI420" s="522"/>
      <c r="CJ420" s="200"/>
      <c r="CK420" s="223"/>
      <c r="CL420" s="223"/>
      <c r="CM420" s="223"/>
      <c r="CN420" s="223"/>
      <c r="CO420" s="223"/>
      <c r="CP420" s="223"/>
      <c r="CQ420" s="200"/>
      <c r="CR420" s="200"/>
      <c r="CS420" s="522"/>
      <c r="CT420" s="200"/>
      <c r="CU420" s="223"/>
      <c r="CV420" s="223"/>
      <c r="CW420" s="223"/>
      <c r="CX420" s="223"/>
      <c r="CY420" s="223"/>
      <c r="CZ420" s="223"/>
      <c r="DA420" s="223"/>
      <c r="DB420" s="200"/>
      <c r="DC420" s="522"/>
      <c r="DD420" s="200"/>
      <c r="DE420" s="223"/>
      <c r="DF420" s="223"/>
      <c r="DG420" s="223"/>
      <c r="DH420" s="223"/>
      <c r="DI420" s="223"/>
      <c r="DJ420" s="223"/>
      <c r="DK420" s="200"/>
      <c r="DL420" s="200"/>
      <c r="DM420" s="522"/>
      <c r="DN420" s="200"/>
      <c r="DO420" s="223"/>
      <c r="DP420" s="223"/>
      <c r="DQ420" s="223"/>
      <c r="DR420" s="223"/>
      <c r="DS420" s="223"/>
      <c r="DT420" s="223"/>
      <c r="DU420" s="200"/>
      <c r="DV420" s="200"/>
      <c r="DW420" s="522"/>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2"/>
      <c r="R421" s="200"/>
      <c r="S421" s="223"/>
      <c r="T421" s="223"/>
      <c r="U421" s="223"/>
      <c r="V421" s="223"/>
      <c r="W421" s="223"/>
      <c r="X421" s="223"/>
      <c r="Y421" s="200"/>
      <c r="Z421" s="200"/>
      <c r="AA421" s="522"/>
      <c r="AB421" s="200"/>
      <c r="AC421" s="223"/>
      <c r="AD421" s="223"/>
      <c r="AE421" s="223"/>
      <c r="AF421" s="223"/>
      <c r="AG421" s="223"/>
      <c r="AH421" s="223"/>
      <c r="AI421" s="200"/>
      <c r="AJ421" s="200"/>
      <c r="AK421" s="522"/>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2"/>
      <c r="BF421" s="200"/>
      <c r="BG421" s="223"/>
      <c r="BH421" s="223"/>
      <c r="BI421" s="223"/>
      <c r="BJ421" s="223"/>
      <c r="BK421" s="223"/>
      <c r="BL421" s="223"/>
      <c r="BM421" s="200"/>
      <c r="BN421" s="200"/>
      <c r="BO421" s="522"/>
      <c r="BP421" s="200"/>
      <c r="BQ421" s="223"/>
      <c r="BR421" s="223"/>
      <c r="BS421" s="223"/>
      <c r="BT421" s="223"/>
      <c r="BU421" s="223"/>
      <c r="BV421" s="223"/>
      <c r="BW421" s="223"/>
      <c r="BX421" s="200"/>
      <c r="BY421" s="522"/>
      <c r="BZ421" s="200"/>
      <c r="CA421" s="223"/>
      <c r="CB421" s="223"/>
      <c r="CC421" s="223"/>
      <c r="CD421" s="223"/>
      <c r="CE421" s="223"/>
      <c r="CF421" s="223"/>
      <c r="CG421" s="200"/>
      <c r="CH421" s="200"/>
      <c r="CI421" s="522"/>
      <c r="CJ421" s="200"/>
      <c r="CK421" s="223"/>
      <c r="CL421" s="223"/>
      <c r="CM421" s="223"/>
      <c r="CN421" s="223"/>
      <c r="CO421" s="223"/>
      <c r="CP421" s="223"/>
      <c r="CQ421" s="200"/>
      <c r="CR421" s="200"/>
      <c r="CS421" s="522"/>
      <c r="CT421" s="200"/>
      <c r="CU421" s="223"/>
      <c r="CV421" s="223"/>
      <c r="CW421" s="223"/>
      <c r="CX421" s="223"/>
      <c r="CY421" s="223"/>
      <c r="CZ421" s="223"/>
      <c r="DA421" s="223"/>
      <c r="DB421" s="200"/>
      <c r="DC421" s="522"/>
      <c r="DD421" s="200"/>
      <c r="DE421" s="223"/>
      <c r="DF421" s="223"/>
      <c r="DG421" s="223"/>
      <c r="DH421" s="223"/>
      <c r="DI421" s="223"/>
      <c r="DJ421" s="223"/>
      <c r="DK421" s="200"/>
      <c r="DL421" s="200"/>
      <c r="DM421" s="522"/>
      <c r="DN421" s="200"/>
      <c r="DO421" s="223"/>
      <c r="DP421" s="223"/>
      <c r="DQ421" s="223"/>
      <c r="DR421" s="223"/>
      <c r="DS421" s="223"/>
      <c r="DT421" s="223"/>
      <c r="DU421" s="200"/>
      <c r="DV421" s="200"/>
      <c r="DW421" s="522"/>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2"/>
      <c r="R422" s="200"/>
      <c r="S422" s="223"/>
      <c r="T422" s="223"/>
      <c r="U422" s="223"/>
      <c r="V422" s="223"/>
      <c r="W422" s="223"/>
      <c r="X422" s="223"/>
      <c r="Y422" s="200"/>
      <c r="Z422" s="200"/>
      <c r="AA422" s="522"/>
      <c r="AB422" s="200"/>
      <c r="AC422" s="223"/>
      <c r="AD422" s="223"/>
      <c r="AE422" s="223"/>
      <c r="AF422" s="223"/>
      <c r="AG422" s="223"/>
      <c r="AH422" s="223"/>
      <c r="AI422" s="200"/>
      <c r="AJ422" s="200"/>
      <c r="AK422" s="522"/>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2"/>
      <c r="BF422" s="200"/>
      <c r="BG422" s="223"/>
      <c r="BH422" s="223"/>
      <c r="BI422" s="223"/>
      <c r="BJ422" s="223"/>
      <c r="BK422" s="223"/>
      <c r="BL422" s="223"/>
      <c r="BM422" s="200"/>
      <c r="BN422" s="200"/>
      <c r="BO422" s="522"/>
      <c r="BP422" s="200"/>
      <c r="BQ422" s="223"/>
      <c r="BR422" s="223"/>
      <c r="BS422" s="223"/>
      <c r="BT422" s="223"/>
      <c r="BU422" s="223"/>
      <c r="BV422" s="223"/>
      <c r="BW422" s="223"/>
      <c r="BX422" s="200"/>
      <c r="BY422" s="522"/>
      <c r="BZ422" s="200"/>
      <c r="CA422" s="223"/>
      <c r="CB422" s="223"/>
      <c r="CC422" s="223"/>
      <c r="CD422" s="223"/>
      <c r="CE422" s="223"/>
      <c r="CF422" s="223"/>
      <c r="CG422" s="200"/>
      <c r="CH422" s="200"/>
      <c r="CI422" s="522"/>
      <c r="CJ422" s="200"/>
      <c r="CK422" s="223"/>
      <c r="CL422" s="223"/>
      <c r="CM422" s="223"/>
      <c r="CN422" s="223"/>
      <c r="CO422" s="223"/>
      <c r="CP422" s="223"/>
      <c r="CQ422" s="200"/>
      <c r="CR422" s="200"/>
      <c r="CS422" s="522"/>
      <c r="CT422" s="200"/>
      <c r="CU422" s="223"/>
      <c r="CV422" s="223"/>
      <c r="CW422" s="223"/>
      <c r="CX422" s="223"/>
      <c r="CY422" s="223"/>
      <c r="CZ422" s="223"/>
      <c r="DA422" s="223"/>
      <c r="DB422" s="200"/>
      <c r="DC422" s="522"/>
      <c r="DD422" s="200"/>
      <c r="DE422" s="223"/>
      <c r="DF422" s="223"/>
      <c r="DG422" s="223"/>
      <c r="DH422" s="223"/>
      <c r="DI422" s="223"/>
      <c r="DJ422" s="223"/>
      <c r="DK422" s="200"/>
      <c r="DL422" s="200"/>
      <c r="DM422" s="522"/>
      <c r="DN422" s="200"/>
      <c r="DO422" s="223"/>
      <c r="DP422" s="223"/>
      <c r="DQ422" s="223"/>
      <c r="DR422" s="223"/>
      <c r="DS422" s="223"/>
      <c r="DT422" s="223"/>
      <c r="DU422" s="200"/>
      <c r="DV422" s="200"/>
      <c r="DW422" s="522"/>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2"/>
      <c r="R423" s="200"/>
      <c r="S423" s="223"/>
      <c r="T423" s="223"/>
      <c r="U423" s="223"/>
      <c r="V423" s="223"/>
      <c r="W423" s="223"/>
      <c r="X423" s="223"/>
      <c r="Y423" s="200"/>
      <c r="Z423" s="200"/>
      <c r="AA423" s="522"/>
      <c r="AB423" s="200"/>
      <c r="AC423" s="223"/>
      <c r="AD423" s="223"/>
      <c r="AE423" s="223"/>
      <c r="AF423" s="223"/>
      <c r="AG423" s="223"/>
      <c r="AH423" s="223"/>
      <c r="AI423" s="200"/>
      <c r="AJ423" s="200"/>
      <c r="AK423" s="522"/>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2"/>
      <c r="BF423" s="200"/>
      <c r="BG423" s="223"/>
      <c r="BH423" s="223"/>
      <c r="BI423" s="223"/>
      <c r="BJ423" s="223"/>
      <c r="BK423" s="223"/>
      <c r="BL423" s="223"/>
      <c r="BM423" s="200"/>
      <c r="BN423" s="200"/>
      <c r="BO423" s="522"/>
      <c r="BP423" s="200"/>
      <c r="BQ423" s="223"/>
      <c r="BR423" s="223"/>
      <c r="BS423" s="223"/>
      <c r="BT423" s="223"/>
      <c r="BU423" s="223"/>
      <c r="BV423" s="223"/>
      <c r="BW423" s="223"/>
      <c r="BX423" s="200"/>
      <c r="BY423" s="522"/>
      <c r="BZ423" s="200"/>
      <c r="CA423" s="223"/>
      <c r="CB423" s="223"/>
      <c r="CC423" s="223"/>
      <c r="CD423" s="223"/>
      <c r="CE423" s="223"/>
      <c r="CF423" s="223"/>
      <c r="CG423" s="200"/>
      <c r="CH423" s="200"/>
      <c r="CI423" s="522"/>
      <c r="CJ423" s="200"/>
      <c r="CK423" s="223"/>
      <c r="CL423" s="223"/>
      <c r="CM423" s="223"/>
      <c r="CN423" s="223"/>
      <c r="CO423" s="223"/>
      <c r="CP423" s="223"/>
      <c r="CQ423" s="200"/>
      <c r="CR423" s="200"/>
      <c r="CS423" s="522"/>
      <c r="CT423" s="200"/>
      <c r="CU423" s="223"/>
      <c r="CV423" s="223"/>
      <c r="CW423" s="223"/>
      <c r="CX423" s="223"/>
      <c r="CY423" s="223"/>
      <c r="CZ423" s="223"/>
      <c r="DA423" s="223"/>
      <c r="DB423" s="200"/>
      <c r="DC423" s="522"/>
      <c r="DD423" s="200"/>
      <c r="DE423" s="223"/>
      <c r="DF423" s="223"/>
      <c r="DG423" s="223"/>
      <c r="DH423" s="223"/>
      <c r="DI423" s="223"/>
      <c r="DJ423" s="223"/>
      <c r="DK423" s="200"/>
      <c r="DL423" s="200"/>
      <c r="DM423" s="522"/>
      <c r="DN423" s="200"/>
      <c r="DO423" s="223"/>
      <c r="DP423" s="223"/>
      <c r="DQ423" s="223"/>
      <c r="DR423" s="223"/>
      <c r="DS423" s="223"/>
      <c r="DT423" s="223"/>
      <c r="DU423" s="200"/>
      <c r="DV423" s="200"/>
      <c r="DW423" s="522"/>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2"/>
      <c r="R424" s="200"/>
      <c r="S424" s="223"/>
      <c r="T424" s="223"/>
      <c r="U424" s="223"/>
      <c r="V424" s="223"/>
      <c r="W424" s="223"/>
      <c r="X424" s="223"/>
      <c r="Y424" s="200"/>
      <c r="Z424" s="200"/>
      <c r="AA424" s="522"/>
      <c r="AB424" s="200"/>
      <c r="AC424" s="223"/>
      <c r="AD424" s="223"/>
      <c r="AE424" s="223"/>
      <c r="AF424" s="223"/>
      <c r="AG424" s="223"/>
      <c r="AH424" s="223"/>
      <c r="AI424" s="200"/>
      <c r="AJ424" s="200"/>
      <c r="AK424" s="522"/>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2"/>
      <c r="BF424" s="200"/>
      <c r="BG424" s="223"/>
      <c r="BH424" s="223"/>
      <c r="BI424" s="223"/>
      <c r="BJ424" s="223"/>
      <c r="BK424" s="223"/>
      <c r="BL424" s="223"/>
      <c r="BM424" s="200"/>
      <c r="BN424" s="200"/>
      <c r="BO424" s="522"/>
      <c r="BP424" s="200"/>
      <c r="BQ424" s="223"/>
      <c r="BR424" s="223"/>
      <c r="BS424" s="223"/>
      <c r="BT424" s="223"/>
      <c r="BU424" s="223"/>
      <c r="BV424" s="223"/>
      <c r="BW424" s="223"/>
      <c r="BX424" s="200"/>
      <c r="BY424" s="522"/>
      <c r="BZ424" s="200"/>
      <c r="CA424" s="223"/>
      <c r="CB424" s="223"/>
      <c r="CC424" s="223"/>
      <c r="CD424" s="223"/>
      <c r="CE424" s="223"/>
      <c r="CF424" s="223"/>
      <c r="CG424" s="200"/>
      <c r="CH424" s="200"/>
      <c r="CI424" s="522"/>
      <c r="CJ424" s="200"/>
      <c r="CK424" s="223"/>
      <c r="CL424" s="223"/>
      <c r="CM424" s="223"/>
      <c r="CN424" s="223"/>
      <c r="CO424" s="223"/>
      <c r="CP424" s="223"/>
      <c r="CQ424" s="200"/>
      <c r="CR424" s="200"/>
      <c r="CS424" s="522"/>
      <c r="CT424" s="200"/>
      <c r="CU424" s="223"/>
      <c r="CV424" s="223"/>
      <c r="CW424" s="223"/>
      <c r="CX424" s="223"/>
      <c r="CY424" s="223"/>
      <c r="CZ424" s="223"/>
      <c r="DA424" s="223"/>
      <c r="DB424" s="200"/>
      <c r="DC424" s="522"/>
      <c r="DD424" s="200"/>
      <c r="DE424" s="223"/>
      <c r="DF424" s="223"/>
      <c r="DG424" s="223"/>
      <c r="DH424" s="223"/>
      <c r="DI424" s="223"/>
      <c r="DJ424" s="223"/>
      <c r="DK424" s="200"/>
      <c r="DL424" s="200"/>
      <c r="DM424" s="522"/>
      <c r="DN424" s="200"/>
      <c r="DO424" s="223"/>
      <c r="DP424" s="223"/>
      <c r="DQ424" s="223"/>
      <c r="DR424" s="223"/>
      <c r="DS424" s="223"/>
      <c r="DT424" s="223"/>
      <c r="DU424" s="200"/>
      <c r="DV424" s="200"/>
      <c r="DW424" s="522"/>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2"/>
      <c r="R425" s="200"/>
      <c r="S425" s="223"/>
      <c r="T425" s="223"/>
      <c r="U425" s="223"/>
      <c r="V425" s="223"/>
      <c r="W425" s="223"/>
      <c r="X425" s="223"/>
      <c r="Y425" s="200"/>
      <c r="Z425" s="200"/>
      <c r="AA425" s="522"/>
      <c r="AB425" s="200"/>
      <c r="AC425" s="223"/>
      <c r="AD425" s="223"/>
      <c r="AE425" s="223"/>
      <c r="AF425" s="223"/>
      <c r="AG425" s="223"/>
      <c r="AH425" s="223"/>
      <c r="AI425" s="200"/>
      <c r="AJ425" s="200"/>
      <c r="AK425" s="522"/>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2"/>
      <c r="BF425" s="200"/>
      <c r="BG425" s="223"/>
      <c r="BH425" s="223"/>
      <c r="BI425" s="223"/>
      <c r="BJ425" s="223"/>
      <c r="BK425" s="223"/>
      <c r="BL425" s="223"/>
      <c r="BM425" s="200"/>
      <c r="BN425" s="200"/>
      <c r="BO425" s="522"/>
      <c r="BP425" s="200"/>
      <c r="BQ425" s="223"/>
      <c r="BR425" s="223"/>
      <c r="BS425" s="223"/>
      <c r="BT425" s="223"/>
      <c r="BU425" s="223"/>
      <c r="BV425" s="223"/>
      <c r="BW425" s="223"/>
      <c r="BX425" s="200"/>
      <c r="BY425" s="522"/>
      <c r="BZ425" s="200"/>
      <c r="CA425" s="223"/>
      <c r="CB425" s="223"/>
      <c r="CC425" s="223"/>
      <c r="CD425" s="223"/>
      <c r="CE425" s="223"/>
      <c r="CF425" s="223"/>
      <c r="CG425" s="200"/>
      <c r="CH425" s="200"/>
      <c r="CI425" s="522"/>
      <c r="CJ425" s="200"/>
      <c r="CK425" s="223"/>
      <c r="CL425" s="223"/>
      <c r="CM425" s="223"/>
      <c r="CN425" s="223"/>
      <c r="CO425" s="223"/>
      <c r="CP425" s="223"/>
      <c r="CQ425" s="200"/>
      <c r="CR425" s="200"/>
      <c r="CS425" s="522"/>
      <c r="CT425" s="200"/>
      <c r="CU425" s="223"/>
      <c r="CV425" s="223"/>
      <c r="CW425" s="223"/>
      <c r="CX425" s="223"/>
      <c r="CY425" s="223"/>
      <c r="CZ425" s="223"/>
      <c r="DA425" s="223"/>
      <c r="DB425" s="200"/>
      <c r="DC425" s="522"/>
      <c r="DD425" s="200"/>
      <c r="DE425" s="223"/>
      <c r="DF425" s="223"/>
      <c r="DG425" s="223"/>
      <c r="DH425" s="223"/>
      <c r="DI425" s="223"/>
      <c r="DJ425" s="223"/>
      <c r="DK425" s="200"/>
      <c r="DL425" s="200"/>
      <c r="DM425" s="522"/>
      <c r="DN425" s="200"/>
      <c r="DO425" s="223"/>
      <c r="DP425" s="223"/>
      <c r="DQ425" s="223"/>
      <c r="DR425" s="223"/>
      <c r="DS425" s="223"/>
      <c r="DT425" s="223"/>
      <c r="DU425" s="200"/>
      <c r="DV425" s="200"/>
      <c r="DW425" s="522"/>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2"/>
      <c r="R426" s="200"/>
      <c r="S426" s="223"/>
      <c r="T426" s="223"/>
      <c r="U426" s="223"/>
      <c r="V426" s="223"/>
      <c r="W426" s="223"/>
      <c r="X426" s="223"/>
      <c r="Y426" s="200"/>
      <c r="Z426" s="200"/>
      <c r="AA426" s="522"/>
      <c r="AB426" s="200"/>
      <c r="AC426" s="223"/>
      <c r="AD426" s="223"/>
      <c r="AE426" s="223"/>
      <c r="AF426" s="223"/>
      <c r="AG426" s="223"/>
      <c r="AH426" s="223"/>
      <c r="AI426" s="200"/>
      <c r="AJ426" s="200"/>
      <c r="AK426" s="522"/>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2"/>
      <c r="BF426" s="200"/>
      <c r="BG426" s="223"/>
      <c r="BH426" s="223"/>
      <c r="BI426" s="223"/>
      <c r="BJ426" s="223"/>
      <c r="BK426" s="223"/>
      <c r="BL426" s="223"/>
      <c r="BM426" s="200"/>
      <c r="BN426" s="200"/>
      <c r="BO426" s="522"/>
      <c r="BP426" s="200"/>
      <c r="BQ426" s="223"/>
      <c r="BR426" s="223"/>
      <c r="BS426" s="223"/>
      <c r="BT426" s="223"/>
      <c r="BU426" s="223"/>
      <c r="BV426" s="223"/>
      <c r="BW426" s="223"/>
      <c r="BX426" s="200"/>
      <c r="BY426" s="522"/>
      <c r="BZ426" s="200"/>
      <c r="CA426" s="223"/>
      <c r="CB426" s="223"/>
      <c r="CC426" s="223"/>
      <c r="CD426" s="223"/>
      <c r="CE426" s="223"/>
      <c r="CF426" s="223"/>
      <c r="CG426" s="200"/>
      <c r="CH426" s="200"/>
      <c r="CI426" s="522"/>
      <c r="CJ426" s="200"/>
      <c r="CK426" s="223"/>
      <c r="CL426" s="223"/>
      <c r="CM426" s="223"/>
      <c r="CN426" s="223"/>
      <c r="CO426" s="223"/>
      <c r="CP426" s="223"/>
      <c r="CQ426" s="200"/>
      <c r="CR426" s="200"/>
      <c r="CS426" s="522"/>
      <c r="CT426" s="200"/>
      <c r="CU426" s="223"/>
      <c r="CV426" s="223"/>
      <c r="CW426" s="223"/>
      <c r="CX426" s="223"/>
      <c r="CY426" s="223"/>
      <c r="CZ426" s="223"/>
      <c r="DA426" s="223"/>
      <c r="DB426" s="200"/>
      <c r="DC426" s="522"/>
      <c r="DD426" s="200"/>
      <c r="DE426" s="223"/>
      <c r="DF426" s="223"/>
      <c r="DG426" s="223"/>
      <c r="DH426" s="223"/>
      <c r="DI426" s="223"/>
      <c r="DJ426" s="223"/>
      <c r="DK426" s="200"/>
      <c r="DL426" s="200"/>
      <c r="DM426" s="522"/>
      <c r="DN426" s="200"/>
      <c r="DO426" s="223"/>
      <c r="DP426" s="223"/>
      <c r="DQ426" s="223"/>
      <c r="DR426" s="223"/>
      <c r="DS426" s="223"/>
      <c r="DT426" s="223"/>
      <c r="DU426" s="200"/>
      <c r="DV426" s="200"/>
      <c r="DW426" s="522"/>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2"/>
      <c r="R427" s="200"/>
      <c r="S427" s="223"/>
      <c r="T427" s="223"/>
      <c r="U427" s="223"/>
      <c r="V427" s="223"/>
      <c r="W427" s="223"/>
      <c r="X427" s="223"/>
      <c r="Y427" s="200"/>
      <c r="Z427" s="200"/>
      <c r="AA427" s="522"/>
      <c r="AB427" s="200"/>
      <c r="AC427" s="223"/>
      <c r="AD427" s="223"/>
      <c r="AE427" s="223"/>
      <c r="AF427" s="223"/>
      <c r="AG427" s="223"/>
      <c r="AH427" s="223"/>
      <c r="AI427" s="200"/>
      <c r="AJ427" s="200"/>
      <c r="AK427" s="522"/>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2"/>
      <c r="BF427" s="200"/>
      <c r="BG427" s="223"/>
      <c r="BH427" s="223"/>
      <c r="BI427" s="223"/>
      <c r="BJ427" s="223"/>
      <c r="BK427" s="223"/>
      <c r="BL427" s="223"/>
      <c r="BM427" s="200"/>
      <c r="BN427" s="200"/>
      <c r="BO427" s="522"/>
      <c r="BP427" s="200"/>
      <c r="BQ427" s="223"/>
      <c r="BR427" s="223"/>
      <c r="BS427" s="223"/>
      <c r="BT427" s="223"/>
      <c r="BU427" s="223"/>
      <c r="BV427" s="223"/>
      <c r="BW427" s="223"/>
      <c r="BX427" s="200"/>
      <c r="BY427" s="522"/>
      <c r="BZ427" s="200"/>
      <c r="CA427" s="223"/>
      <c r="CB427" s="223"/>
      <c r="CC427" s="223"/>
      <c r="CD427" s="223"/>
      <c r="CE427" s="223"/>
      <c r="CF427" s="223"/>
      <c r="CG427" s="200"/>
      <c r="CH427" s="200"/>
      <c r="CI427" s="522"/>
      <c r="CJ427" s="200"/>
      <c r="CK427" s="223"/>
      <c r="CL427" s="223"/>
      <c r="CM427" s="223"/>
      <c r="CN427" s="223"/>
      <c r="CO427" s="223"/>
      <c r="CP427" s="223"/>
      <c r="CQ427" s="200"/>
      <c r="CR427" s="200"/>
      <c r="CS427" s="522"/>
      <c r="CT427" s="200"/>
      <c r="CU427" s="223"/>
      <c r="CV427" s="223"/>
      <c r="CW427" s="223"/>
      <c r="CX427" s="223"/>
      <c r="CY427" s="223"/>
      <c r="CZ427" s="223"/>
      <c r="DA427" s="223"/>
      <c r="DB427" s="200"/>
      <c r="DC427" s="522"/>
      <c r="DD427" s="200"/>
      <c r="DE427" s="223"/>
      <c r="DF427" s="223"/>
      <c r="DG427" s="223"/>
      <c r="DH427" s="223"/>
      <c r="DI427" s="223"/>
      <c r="DJ427" s="223"/>
      <c r="DK427" s="200"/>
      <c r="DL427" s="200"/>
      <c r="DM427" s="522"/>
      <c r="DN427" s="200"/>
      <c r="DO427" s="223"/>
      <c r="DP427" s="223"/>
      <c r="DQ427" s="223"/>
      <c r="DR427" s="223"/>
      <c r="DS427" s="223"/>
      <c r="DT427" s="223"/>
      <c r="DU427" s="200"/>
      <c r="DV427" s="200"/>
      <c r="DW427" s="522"/>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2"/>
      <c r="R428" s="200"/>
      <c r="S428" s="223"/>
      <c r="T428" s="223"/>
      <c r="U428" s="223"/>
      <c r="V428" s="223"/>
      <c r="W428" s="223"/>
      <c r="X428" s="223"/>
      <c r="Y428" s="200"/>
      <c r="Z428" s="200"/>
      <c r="AA428" s="522"/>
      <c r="AB428" s="200"/>
      <c r="AC428" s="223"/>
      <c r="AD428" s="223"/>
      <c r="AE428" s="223"/>
      <c r="AF428" s="223"/>
      <c r="AG428" s="223"/>
      <c r="AH428" s="223"/>
      <c r="AI428" s="200"/>
      <c r="AJ428" s="200"/>
      <c r="AK428" s="522"/>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2"/>
      <c r="BF428" s="200"/>
      <c r="BG428" s="223"/>
      <c r="BH428" s="223"/>
      <c r="BI428" s="223"/>
      <c r="BJ428" s="223"/>
      <c r="BK428" s="223"/>
      <c r="BL428" s="223"/>
      <c r="BM428" s="200"/>
      <c r="BN428" s="200"/>
      <c r="BO428" s="522"/>
      <c r="BP428" s="200"/>
      <c r="BQ428" s="223"/>
      <c r="BR428" s="223"/>
      <c r="BS428" s="223"/>
      <c r="BT428" s="223"/>
      <c r="BU428" s="223"/>
      <c r="BV428" s="223"/>
      <c r="BW428" s="223"/>
      <c r="BX428" s="200"/>
      <c r="BY428" s="522"/>
      <c r="BZ428" s="200"/>
      <c r="CA428" s="223"/>
      <c r="CB428" s="223"/>
      <c r="CC428" s="223"/>
      <c r="CD428" s="223"/>
      <c r="CE428" s="223"/>
      <c r="CF428" s="223"/>
      <c r="CG428" s="200"/>
      <c r="CH428" s="200"/>
      <c r="CI428" s="522"/>
      <c r="CJ428" s="200"/>
      <c r="CK428" s="223"/>
      <c r="CL428" s="223"/>
      <c r="CM428" s="223"/>
      <c r="CN428" s="223"/>
      <c r="CO428" s="223"/>
      <c r="CP428" s="223"/>
      <c r="CQ428" s="200"/>
      <c r="CR428" s="200"/>
      <c r="CS428" s="522"/>
      <c r="CT428" s="200"/>
      <c r="CU428" s="223"/>
      <c r="CV428" s="223"/>
      <c r="CW428" s="223"/>
      <c r="CX428" s="223"/>
      <c r="CY428" s="223"/>
      <c r="CZ428" s="223"/>
      <c r="DA428" s="223"/>
      <c r="DB428" s="200"/>
      <c r="DC428" s="522"/>
      <c r="DD428" s="200"/>
      <c r="DE428" s="223"/>
      <c r="DF428" s="223"/>
      <c r="DG428" s="223"/>
      <c r="DH428" s="223"/>
      <c r="DI428" s="223"/>
      <c r="DJ428" s="223"/>
      <c r="DK428" s="200"/>
      <c r="DL428" s="200"/>
      <c r="DM428" s="522"/>
      <c r="DN428" s="200"/>
      <c r="DO428" s="223"/>
      <c r="DP428" s="223"/>
      <c r="DQ428" s="223"/>
      <c r="DR428" s="223"/>
      <c r="DS428" s="223"/>
      <c r="DT428" s="223"/>
      <c r="DU428" s="200"/>
      <c r="DV428" s="200"/>
      <c r="DW428" s="522"/>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2"/>
      <c r="R429" s="200"/>
      <c r="S429" s="223"/>
      <c r="T429" s="223"/>
      <c r="U429" s="223"/>
      <c r="V429" s="223"/>
      <c r="W429" s="223"/>
      <c r="X429" s="223"/>
      <c r="Y429" s="200"/>
      <c r="Z429" s="200"/>
      <c r="AA429" s="522"/>
      <c r="AB429" s="200"/>
      <c r="AC429" s="223"/>
      <c r="AD429" s="223"/>
      <c r="AE429" s="223"/>
      <c r="AF429" s="223"/>
      <c r="AG429" s="223"/>
      <c r="AH429" s="223"/>
      <c r="AI429" s="200"/>
      <c r="AJ429" s="200"/>
      <c r="AK429" s="522"/>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2"/>
      <c r="BF429" s="200"/>
      <c r="BG429" s="223"/>
      <c r="BH429" s="223"/>
      <c r="BI429" s="223"/>
      <c r="BJ429" s="223"/>
      <c r="BK429" s="223"/>
      <c r="BL429" s="223"/>
      <c r="BM429" s="200"/>
      <c r="BN429" s="200"/>
      <c r="BO429" s="522"/>
      <c r="BP429" s="200"/>
      <c r="BQ429" s="223"/>
      <c r="BR429" s="223"/>
      <c r="BS429" s="223"/>
      <c r="BT429" s="223"/>
      <c r="BU429" s="223"/>
      <c r="BV429" s="223"/>
      <c r="BW429" s="223"/>
      <c r="BX429" s="200"/>
      <c r="BY429" s="522"/>
      <c r="BZ429" s="200"/>
      <c r="CA429" s="223"/>
      <c r="CB429" s="223"/>
      <c r="CC429" s="223"/>
      <c r="CD429" s="223"/>
      <c r="CE429" s="223"/>
      <c r="CF429" s="223"/>
      <c r="CG429" s="200"/>
      <c r="CH429" s="200"/>
      <c r="CI429" s="522"/>
      <c r="CJ429" s="200"/>
      <c r="CK429" s="223"/>
      <c r="CL429" s="223"/>
      <c r="CM429" s="223"/>
      <c r="CN429" s="223"/>
      <c r="CO429" s="223"/>
      <c r="CP429" s="223"/>
      <c r="CQ429" s="200"/>
      <c r="CR429" s="200"/>
      <c r="CS429" s="522"/>
      <c r="CT429" s="200"/>
      <c r="CU429" s="223"/>
      <c r="CV429" s="223"/>
      <c r="CW429" s="223"/>
      <c r="CX429" s="223"/>
      <c r="CY429" s="223"/>
      <c r="CZ429" s="223"/>
      <c r="DA429" s="223"/>
      <c r="DB429" s="200"/>
      <c r="DC429" s="522"/>
      <c r="DD429" s="200"/>
      <c r="DE429" s="223"/>
      <c r="DF429" s="223"/>
      <c r="DG429" s="223"/>
      <c r="DH429" s="223"/>
      <c r="DI429" s="223"/>
      <c r="DJ429" s="223"/>
      <c r="DK429" s="200"/>
      <c r="DL429" s="200"/>
      <c r="DM429" s="522"/>
      <c r="DN429" s="200"/>
      <c r="DO429" s="223"/>
      <c r="DP429" s="223"/>
      <c r="DQ429" s="223"/>
      <c r="DR429" s="223"/>
      <c r="DS429" s="223"/>
      <c r="DT429" s="223"/>
      <c r="DU429" s="200"/>
      <c r="DV429" s="200"/>
      <c r="DW429" s="522"/>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2"/>
      <c r="R430" s="200"/>
      <c r="S430" s="223"/>
      <c r="T430" s="223"/>
      <c r="U430" s="223"/>
      <c r="V430" s="223"/>
      <c r="W430" s="223"/>
      <c r="X430" s="223"/>
      <c r="Y430" s="200"/>
      <c r="Z430" s="200"/>
      <c r="AA430" s="522"/>
      <c r="AB430" s="200"/>
      <c r="AC430" s="223"/>
      <c r="AD430" s="223"/>
      <c r="AE430" s="223"/>
      <c r="AF430" s="223"/>
      <c r="AG430" s="223"/>
      <c r="AH430" s="223"/>
      <c r="AI430" s="200"/>
      <c r="AJ430" s="200"/>
      <c r="AK430" s="522"/>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2"/>
      <c r="BF430" s="200"/>
      <c r="BG430" s="223"/>
      <c r="BH430" s="223"/>
      <c r="BI430" s="223"/>
      <c r="BJ430" s="223"/>
      <c r="BK430" s="223"/>
      <c r="BL430" s="223"/>
      <c r="BM430" s="200"/>
      <c r="BN430" s="200"/>
      <c r="BO430" s="522"/>
      <c r="BP430" s="200"/>
      <c r="BQ430" s="223"/>
      <c r="BR430" s="223"/>
      <c r="BS430" s="223"/>
      <c r="BT430" s="223"/>
      <c r="BU430" s="223"/>
      <c r="BV430" s="223"/>
      <c r="BW430" s="223"/>
      <c r="BX430" s="200"/>
      <c r="BY430" s="522"/>
      <c r="BZ430" s="200"/>
      <c r="CA430" s="223"/>
      <c r="CB430" s="223"/>
      <c r="CC430" s="223"/>
      <c r="CD430" s="223"/>
      <c r="CE430" s="223"/>
      <c r="CF430" s="223"/>
      <c r="CG430" s="200"/>
      <c r="CH430" s="200"/>
      <c r="CI430" s="522"/>
      <c r="CJ430" s="200"/>
      <c r="CK430" s="223"/>
      <c r="CL430" s="223"/>
      <c r="CM430" s="223"/>
      <c r="CN430" s="223"/>
      <c r="CO430" s="223"/>
      <c r="CP430" s="223"/>
      <c r="CQ430" s="200"/>
      <c r="CR430" s="200"/>
      <c r="CS430" s="522"/>
      <c r="CT430" s="200"/>
      <c r="CU430" s="223"/>
      <c r="CV430" s="223"/>
      <c r="CW430" s="223"/>
      <c r="CX430" s="223"/>
      <c r="CY430" s="223"/>
      <c r="CZ430" s="223"/>
      <c r="DA430" s="223"/>
      <c r="DB430" s="200"/>
      <c r="DC430" s="522"/>
      <c r="DD430" s="200"/>
      <c r="DE430" s="223"/>
      <c r="DF430" s="223"/>
      <c r="DG430" s="223"/>
      <c r="DH430" s="223"/>
      <c r="DI430" s="223"/>
      <c r="DJ430" s="223"/>
      <c r="DK430" s="200"/>
      <c r="DL430" s="200"/>
      <c r="DM430" s="522"/>
      <c r="DN430" s="200"/>
      <c r="DO430" s="223"/>
      <c r="DP430" s="223"/>
      <c r="DQ430" s="223"/>
      <c r="DR430" s="223"/>
      <c r="DS430" s="223"/>
      <c r="DT430" s="223"/>
      <c r="DU430" s="200"/>
      <c r="DV430" s="200"/>
      <c r="DW430" s="522"/>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2"/>
      <c r="R431" s="200"/>
      <c r="S431" s="223"/>
      <c r="T431" s="223"/>
      <c r="U431" s="223"/>
      <c r="V431" s="223"/>
      <c r="W431" s="223"/>
      <c r="X431" s="223"/>
      <c r="Y431" s="200"/>
      <c r="Z431" s="200"/>
      <c r="AA431" s="522"/>
      <c r="AB431" s="200"/>
      <c r="AC431" s="223"/>
      <c r="AD431" s="223"/>
      <c r="AE431" s="223"/>
      <c r="AF431" s="223"/>
      <c r="AG431" s="223"/>
      <c r="AH431" s="223"/>
      <c r="AI431" s="200"/>
      <c r="AJ431" s="200"/>
      <c r="AK431" s="522"/>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2"/>
      <c r="BF431" s="200"/>
      <c r="BG431" s="223"/>
      <c r="BH431" s="223"/>
      <c r="BI431" s="223"/>
      <c r="BJ431" s="223"/>
      <c r="BK431" s="223"/>
      <c r="BL431" s="223"/>
      <c r="BM431" s="200"/>
      <c r="BN431" s="200"/>
      <c r="BO431" s="522"/>
      <c r="BP431" s="200"/>
      <c r="BQ431" s="223"/>
      <c r="BR431" s="223"/>
      <c r="BS431" s="223"/>
      <c r="BT431" s="223"/>
      <c r="BU431" s="223"/>
      <c r="BV431" s="223"/>
      <c r="BW431" s="223"/>
      <c r="BX431" s="200"/>
      <c r="BY431" s="522"/>
      <c r="BZ431" s="200"/>
      <c r="CA431" s="223"/>
      <c r="CB431" s="223"/>
      <c r="CC431" s="223"/>
      <c r="CD431" s="223"/>
      <c r="CE431" s="223"/>
      <c r="CF431" s="223"/>
      <c r="CG431" s="200"/>
      <c r="CH431" s="200"/>
      <c r="CI431" s="522"/>
      <c r="CJ431" s="200"/>
      <c r="CK431" s="223"/>
      <c r="CL431" s="223"/>
      <c r="CM431" s="223"/>
      <c r="CN431" s="223"/>
      <c r="CO431" s="223"/>
      <c r="CP431" s="223"/>
      <c r="CQ431" s="200"/>
      <c r="CR431" s="200"/>
      <c r="CS431" s="522"/>
      <c r="CT431" s="200"/>
      <c r="CU431" s="223"/>
      <c r="CV431" s="223"/>
      <c r="CW431" s="223"/>
      <c r="CX431" s="223"/>
      <c r="CY431" s="223"/>
      <c r="CZ431" s="223"/>
      <c r="DA431" s="223"/>
      <c r="DB431" s="200"/>
      <c r="DC431" s="522"/>
      <c r="DD431" s="200"/>
      <c r="DE431" s="223"/>
      <c r="DF431" s="223"/>
      <c r="DG431" s="223"/>
      <c r="DH431" s="223"/>
      <c r="DI431" s="223"/>
      <c r="DJ431" s="223"/>
      <c r="DK431" s="200"/>
      <c r="DL431" s="200"/>
      <c r="DM431" s="522"/>
      <c r="DN431" s="200"/>
      <c r="DO431" s="223"/>
      <c r="DP431" s="223"/>
      <c r="DQ431" s="223"/>
      <c r="DR431" s="223"/>
      <c r="DS431" s="223"/>
      <c r="DT431" s="223"/>
      <c r="DU431" s="200"/>
      <c r="DV431" s="200"/>
      <c r="DW431" s="522"/>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2"/>
      <c r="R432" s="200"/>
      <c r="S432" s="223"/>
      <c r="T432" s="223"/>
      <c r="U432" s="223"/>
      <c r="V432" s="223"/>
      <c r="W432" s="223"/>
      <c r="X432" s="223"/>
      <c r="Y432" s="200"/>
      <c r="Z432" s="200"/>
      <c r="AA432" s="522"/>
      <c r="AB432" s="200"/>
      <c r="AC432" s="223"/>
      <c r="AD432" s="223"/>
      <c r="AE432" s="223"/>
      <c r="AF432" s="223"/>
      <c r="AG432" s="223"/>
      <c r="AH432" s="223"/>
      <c r="AI432" s="200"/>
      <c r="AJ432" s="200"/>
      <c r="AK432" s="522"/>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2"/>
      <c r="BF432" s="200"/>
      <c r="BG432" s="223"/>
      <c r="BH432" s="223"/>
      <c r="BI432" s="223"/>
      <c r="BJ432" s="223"/>
      <c r="BK432" s="223"/>
      <c r="BL432" s="223"/>
      <c r="BM432" s="200"/>
      <c r="BN432" s="200"/>
      <c r="BO432" s="522"/>
      <c r="BP432" s="200"/>
      <c r="BQ432" s="223"/>
      <c r="BR432" s="223"/>
      <c r="BS432" s="223"/>
      <c r="BT432" s="223"/>
      <c r="BU432" s="223"/>
      <c r="BV432" s="223"/>
      <c r="BW432" s="223"/>
      <c r="BX432" s="200"/>
      <c r="BY432" s="522"/>
      <c r="BZ432" s="200"/>
      <c r="CA432" s="223"/>
      <c r="CB432" s="223"/>
      <c r="CC432" s="223"/>
      <c r="CD432" s="223"/>
      <c r="CE432" s="223"/>
      <c r="CF432" s="223"/>
      <c r="CG432" s="200"/>
      <c r="CH432" s="200"/>
      <c r="CI432" s="522"/>
      <c r="CJ432" s="200"/>
      <c r="CK432" s="223"/>
      <c r="CL432" s="223"/>
      <c r="CM432" s="223"/>
      <c r="CN432" s="223"/>
      <c r="CO432" s="223"/>
      <c r="CP432" s="223"/>
      <c r="CQ432" s="200"/>
      <c r="CR432" s="200"/>
      <c r="CS432" s="522"/>
      <c r="CT432" s="200"/>
      <c r="CU432" s="223"/>
      <c r="CV432" s="223"/>
      <c r="CW432" s="223"/>
      <c r="CX432" s="223"/>
      <c r="CY432" s="223"/>
      <c r="CZ432" s="223"/>
      <c r="DA432" s="223"/>
      <c r="DB432" s="200"/>
      <c r="DC432" s="522"/>
      <c r="DD432" s="200"/>
      <c r="DE432" s="223"/>
      <c r="DF432" s="223"/>
      <c r="DG432" s="223"/>
      <c r="DH432" s="223"/>
      <c r="DI432" s="223"/>
      <c r="DJ432" s="223"/>
      <c r="DK432" s="200"/>
      <c r="DL432" s="200"/>
      <c r="DM432" s="522"/>
      <c r="DN432" s="200"/>
      <c r="DO432" s="223"/>
      <c r="DP432" s="223"/>
      <c r="DQ432" s="223"/>
      <c r="DR432" s="223"/>
      <c r="DS432" s="223"/>
      <c r="DT432" s="223"/>
      <c r="DU432" s="200"/>
      <c r="DV432" s="200"/>
      <c r="DW432" s="522"/>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2"/>
      <c r="R433" s="200"/>
      <c r="S433" s="223"/>
      <c r="T433" s="223"/>
      <c r="U433" s="223"/>
      <c r="V433" s="223"/>
      <c r="W433" s="223"/>
      <c r="X433" s="223"/>
      <c r="Y433" s="200"/>
      <c r="Z433" s="200"/>
      <c r="AA433" s="522"/>
      <c r="AB433" s="200"/>
      <c r="AC433" s="223"/>
      <c r="AD433" s="223"/>
      <c r="AE433" s="223"/>
      <c r="AF433" s="223"/>
      <c r="AG433" s="223"/>
      <c r="AH433" s="223"/>
      <c r="AI433" s="200"/>
      <c r="AJ433" s="200"/>
      <c r="AK433" s="522"/>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2"/>
      <c r="BF433" s="200"/>
      <c r="BG433" s="223"/>
      <c r="BH433" s="223"/>
      <c r="BI433" s="223"/>
      <c r="BJ433" s="223"/>
      <c r="BK433" s="223"/>
      <c r="BL433" s="223"/>
      <c r="BM433" s="200"/>
      <c r="BN433" s="200"/>
      <c r="BO433" s="522"/>
      <c r="BP433" s="200"/>
      <c r="BQ433" s="223"/>
      <c r="BR433" s="223"/>
      <c r="BS433" s="223"/>
      <c r="BT433" s="223"/>
      <c r="BU433" s="223"/>
      <c r="BV433" s="223"/>
      <c r="BW433" s="223"/>
      <c r="BX433" s="200"/>
      <c r="BY433" s="522"/>
      <c r="BZ433" s="200"/>
      <c r="CA433" s="223"/>
      <c r="CB433" s="223"/>
      <c r="CC433" s="223"/>
      <c r="CD433" s="223"/>
      <c r="CE433" s="223"/>
      <c r="CF433" s="223"/>
      <c r="CG433" s="200"/>
      <c r="CH433" s="200"/>
      <c r="CI433" s="522"/>
      <c r="CJ433" s="200"/>
      <c r="CK433" s="223"/>
      <c r="CL433" s="223"/>
      <c r="CM433" s="223"/>
      <c r="CN433" s="223"/>
      <c r="CO433" s="223"/>
      <c r="CP433" s="223"/>
      <c r="CQ433" s="200"/>
      <c r="CR433" s="200"/>
      <c r="CS433" s="522"/>
      <c r="CT433" s="200"/>
      <c r="CU433" s="223"/>
      <c r="CV433" s="223"/>
      <c r="CW433" s="223"/>
      <c r="CX433" s="223"/>
      <c r="CY433" s="223"/>
      <c r="CZ433" s="223"/>
      <c r="DA433" s="223"/>
      <c r="DB433" s="200"/>
      <c r="DC433" s="522"/>
      <c r="DD433" s="200"/>
      <c r="DE433" s="223"/>
      <c r="DF433" s="223"/>
      <c r="DG433" s="223"/>
      <c r="DH433" s="223"/>
      <c r="DI433" s="223"/>
      <c r="DJ433" s="223"/>
      <c r="DK433" s="200"/>
      <c r="DL433" s="200"/>
      <c r="DM433" s="522"/>
      <c r="DN433" s="200"/>
      <c r="DO433" s="223"/>
      <c r="DP433" s="223"/>
      <c r="DQ433" s="223"/>
      <c r="DR433" s="223"/>
      <c r="DS433" s="223"/>
      <c r="DT433" s="223"/>
      <c r="DU433" s="200"/>
      <c r="DV433" s="200"/>
      <c r="DW433" s="522"/>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2"/>
      <c r="R434" s="200"/>
      <c r="S434" s="223"/>
      <c r="T434" s="223"/>
      <c r="U434" s="223"/>
      <c r="V434" s="223"/>
      <c r="W434" s="223"/>
      <c r="X434" s="223"/>
      <c r="Y434" s="200"/>
      <c r="Z434" s="200"/>
      <c r="AA434" s="522"/>
      <c r="AB434" s="200"/>
      <c r="AC434" s="223"/>
      <c r="AD434" s="223"/>
      <c r="AE434" s="223"/>
      <c r="AF434" s="223"/>
      <c r="AG434" s="223"/>
      <c r="AH434" s="223"/>
      <c r="AI434" s="200"/>
      <c r="AJ434" s="200"/>
      <c r="AK434" s="522"/>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2"/>
      <c r="BF434" s="200"/>
      <c r="BG434" s="223"/>
      <c r="BH434" s="223"/>
      <c r="BI434" s="223"/>
      <c r="BJ434" s="223"/>
      <c r="BK434" s="223"/>
      <c r="BL434" s="223"/>
      <c r="BM434" s="200"/>
      <c r="BN434" s="200"/>
      <c r="BO434" s="522"/>
      <c r="BP434" s="200"/>
      <c r="BQ434" s="223"/>
      <c r="BR434" s="223"/>
      <c r="BS434" s="223"/>
      <c r="BT434" s="223"/>
      <c r="BU434" s="223"/>
      <c r="BV434" s="223"/>
      <c r="BW434" s="223"/>
      <c r="BX434" s="200"/>
      <c r="BY434" s="522"/>
      <c r="BZ434" s="200"/>
      <c r="CA434" s="223"/>
      <c r="CB434" s="223"/>
      <c r="CC434" s="223"/>
      <c r="CD434" s="223"/>
      <c r="CE434" s="223"/>
      <c r="CF434" s="223"/>
      <c r="CG434" s="200"/>
      <c r="CH434" s="200"/>
      <c r="CI434" s="522"/>
      <c r="CJ434" s="200"/>
      <c r="CK434" s="223"/>
      <c r="CL434" s="223"/>
      <c r="CM434" s="223"/>
      <c r="CN434" s="223"/>
      <c r="CO434" s="223"/>
      <c r="CP434" s="223"/>
      <c r="CQ434" s="200"/>
      <c r="CR434" s="200"/>
      <c r="CS434" s="522"/>
      <c r="CT434" s="200"/>
      <c r="CU434" s="223"/>
      <c r="CV434" s="223"/>
      <c r="CW434" s="223"/>
      <c r="CX434" s="223"/>
      <c r="CY434" s="223"/>
      <c r="CZ434" s="223"/>
      <c r="DA434" s="223"/>
      <c r="DB434" s="200"/>
      <c r="DC434" s="522"/>
      <c r="DD434" s="200"/>
      <c r="DE434" s="223"/>
      <c r="DF434" s="223"/>
      <c r="DG434" s="223"/>
      <c r="DH434" s="223"/>
      <c r="DI434" s="223"/>
      <c r="DJ434" s="223"/>
      <c r="DK434" s="200"/>
      <c r="DL434" s="200"/>
      <c r="DM434" s="522"/>
      <c r="DN434" s="200"/>
      <c r="DO434" s="223"/>
      <c r="DP434" s="223"/>
      <c r="DQ434" s="223"/>
      <c r="DR434" s="223"/>
      <c r="DS434" s="223"/>
      <c r="DT434" s="223"/>
      <c r="DU434" s="200"/>
      <c r="DV434" s="200"/>
      <c r="DW434" s="522"/>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2"/>
      <c r="R435" s="200"/>
      <c r="S435" s="223"/>
      <c r="T435" s="223"/>
      <c r="U435" s="223"/>
      <c r="V435" s="223"/>
      <c r="W435" s="223"/>
      <c r="X435" s="223"/>
      <c r="Y435" s="200"/>
      <c r="Z435" s="200"/>
      <c r="AA435" s="522"/>
      <c r="AB435" s="200"/>
      <c r="AC435" s="223"/>
      <c r="AD435" s="223"/>
      <c r="AE435" s="223"/>
      <c r="AF435" s="223"/>
      <c r="AG435" s="223"/>
      <c r="AH435" s="223"/>
      <c r="AI435" s="200"/>
      <c r="AJ435" s="200"/>
      <c r="AK435" s="522"/>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2"/>
      <c r="BF435" s="200"/>
      <c r="BG435" s="223"/>
      <c r="BH435" s="223"/>
      <c r="BI435" s="223"/>
      <c r="BJ435" s="223"/>
      <c r="BK435" s="223"/>
      <c r="BL435" s="223"/>
      <c r="BM435" s="200"/>
      <c r="BN435" s="200"/>
      <c r="BO435" s="522"/>
      <c r="BP435" s="200"/>
      <c r="BQ435" s="223"/>
      <c r="BR435" s="223"/>
      <c r="BS435" s="223"/>
      <c r="BT435" s="223"/>
      <c r="BU435" s="223"/>
      <c r="BV435" s="223"/>
      <c r="BW435" s="223"/>
      <c r="BX435" s="200"/>
      <c r="BY435" s="522"/>
      <c r="BZ435" s="200"/>
      <c r="CA435" s="223"/>
      <c r="CB435" s="223"/>
      <c r="CC435" s="223"/>
      <c r="CD435" s="223"/>
      <c r="CE435" s="223"/>
      <c r="CF435" s="223"/>
      <c r="CG435" s="200"/>
      <c r="CH435" s="200"/>
      <c r="CI435" s="522"/>
      <c r="CJ435" s="200"/>
      <c r="CK435" s="223"/>
      <c r="CL435" s="223"/>
      <c r="CM435" s="223"/>
      <c r="CN435" s="223"/>
      <c r="CO435" s="223"/>
      <c r="CP435" s="223"/>
      <c r="CQ435" s="200"/>
      <c r="CR435" s="200"/>
      <c r="CS435" s="522"/>
      <c r="CT435" s="200"/>
      <c r="CU435" s="223"/>
      <c r="CV435" s="223"/>
      <c r="CW435" s="223"/>
      <c r="CX435" s="223"/>
      <c r="CY435" s="223"/>
      <c r="CZ435" s="223"/>
      <c r="DA435" s="223"/>
      <c r="DB435" s="200"/>
      <c r="DC435" s="522"/>
      <c r="DD435" s="200"/>
      <c r="DE435" s="223"/>
      <c r="DF435" s="223"/>
      <c r="DG435" s="223"/>
      <c r="DH435" s="223"/>
      <c r="DI435" s="223"/>
      <c r="DJ435" s="223"/>
      <c r="DK435" s="200"/>
      <c r="DL435" s="200"/>
      <c r="DM435" s="522"/>
      <c r="DN435" s="200"/>
      <c r="DO435" s="223"/>
      <c r="DP435" s="223"/>
      <c r="DQ435" s="223"/>
      <c r="DR435" s="223"/>
      <c r="DS435" s="223"/>
      <c r="DT435" s="223"/>
      <c r="DU435" s="200"/>
      <c r="DV435" s="200"/>
      <c r="DW435" s="522"/>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2"/>
      <c r="R436" s="200"/>
      <c r="S436" s="223"/>
      <c r="T436" s="223"/>
      <c r="U436" s="223"/>
      <c r="V436" s="223"/>
      <c r="W436" s="223"/>
      <c r="X436" s="223"/>
      <c r="Y436" s="200"/>
      <c r="Z436" s="200"/>
      <c r="AA436" s="522"/>
      <c r="AB436" s="200"/>
      <c r="AC436" s="223"/>
      <c r="AD436" s="223"/>
      <c r="AE436" s="223"/>
      <c r="AF436" s="223"/>
      <c r="AG436" s="223"/>
      <c r="AH436" s="223"/>
      <c r="AI436" s="200"/>
      <c r="AJ436" s="200"/>
      <c r="AK436" s="522"/>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2"/>
      <c r="BF436" s="200"/>
      <c r="BG436" s="223"/>
      <c r="BH436" s="223"/>
      <c r="BI436" s="223"/>
      <c r="BJ436" s="223"/>
      <c r="BK436" s="223"/>
      <c r="BL436" s="223"/>
      <c r="BM436" s="200"/>
      <c r="BN436" s="200"/>
      <c r="BO436" s="522"/>
      <c r="BP436" s="200"/>
      <c r="BQ436" s="223"/>
      <c r="BR436" s="223"/>
      <c r="BS436" s="223"/>
      <c r="BT436" s="223"/>
      <c r="BU436" s="223"/>
      <c r="BV436" s="223"/>
      <c r="BW436" s="223"/>
      <c r="BX436" s="200"/>
      <c r="BY436" s="522"/>
      <c r="BZ436" s="200"/>
      <c r="CA436" s="223"/>
      <c r="CB436" s="223"/>
      <c r="CC436" s="223"/>
      <c r="CD436" s="223"/>
      <c r="CE436" s="223"/>
      <c r="CF436" s="223"/>
      <c r="CG436" s="200"/>
      <c r="CH436" s="200"/>
      <c r="CI436" s="522"/>
      <c r="CJ436" s="200"/>
      <c r="CK436" s="223"/>
      <c r="CL436" s="223"/>
      <c r="CM436" s="223"/>
      <c r="CN436" s="223"/>
      <c r="CO436" s="223"/>
      <c r="CP436" s="223"/>
      <c r="CQ436" s="200"/>
      <c r="CR436" s="200"/>
      <c r="CS436" s="522"/>
      <c r="CT436" s="200"/>
      <c r="CU436" s="223"/>
      <c r="CV436" s="223"/>
      <c r="CW436" s="223"/>
      <c r="CX436" s="223"/>
      <c r="CY436" s="223"/>
      <c r="CZ436" s="223"/>
      <c r="DA436" s="223"/>
      <c r="DB436" s="200"/>
      <c r="DC436" s="522"/>
      <c r="DD436" s="200"/>
      <c r="DE436" s="223"/>
      <c r="DF436" s="223"/>
      <c r="DG436" s="223"/>
      <c r="DH436" s="223"/>
      <c r="DI436" s="223"/>
      <c r="DJ436" s="223"/>
      <c r="DK436" s="200"/>
      <c r="DL436" s="200"/>
      <c r="DM436" s="522"/>
      <c r="DN436" s="200"/>
      <c r="DO436" s="223"/>
      <c r="DP436" s="223"/>
      <c r="DQ436" s="223"/>
      <c r="DR436" s="223"/>
      <c r="DS436" s="223"/>
      <c r="DT436" s="223"/>
      <c r="DU436" s="200"/>
      <c r="DV436" s="200"/>
      <c r="DW436" s="522"/>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2"/>
      <c r="R437" s="200"/>
      <c r="S437" s="223"/>
      <c r="T437" s="223"/>
      <c r="U437" s="223"/>
      <c r="V437" s="223"/>
      <c r="W437" s="223"/>
      <c r="X437" s="223"/>
      <c r="Y437" s="200"/>
      <c r="Z437" s="200"/>
      <c r="AA437" s="522"/>
      <c r="AB437" s="200"/>
      <c r="AC437" s="223"/>
      <c r="AD437" s="223"/>
      <c r="AE437" s="223"/>
      <c r="AF437" s="223"/>
      <c r="AG437" s="223"/>
      <c r="AH437" s="223"/>
      <c r="AI437" s="200"/>
      <c r="AJ437" s="200"/>
      <c r="AK437" s="522"/>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2"/>
      <c r="BF437" s="200"/>
      <c r="BG437" s="223"/>
      <c r="BH437" s="223"/>
      <c r="BI437" s="223"/>
      <c r="BJ437" s="223"/>
      <c r="BK437" s="223"/>
      <c r="BL437" s="223"/>
      <c r="BM437" s="200"/>
      <c r="BN437" s="200"/>
      <c r="BO437" s="522"/>
      <c r="BP437" s="200"/>
      <c r="BQ437" s="223"/>
      <c r="BR437" s="223"/>
      <c r="BS437" s="223"/>
      <c r="BT437" s="223"/>
      <c r="BU437" s="223"/>
      <c r="BV437" s="223"/>
      <c r="BW437" s="223"/>
      <c r="BX437" s="200"/>
      <c r="BY437" s="522"/>
      <c r="BZ437" s="200"/>
      <c r="CA437" s="223"/>
      <c r="CB437" s="223"/>
      <c r="CC437" s="223"/>
      <c r="CD437" s="223"/>
      <c r="CE437" s="223"/>
      <c r="CF437" s="223"/>
      <c r="CG437" s="200"/>
      <c r="CH437" s="200"/>
      <c r="CI437" s="522"/>
      <c r="CJ437" s="200"/>
      <c r="CK437" s="223"/>
      <c r="CL437" s="223"/>
      <c r="CM437" s="223"/>
      <c r="CN437" s="223"/>
      <c r="CO437" s="223"/>
      <c r="CP437" s="223"/>
      <c r="CQ437" s="200"/>
      <c r="CR437" s="200"/>
      <c r="CS437" s="522"/>
      <c r="CT437" s="200"/>
      <c r="CU437" s="223"/>
      <c r="CV437" s="223"/>
      <c r="CW437" s="223"/>
      <c r="CX437" s="223"/>
      <c r="CY437" s="223"/>
      <c r="CZ437" s="223"/>
      <c r="DA437" s="223"/>
      <c r="DB437" s="200"/>
      <c r="DC437" s="522"/>
      <c r="DD437" s="200"/>
      <c r="DE437" s="223"/>
      <c r="DF437" s="223"/>
      <c r="DG437" s="223"/>
      <c r="DH437" s="223"/>
      <c r="DI437" s="223"/>
      <c r="DJ437" s="223"/>
      <c r="DK437" s="200"/>
      <c r="DL437" s="200"/>
      <c r="DM437" s="522"/>
      <c r="DN437" s="200"/>
      <c r="DO437" s="223"/>
      <c r="DP437" s="223"/>
      <c r="DQ437" s="223"/>
      <c r="DR437" s="223"/>
      <c r="DS437" s="223"/>
      <c r="DT437" s="223"/>
      <c r="DU437" s="200"/>
      <c r="DV437" s="200"/>
      <c r="DW437" s="522"/>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2"/>
      <c r="R438" s="200"/>
      <c r="S438" s="223"/>
      <c r="T438" s="223"/>
      <c r="U438" s="223"/>
      <c r="V438" s="223"/>
      <c r="W438" s="223"/>
      <c r="X438" s="223"/>
      <c r="Y438" s="200"/>
      <c r="Z438" s="200"/>
      <c r="AA438" s="522"/>
      <c r="AB438" s="200"/>
      <c r="AC438" s="223"/>
      <c r="AD438" s="223"/>
      <c r="AE438" s="223"/>
      <c r="AF438" s="223"/>
      <c r="AG438" s="223"/>
      <c r="AH438" s="223"/>
      <c r="AI438" s="200"/>
      <c r="AJ438" s="200"/>
      <c r="AK438" s="522"/>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2"/>
      <c r="BF438" s="200"/>
      <c r="BG438" s="223"/>
      <c r="BH438" s="223"/>
      <c r="BI438" s="223"/>
      <c r="BJ438" s="223"/>
      <c r="BK438" s="223"/>
      <c r="BL438" s="223"/>
      <c r="BM438" s="200"/>
      <c r="BN438" s="200"/>
      <c r="BO438" s="522"/>
      <c r="BP438" s="200"/>
      <c r="BQ438" s="223"/>
      <c r="BR438" s="223"/>
      <c r="BS438" s="223"/>
      <c r="BT438" s="223"/>
      <c r="BU438" s="223"/>
      <c r="BV438" s="223"/>
      <c r="BW438" s="223"/>
      <c r="BX438" s="200"/>
      <c r="BY438" s="522"/>
      <c r="BZ438" s="200"/>
      <c r="CA438" s="223"/>
      <c r="CB438" s="223"/>
      <c r="CC438" s="223"/>
      <c r="CD438" s="223"/>
      <c r="CE438" s="223"/>
      <c r="CF438" s="223"/>
      <c r="CG438" s="200"/>
      <c r="CH438" s="200"/>
      <c r="CI438" s="522"/>
      <c r="CJ438" s="200"/>
      <c r="CK438" s="223"/>
      <c r="CL438" s="223"/>
      <c r="CM438" s="223"/>
      <c r="CN438" s="223"/>
      <c r="CO438" s="223"/>
      <c r="CP438" s="223"/>
      <c r="CQ438" s="200"/>
      <c r="CR438" s="200"/>
      <c r="CS438" s="522"/>
      <c r="CT438" s="200"/>
      <c r="CU438" s="223"/>
      <c r="CV438" s="223"/>
      <c r="CW438" s="223"/>
      <c r="CX438" s="223"/>
      <c r="CY438" s="223"/>
      <c r="CZ438" s="223"/>
      <c r="DA438" s="223"/>
      <c r="DB438" s="200"/>
      <c r="DC438" s="522"/>
      <c r="DD438" s="200"/>
      <c r="DE438" s="223"/>
      <c r="DF438" s="223"/>
      <c r="DG438" s="223"/>
      <c r="DH438" s="223"/>
      <c r="DI438" s="223"/>
      <c r="DJ438" s="223"/>
      <c r="DK438" s="200"/>
      <c r="DL438" s="200"/>
      <c r="DM438" s="522"/>
      <c r="DN438" s="200"/>
      <c r="DO438" s="223"/>
      <c r="DP438" s="223"/>
      <c r="DQ438" s="223"/>
      <c r="DR438" s="223"/>
      <c r="DS438" s="223"/>
      <c r="DT438" s="223"/>
      <c r="DU438" s="200"/>
      <c r="DV438" s="200"/>
      <c r="DW438" s="522"/>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2"/>
      <c r="R439" s="200"/>
      <c r="S439" s="223"/>
      <c r="T439" s="223"/>
      <c r="U439" s="223"/>
      <c r="V439" s="223"/>
      <c r="W439" s="223"/>
      <c r="X439" s="223"/>
      <c r="Y439" s="200"/>
      <c r="Z439" s="200"/>
      <c r="AA439" s="522"/>
      <c r="AB439" s="200"/>
      <c r="AC439" s="223"/>
      <c r="AD439" s="223"/>
      <c r="AE439" s="223"/>
      <c r="AF439" s="223"/>
      <c r="AG439" s="223"/>
      <c r="AH439" s="223"/>
      <c r="AI439" s="200"/>
      <c r="AJ439" s="200"/>
      <c r="AK439" s="522"/>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2"/>
      <c r="BF439" s="200"/>
      <c r="BG439" s="223"/>
      <c r="BH439" s="223"/>
      <c r="BI439" s="223"/>
      <c r="BJ439" s="223"/>
      <c r="BK439" s="223"/>
      <c r="BL439" s="223"/>
      <c r="BM439" s="200"/>
      <c r="BN439" s="200"/>
      <c r="BO439" s="522"/>
      <c r="BP439" s="200"/>
      <c r="BQ439" s="223"/>
      <c r="BR439" s="223"/>
      <c r="BS439" s="223"/>
      <c r="BT439" s="223"/>
      <c r="BU439" s="223"/>
      <c r="BV439" s="223"/>
      <c r="BW439" s="223"/>
      <c r="BX439" s="200"/>
      <c r="BY439" s="522"/>
      <c r="BZ439" s="200"/>
      <c r="CA439" s="223"/>
      <c r="CB439" s="223"/>
      <c r="CC439" s="223"/>
      <c r="CD439" s="223"/>
      <c r="CE439" s="223"/>
      <c r="CF439" s="223"/>
      <c r="CG439" s="200"/>
      <c r="CH439" s="200"/>
      <c r="CI439" s="522"/>
      <c r="CJ439" s="200"/>
      <c r="CK439" s="223"/>
      <c r="CL439" s="223"/>
      <c r="CM439" s="223"/>
      <c r="CN439" s="223"/>
      <c r="CO439" s="223"/>
      <c r="CP439" s="223"/>
      <c r="CQ439" s="200"/>
      <c r="CR439" s="200"/>
      <c r="CS439" s="522"/>
      <c r="CT439" s="200"/>
      <c r="CU439" s="223"/>
      <c r="CV439" s="223"/>
      <c r="CW439" s="223"/>
      <c r="CX439" s="223"/>
      <c r="CY439" s="223"/>
      <c r="CZ439" s="223"/>
      <c r="DA439" s="223"/>
      <c r="DB439" s="200"/>
      <c r="DC439" s="522"/>
      <c r="DD439" s="200"/>
      <c r="DE439" s="223"/>
      <c r="DF439" s="223"/>
      <c r="DG439" s="223"/>
      <c r="DH439" s="223"/>
      <c r="DI439" s="223"/>
      <c r="DJ439" s="223"/>
      <c r="DK439" s="200"/>
      <c r="DL439" s="200"/>
      <c r="DM439" s="522"/>
      <c r="DN439" s="200"/>
      <c r="DO439" s="223"/>
      <c r="DP439" s="223"/>
      <c r="DQ439" s="223"/>
      <c r="DR439" s="223"/>
      <c r="DS439" s="223"/>
      <c r="DT439" s="223"/>
      <c r="DU439" s="200"/>
      <c r="DV439" s="200"/>
      <c r="DW439" s="522"/>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2"/>
      <c r="R440" s="200"/>
      <c r="S440" s="223"/>
      <c r="T440" s="223"/>
      <c r="U440" s="223"/>
      <c r="V440" s="223"/>
      <c r="W440" s="223"/>
      <c r="X440" s="223"/>
      <c r="Y440" s="200"/>
      <c r="Z440" s="200"/>
      <c r="AA440" s="522"/>
      <c r="AB440" s="200"/>
      <c r="AC440" s="223"/>
      <c r="AD440" s="223"/>
      <c r="AE440" s="223"/>
      <c r="AF440" s="223"/>
      <c r="AG440" s="223"/>
      <c r="AH440" s="223"/>
      <c r="AI440" s="200"/>
      <c r="AJ440" s="200"/>
      <c r="AK440" s="522"/>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2"/>
      <c r="BF440" s="200"/>
      <c r="BG440" s="223"/>
      <c r="BH440" s="223"/>
      <c r="BI440" s="223"/>
      <c r="BJ440" s="223"/>
      <c r="BK440" s="223"/>
      <c r="BL440" s="223"/>
      <c r="BM440" s="200"/>
      <c r="BN440" s="200"/>
      <c r="BO440" s="522"/>
      <c r="BP440" s="200"/>
      <c r="BQ440" s="223"/>
      <c r="BR440" s="223"/>
      <c r="BS440" s="223"/>
      <c r="BT440" s="223"/>
      <c r="BU440" s="223"/>
      <c r="BV440" s="223"/>
      <c r="BW440" s="223"/>
      <c r="BX440" s="200"/>
      <c r="BY440" s="522"/>
      <c r="BZ440" s="200"/>
      <c r="CA440" s="223"/>
      <c r="CB440" s="223"/>
      <c r="CC440" s="223"/>
      <c r="CD440" s="223"/>
      <c r="CE440" s="223"/>
      <c r="CF440" s="223"/>
      <c r="CG440" s="200"/>
      <c r="CH440" s="200"/>
      <c r="CI440" s="522"/>
      <c r="CJ440" s="200"/>
      <c r="CK440" s="223"/>
      <c r="CL440" s="223"/>
      <c r="CM440" s="223"/>
      <c r="CN440" s="223"/>
      <c r="CO440" s="223"/>
      <c r="CP440" s="223"/>
      <c r="CQ440" s="200"/>
      <c r="CR440" s="200"/>
      <c r="CS440" s="522"/>
      <c r="CT440" s="200"/>
      <c r="CU440" s="223"/>
      <c r="CV440" s="223"/>
      <c r="CW440" s="223"/>
      <c r="CX440" s="223"/>
      <c r="CY440" s="223"/>
      <c r="CZ440" s="223"/>
      <c r="DA440" s="223"/>
      <c r="DB440" s="200"/>
      <c r="DC440" s="522"/>
      <c r="DD440" s="200"/>
      <c r="DE440" s="223"/>
      <c r="DF440" s="223"/>
      <c r="DG440" s="223"/>
      <c r="DH440" s="223"/>
      <c r="DI440" s="223"/>
      <c r="DJ440" s="223"/>
      <c r="DK440" s="200"/>
      <c r="DL440" s="200"/>
      <c r="DM440" s="522"/>
      <c r="DN440" s="200"/>
      <c r="DO440" s="223"/>
      <c r="DP440" s="223"/>
      <c r="DQ440" s="223"/>
      <c r="DR440" s="223"/>
      <c r="DS440" s="223"/>
      <c r="DT440" s="223"/>
      <c r="DU440" s="200"/>
      <c r="DV440" s="200"/>
      <c r="DW440" s="522"/>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2"/>
      <c r="R441" s="200"/>
      <c r="S441" s="223"/>
      <c r="T441" s="223"/>
      <c r="U441" s="223"/>
      <c r="V441" s="223"/>
      <c r="W441" s="223"/>
      <c r="X441" s="223"/>
      <c r="Y441" s="200"/>
      <c r="Z441" s="200"/>
      <c r="AA441" s="522"/>
      <c r="AB441" s="200"/>
      <c r="AC441" s="223"/>
      <c r="AD441" s="223"/>
      <c r="AE441" s="223"/>
      <c r="AF441" s="223"/>
      <c r="AG441" s="223"/>
      <c r="AH441" s="223"/>
      <c r="AI441" s="200"/>
      <c r="AJ441" s="200"/>
      <c r="AK441" s="522"/>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2"/>
      <c r="BF441" s="200"/>
      <c r="BG441" s="223"/>
      <c r="BH441" s="223"/>
      <c r="BI441" s="223"/>
      <c r="BJ441" s="223"/>
      <c r="BK441" s="223"/>
      <c r="BL441" s="223"/>
      <c r="BM441" s="200"/>
      <c r="BN441" s="200"/>
      <c r="BO441" s="522"/>
      <c r="BP441" s="200"/>
      <c r="BQ441" s="223"/>
      <c r="BR441" s="223"/>
      <c r="BS441" s="223"/>
      <c r="BT441" s="223"/>
      <c r="BU441" s="223"/>
      <c r="BV441" s="223"/>
      <c r="BW441" s="223"/>
      <c r="BX441" s="200"/>
      <c r="BY441" s="522"/>
      <c r="BZ441" s="200"/>
      <c r="CA441" s="223"/>
      <c r="CB441" s="223"/>
      <c r="CC441" s="223"/>
      <c r="CD441" s="223"/>
      <c r="CE441" s="223"/>
      <c r="CF441" s="223"/>
      <c r="CG441" s="200"/>
      <c r="CH441" s="200"/>
      <c r="CI441" s="522"/>
      <c r="CJ441" s="200"/>
      <c r="CK441" s="223"/>
      <c r="CL441" s="223"/>
      <c r="CM441" s="223"/>
      <c r="CN441" s="223"/>
      <c r="CO441" s="223"/>
      <c r="CP441" s="223"/>
      <c r="CQ441" s="200"/>
      <c r="CR441" s="200"/>
      <c r="CS441" s="522"/>
      <c r="CT441" s="200"/>
      <c r="CU441" s="223"/>
      <c r="CV441" s="223"/>
      <c r="CW441" s="223"/>
      <c r="CX441" s="223"/>
      <c r="CY441" s="223"/>
      <c r="CZ441" s="223"/>
      <c r="DA441" s="223"/>
      <c r="DB441" s="200"/>
      <c r="DC441" s="522"/>
      <c r="DD441" s="200"/>
      <c r="DE441" s="223"/>
      <c r="DF441" s="223"/>
      <c r="DG441" s="223"/>
      <c r="DH441" s="223"/>
      <c r="DI441" s="223"/>
      <c r="DJ441" s="223"/>
      <c r="DK441" s="200"/>
      <c r="DL441" s="200"/>
      <c r="DM441" s="522"/>
      <c r="DN441" s="200"/>
      <c r="DO441" s="223"/>
      <c r="DP441" s="223"/>
      <c r="DQ441" s="223"/>
      <c r="DR441" s="223"/>
      <c r="DS441" s="223"/>
      <c r="DT441" s="223"/>
      <c r="DU441" s="200"/>
      <c r="DV441" s="200"/>
      <c r="DW441" s="522"/>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2"/>
      <c r="R442" s="200"/>
      <c r="S442" s="223"/>
      <c r="T442" s="223"/>
      <c r="U442" s="223"/>
      <c r="V442" s="223"/>
      <c r="W442" s="223"/>
      <c r="X442" s="223"/>
      <c r="Y442" s="200"/>
      <c r="Z442" s="200"/>
      <c r="AA442" s="522"/>
      <c r="AB442" s="200"/>
      <c r="AC442" s="223"/>
      <c r="AD442" s="223"/>
      <c r="AE442" s="223"/>
      <c r="AF442" s="223"/>
      <c r="AG442" s="223"/>
      <c r="AH442" s="223"/>
      <c r="AI442" s="200"/>
      <c r="AJ442" s="200"/>
      <c r="AK442" s="522"/>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2"/>
      <c r="BF442" s="200"/>
      <c r="BG442" s="223"/>
      <c r="BH442" s="223"/>
      <c r="BI442" s="223"/>
      <c r="BJ442" s="223"/>
      <c r="BK442" s="223"/>
      <c r="BL442" s="223"/>
      <c r="BM442" s="200"/>
      <c r="BN442" s="200"/>
      <c r="BO442" s="522"/>
      <c r="BP442" s="200"/>
      <c r="BQ442" s="223"/>
      <c r="BR442" s="223"/>
      <c r="BS442" s="223"/>
      <c r="BT442" s="223"/>
      <c r="BU442" s="223"/>
      <c r="BV442" s="223"/>
      <c r="BW442" s="223"/>
      <c r="BX442" s="200"/>
      <c r="BY442" s="522"/>
      <c r="BZ442" s="200"/>
      <c r="CA442" s="223"/>
      <c r="CB442" s="223"/>
      <c r="CC442" s="223"/>
      <c r="CD442" s="223"/>
      <c r="CE442" s="223"/>
      <c r="CF442" s="223"/>
      <c r="CG442" s="200"/>
      <c r="CH442" s="200"/>
      <c r="CI442" s="522"/>
      <c r="CJ442" s="200"/>
      <c r="CK442" s="223"/>
      <c r="CL442" s="223"/>
      <c r="CM442" s="223"/>
      <c r="CN442" s="223"/>
      <c r="CO442" s="223"/>
      <c r="CP442" s="223"/>
      <c r="CQ442" s="200"/>
      <c r="CR442" s="200"/>
      <c r="CS442" s="522"/>
      <c r="CT442" s="200"/>
      <c r="CU442" s="223"/>
      <c r="CV442" s="223"/>
      <c r="CW442" s="223"/>
      <c r="CX442" s="223"/>
      <c r="CY442" s="223"/>
      <c r="CZ442" s="223"/>
      <c r="DA442" s="223"/>
      <c r="DB442" s="200"/>
      <c r="DC442" s="522"/>
      <c r="DD442" s="200"/>
      <c r="DE442" s="223"/>
      <c r="DF442" s="223"/>
      <c r="DG442" s="223"/>
      <c r="DH442" s="223"/>
      <c r="DI442" s="223"/>
      <c r="DJ442" s="223"/>
      <c r="DK442" s="200"/>
      <c r="DL442" s="200"/>
      <c r="DM442" s="522"/>
      <c r="DN442" s="200"/>
      <c r="DO442" s="223"/>
      <c r="DP442" s="223"/>
      <c r="DQ442" s="223"/>
      <c r="DR442" s="223"/>
      <c r="DS442" s="223"/>
      <c r="DT442" s="223"/>
      <c r="DU442" s="200"/>
      <c r="DV442" s="200"/>
      <c r="DW442" s="522"/>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2"/>
      <c r="R443" s="200"/>
      <c r="S443" s="223"/>
      <c r="T443" s="223"/>
      <c r="U443" s="223"/>
      <c r="V443" s="223"/>
      <c r="W443" s="223"/>
      <c r="X443" s="223"/>
      <c r="Y443" s="200"/>
      <c r="Z443" s="200"/>
      <c r="AA443" s="522"/>
      <c r="AB443" s="200"/>
      <c r="AC443" s="223"/>
      <c r="AD443" s="223"/>
      <c r="AE443" s="223"/>
      <c r="AF443" s="223"/>
      <c r="AG443" s="223"/>
      <c r="AH443" s="223"/>
      <c r="AI443" s="200"/>
      <c r="AJ443" s="200"/>
      <c r="AK443" s="522"/>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2"/>
      <c r="BF443" s="200"/>
      <c r="BG443" s="223"/>
      <c r="BH443" s="223"/>
      <c r="BI443" s="223"/>
      <c r="BJ443" s="223"/>
      <c r="BK443" s="223"/>
      <c r="BL443" s="223"/>
      <c r="BM443" s="200"/>
      <c r="BN443" s="200"/>
      <c r="BO443" s="522"/>
      <c r="BP443" s="200"/>
      <c r="BQ443" s="223"/>
      <c r="BR443" s="223"/>
      <c r="BS443" s="223"/>
      <c r="BT443" s="223"/>
      <c r="BU443" s="223"/>
      <c r="BV443" s="223"/>
      <c r="BW443" s="223"/>
      <c r="BX443" s="200"/>
      <c r="BY443" s="522"/>
      <c r="BZ443" s="200"/>
      <c r="CA443" s="223"/>
      <c r="CB443" s="223"/>
      <c r="CC443" s="223"/>
      <c r="CD443" s="223"/>
      <c r="CE443" s="223"/>
      <c r="CF443" s="223"/>
      <c r="CG443" s="200"/>
      <c r="CH443" s="200"/>
      <c r="CI443" s="522"/>
      <c r="CJ443" s="200"/>
      <c r="CK443" s="223"/>
      <c r="CL443" s="223"/>
      <c r="CM443" s="223"/>
      <c r="CN443" s="223"/>
      <c r="CO443" s="223"/>
      <c r="CP443" s="223"/>
      <c r="CQ443" s="200"/>
      <c r="CR443" s="200"/>
      <c r="CS443" s="522"/>
      <c r="CT443" s="200"/>
      <c r="CU443" s="223"/>
      <c r="CV443" s="223"/>
      <c r="CW443" s="223"/>
      <c r="CX443" s="223"/>
      <c r="CY443" s="223"/>
      <c r="CZ443" s="223"/>
      <c r="DA443" s="223"/>
      <c r="DB443" s="200"/>
      <c r="DC443" s="522"/>
      <c r="DD443" s="200"/>
      <c r="DE443" s="223"/>
      <c r="DF443" s="223"/>
      <c r="DG443" s="223"/>
      <c r="DH443" s="223"/>
      <c r="DI443" s="223"/>
      <c r="DJ443" s="223"/>
      <c r="DK443" s="200"/>
      <c r="DL443" s="200"/>
      <c r="DM443" s="522"/>
      <c r="DN443" s="200"/>
      <c r="DO443" s="223"/>
      <c r="DP443" s="223"/>
      <c r="DQ443" s="223"/>
      <c r="DR443" s="223"/>
      <c r="DS443" s="223"/>
      <c r="DT443" s="223"/>
      <c r="DU443" s="200"/>
      <c r="DV443" s="200"/>
      <c r="DW443" s="522"/>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2"/>
      <c r="R444" s="200"/>
      <c r="S444" s="223"/>
      <c r="T444" s="223"/>
      <c r="U444" s="223"/>
      <c r="V444" s="223"/>
      <c r="W444" s="223"/>
      <c r="X444" s="223"/>
      <c r="Y444" s="200"/>
      <c r="Z444" s="200"/>
      <c r="AA444" s="522"/>
      <c r="AB444" s="200"/>
      <c r="AC444" s="223"/>
      <c r="AD444" s="223"/>
      <c r="AE444" s="223"/>
      <c r="AF444" s="223"/>
      <c r="AG444" s="223"/>
      <c r="AH444" s="223"/>
      <c r="AI444" s="200"/>
      <c r="AJ444" s="200"/>
      <c r="AK444" s="522"/>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2"/>
      <c r="BF444" s="200"/>
      <c r="BG444" s="223"/>
      <c r="BH444" s="223"/>
      <c r="BI444" s="223"/>
      <c r="BJ444" s="223"/>
      <c r="BK444" s="223"/>
      <c r="BL444" s="223"/>
      <c r="BM444" s="200"/>
      <c r="BN444" s="200"/>
      <c r="BO444" s="522"/>
      <c r="BP444" s="200"/>
      <c r="BQ444" s="223"/>
      <c r="BR444" s="223"/>
      <c r="BS444" s="223"/>
      <c r="BT444" s="223"/>
      <c r="BU444" s="223"/>
      <c r="BV444" s="223"/>
      <c r="BW444" s="223"/>
      <c r="BX444" s="200"/>
      <c r="BY444" s="522"/>
      <c r="BZ444" s="200"/>
      <c r="CA444" s="223"/>
      <c r="CB444" s="223"/>
      <c r="CC444" s="223"/>
      <c r="CD444" s="223"/>
      <c r="CE444" s="223"/>
      <c r="CF444" s="223"/>
      <c r="CG444" s="200"/>
      <c r="CH444" s="200"/>
      <c r="CI444" s="522"/>
      <c r="CJ444" s="200"/>
      <c r="CK444" s="223"/>
      <c r="CL444" s="223"/>
      <c r="CM444" s="223"/>
      <c r="CN444" s="223"/>
      <c r="CO444" s="223"/>
      <c r="CP444" s="223"/>
      <c r="CQ444" s="200"/>
      <c r="CR444" s="200"/>
      <c r="CS444" s="522"/>
      <c r="CT444" s="200"/>
      <c r="CU444" s="223"/>
      <c r="CV444" s="223"/>
      <c r="CW444" s="223"/>
      <c r="CX444" s="223"/>
      <c r="CY444" s="223"/>
      <c r="CZ444" s="223"/>
      <c r="DA444" s="223"/>
      <c r="DB444" s="200"/>
      <c r="DC444" s="522"/>
      <c r="DD444" s="200"/>
      <c r="DE444" s="223"/>
      <c r="DF444" s="223"/>
      <c r="DG444" s="223"/>
      <c r="DH444" s="223"/>
      <c r="DI444" s="223"/>
      <c r="DJ444" s="223"/>
      <c r="DK444" s="200"/>
      <c r="DL444" s="200"/>
      <c r="DM444" s="522"/>
      <c r="DN444" s="200"/>
      <c r="DO444" s="223"/>
      <c r="DP444" s="223"/>
      <c r="DQ444" s="223"/>
      <c r="DR444" s="223"/>
      <c r="DS444" s="223"/>
      <c r="DT444" s="223"/>
      <c r="DU444" s="200"/>
      <c r="DV444" s="200"/>
      <c r="DW444" s="522"/>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2"/>
      <c r="R445" s="200"/>
      <c r="S445" s="223"/>
      <c r="T445" s="223"/>
      <c r="U445" s="223"/>
      <c r="V445" s="223"/>
      <c r="W445" s="223"/>
      <c r="X445" s="223"/>
      <c r="Y445" s="200"/>
      <c r="Z445" s="200"/>
      <c r="AA445" s="522"/>
      <c r="AB445" s="200"/>
      <c r="AC445" s="223"/>
      <c r="AD445" s="223"/>
      <c r="AE445" s="223"/>
      <c r="AF445" s="223"/>
      <c r="AG445" s="223"/>
      <c r="AH445" s="223"/>
      <c r="AI445" s="200"/>
      <c r="AJ445" s="200"/>
      <c r="AK445" s="522"/>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2"/>
      <c r="BF445" s="200"/>
      <c r="BG445" s="223"/>
      <c r="BH445" s="223"/>
      <c r="BI445" s="223"/>
      <c r="BJ445" s="223"/>
      <c r="BK445" s="223"/>
      <c r="BL445" s="223"/>
      <c r="BM445" s="200"/>
      <c r="BN445" s="200"/>
      <c r="BO445" s="522"/>
      <c r="BP445" s="200"/>
      <c r="BQ445" s="223"/>
      <c r="BR445" s="223"/>
      <c r="BS445" s="223"/>
      <c r="BT445" s="223"/>
      <c r="BU445" s="223"/>
      <c r="BV445" s="223"/>
      <c r="BW445" s="223"/>
      <c r="BX445" s="200"/>
      <c r="BY445" s="522"/>
      <c r="BZ445" s="200"/>
      <c r="CA445" s="223"/>
      <c r="CB445" s="223"/>
      <c r="CC445" s="223"/>
      <c r="CD445" s="223"/>
      <c r="CE445" s="223"/>
      <c r="CF445" s="223"/>
      <c r="CG445" s="200"/>
      <c r="CH445" s="200"/>
      <c r="CI445" s="522"/>
      <c r="CJ445" s="200"/>
      <c r="CK445" s="223"/>
      <c r="CL445" s="223"/>
      <c r="CM445" s="223"/>
      <c r="CN445" s="223"/>
      <c r="CO445" s="223"/>
      <c r="CP445" s="223"/>
      <c r="CQ445" s="200"/>
      <c r="CR445" s="200"/>
      <c r="CS445" s="522"/>
      <c r="CT445" s="200"/>
      <c r="CU445" s="223"/>
      <c r="CV445" s="223"/>
      <c r="CW445" s="223"/>
      <c r="CX445" s="223"/>
      <c r="CY445" s="223"/>
      <c r="CZ445" s="223"/>
      <c r="DA445" s="223"/>
      <c r="DB445" s="200"/>
      <c r="DC445" s="522"/>
      <c r="DD445" s="200"/>
      <c r="DE445" s="223"/>
      <c r="DF445" s="223"/>
      <c r="DG445" s="223"/>
      <c r="DH445" s="223"/>
      <c r="DI445" s="223"/>
      <c r="DJ445" s="223"/>
      <c r="DK445" s="200"/>
      <c r="DL445" s="200"/>
      <c r="DM445" s="522"/>
      <c r="DN445" s="200"/>
      <c r="DO445" s="223"/>
      <c r="DP445" s="223"/>
      <c r="DQ445" s="223"/>
      <c r="DR445" s="223"/>
      <c r="DS445" s="223"/>
      <c r="DT445" s="223"/>
      <c r="DU445" s="200"/>
      <c r="DV445" s="200"/>
      <c r="DW445" s="522"/>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2"/>
      <c r="R446" s="200"/>
      <c r="S446" s="223"/>
      <c r="T446" s="223"/>
      <c r="U446" s="223"/>
      <c r="V446" s="223"/>
      <c r="W446" s="223"/>
      <c r="X446" s="223"/>
      <c r="Y446" s="200"/>
      <c r="Z446" s="200"/>
      <c r="AA446" s="522"/>
      <c r="AB446" s="200"/>
      <c r="AC446" s="223"/>
      <c r="AD446" s="223"/>
      <c r="AE446" s="223"/>
      <c r="AF446" s="223"/>
      <c r="AG446" s="223"/>
      <c r="AH446" s="223"/>
      <c r="AI446" s="200"/>
      <c r="AJ446" s="200"/>
      <c r="AK446" s="522"/>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2"/>
      <c r="BF446" s="200"/>
      <c r="BG446" s="223"/>
      <c r="BH446" s="223"/>
      <c r="BI446" s="223"/>
      <c r="BJ446" s="223"/>
      <c r="BK446" s="223"/>
      <c r="BL446" s="223"/>
      <c r="BM446" s="200"/>
      <c r="BN446" s="200"/>
      <c r="BO446" s="522"/>
      <c r="BP446" s="200"/>
      <c r="BQ446" s="223"/>
      <c r="BR446" s="223"/>
      <c r="BS446" s="223"/>
      <c r="BT446" s="223"/>
      <c r="BU446" s="223"/>
      <c r="BV446" s="223"/>
      <c r="BW446" s="223"/>
      <c r="BX446" s="200"/>
      <c r="BY446" s="522"/>
      <c r="BZ446" s="200"/>
      <c r="CA446" s="223"/>
      <c r="CB446" s="223"/>
      <c r="CC446" s="223"/>
      <c r="CD446" s="223"/>
      <c r="CE446" s="223"/>
      <c r="CF446" s="223"/>
      <c r="CG446" s="200"/>
      <c r="CH446" s="200"/>
      <c r="CI446" s="522"/>
      <c r="CJ446" s="200"/>
      <c r="CK446" s="223"/>
      <c r="CL446" s="223"/>
      <c r="CM446" s="223"/>
      <c r="CN446" s="223"/>
      <c r="CO446" s="223"/>
      <c r="CP446" s="223"/>
      <c r="CQ446" s="200"/>
      <c r="CR446" s="200"/>
      <c r="CS446" s="522"/>
      <c r="CT446" s="200"/>
      <c r="CU446" s="223"/>
      <c r="CV446" s="223"/>
      <c r="CW446" s="223"/>
      <c r="CX446" s="223"/>
      <c r="CY446" s="223"/>
      <c r="CZ446" s="223"/>
      <c r="DA446" s="223"/>
      <c r="DB446" s="200"/>
      <c r="DC446" s="522"/>
      <c r="DD446" s="200"/>
      <c r="DE446" s="223"/>
      <c r="DF446" s="223"/>
      <c r="DG446" s="223"/>
      <c r="DH446" s="223"/>
      <c r="DI446" s="223"/>
      <c r="DJ446" s="223"/>
      <c r="DK446" s="200"/>
      <c r="DL446" s="200"/>
      <c r="DM446" s="522"/>
      <c r="DN446" s="200"/>
      <c r="DO446" s="223"/>
      <c r="DP446" s="223"/>
      <c r="DQ446" s="223"/>
      <c r="DR446" s="223"/>
      <c r="DS446" s="223"/>
      <c r="DT446" s="223"/>
      <c r="DU446" s="200"/>
      <c r="DV446" s="200"/>
      <c r="DW446" s="522"/>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2"/>
      <c r="R447" s="200"/>
      <c r="S447" s="223"/>
      <c r="T447" s="223"/>
      <c r="U447" s="223"/>
      <c r="V447" s="223"/>
      <c r="W447" s="223"/>
      <c r="X447" s="223"/>
      <c r="Y447" s="200"/>
      <c r="Z447" s="200"/>
      <c r="AA447" s="522"/>
      <c r="AB447" s="200"/>
      <c r="AC447" s="223"/>
      <c r="AD447" s="223"/>
      <c r="AE447" s="223"/>
      <c r="AF447" s="223"/>
      <c r="AG447" s="223"/>
      <c r="AH447" s="223"/>
      <c r="AI447" s="200"/>
      <c r="AJ447" s="200"/>
      <c r="AK447" s="522"/>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2"/>
      <c r="BF447" s="200"/>
      <c r="BG447" s="223"/>
      <c r="BH447" s="223"/>
      <c r="BI447" s="223"/>
      <c r="BJ447" s="223"/>
      <c r="BK447" s="223"/>
      <c r="BL447" s="223"/>
      <c r="BM447" s="200"/>
      <c r="BN447" s="200"/>
      <c r="BO447" s="522"/>
      <c r="BP447" s="200"/>
      <c r="BQ447" s="223"/>
      <c r="BR447" s="223"/>
      <c r="BS447" s="223"/>
      <c r="BT447" s="223"/>
      <c r="BU447" s="223"/>
      <c r="BV447" s="223"/>
      <c r="BW447" s="223"/>
      <c r="BX447" s="200"/>
      <c r="BY447" s="522"/>
      <c r="BZ447" s="200"/>
      <c r="CA447" s="223"/>
      <c r="CB447" s="223"/>
      <c r="CC447" s="223"/>
      <c r="CD447" s="223"/>
      <c r="CE447" s="223"/>
      <c r="CF447" s="223"/>
      <c r="CG447" s="200"/>
      <c r="CH447" s="200"/>
      <c r="CI447" s="522"/>
      <c r="CJ447" s="200"/>
      <c r="CK447" s="223"/>
      <c r="CL447" s="223"/>
      <c r="CM447" s="223"/>
      <c r="CN447" s="223"/>
      <c r="CO447" s="223"/>
      <c r="CP447" s="223"/>
      <c r="CQ447" s="200"/>
      <c r="CR447" s="200"/>
      <c r="CS447" s="522"/>
      <c r="CT447" s="200"/>
      <c r="CU447" s="223"/>
      <c r="CV447" s="223"/>
      <c r="CW447" s="223"/>
      <c r="CX447" s="223"/>
      <c r="CY447" s="223"/>
      <c r="CZ447" s="223"/>
      <c r="DA447" s="223"/>
      <c r="DB447" s="200"/>
      <c r="DC447" s="522"/>
      <c r="DD447" s="200"/>
      <c r="DE447" s="223"/>
      <c r="DF447" s="223"/>
      <c r="DG447" s="223"/>
      <c r="DH447" s="223"/>
      <c r="DI447" s="223"/>
      <c r="DJ447" s="223"/>
      <c r="DK447" s="200"/>
      <c r="DL447" s="200"/>
      <c r="DM447" s="522"/>
      <c r="DN447" s="200"/>
      <c r="DO447" s="223"/>
      <c r="DP447" s="223"/>
      <c r="DQ447" s="223"/>
      <c r="DR447" s="223"/>
      <c r="DS447" s="223"/>
      <c r="DT447" s="223"/>
      <c r="DU447" s="200"/>
      <c r="DV447" s="200"/>
      <c r="DW447" s="522"/>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2"/>
      <c r="R448" s="200"/>
      <c r="S448" s="223"/>
      <c r="T448" s="223"/>
      <c r="U448" s="223"/>
      <c r="V448" s="223"/>
      <c r="W448" s="223"/>
      <c r="X448" s="223"/>
      <c r="Y448" s="200"/>
      <c r="Z448" s="200"/>
      <c r="AA448" s="522"/>
      <c r="AB448" s="200"/>
      <c r="AC448" s="223"/>
      <c r="AD448" s="223"/>
      <c r="AE448" s="223"/>
      <c r="AF448" s="223"/>
      <c r="AG448" s="223"/>
      <c r="AH448" s="223"/>
      <c r="AI448" s="200"/>
      <c r="AJ448" s="200"/>
      <c r="AK448" s="522"/>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2"/>
      <c r="BF448" s="200"/>
      <c r="BG448" s="223"/>
      <c r="BH448" s="223"/>
      <c r="BI448" s="223"/>
      <c r="BJ448" s="223"/>
      <c r="BK448" s="223"/>
      <c r="BL448" s="223"/>
      <c r="BM448" s="200"/>
      <c r="BN448" s="200"/>
      <c r="BO448" s="522"/>
      <c r="BP448" s="200"/>
      <c r="BQ448" s="223"/>
      <c r="BR448" s="223"/>
      <c r="BS448" s="223"/>
      <c r="BT448" s="223"/>
      <c r="BU448" s="223"/>
      <c r="BV448" s="223"/>
      <c r="BW448" s="223"/>
      <c r="BX448" s="200"/>
      <c r="BY448" s="522"/>
      <c r="BZ448" s="200"/>
      <c r="CA448" s="223"/>
      <c r="CB448" s="223"/>
      <c r="CC448" s="223"/>
      <c r="CD448" s="223"/>
      <c r="CE448" s="223"/>
      <c r="CF448" s="223"/>
      <c r="CG448" s="200"/>
      <c r="CH448" s="200"/>
      <c r="CI448" s="522"/>
      <c r="CJ448" s="200"/>
      <c r="CK448" s="223"/>
      <c r="CL448" s="223"/>
      <c r="CM448" s="223"/>
      <c r="CN448" s="223"/>
      <c r="CO448" s="223"/>
      <c r="CP448" s="223"/>
      <c r="CQ448" s="200"/>
      <c r="CR448" s="200"/>
      <c r="CS448" s="522"/>
      <c r="CT448" s="200"/>
      <c r="CU448" s="223"/>
      <c r="CV448" s="223"/>
      <c r="CW448" s="223"/>
      <c r="CX448" s="223"/>
      <c r="CY448" s="223"/>
      <c r="CZ448" s="223"/>
      <c r="DA448" s="223"/>
      <c r="DB448" s="200"/>
      <c r="DC448" s="522"/>
      <c r="DD448" s="200"/>
      <c r="DE448" s="223"/>
      <c r="DF448" s="223"/>
      <c r="DG448" s="223"/>
      <c r="DH448" s="223"/>
      <c r="DI448" s="223"/>
      <c r="DJ448" s="223"/>
      <c r="DK448" s="200"/>
      <c r="DL448" s="200"/>
      <c r="DM448" s="522"/>
      <c r="DN448" s="200"/>
      <c r="DO448" s="223"/>
      <c r="DP448" s="223"/>
      <c r="DQ448" s="223"/>
      <c r="DR448" s="223"/>
      <c r="DS448" s="223"/>
      <c r="DT448" s="223"/>
      <c r="DU448" s="200"/>
      <c r="DV448" s="200"/>
      <c r="DW448" s="522"/>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2"/>
      <c r="R449" s="200"/>
      <c r="S449" s="223"/>
      <c r="T449" s="223"/>
      <c r="U449" s="223"/>
      <c r="V449" s="223"/>
      <c r="W449" s="223"/>
      <c r="X449" s="223"/>
      <c r="Y449" s="200"/>
      <c r="Z449" s="200"/>
      <c r="AA449" s="522"/>
      <c r="AB449" s="200"/>
      <c r="AC449" s="223"/>
      <c r="AD449" s="223"/>
      <c r="AE449" s="223"/>
      <c r="AF449" s="223"/>
      <c r="AG449" s="223"/>
      <c r="AH449" s="223"/>
      <c r="AI449" s="200"/>
      <c r="AJ449" s="200"/>
      <c r="AK449" s="522"/>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2"/>
      <c r="BF449" s="200"/>
      <c r="BG449" s="223"/>
      <c r="BH449" s="223"/>
      <c r="BI449" s="223"/>
      <c r="BJ449" s="223"/>
      <c r="BK449" s="223"/>
      <c r="BL449" s="223"/>
      <c r="BM449" s="200"/>
      <c r="BN449" s="200"/>
      <c r="BO449" s="522"/>
      <c r="BP449" s="200"/>
      <c r="BQ449" s="223"/>
      <c r="BR449" s="223"/>
      <c r="BS449" s="223"/>
      <c r="BT449" s="223"/>
      <c r="BU449" s="223"/>
      <c r="BV449" s="223"/>
      <c r="BW449" s="223"/>
      <c r="BX449" s="200"/>
      <c r="BY449" s="522"/>
      <c r="BZ449" s="200"/>
      <c r="CA449" s="223"/>
      <c r="CB449" s="223"/>
      <c r="CC449" s="223"/>
      <c r="CD449" s="223"/>
      <c r="CE449" s="223"/>
      <c r="CF449" s="223"/>
      <c r="CG449" s="200"/>
      <c r="CH449" s="200"/>
      <c r="CI449" s="522"/>
      <c r="CJ449" s="200"/>
      <c r="CK449" s="223"/>
      <c r="CL449" s="223"/>
      <c r="CM449" s="223"/>
      <c r="CN449" s="223"/>
      <c r="CO449" s="223"/>
      <c r="CP449" s="223"/>
      <c r="CQ449" s="200"/>
      <c r="CR449" s="200"/>
      <c r="CS449" s="522"/>
      <c r="CT449" s="200"/>
      <c r="CU449" s="223"/>
      <c r="CV449" s="223"/>
      <c r="CW449" s="223"/>
      <c r="CX449" s="223"/>
      <c r="CY449" s="223"/>
      <c r="CZ449" s="223"/>
      <c r="DA449" s="223"/>
      <c r="DB449" s="200"/>
      <c r="DC449" s="522"/>
      <c r="DD449" s="200"/>
      <c r="DE449" s="223"/>
      <c r="DF449" s="223"/>
      <c r="DG449" s="223"/>
      <c r="DH449" s="223"/>
      <c r="DI449" s="223"/>
      <c r="DJ449" s="223"/>
      <c r="DK449" s="200"/>
      <c r="DL449" s="200"/>
      <c r="DM449" s="522"/>
      <c r="DN449" s="200"/>
      <c r="DO449" s="223"/>
      <c r="DP449" s="223"/>
      <c r="DQ449" s="223"/>
      <c r="DR449" s="223"/>
      <c r="DS449" s="223"/>
      <c r="DT449" s="223"/>
      <c r="DU449" s="200"/>
      <c r="DV449" s="200"/>
      <c r="DW449" s="522"/>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2"/>
      <c r="R450" s="200"/>
      <c r="S450" s="223"/>
      <c r="T450" s="223"/>
      <c r="U450" s="223"/>
      <c r="V450" s="223"/>
      <c r="W450" s="223"/>
      <c r="X450" s="223"/>
      <c r="Y450" s="200"/>
      <c r="Z450" s="200"/>
      <c r="AA450" s="522"/>
      <c r="AB450" s="200"/>
      <c r="AC450" s="223"/>
      <c r="AD450" s="223"/>
      <c r="AE450" s="223"/>
      <c r="AF450" s="223"/>
      <c r="AG450" s="223"/>
      <c r="AH450" s="223"/>
      <c r="AI450" s="200"/>
      <c r="AJ450" s="200"/>
      <c r="AK450" s="522"/>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2"/>
      <c r="BF450" s="200"/>
      <c r="BG450" s="223"/>
      <c r="BH450" s="223"/>
      <c r="BI450" s="223"/>
      <c r="BJ450" s="223"/>
      <c r="BK450" s="223"/>
      <c r="BL450" s="223"/>
      <c r="BM450" s="200"/>
      <c r="BN450" s="200"/>
      <c r="BO450" s="522"/>
      <c r="BP450" s="200"/>
      <c r="BQ450" s="223"/>
      <c r="BR450" s="223"/>
      <c r="BS450" s="223"/>
      <c r="BT450" s="223"/>
      <c r="BU450" s="223"/>
      <c r="BV450" s="223"/>
      <c r="BW450" s="223"/>
      <c r="BX450" s="200"/>
      <c r="BY450" s="522"/>
      <c r="BZ450" s="200"/>
      <c r="CA450" s="223"/>
      <c r="CB450" s="223"/>
      <c r="CC450" s="223"/>
      <c r="CD450" s="223"/>
      <c r="CE450" s="223"/>
      <c r="CF450" s="223"/>
      <c r="CG450" s="200"/>
      <c r="CH450" s="200"/>
      <c r="CI450" s="522"/>
      <c r="CJ450" s="200"/>
      <c r="CK450" s="223"/>
      <c r="CL450" s="223"/>
      <c r="CM450" s="223"/>
      <c r="CN450" s="223"/>
      <c r="CO450" s="223"/>
      <c r="CP450" s="223"/>
      <c r="CQ450" s="200"/>
      <c r="CR450" s="200"/>
      <c r="CS450" s="522"/>
      <c r="CT450" s="200"/>
      <c r="CU450" s="223"/>
      <c r="CV450" s="223"/>
      <c r="CW450" s="223"/>
      <c r="CX450" s="223"/>
      <c r="CY450" s="223"/>
      <c r="CZ450" s="223"/>
      <c r="DA450" s="223"/>
      <c r="DB450" s="200"/>
      <c r="DC450" s="522"/>
      <c r="DD450" s="200"/>
      <c r="DE450" s="223"/>
      <c r="DF450" s="223"/>
      <c r="DG450" s="223"/>
      <c r="DH450" s="223"/>
      <c r="DI450" s="223"/>
      <c r="DJ450" s="223"/>
      <c r="DK450" s="200"/>
      <c r="DL450" s="200"/>
      <c r="DM450" s="522"/>
      <c r="DN450" s="200"/>
      <c r="DO450" s="223"/>
      <c r="DP450" s="223"/>
      <c r="DQ450" s="223"/>
      <c r="DR450" s="223"/>
      <c r="DS450" s="223"/>
      <c r="DT450" s="223"/>
      <c r="DU450" s="200"/>
      <c r="DV450" s="200"/>
      <c r="DW450" s="522"/>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2"/>
      <c r="R451" s="200"/>
      <c r="S451" s="223"/>
      <c r="T451" s="223"/>
      <c r="U451" s="223"/>
      <c r="V451" s="223"/>
      <c r="W451" s="223"/>
      <c r="X451" s="223"/>
      <c r="Y451" s="200"/>
      <c r="Z451" s="200"/>
      <c r="AA451" s="522"/>
      <c r="AB451" s="200"/>
      <c r="AC451" s="223"/>
      <c r="AD451" s="223"/>
      <c r="AE451" s="223"/>
      <c r="AF451" s="223"/>
      <c r="AG451" s="223"/>
      <c r="AH451" s="223"/>
      <c r="AI451" s="200"/>
      <c r="AJ451" s="200"/>
      <c r="AK451" s="522"/>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2"/>
      <c r="BF451" s="200"/>
      <c r="BG451" s="223"/>
      <c r="BH451" s="223"/>
      <c r="BI451" s="223"/>
      <c r="BJ451" s="223"/>
      <c r="BK451" s="223"/>
      <c r="BL451" s="223"/>
      <c r="BM451" s="200"/>
      <c r="BN451" s="200"/>
      <c r="BO451" s="522"/>
      <c r="BP451" s="200"/>
      <c r="BQ451" s="223"/>
      <c r="BR451" s="223"/>
      <c r="BS451" s="223"/>
      <c r="BT451" s="223"/>
      <c r="BU451" s="223"/>
      <c r="BV451" s="223"/>
      <c r="BW451" s="223"/>
      <c r="BX451" s="200"/>
      <c r="BY451" s="522"/>
      <c r="BZ451" s="200"/>
      <c r="CA451" s="223"/>
      <c r="CB451" s="223"/>
      <c r="CC451" s="223"/>
      <c r="CD451" s="223"/>
      <c r="CE451" s="223"/>
      <c r="CF451" s="223"/>
      <c r="CG451" s="200"/>
      <c r="CH451" s="200"/>
      <c r="CI451" s="522"/>
      <c r="CJ451" s="200"/>
      <c r="CK451" s="223"/>
      <c r="CL451" s="223"/>
      <c r="CM451" s="223"/>
      <c r="CN451" s="223"/>
      <c r="CO451" s="223"/>
      <c r="CP451" s="223"/>
      <c r="CQ451" s="200"/>
      <c r="CR451" s="200"/>
      <c r="CS451" s="522"/>
      <c r="CT451" s="200"/>
      <c r="CU451" s="223"/>
      <c r="CV451" s="223"/>
      <c r="CW451" s="223"/>
      <c r="CX451" s="223"/>
      <c r="CY451" s="223"/>
      <c r="CZ451" s="223"/>
      <c r="DA451" s="223"/>
      <c r="DB451" s="200"/>
      <c r="DC451" s="522"/>
      <c r="DD451" s="200"/>
      <c r="DE451" s="223"/>
      <c r="DF451" s="223"/>
      <c r="DG451" s="223"/>
      <c r="DH451" s="223"/>
      <c r="DI451" s="223"/>
      <c r="DJ451" s="223"/>
      <c r="DK451" s="200"/>
      <c r="DL451" s="200"/>
      <c r="DM451" s="522"/>
      <c r="DN451" s="200"/>
      <c r="DO451" s="223"/>
      <c r="DP451" s="223"/>
      <c r="DQ451" s="223"/>
      <c r="DR451" s="223"/>
      <c r="DS451" s="223"/>
      <c r="DT451" s="223"/>
      <c r="DU451" s="200"/>
      <c r="DV451" s="200"/>
      <c r="DW451" s="522"/>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2"/>
      <c r="R452" s="200"/>
      <c r="S452" s="223"/>
      <c r="T452" s="223"/>
      <c r="U452" s="223"/>
      <c r="V452" s="223"/>
      <c r="W452" s="223"/>
      <c r="X452" s="223"/>
      <c r="Y452" s="200"/>
      <c r="Z452" s="200"/>
      <c r="AA452" s="522"/>
      <c r="AB452" s="200"/>
      <c r="AC452" s="223"/>
      <c r="AD452" s="223"/>
      <c r="AE452" s="223"/>
      <c r="AF452" s="223"/>
      <c r="AG452" s="223"/>
      <c r="AH452" s="223"/>
      <c r="AI452" s="200"/>
      <c r="AJ452" s="200"/>
      <c r="AK452" s="522"/>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2"/>
      <c r="BF452" s="200"/>
      <c r="BG452" s="223"/>
      <c r="BH452" s="223"/>
      <c r="BI452" s="223"/>
      <c r="BJ452" s="223"/>
      <c r="BK452" s="223"/>
      <c r="BL452" s="223"/>
      <c r="BM452" s="200"/>
      <c r="BN452" s="200"/>
      <c r="BO452" s="522"/>
      <c r="BP452" s="200"/>
      <c r="BQ452" s="223"/>
      <c r="BR452" s="223"/>
      <c r="BS452" s="223"/>
      <c r="BT452" s="223"/>
      <c r="BU452" s="223"/>
      <c r="BV452" s="223"/>
      <c r="BW452" s="223"/>
      <c r="BX452" s="200"/>
      <c r="BY452" s="522"/>
      <c r="BZ452" s="200"/>
      <c r="CA452" s="223"/>
      <c r="CB452" s="223"/>
      <c r="CC452" s="223"/>
      <c r="CD452" s="223"/>
      <c r="CE452" s="223"/>
      <c r="CF452" s="223"/>
      <c r="CG452" s="200"/>
      <c r="CH452" s="200"/>
      <c r="CI452" s="522"/>
      <c r="CJ452" s="200"/>
      <c r="CK452" s="223"/>
      <c r="CL452" s="223"/>
      <c r="CM452" s="223"/>
      <c r="CN452" s="223"/>
      <c r="CO452" s="223"/>
      <c r="CP452" s="223"/>
      <c r="CQ452" s="200"/>
      <c r="CR452" s="200"/>
      <c r="CS452" s="522"/>
      <c r="CT452" s="200"/>
      <c r="CU452" s="223"/>
      <c r="CV452" s="223"/>
      <c r="CW452" s="223"/>
      <c r="CX452" s="223"/>
      <c r="CY452" s="223"/>
      <c r="CZ452" s="223"/>
      <c r="DA452" s="223"/>
      <c r="DB452" s="200"/>
      <c r="DC452" s="522"/>
      <c r="DD452" s="200"/>
      <c r="DE452" s="223"/>
      <c r="DF452" s="223"/>
      <c r="DG452" s="223"/>
      <c r="DH452" s="223"/>
      <c r="DI452" s="223"/>
      <c r="DJ452" s="223"/>
      <c r="DK452" s="200"/>
      <c r="DL452" s="200"/>
      <c r="DM452" s="522"/>
      <c r="DN452" s="200"/>
      <c r="DO452" s="223"/>
      <c r="DP452" s="223"/>
      <c r="DQ452" s="223"/>
      <c r="DR452" s="223"/>
      <c r="DS452" s="223"/>
      <c r="DT452" s="223"/>
      <c r="DU452" s="200"/>
      <c r="DV452" s="200"/>
      <c r="DW452" s="522"/>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2"/>
      <c r="R453" s="200"/>
      <c r="S453" s="223"/>
      <c r="T453" s="223"/>
      <c r="U453" s="223"/>
      <c r="V453" s="223"/>
      <c r="W453" s="223"/>
      <c r="X453" s="223"/>
      <c r="Y453" s="200"/>
      <c r="Z453" s="200"/>
      <c r="AA453" s="522"/>
      <c r="AB453" s="200"/>
      <c r="AC453" s="223"/>
      <c r="AD453" s="223"/>
      <c r="AE453" s="223"/>
      <c r="AF453" s="223"/>
      <c r="AG453" s="223"/>
      <c r="AH453" s="223"/>
      <c r="AI453" s="200"/>
      <c r="AJ453" s="200"/>
      <c r="AK453" s="522"/>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2"/>
      <c r="BF453" s="200"/>
      <c r="BG453" s="223"/>
      <c r="BH453" s="223"/>
      <c r="BI453" s="223"/>
      <c r="BJ453" s="223"/>
      <c r="BK453" s="223"/>
      <c r="BL453" s="223"/>
      <c r="BM453" s="200"/>
      <c r="BN453" s="200"/>
      <c r="BO453" s="522"/>
      <c r="BP453" s="200"/>
      <c r="BQ453" s="223"/>
      <c r="BR453" s="223"/>
      <c r="BS453" s="223"/>
      <c r="BT453" s="223"/>
      <c r="BU453" s="223"/>
      <c r="BV453" s="223"/>
      <c r="BW453" s="223"/>
      <c r="BX453" s="200"/>
      <c r="BY453" s="522"/>
      <c r="BZ453" s="200"/>
      <c r="CA453" s="223"/>
      <c r="CB453" s="223"/>
      <c r="CC453" s="223"/>
      <c r="CD453" s="223"/>
      <c r="CE453" s="223"/>
      <c r="CF453" s="223"/>
      <c r="CG453" s="200"/>
      <c r="CH453" s="200"/>
      <c r="CI453" s="522"/>
      <c r="CJ453" s="200"/>
      <c r="CK453" s="223"/>
      <c r="CL453" s="223"/>
      <c r="CM453" s="223"/>
      <c r="CN453" s="223"/>
      <c r="CO453" s="223"/>
      <c r="CP453" s="223"/>
      <c r="CQ453" s="200"/>
      <c r="CR453" s="200"/>
      <c r="CS453" s="522"/>
      <c r="CT453" s="200"/>
      <c r="CU453" s="223"/>
      <c r="CV453" s="223"/>
      <c r="CW453" s="223"/>
      <c r="CX453" s="223"/>
      <c r="CY453" s="223"/>
      <c r="CZ453" s="223"/>
      <c r="DA453" s="223"/>
      <c r="DB453" s="200"/>
      <c r="DC453" s="522"/>
      <c r="DD453" s="200"/>
      <c r="DE453" s="223"/>
      <c r="DF453" s="223"/>
      <c r="DG453" s="223"/>
      <c r="DH453" s="223"/>
      <c r="DI453" s="223"/>
      <c r="DJ453" s="223"/>
      <c r="DK453" s="200"/>
      <c r="DL453" s="200"/>
      <c r="DM453" s="522"/>
      <c r="DN453" s="200"/>
      <c r="DO453" s="223"/>
      <c r="DP453" s="223"/>
      <c r="DQ453" s="223"/>
      <c r="DR453" s="223"/>
      <c r="DS453" s="223"/>
      <c r="DT453" s="223"/>
      <c r="DU453" s="200"/>
      <c r="DV453" s="200"/>
      <c r="DW453" s="522"/>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2"/>
      <c r="R454" s="200"/>
      <c r="S454" s="223"/>
      <c r="T454" s="223"/>
      <c r="U454" s="223"/>
      <c r="V454" s="223"/>
      <c r="W454" s="223"/>
      <c r="X454" s="223"/>
      <c r="Y454" s="200"/>
      <c r="Z454" s="200"/>
      <c r="AA454" s="522"/>
      <c r="AB454" s="200"/>
      <c r="AC454" s="223"/>
      <c r="AD454" s="223"/>
      <c r="AE454" s="223"/>
      <c r="AF454" s="223"/>
      <c r="AG454" s="223"/>
      <c r="AH454" s="223"/>
      <c r="AI454" s="200"/>
      <c r="AJ454" s="200"/>
      <c r="AK454" s="522"/>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2"/>
      <c r="BF454" s="200"/>
      <c r="BG454" s="223"/>
      <c r="BH454" s="223"/>
      <c r="BI454" s="223"/>
      <c r="BJ454" s="223"/>
      <c r="BK454" s="223"/>
      <c r="BL454" s="223"/>
      <c r="BM454" s="200"/>
      <c r="BN454" s="200"/>
      <c r="BO454" s="522"/>
      <c r="BP454" s="200"/>
      <c r="BQ454" s="223"/>
      <c r="BR454" s="223"/>
      <c r="BS454" s="223"/>
      <c r="BT454" s="223"/>
      <c r="BU454" s="223"/>
      <c r="BV454" s="223"/>
      <c r="BW454" s="223"/>
      <c r="BX454" s="200"/>
      <c r="BY454" s="522"/>
      <c r="BZ454" s="200"/>
      <c r="CA454" s="223"/>
      <c r="CB454" s="223"/>
      <c r="CC454" s="223"/>
      <c r="CD454" s="223"/>
      <c r="CE454" s="223"/>
      <c r="CF454" s="223"/>
      <c r="CG454" s="200"/>
      <c r="CH454" s="200"/>
      <c r="CI454" s="522"/>
      <c r="CJ454" s="200"/>
      <c r="CK454" s="223"/>
      <c r="CL454" s="223"/>
      <c r="CM454" s="223"/>
      <c r="CN454" s="223"/>
      <c r="CO454" s="223"/>
      <c r="CP454" s="223"/>
      <c r="CQ454" s="200"/>
      <c r="CR454" s="200"/>
      <c r="CS454" s="522"/>
      <c r="CT454" s="200"/>
      <c r="CU454" s="223"/>
      <c r="CV454" s="223"/>
      <c r="CW454" s="223"/>
      <c r="CX454" s="223"/>
      <c r="CY454" s="223"/>
      <c r="CZ454" s="223"/>
      <c r="DA454" s="223"/>
      <c r="DB454" s="200"/>
      <c r="DC454" s="522"/>
      <c r="DD454" s="200"/>
      <c r="DE454" s="223"/>
      <c r="DF454" s="223"/>
      <c r="DG454" s="223"/>
      <c r="DH454" s="223"/>
      <c r="DI454" s="223"/>
      <c r="DJ454" s="223"/>
      <c r="DK454" s="200"/>
      <c r="DL454" s="200"/>
      <c r="DM454" s="522"/>
      <c r="DN454" s="200"/>
      <c r="DO454" s="223"/>
      <c r="DP454" s="223"/>
      <c r="DQ454" s="223"/>
      <c r="DR454" s="223"/>
      <c r="DS454" s="223"/>
      <c r="DT454" s="223"/>
      <c r="DU454" s="200"/>
      <c r="DV454" s="200"/>
      <c r="DW454" s="522"/>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2"/>
      <c r="R455" s="200"/>
      <c r="S455" s="223"/>
      <c r="T455" s="223"/>
      <c r="U455" s="223"/>
      <c r="V455" s="223"/>
      <c r="W455" s="223"/>
      <c r="X455" s="223"/>
      <c r="Y455" s="200"/>
      <c r="Z455" s="200"/>
      <c r="AA455" s="522"/>
      <c r="AB455" s="200"/>
      <c r="AC455" s="223"/>
      <c r="AD455" s="223"/>
      <c r="AE455" s="223"/>
      <c r="AF455" s="223"/>
      <c r="AG455" s="223"/>
      <c r="AH455" s="223"/>
      <c r="AI455" s="200"/>
      <c r="AJ455" s="200"/>
      <c r="AK455" s="522"/>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2"/>
      <c r="BF455" s="200"/>
      <c r="BG455" s="223"/>
      <c r="BH455" s="223"/>
      <c r="BI455" s="223"/>
      <c r="BJ455" s="223"/>
      <c r="BK455" s="223"/>
      <c r="BL455" s="223"/>
      <c r="BM455" s="200"/>
      <c r="BN455" s="200"/>
      <c r="BO455" s="522"/>
      <c r="BP455" s="200"/>
      <c r="BQ455" s="223"/>
      <c r="BR455" s="223"/>
      <c r="BS455" s="223"/>
      <c r="BT455" s="223"/>
      <c r="BU455" s="223"/>
      <c r="BV455" s="223"/>
      <c r="BW455" s="223"/>
      <c r="BX455" s="200"/>
      <c r="BY455" s="522"/>
      <c r="BZ455" s="200"/>
      <c r="CA455" s="223"/>
      <c r="CB455" s="223"/>
      <c r="CC455" s="223"/>
      <c r="CD455" s="223"/>
      <c r="CE455" s="223"/>
      <c r="CF455" s="223"/>
      <c r="CG455" s="200"/>
      <c r="CH455" s="200"/>
      <c r="CI455" s="522"/>
      <c r="CJ455" s="200"/>
      <c r="CK455" s="223"/>
      <c r="CL455" s="223"/>
      <c r="CM455" s="223"/>
      <c r="CN455" s="223"/>
      <c r="CO455" s="223"/>
      <c r="CP455" s="223"/>
      <c r="CQ455" s="200"/>
      <c r="CR455" s="200"/>
      <c r="CS455" s="522"/>
      <c r="CT455" s="200"/>
      <c r="CU455" s="223"/>
      <c r="CV455" s="223"/>
      <c r="CW455" s="223"/>
      <c r="CX455" s="223"/>
      <c r="CY455" s="223"/>
      <c r="CZ455" s="223"/>
      <c r="DA455" s="223"/>
      <c r="DB455" s="200"/>
      <c r="DC455" s="522"/>
      <c r="DD455" s="200"/>
      <c r="DE455" s="223"/>
      <c r="DF455" s="223"/>
      <c r="DG455" s="223"/>
      <c r="DH455" s="223"/>
      <c r="DI455" s="223"/>
      <c r="DJ455" s="223"/>
      <c r="DK455" s="200"/>
      <c r="DL455" s="200"/>
      <c r="DM455" s="522"/>
      <c r="DN455" s="200"/>
      <c r="DO455" s="223"/>
      <c r="DP455" s="223"/>
      <c r="DQ455" s="223"/>
      <c r="DR455" s="223"/>
      <c r="DS455" s="223"/>
      <c r="DT455" s="223"/>
      <c r="DU455" s="200"/>
      <c r="DV455" s="200"/>
      <c r="DW455" s="522"/>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2"/>
      <c r="R456" s="200"/>
      <c r="S456" s="223"/>
      <c r="T456" s="223"/>
      <c r="U456" s="223"/>
      <c r="V456" s="223"/>
      <c r="W456" s="223"/>
      <c r="X456" s="223"/>
      <c r="Y456" s="200"/>
      <c r="Z456" s="200"/>
      <c r="AA456" s="522"/>
      <c r="AB456" s="200"/>
      <c r="AC456" s="223"/>
      <c r="AD456" s="223"/>
      <c r="AE456" s="223"/>
      <c r="AF456" s="223"/>
      <c r="AG456" s="223"/>
      <c r="AH456" s="223"/>
      <c r="AI456" s="200"/>
      <c r="AJ456" s="200"/>
      <c r="AK456" s="522"/>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2"/>
      <c r="BF456" s="200"/>
      <c r="BG456" s="223"/>
      <c r="BH456" s="223"/>
      <c r="BI456" s="223"/>
      <c r="BJ456" s="223"/>
      <c r="BK456" s="223"/>
      <c r="BL456" s="223"/>
      <c r="BM456" s="200"/>
      <c r="BN456" s="200"/>
      <c r="BO456" s="522"/>
      <c r="BP456" s="200"/>
      <c r="BQ456" s="223"/>
      <c r="BR456" s="223"/>
      <c r="BS456" s="223"/>
      <c r="BT456" s="223"/>
      <c r="BU456" s="223"/>
      <c r="BV456" s="223"/>
      <c r="BW456" s="223"/>
      <c r="BX456" s="200"/>
      <c r="BY456" s="522"/>
      <c r="BZ456" s="200"/>
      <c r="CA456" s="223"/>
      <c r="CB456" s="223"/>
      <c r="CC456" s="223"/>
      <c r="CD456" s="223"/>
      <c r="CE456" s="223"/>
      <c r="CF456" s="223"/>
      <c r="CG456" s="200"/>
      <c r="CH456" s="200"/>
      <c r="CI456" s="522"/>
      <c r="CJ456" s="200"/>
      <c r="CK456" s="223"/>
      <c r="CL456" s="223"/>
      <c r="CM456" s="223"/>
      <c r="CN456" s="223"/>
      <c r="CO456" s="223"/>
      <c r="CP456" s="223"/>
      <c r="CQ456" s="200"/>
      <c r="CR456" s="200"/>
      <c r="CS456" s="522"/>
      <c r="CT456" s="200"/>
      <c r="CU456" s="223"/>
      <c r="CV456" s="223"/>
      <c r="CW456" s="223"/>
      <c r="CX456" s="223"/>
      <c r="CY456" s="223"/>
      <c r="CZ456" s="223"/>
      <c r="DA456" s="223"/>
      <c r="DB456" s="200"/>
      <c r="DC456" s="522"/>
      <c r="DD456" s="200"/>
      <c r="DE456" s="223"/>
      <c r="DF456" s="223"/>
      <c r="DG456" s="223"/>
      <c r="DH456" s="223"/>
      <c r="DI456" s="223"/>
      <c r="DJ456" s="223"/>
      <c r="DK456" s="200"/>
      <c r="DL456" s="200"/>
      <c r="DM456" s="522"/>
      <c r="DN456" s="200"/>
      <c r="DO456" s="223"/>
      <c r="DP456" s="223"/>
      <c r="DQ456" s="223"/>
      <c r="DR456" s="223"/>
      <c r="DS456" s="223"/>
      <c r="DT456" s="223"/>
      <c r="DU456" s="200"/>
      <c r="DV456" s="200"/>
      <c r="DW456" s="522"/>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2"/>
      <c r="R457" s="200"/>
      <c r="S457" s="223"/>
      <c r="T457" s="223"/>
      <c r="U457" s="223"/>
      <c r="V457" s="223"/>
      <c r="W457" s="223"/>
      <c r="X457" s="223"/>
      <c r="Y457" s="200"/>
      <c r="Z457" s="200"/>
      <c r="AA457" s="522"/>
      <c r="AB457" s="200"/>
      <c r="AC457" s="223"/>
      <c r="AD457" s="223"/>
      <c r="AE457" s="223"/>
      <c r="AF457" s="223"/>
      <c r="AG457" s="223"/>
      <c r="AH457" s="223"/>
      <c r="AI457" s="200"/>
      <c r="AJ457" s="200"/>
      <c r="AK457" s="522"/>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2"/>
      <c r="BF457" s="200"/>
      <c r="BG457" s="223"/>
      <c r="BH457" s="223"/>
      <c r="BI457" s="223"/>
      <c r="BJ457" s="223"/>
      <c r="BK457" s="223"/>
      <c r="BL457" s="223"/>
      <c r="BM457" s="200"/>
      <c r="BN457" s="200"/>
      <c r="BO457" s="522"/>
      <c r="BP457" s="200"/>
      <c r="BQ457" s="223"/>
      <c r="BR457" s="223"/>
      <c r="BS457" s="223"/>
      <c r="BT457" s="223"/>
      <c r="BU457" s="223"/>
      <c r="BV457" s="223"/>
      <c r="BW457" s="223"/>
      <c r="BX457" s="200"/>
      <c r="BY457" s="522"/>
      <c r="BZ457" s="200"/>
      <c r="CA457" s="223"/>
      <c r="CB457" s="223"/>
      <c r="CC457" s="223"/>
      <c r="CD457" s="223"/>
      <c r="CE457" s="223"/>
      <c r="CF457" s="223"/>
      <c r="CG457" s="200"/>
      <c r="CH457" s="200"/>
      <c r="CI457" s="522"/>
      <c r="CJ457" s="200"/>
      <c r="CK457" s="223"/>
      <c r="CL457" s="223"/>
      <c r="CM457" s="223"/>
      <c r="CN457" s="223"/>
      <c r="CO457" s="223"/>
      <c r="CP457" s="223"/>
      <c r="CQ457" s="200"/>
      <c r="CR457" s="200"/>
      <c r="CS457" s="522"/>
      <c r="CT457" s="200"/>
      <c r="CU457" s="223"/>
      <c r="CV457" s="223"/>
      <c r="CW457" s="223"/>
      <c r="CX457" s="223"/>
      <c r="CY457" s="223"/>
      <c r="CZ457" s="223"/>
      <c r="DA457" s="223"/>
      <c r="DB457" s="200"/>
      <c r="DC457" s="522"/>
      <c r="DD457" s="200"/>
      <c r="DE457" s="223"/>
      <c r="DF457" s="223"/>
      <c r="DG457" s="223"/>
      <c r="DH457" s="223"/>
      <c r="DI457" s="223"/>
      <c r="DJ457" s="223"/>
      <c r="DK457" s="200"/>
      <c r="DL457" s="200"/>
      <c r="DM457" s="522"/>
      <c r="DN457" s="200"/>
      <c r="DO457" s="223"/>
      <c r="DP457" s="223"/>
      <c r="DQ457" s="223"/>
      <c r="DR457" s="223"/>
      <c r="DS457" s="223"/>
      <c r="DT457" s="223"/>
      <c r="DU457" s="200"/>
      <c r="DV457" s="200"/>
      <c r="DW457" s="522"/>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2"/>
      <c r="R458" s="200"/>
      <c r="S458" s="223"/>
      <c r="T458" s="223"/>
      <c r="U458" s="223"/>
      <c r="V458" s="223"/>
      <c r="W458" s="223"/>
      <c r="X458" s="223"/>
      <c r="Y458" s="200"/>
      <c r="Z458" s="200"/>
      <c r="AA458" s="522"/>
      <c r="AB458" s="200"/>
      <c r="AC458" s="223"/>
      <c r="AD458" s="223"/>
      <c r="AE458" s="223"/>
      <c r="AF458" s="223"/>
      <c r="AG458" s="223"/>
      <c r="AH458" s="223"/>
      <c r="AI458" s="200"/>
      <c r="AJ458" s="200"/>
      <c r="AK458" s="522"/>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2"/>
      <c r="BF458" s="200"/>
      <c r="BG458" s="223"/>
      <c r="BH458" s="223"/>
      <c r="BI458" s="223"/>
      <c r="BJ458" s="223"/>
      <c r="BK458" s="223"/>
      <c r="BL458" s="223"/>
      <c r="BM458" s="200"/>
      <c r="BN458" s="200"/>
      <c r="BO458" s="522"/>
      <c r="BP458" s="200"/>
      <c r="BQ458" s="223"/>
      <c r="BR458" s="223"/>
      <c r="BS458" s="223"/>
      <c r="BT458" s="223"/>
      <c r="BU458" s="223"/>
      <c r="BV458" s="223"/>
      <c r="BW458" s="223"/>
      <c r="BX458" s="200"/>
      <c r="BY458" s="522"/>
      <c r="BZ458" s="200"/>
      <c r="CA458" s="223"/>
      <c r="CB458" s="223"/>
      <c r="CC458" s="223"/>
      <c r="CD458" s="223"/>
      <c r="CE458" s="223"/>
      <c r="CF458" s="223"/>
      <c r="CG458" s="200"/>
      <c r="CH458" s="200"/>
      <c r="CI458" s="522"/>
      <c r="CJ458" s="200"/>
      <c r="CK458" s="223"/>
      <c r="CL458" s="223"/>
      <c r="CM458" s="223"/>
      <c r="CN458" s="223"/>
      <c r="CO458" s="223"/>
      <c r="CP458" s="223"/>
      <c r="CQ458" s="200"/>
      <c r="CR458" s="200"/>
      <c r="CS458" s="522"/>
      <c r="CT458" s="200"/>
      <c r="CU458" s="223"/>
      <c r="CV458" s="223"/>
      <c r="CW458" s="223"/>
      <c r="CX458" s="223"/>
      <c r="CY458" s="223"/>
      <c r="CZ458" s="223"/>
      <c r="DA458" s="223"/>
      <c r="DB458" s="200"/>
      <c r="DC458" s="522"/>
      <c r="DD458" s="200"/>
      <c r="DE458" s="223"/>
      <c r="DF458" s="223"/>
      <c r="DG458" s="223"/>
      <c r="DH458" s="223"/>
      <c r="DI458" s="223"/>
      <c r="DJ458" s="223"/>
      <c r="DK458" s="200"/>
      <c r="DL458" s="200"/>
      <c r="DM458" s="522"/>
      <c r="DN458" s="200"/>
      <c r="DO458" s="223"/>
      <c r="DP458" s="223"/>
      <c r="DQ458" s="223"/>
      <c r="DR458" s="223"/>
      <c r="DS458" s="223"/>
      <c r="DT458" s="223"/>
      <c r="DU458" s="200"/>
      <c r="DV458" s="200"/>
      <c r="DW458" s="522"/>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2"/>
      <c r="R459" s="200"/>
      <c r="S459" s="223"/>
      <c r="T459" s="223"/>
      <c r="U459" s="223"/>
      <c r="V459" s="223"/>
      <c r="W459" s="223"/>
      <c r="X459" s="223"/>
      <c r="Y459" s="200"/>
      <c r="Z459" s="200"/>
      <c r="AA459" s="522"/>
      <c r="AB459" s="200"/>
      <c r="AC459" s="223"/>
      <c r="AD459" s="223"/>
      <c r="AE459" s="223"/>
      <c r="AF459" s="223"/>
      <c r="AG459" s="223"/>
      <c r="AH459" s="223"/>
      <c r="AI459" s="200"/>
      <c r="AJ459" s="200"/>
      <c r="AK459" s="522"/>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2"/>
      <c r="BF459" s="200"/>
      <c r="BG459" s="223"/>
      <c r="BH459" s="223"/>
      <c r="BI459" s="223"/>
      <c r="BJ459" s="223"/>
      <c r="BK459" s="223"/>
      <c r="BL459" s="223"/>
      <c r="BM459" s="200"/>
      <c r="BN459" s="200"/>
      <c r="BO459" s="522"/>
      <c r="BP459" s="200"/>
      <c r="BQ459" s="223"/>
      <c r="BR459" s="223"/>
      <c r="BS459" s="223"/>
      <c r="BT459" s="223"/>
      <c r="BU459" s="223"/>
      <c r="BV459" s="223"/>
      <c r="BW459" s="223"/>
      <c r="BX459" s="200"/>
      <c r="BY459" s="522"/>
      <c r="BZ459" s="200"/>
      <c r="CA459" s="223"/>
      <c r="CB459" s="223"/>
      <c r="CC459" s="223"/>
      <c r="CD459" s="223"/>
      <c r="CE459" s="223"/>
      <c r="CF459" s="223"/>
      <c r="CG459" s="200"/>
      <c r="CH459" s="200"/>
      <c r="CI459" s="522"/>
      <c r="CJ459" s="200"/>
      <c r="CK459" s="223"/>
      <c r="CL459" s="223"/>
      <c r="CM459" s="223"/>
      <c r="CN459" s="223"/>
      <c r="CO459" s="223"/>
      <c r="CP459" s="223"/>
      <c r="CQ459" s="200"/>
      <c r="CR459" s="200"/>
      <c r="CS459" s="522"/>
      <c r="CT459" s="200"/>
      <c r="CU459" s="223"/>
      <c r="CV459" s="223"/>
      <c r="CW459" s="223"/>
      <c r="CX459" s="223"/>
      <c r="CY459" s="223"/>
      <c r="CZ459" s="223"/>
      <c r="DA459" s="223"/>
      <c r="DB459" s="200"/>
      <c r="DC459" s="522"/>
      <c r="DD459" s="200"/>
      <c r="DE459" s="223"/>
      <c r="DF459" s="223"/>
      <c r="DG459" s="223"/>
      <c r="DH459" s="223"/>
      <c r="DI459" s="223"/>
      <c r="DJ459" s="223"/>
      <c r="DK459" s="200"/>
      <c r="DL459" s="200"/>
      <c r="DM459" s="522"/>
      <c r="DN459" s="200"/>
      <c r="DO459" s="223"/>
      <c r="DP459" s="223"/>
      <c r="DQ459" s="223"/>
      <c r="DR459" s="223"/>
      <c r="DS459" s="223"/>
      <c r="DT459" s="223"/>
      <c r="DU459" s="200"/>
      <c r="DV459" s="200"/>
      <c r="DW459" s="522"/>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2"/>
      <c r="R460" s="200"/>
      <c r="S460" s="223"/>
      <c r="T460" s="223"/>
      <c r="U460" s="223"/>
      <c r="V460" s="223"/>
      <c r="W460" s="223"/>
      <c r="X460" s="223"/>
      <c r="Y460" s="200"/>
      <c r="Z460" s="200"/>
      <c r="AA460" s="522"/>
      <c r="AB460" s="200"/>
      <c r="AC460" s="223"/>
      <c r="AD460" s="223"/>
      <c r="AE460" s="223"/>
      <c r="AF460" s="223"/>
      <c r="AG460" s="223"/>
      <c r="AH460" s="223"/>
      <c r="AI460" s="200"/>
      <c r="AJ460" s="200"/>
      <c r="AK460" s="522"/>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2"/>
      <c r="BF460" s="200"/>
      <c r="BG460" s="223"/>
      <c r="BH460" s="223"/>
      <c r="BI460" s="223"/>
      <c r="BJ460" s="223"/>
      <c r="BK460" s="223"/>
      <c r="BL460" s="223"/>
      <c r="BM460" s="200"/>
      <c r="BN460" s="200"/>
      <c r="BO460" s="522"/>
      <c r="BP460" s="200"/>
      <c r="BQ460" s="223"/>
      <c r="BR460" s="223"/>
      <c r="BS460" s="223"/>
      <c r="BT460" s="223"/>
      <c r="BU460" s="223"/>
      <c r="BV460" s="223"/>
      <c r="BW460" s="223"/>
      <c r="BX460" s="200"/>
      <c r="BY460" s="522"/>
      <c r="BZ460" s="200"/>
      <c r="CA460" s="223"/>
      <c r="CB460" s="223"/>
      <c r="CC460" s="223"/>
      <c r="CD460" s="223"/>
      <c r="CE460" s="223"/>
      <c r="CF460" s="223"/>
      <c r="CG460" s="200"/>
      <c r="CH460" s="200"/>
      <c r="CI460" s="522"/>
      <c r="CJ460" s="200"/>
      <c r="CK460" s="223"/>
      <c r="CL460" s="223"/>
      <c r="CM460" s="223"/>
      <c r="CN460" s="223"/>
      <c r="CO460" s="223"/>
      <c r="CP460" s="223"/>
      <c r="CQ460" s="200"/>
      <c r="CR460" s="200"/>
      <c r="CS460" s="522"/>
      <c r="CT460" s="200"/>
      <c r="CU460" s="223"/>
      <c r="CV460" s="223"/>
      <c r="CW460" s="223"/>
      <c r="CX460" s="223"/>
      <c r="CY460" s="223"/>
      <c r="CZ460" s="223"/>
      <c r="DA460" s="223"/>
      <c r="DB460" s="200"/>
      <c r="DC460" s="522"/>
      <c r="DD460" s="200"/>
      <c r="DE460" s="223"/>
      <c r="DF460" s="223"/>
      <c r="DG460" s="223"/>
      <c r="DH460" s="223"/>
      <c r="DI460" s="223"/>
      <c r="DJ460" s="223"/>
      <c r="DK460" s="200"/>
      <c r="DL460" s="200"/>
      <c r="DM460" s="522"/>
      <c r="DN460" s="200"/>
      <c r="DO460" s="223"/>
      <c r="DP460" s="223"/>
      <c r="DQ460" s="223"/>
      <c r="DR460" s="223"/>
      <c r="DS460" s="223"/>
      <c r="DT460" s="223"/>
      <c r="DU460" s="200"/>
      <c r="DV460" s="200"/>
      <c r="DW460" s="522"/>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2"/>
      <c r="R461" s="200"/>
      <c r="S461" s="223"/>
      <c r="T461" s="223"/>
      <c r="U461" s="223"/>
      <c r="V461" s="223"/>
      <c r="W461" s="223"/>
      <c r="X461" s="223"/>
      <c r="Y461" s="200"/>
      <c r="Z461" s="200"/>
      <c r="AA461" s="522"/>
      <c r="AB461" s="200"/>
      <c r="AC461" s="223"/>
      <c r="AD461" s="223"/>
      <c r="AE461" s="223"/>
      <c r="AF461" s="223"/>
      <c r="AG461" s="223"/>
      <c r="AH461" s="223"/>
      <c r="AI461" s="200"/>
      <c r="AJ461" s="200"/>
      <c r="AK461" s="522"/>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2"/>
      <c r="BF461" s="200"/>
      <c r="BG461" s="223"/>
      <c r="BH461" s="223"/>
      <c r="BI461" s="223"/>
      <c r="BJ461" s="223"/>
      <c r="BK461" s="223"/>
      <c r="BL461" s="223"/>
      <c r="BM461" s="200"/>
      <c r="BN461" s="200"/>
      <c r="BO461" s="522"/>
      <c r="BP461" s="200"/>
      <c r="BQ461" s="223"/>
      <c r="BR461" s="223"/>
      <c r="BS461" s="223"/>
      <c r="BT461" s="223"/>
      <c r="BU461" s="223"/>
      <c r="BV461" s="223"/>
      <c r="BW461" s="223"/>
      <c r="BX461" s="200"/>
      <c r="BY461" s="522"/>
      <c r="BZ461" s="200"/>
      <c r="CA461" s="223"/>
      <c r="CB461" s="223"/>
      <c r="CC461" s="223"/>
      <c r="CD461" s="223"/>
      <c r="CE461" s="223"/>
      <c r="CF461" s="223"/>
      <c r="CG461" s="200"/>
      <c r="CH461" s="200"/>
      <c r="CI461" s="522"/>
      <c r="CJ461" s="200"/>
      <c r="CK461" s="223"/>
      <c r="CL461" s="223"/>
      <c r="CM461" s="223"/>
      <c r="CN461" s="223"/>
      <c r="CO461" s="223"/>
      <c r="CP461" s="223"/>
      <c r="CQ461" s="200"/>
      <c r="CR461" s="200"/>
      <c r="CS461" s="522"/>
      <c r="CT461" s="200"/>
      <c r="CU461" s="223"/>
      <c r="CV461" s="223"/>
      <c r="CW461" s="223"/>
      <c r="CX461" s="223"/>
      <c r="CY461" s="223"/>
      <c r="CZ461" s="223"/>
      <c r="DA461" s="223"/>
      <c r="DB461" s="200"/>
      <c r="DC461" s="522"/>
      <c r="DD461" s="200"/>
      <c r="DE461" s="223"/>
      <c r="DF461" s="223"/>
      <c r="DG461" s="223"/>
      <c r="DH461" s="223"/>
      <c r="DI461" s="223"/>
      <c r="DJ461" s="223"/>
      <c r="DK461" s="200"/>
      <c r="DL461" s="200"/>
      <c r="DM461" s="522"/>
      <c r="DN461" s="200"/>
      <c r="DO461" s="223"/>
      <c r="DP461" s="223"/>
      <c r="DQ461" s="223"/>
      <c r="DR461" s="223"/>
      <c r="DS461" s="223"/>
      <c r="DT461" s="223"/>
      <c r="DU461" s="200"/>
      <c r="DV461" s="200"/>
      <c r="DW461" s="522"/>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2"/>
      <c r="R462" s="200"/>
      <c r="S462" s="223"/>
      <c r="T462" s="223"/>
      <c r="U462" s="223"/>
      <c r="V462" s="223"/>
      <c r="W462" s="223"/>
      <c r="X462" s="223"/>
      <c r="Y462" s="200"/>
      <c r="Z462" s="200"/>
      <c r="AA462" s="522"/>
      <c r="AB462" s="200"/>
      <c r="AC462" s="223"/>
      <c r="AD462" s="223"/>
      <c r="AE462" s="223"/>
      <c r="AF462" s="223"/>
      <c r="AG462" s="223"/>
      <c r="AH462" s="223"/>
      <c r="AI462" s="200"/>
      <c r="AJ462" s="200"/>
      <c r="AK462" s="522"/>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2"/>
      <c r="BF462" s="200"/>
      <c r="BG462" s="223"/>
      <c r="BH462" s="223"/>
      <c r="BI462" s="223"/>
      <c r="BJ462" s="223"/>
      <c r="BK462" s="223"/>
      <c r="BL462" s="223"/>
      <c r="BM462" s="200"/>
      <c r="BN462" s="200"/>
      <c r="BO462" s="522"/>
      <c r="BP462" s="200"/>
      <c r="BQ462" s="223"/>
      <c r="BR462" s="223"/>
      <c r="BS462" s="223"/>
      <c r="BT462" s="223"/>
      <c r="BU462" s="223"/>
      <c r="BV462" s="223"/>
      <c r="BW462" s="223"/>
      <c r="BX462" s="200"/>
      <c r="BY462" s="522"/>
      <c r="BZ462" s="200"/>
      <c r="CA462" s="223"/>
      <c r="CB462" s="223"/>
      <c r="CC462" s="223"/>
      <c r="CD462" s="223"/>
      <c r="CE462" s="223"/>
      <c r="CF462" s="223"/>
      <c r="CG462" s="200"/>
      <c r="CH462" s="200"/>
      <c r="CI462" s="522"/>
      <c r="CJ462" s="200"/>
      <c r="CK462" s="223"/>
      <c r="CL462" s="223"/>
      <c r="CM462" s="223"/>
      <c r="CN462" s="223"/>
      <c r="CO462" s="223"/>
      <c r="CP462" s="223"/>
      <c r="CQ462" s="200"/>
      <c r="CR462" s="200"/>
      <c r="CS462" s="522"/>
      <c r="CT462" s="200"/>
      <c r="CU462" s="223"/>
      <c r="CV462" s="223"/>
      <c r="CW462" s="223"/>
      <c r="CX462" s="223"/>
      <c r="CY462" s="223"/>
      <c r="CZ462" s="223"/>
      <c r="DA462" s="223"/>
      <c r="DB462" s="200"/>
      <c r="DC462" s="522"/>
      <c r="DD462" s="200"/>
      <c r="DE462" s="223"/>
      <c r="DF462" s="223"/>
      <c r="DG462" s="223"/>
      <c r="DH462" s="223"/>
      <c r="DI462" s="223"/>
      <c r="DJ462" s="223"/>
      <c r="DK462" s="200"/>
      <c r="DL462" s="200"/>
      <c r="DM462" s="522"/>
      <c r="DN462" s="200"/>
      <c r="DO462" s="223"/>
      <c r="DP462" s="223"/>
      <c r="DQ462" s="223"/>
      <c r="DR462" s="223"/>
      <c r="DS462" s="223"/>
      <c r="DT462" s="223"/>
      <c r="DU462" s="200"/>
      <c r="DV462" s="200"/>
      <c r="DW462" s="522"/>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2"/>
      <c r="R463" s="200"/>
      <c r="S463" s="223"/>
      <c r="T463" s="223"/>
      <c r="U463" s="223"/>
      <c r="V463" s="223"/>
      <c r="W463" s="223"/>
      <c r="X463" s="223"/>
      <c r="Y463" s="200"/>
      <c r="Z463" s="200"/>
      <c r="AA463" s="522"/>
      <c r="AB463" s="200"/>
      <c r="AC463" s="223"/>
      <c r="AD463" s="223"/>
      <c r="AE463" s="223"/>
      <c r="AF463" s="223"/>
      <c r="AG463" s="223"/>
      <c r="AH463" s="223"/>
      <c r="AI463" s="200"/>
      <c r="AJ463" s="200"/>
      <c r="AK463" s="522"/>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2"/>
      <c r="BF463" s="200"/>
      <c r="BG463" s="223"/>
      <c r="BH463" s="223"/>
      <c r="BI463" s="223"/>
      <c r="BJ463" s="223"/>
      <c r="BK463" s="223"/>
      <c r="BL463" s="223"/>
      <c r="BM463" s="200"/>
      <c r="BN463" s="200"/>
      <c r="BO463" s="522"/>
      <c r="BP463" s="200"/>
      <c r="BQ463" s="223"/>
      <c r="BR463" s="223"/>
      <c r="BS463" s="223"/>
      <c r="BT463" s="223"/>
      <c r="BU463" s="223"/>
      <c r="BV463" s="223"/>
      <c r="BW463" s="223"/>
      <c r="BX463" s="200"/>
      <c r="BY463" s="522"/>
      <c r="BZ463" s="200"/>
      <c r="CA463" s="223"/>
      <c r="CB463" s="223"/>
      <c r="CC463" s="223"/>
      <c r="CD463" s="223"/>
      <c r="CE463" s="223"/>
      <c r="CF463" s="223"/>
      <c r="CG463" s="200"/>
      <c r="CH463" s="200"/>
      <c r="CI463" s="522"/>
      <c r="CJ463" s="200"/>
      <c r="CK463" s="223"/>
      <c r="CL463" s="223"/>
      <c r="CM463" s="223"/>
      <c r="CN463" s="223"/>
      <c r="CO463" s="223"/>
      <c r="CP463" s="223"/>
      <c r="CQ463" s="200"/>
      <c r="CR463" s="200"/>
      <c r="CS463" s="522"/>
      <c r="CT463" s="200"/>
      <c r="CU463" s="223"/>
      <c r="CV463" s="223"/>
      <c r="CW463" s="223"/>
      <c r="CX463" s="223"/>
      <c r="CY463" s="223"/>
      <c r="CZ463" s="223"/>
      <c r="DA463" s="223"/>
      <c r="DB463" s="200"/>
      <c r="DC463" s="522"/>
      <c r="DD463" s="200"/>
      <c r="DE463" s="223"/>
      <c r="DF463" s="223"/>
      <c r="DG463" s="223"/>
      <c r="DH463" s="223"/>
      <c r="DI463" s="223"/>
      <c r="DJ463" s="223"/>
      <c r="DK463" s="200"/>
      <c r="DL463" s="200"/>
      <c r="DM463" s="522"/>
      <c r="DN463" s="200"/>
      <c r="DO463" s="223"/>
      <c r="DP463" s="223"/>
      <c r="DQ463" s="223"/>
      <c r="DR463" s="223"/>
      <c r="DS463" s="223"/>
      <c r="DT463" s="223"/>
      <c r="DU463" s="200"/>
      <c r="DV463" s="200"/>
      <c r="DW463" s="522"/>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2"/>
      <c r="R464" s="200"/>
      <c r="S464" s="223"/>
      <c r="T464" s="223"/>
      <c r="U464" s="223"/>
      <c r="V464" s="223"/>
      <c r="W464" s="223"/>
      <c r="X464" s="223"/>
      <c r="Y464" s="200"/>
      <c r="Z464" s="200"/>
      <c r="AA464" s="522"/>
      <c r="AB464" s="200"/>
      <c r="AC464" s="223"/>
      <c r="AD464" s="223"/>
      <c r="AE464" s="223"/>
      <c r="AF464" s="223"/>
      <c r="AG464" s="223"/>
      <c r="AH464" s="223"/>
      <c r="AI464" s="200"/>
      <c r="AJ464" s="200"/>
      <c r="AK464" s="522"/>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2"/>
      <c r="BF464" s="200"/>
      <c r="BG464" s="223"/>
      <c r="BH464" s="223"/>
      <c r="BI464" s="223"/>
      <c r="BJ464" s="223"/>
      <c r="BK464" s="223"/>
      <c r="BL464" s="223"/>
      <c r="BM464" s="200"/>
      <c r="BN464" s="200"/>
      <c r="BO464" s="522"/>
      <c r="BP464" s="200"/>
      <c r="BQ464" s="223"/>
      <c r="BR464" s="223"/>
      <c r="BS464" s="223"/>
      <c r="BT464" s="223"/>
      <c r="BU464" s="223"/>
      <c r="BV464" s="223"/>
      <c r="BW464" s="223"/>
      <c r="BX464" s="200"/>
      <c r="BY464" s="522"/>
      <c r="BZ464" s="200"/>
      <c r="CA464" s="223"/>
      <c r="CB464" s="223"/>
      <c r="CC464" s="223"/>
      <c r="CD464" s="223"/>
      <c r="CE464" s="223"/>
      <c r="CF464" s="223"/>
      <c r="CG464" s="200"/>
      <c r="CH464" s="200"/>
      <c r="CI464" s="522"/>
      <c r="CJ464" s="200"/>
      <c r="CK464" s="223"/>
      <c r="CL464" s="223"/>
      <c r="CM464" s="223"/>
      <c r="CN464" s="223"/>
      <c r="CO464" s="223"/>
      <c r="CP464" s="223"/>
      <c r="CQ464" s="200"/>
      <c r="CR464" s="200"/>
      <c r="CS464" s="522"/>
      <c r="CT464" s="200"/>
      <c r="CU464" s="223"/>
      <c r="CV464" s="223"/>
      <c r="CW464" s="223"/>
      <c r="CX464" s="223"/>
      <c r="CY464" s="223"/>
      <c r="CZ464" s="223"/>
      <c r="DA464" s="223"/>
      <c r="DB464" s="200"/>
      <c r="DC464" s="522"/>
      <c r="DD464" s="200"/>
      <c r="DE464" s="223"/>
      <c r="DF464" s="223"/>
      <c r="DG464" s="223"/>
      <c r="DH464" s="223"/>
      <c r="DI464" s="223"/>
      <c r="DJ464" s="223"/>
      <c r="DK464" s="200"/>
      <c r="DL464" s="200"/>
      <c r="DM464" s="522"/>
      <c r="DN464" s="200"/>
      <c r="DO464" s="223"/>
      <c r="DP464" s="223"/>
      <c r="DQ464" s="223"/>
      <c r="DR464" s="223"/>
      <c r="DS464" s="223"/>
      <c r="DT464" s="223"/>
      <c r="DU464" s="200"/>
      <c r="DV464" s="200"/>
      <c r="DW464" s="522"/>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2"/>
      <c r="R465" s="200"/>
      <c r="S465" s="223"/>
      <c r="T465" s="223"/>
      <c r="U465" s="223"/>
      <c r="V465" s="223"/>
      <c r="W465" s="223"/>
      <c r="X465" s="223"/>
      <c r="Y465" s="200"/>
      <c r="Z465" s="200"/>
      <c r="AA465" s="522"/>
      <c r="AB465" s="200"/>
      <c r="AC465" s="223"/>
      <c r="AD465" s="223"/>
      <c r="AE465" s="223"/>
      <c r="AF465" s="223"/>
      <c r="AG465" s="223"/>
      <c r="AH465" s="223"/>
      <c r="AI465" s="200"/>
      <c r="AJ465" s="200"/>
      <c r="AK465" s="522"/>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2"/>
      <c r="BF465" s="200"/>
      <c r="BG465" s="223"/>
      <c r="BH465" s="223"/>
      <c r="BI465" s="223"/>
      <c r="BJ465" s="223"/>
      <c r="BK465" s="223"/>
      <c r="BL465" s="223"/>
      <c r="BM465" s="200"/>
      <c r="BN465" s="200"/>
      <c r="BO465" s="522"/>
      <c r="BP465" s="200"/>
      <c r="BQ465" s="223"/>
      <c r="BR465" s="223"/>
      <c r="BS465" s="223"/>
      <c r="BT465" s="223"/>
      <c r="BU465" s="223"/>
      <c r="BV465" s="223"/>
      <c r="BW465" s="223"/>
      <c r="BX465" s="200"/>
      <c r="BY465" s="522"/>
      <c r="BZ465" s="200"/>
      <c r="CA465" s="223"/>
      <c r="CB465" s="223"/>
      <c r="CC465" s="223"/>
      <c r="CD465" s="223"/>
      <c r="CE465" s="223"/>
      <c r="CF465" s="223"/>
      <c r="CG465" s="200"/>
      <c r="CH465" s="200"/>
      <c r="CI465" s="522"/>
      <c r="CJ465" s="200"/>
      <c r="CK465" s="223"/>
      <c r="CL465" s="223"/>
      <c r="CM465" s="223"/>
      <c r="CN465" s="223"/>
      <c r="CO465" s="223"/>
      <c r="CP465" s="223"/>
      <c r="CQ465" s="200"/>
      <c r="CR465" s="200"/>
      <c r="CS465" s="522"/>
      <c r="CT465" s="200"/>
      <c r="CU465" s="223"/>
      <c r="CV465" s="223"/>
      <c r="CW465" s="223"/>
      <c r="CX465" s="223"/>
      <c r="CY465" s="223"/>
      <c r="CZ465" s="223"/>
      <c r="DA465" s="223"/>
      <c r="DB465" s="200"/>
      <c r="DC465" s="522"/>
      <c r="DD465" s="200"/>
      <c r="DE465" s="223"/>
      <c r="DF465" s="223"/>
      <c r="DG465" s="223"/>
      <c r="DH465" s="223"/>
      <c r="DI465" s="223"/>
      <c r="DJ465" s="223"/>
      <c r="DK465" s="200"/>
      <c r="DL465" s="200"/>
      <c r="DM465" s="522"/>
      <c r="DN465" s="200"/>
      <c r="DO465" s="223"/>
      <c r="DP465" s="223"/>
      <c r="DQ465" s="223"/>
      <c r="DR465" s="223"/>
      <c r="DS465" s="223"/>
      <c r="DT465" s="223"/>
      <c r="DU465" s="200"/>
      <c r="DV465" s="200"/>
      <c r="DW465" s="522"/>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2"/>
      <c r="R466" s="200"/>
      <c r="S466" s="223"/>
      <c r="T466" s="223"/>
      <c r="U466" s="223"/>
      <c r="V466" s="223"/>
      <c r="W466" s="223"/>
      <c r="X466" s="223"/>
      <c r="Y466" s="200"/>
      <c r="Z466" s="200"/>
      <c r="AA466" s="522"/>
      <c r="AB466" s="200"/>
      <c r="AC466" s="223"/>
      <c r="AD466" s="223"/>
      <c r="AE466" s="223"/>
      <c r="AF466" s="223"/>
      <c r="AG466" s="223"/>
      <c r="AH466" s="223"/>
      <c r="AI466" s="200"/>
      <c r="AJ466" s="200"/>
      <c r="AK466" s="522"/>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2"/>
      <c r="BF466" s="200"/>
      <c r="BG466" s="223"/>
      <c r="BH466" s="223"/>
      <c r="BI466" s="223"/>
      <c r="BJ466" s="223"/>
      <c r="BK466" s="223"/>
      <c r="BL466" s="223"/>
      <c r="BM466" s="200"/>
      <c r="BN466" s="200"/>
      <c r="BO466" s="522"/>
      <c r="BP466" s="200"/>
      <c r="BQ466" s="223"/>
      <c r="BR466" s="223"/>
      <c r="BS466" s="223"/>
      <c r="BT466" s="223"/>
      <c r="BU466" s="223"/>
      <c r="BV466" s="223"/>
      <c r="BW466" s="223"/>
      <c r="BX466" s="200"/>
      <c r="BY466" s="522"/>
      <c r="BZ466" s="200"/>
      <c r="CA466" s="223"/>
      <c r="CB466" s="223"/>
      <c r="CC466" s="223"/>
      <c r="CD466" s="223"/>
      <c r="CE466" s="223"/>
      <c r="CF466" s="223"/>
      <c r="CG466" s="200"/>
      <c r="CH466" s="200"/>
      <c r="CI466" s="522"/>
      <c r="CJ466" s="200"/>
      <c r="CK466" s="223"/>
      <c r="CL466" s="223"/>
      <c r="CM466" s="223"/>
      <c r="CN466" s="223"/>
      <c r="CO466" s="223"/>
      <c r="CP466" s="223"/>
      <c r="CQ466" s="200"/>
      <c r="CR466" s="200"/>
      <c r="CS466" s="522"/>
      <c r="CT466" s="200"/>
      <c r="CU466" s="223"/>
      <c r="CV466" s="223"/>
      <c r="CW466" s="223"/>
      <c r="CX466" s="223"/>
      <c r="CY466" s="223"/>
      <c r="CZ466" s="223"/>
      <c r="DA466" s="223"/>
      <c r="DB466" s="200"/>
      <c r="DC466" s="522"/>
      <c r="DD466" s="200"/>
      <c r="DE466" s="223"/>
      <c r="DF466" s="223"/>
      <c r="DG466" s="223"/>
      <c r="DH466" s="223"/>
      <c r="DI466" s="223"/>
      <c r="DJ466" s="223"/>
      <c r="DK466" s="200"/>
      <c r="DL466" s="200"/>
      <c r="DM466" s="522"/>
      <c r="DN466" s="200"/>
      <c r="DO466" s="223"/>
      <c r="DP466" s="223"/>
      <c r="DQ466" s="223"/>
      <c r="DR466" s="223"/>
      <c r="DS466" s="223"/>
      <c r="DT466" s="223"/>
      <c r="DU466" s="200"/>
      <c r="DV466" s="200"/>
      <c r="DW466" s="522"/>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2"/>
      <c r="R467" s="200"/>
      <c r="S467" s="223"/>
      <c r="T467" s="223"/>
      <c r="U467" s="223"/>
      <c r="V467" s="223"/>
      <c r="W467" s="223"/>
      <c r="X467" s="223"/>
      <c r="Y467" s="200"/>
      <c r="Z467" s="200"/>
      <c r="AA467" s="522"/>
      <c r="AB467" s="200"/>
      <c r="AC467" s="223"/>
      <c r="AD467" s="223"/>
      <c r="AE467" s="223"/>
      <c r="AF467" s="223"/>
      <c r="AG467" s="223"/>
      <c r="AH467" s="223"/>
      <c r="AI467" s="200"/>
      <c r="AJ467" s="200"/>
      <c r="AK467" s="522"/>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2"/>
      <c r="BF467" s="200"/>
      <c r="BG467" s="223"/>
      <c r="BH467" s="223"/>
      <c r="BI467" s="223"/>
      <c r="BJ467" s="223"/>
      <c r="BK467" s="223"/>
      <c r="BL467" s="223"/>
      <c r="BM467" s="200"/>
      <c r="BN467" s="200"/>
      <c r="BO467" s="522"/>
      <c r="BP467" s="200"/>
      <c r="BQ467" s="223"/>
      <c r="BR467" s="223"/>
      <c r="BS467" s="223"/>
      <c r="BT467" s="223"/>
      <c r="BU467" s="223"/>
      <c r="BV467" s="223"/>
      <c r="BW467" s="223"/>
      <c r="BX467" s="200"/>
      <c r="BY467" s="522"/>
      <c r="BZ467" s="200"/>
      <c r="CA467" s="223"/>
      <c r="CB467" s="223"/>
      <c r="CC467" s="223"/>
      <c r="CD467" s="223"/>
      <c r="CE467" s="223"/>
      <c r="CF467" s="223"/>
      <c r="CG467" s="200"/>
      <c r="CH467" s="200"/>
      <c r="CI467" s="522"/>
      <c r="CJ467" s="200"/>
      <c r="CK467" s="223"/>
      <c r="CL467" s="223"/>
      <c r="CM467" s="223"/>
      <c r="CN467" s="223"/>
      <c r="CO467" s="223"/>
      <c r="CP467" s="223"/>
      <c r="CQ467" s="200"/>
      <c r="CR467" s="200"/>
      <c r="CS467" s="522"/>
      <c r="CT467" s="200"/>
      <c r="CU467" s="223"/>
      <c r="CV467" s="223"/>
      <c r="CW467" s="223"/>
      <c r="CX467" s="223"/>
      <c r="CY467" s="223"/>
      <c r="CZ467" s="223"/>
      <c r="DA467" s="223"/>
      <c r="DB467" s="200"/>
      <c r="DC467" s="522"/>
      <c r="DD467" s="200"/>
      <c r="DE467" s="223"/>
      <c r="DF467" s="223"/>
      <c r="DG467" s="223"/>
      <c r="DH467" s="223"/>
      <c r="DI467" s="223"/>
      <c r="DJ467" s="223"/>
      <c r="DK467" s="200"/>
      <c r="DL467" s="200"/>
      <c r="DM467" s="522"/>
      <c r="DN467" s="200"/>
      <c r="DO467" s="223"/>
      <c r="DP467" s="223"/>
      <c r="DQ467" s="223"/>
      <c r="DR467" s="223"/>
      <c r="DS467" s="223"/>
      <c r="DT467" s="223"/>
      <c r="DU467" s="200"/>
      <c r="DV467" s="200"/>
      <c r="DW467" s="522"/>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2"/>
      <c r="R468" s="200"/>
      <c r="S468" s="223"/>
      <c r="T468" s="223"/>
      <c r="U468" s="223"/>
      <c r="V468" s="223"/>
      <c r="W468" s="223"/>
      <c r="X468" s="223"/>
      <c r="Y468" s="200"/>
      <c r="Z468" s="200"/>
      <c r="AA468" s="522"/>
      <c r="AB468" s="200"/>
      <c r="AC468" s="223"/>
      <c r="AD468" s="223"/>
      <c r="AE468" s="223"/>
      <c r="AF468" s="223"/>
      <c r="AG468" s="223"/>
      <c r="AH468" s="223"/>
      <c r="AI468" s="200"/>
      <c r="AJ468" s="200"/>
      <c r="AK468" s="522"/>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2"/>
      <c r="BF468" s="200"/>
      <c r="BG468" s="223"/>
      <c r="BH468" s="223"/>
      <c r="BI468" s="223"/>
      <c r="BJ468" s="223"/>
      <c r="BK468" s="223"/>
      <c r="BL468" s="223"/>
      <c r="BM468" s="200"/>
      <c r="BN468" s="200"/>
      <c r="BO468" s="522"/>
      <c r="BP468" s="200"/>
      <c r="BQ468" s="223"/>
      <c r="BR468" s="223"/>
      <c r="BS468" s="223"/>
      <c r="BT468" s="223"/>
      <c r="BU468" s="223"/>
      <c r="BV468" s="223"/>
      <c r="BW468" s="223"/>
      <c r="BX468" s="200"/>
      <c r="BY468" s="522"/>
      <c r="BZ468" s="200"/>
      <c r="CA468" s="223"/>
      <c r="CB468" s="223"/>
      <c r="CC468" s="223"/>
      <c r="CD468" s="223"/>
      <c r="CE468" s="223"/>
      <c r="CF468" s="223"/>
      <c r="CG468" s="200"/>
      <c r="CH468" s="200"/>
      <c r="CI468" s="522"/>
      <c r="CJ468" s="200"/>
      <c r="CK468" s="223"/>
      <c r="CL468" s="223"/>
      <c r="CM468" s="223"/>
      <c r="CN468" s="223"/>
      <c r="CO468" s="223"/>
      <c r="CP468" s="223"/>
      <c r="CQ468" s="200"/>
      <c r="CR468" s="200"/>
      <c r="CS468" s="522"/>
      <c r="CT468" s="200"/>
      <c r="CU468" s="223"/>
      <c r="CV468" s="223"/>
      <c r="CW468" s="223"/>
      <c r="CX468" s="223"/>
      <c r="CY468" s="223"/>
      <c r="CZ468" s="223"/>
      <c r="DA468" s="223"/>
      <c r="DB468" s="200"/>
      <c r="DC468" s="522"/>
      <c r="DD468" s="200"/>
      <c r="DE468" s="223"/>
      <c r="DF468" s="223"/>
      <c r="DG468" s="223"/>
      <c r="DH468" s="223"/>
      <c r="DI468" s="223"/>
      <c r="DJ468" s="223"/>
      <c r="DK468" s="200"/>
      <c r="DL468" s="200"/>
      <c r="DM468" s="522"/>
      <c r="DN468" s="200"/>
      <c r="DO468" s="223"/>
      <c r="DP468" s="223"/>
      <c r="DQ468" s="223"/>
      <c r="DR468" s="223"/>
      <c r="DS468" s="223"/>
      <c r="DT468" s="223"/>
      <c r="DU468" s="200"/>
      <c r="DV468" s="200"/>
      <c r="DW468" s="522"/>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2"/>
      <c r="R469" s="200"/>
      <c r="S469" s="223"/>
      <c r="T469" s="223"/>
      <c r="U469" s="223"/>
      <c r="V469" s="223"/>
      <c r="W469" s="223"/>
      <c r="X469" s="223"/>
      <c r="Y469" s="200"/>
      <c r="Z469" s="200"/>
      <c r="AA469" s="522"/>
      <c r="AB469" s="200"/>
      <c r="AC469" s="223"/>
      <c r="AD469" s="223"/>
      <c r="AE469" s="223"/>
      <c r="AF469" s="223"/>
      <c r="AG469" s="223"/>
      <c r="AH469" s="223"/>
      <c r="AI469" s="200"/>
      <c r="AJ469" s="200"/>
      <c r="AK469" s="522"/>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2"/>
      <c r="BF469" s="200"/>
      <c r="BG469" s="223"/>
      <c r="BH469" s="223"/>
      <c r="BI469" s="223"/>
      <c r="BJ469" s="223"/>
      <c r="BK469" s="223"/>
      <c r="BL469" s="223"/>
      <c r="BM469" s="200"/>
      <c r="BN469" s="200"/>
      <c r="BO469" s="522"/>
      <c r="BP469" s="200"/>
      <c r="BQ469" s="223"/>
      <c r="BR469" s="223"/>
      <c r="BS469" s="223"/>
      <c r="BT469" s="223"/>
      <c r="BU469" s="223"/>
      <c r="BV469" s="223"/>
      <c r="BW469" s="223"/>
      <c r="BX469" s="200"/>
      <c r="BY469" s="522"/>
      <c r="BZ469" s="200"/>
      <c r="CA469" s="223"/>
      <c r="CB469" s="223"/>
      <c r="CC469" s="223"/>
      <c r="CD469" s="223"/>
      <c r="CE469" s="223"/>
      <c r="CF469" s="223"/>
      <c r="CG469" s="200"/>
      <c r="CH469" s="200"/>
      <c r="CI469" s="522"/>
      <c r="CJ469" s="200"/>
      <c r="CK469" s="223"/>
      <c r="CL469" s="223"/>
      <c r="CM469" s="223"/>
      <c r="CN469" s="223"/>
      <c r="CO469" s="223"/>
      <c r="CP469" s="223"/>
      <c r="CQ469" s="200"/>
      <c r="CR469" s="200"/>
      <c r="CS469" s="522"/>
      <c r="CT469" s="200"/>
      <c r="CU469" s="223"/>
      <c r="CV469" s="223"/>
      <c r="CW469" s="223"/>
      <c r="CX469" s="223"/>
      <c r="CY469" s="223"/>
      <c r="CZ469" s="223"/>
      <c r="DA469" s="223"/>
      <c r="DB469" s="200"/>
      <c r="DC469" s="522"/>
      <c r="DD469" s="200"/>
      <c r="DE469" s="223"/>
      <c r="DF469" s="223"/>
      <c r="DG469" s="223"/>
      <c r="DH469" s="223"/>
      <c r="DI469" s="223"/>
      <c r="DJ469" s="223"/>
      <c r="DK469" s="200"/>
      <c r="DL469" s="200"/>
      <c r="DM469" s="522"/>
      <c r="DN469" s="200"/>
      <c r="DO469" s="223"/>
      <c r="DP469" s="223"/>
      <c r="DQ469" s="223"/>
      <c r="DR469" s="223"/>
      <c r="DS469" s="223"/>
      <c r="DT469" s="223"/>
      <c r="DU469" s="200"/>
      <c r="DV469" s="200"/>
      <c r="DW469" s="522"/>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2"/>
      <c r="R470" s="200"/>
      <c r="S470" s="223"/>
      <c r="T470" s="223"/>
      <c r="U470" s="223"/>
      <c r="V470" s="223"/>
      <c r="W470" s="223"/>
      <c r="X470" s="223"/>
      <c r="Y470" s="200"/>
      <c r="Z470" s="200"/>
      <c r="AA470" s="522"/>
      <c r="AB470" s="200"/>
      <c r="AC470" s="223"/>
      <c r="AD470" s="223"/>
      <c r="AE470" s="223"/>
      <c r="AF470" s="223"/>
      <c r="AG470" s="223"/>
      <c r="AH470" s="223"/>
      <c r="AI470" s="200"/>
      <c r="AJ470" s="200"/>
      <c r="AK470" s="522"/>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2"/>
      <c r="BF470" s="200"/>
      <c r="BG470" s="223"/>
      <c r="BH470" s="223"/>
      <c r="BI470" s="223"/>
      <c r="BJ470" s="223"/>
      <c r="BK470" s="223"/>
      <c r="BL470" s="223"/>
      <c r="BM470" s="200"/>
      <c r="BN470" s="200"/>
      <c r="BO470" s="522"/>
      <c r="BP470" s="200"/>
      <c r="BQ470" s="223"/>
      <c r="BR470" s="223"/>
      <c r="BS470" s="223"/>
      <c r="BT470" s="223"/>
      <c r="BU470" s="223"/>
      <c r="BV470" s="223"/>
      <c r="BW470" s="223"/>
      <c r="BX470" s="200"/>
      <c r="BY470" s="522"/>
      <c r="BZ470" s="200"/>
      <c r="CA470" s="223"/>
      <c r="CB470" s="223"/>
      <c r="CC470" s="223"/>
      <c r="CD470" s="223"/>
      <c r="CE470" s="223"/>
      <c r="CF470" s="223"/>
      <c r="CG470" s="200"/>
      <c r="CH470" s="200"/>
      <c r="CI470" s="522"/>
      <c r="CJ470" s="200"/>
      <c r="CK470" s="223"/>
      <c r="CL470" s="223"/>
      <c r="CM470" s="223"/>
      <c r="CN470" s="223"/>
      <c r="CO470" s="223"/>
      <c r="CP470" s="223"/>
      <c r="CQ470" s="200"/>
      <c r="CR470" s="200"/>
      <c r="CS470" s="522"/>
      <c r="CT470" s="200"/>
      <c r="CU470" s="223"/>
      <c r="CV470" s="223"/>
      <c r="CW470" s="223"/>
      <c r="CX470" s="223"/>
      <c r="CY470" s="223"/>
      <c r="CZ470" s="223"/>
      <c r="DA470" s="223"/>
      <c r="DB470" s="200"/>
      <c r="DC470" s="522"/>
      <c r="DD470" s="200"/>
      <c r="DE470" s="223"/>
      <c r="DF470" s="223"/>
      <c r="DG470" s="223"/>
      <c r="DH470" s="223"/>
      <c r="DI470" s="223"/>
      <c r="DJ470" s="223"/>
      <c r="DK470" s="200"/>
      <c r="DL470" s="200"/>
      <c r="DM470" s="522"/>
      <c r="DN470" s="200"/>
      <c r="DO470" s="223"/>
      <c r="DP470" s="223"/>
      <c r="DQ470" s="223"/>
      <c r="DR470" s="223"/>
      <c r="DS470" s="223"/>
      <c r="DT470" s="223"/>
      <c r="DU470" s="200"/>
      <c r="DV470" s="200"/>
      <c r="DW470" s="522"/>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2"/>
      <c r="R471" s="200"/>
      <c r="S471" s="223"/>
      <c r="T471" s="223"/>
      <c r="U471" s="223"/>
      <c r="V471" s="223"/>
      <c r="W471" s="223"/>
      <c r="X471" s="223"/>
      <c r="Y471" s="200"/>
      <c r="Z471" s="200"/>
      <c r="AA471" s="522"/>
      <c r="AB471" s="200"/>
      <c r="AC471" s="223"/>
      <c r="AD471" s="223"/>
      <c r="AE471" s="223"/>
      <c r="AF471" s="223"/>
      <c r="AG471" s="223"/>
      <c r="AH471" s="223"/>
      <c r="AI471" s="200"/>
      <c r="AJ471" s="200"/>
      <c r="AK471" s="522"/>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2"/>
      <c r="BF471" s="200"/>
      <c r="BG471" s="223"/>
      <c r="BH471" s="223"/>
      <c r="BI471" s="223"/>
      <c r="BJ471" s="223"/>
      <c r="BK471" s="223"/>
      <c r="BL471" s="223"/>
      <c r="BM471" s="200"/>
      <c r="BN471" s="200"/>
      <c r="BO471" s="522"/>
      <c r="BP471" s="200"/>
      <c r="BQ471" s="223"/>
      <c r="BR471" s="223"/>
      <c r="BS471" s="223"/>
      <c r="BT471" s="223"/>
      <c r="BU471" s="223"/>
      <c r="BV471" s="223"/>
      <c r="BW471" s="223"/>
      <c r="BX471" s="200"/>
      <c r="BY471" s="522"/>
      <c r="BZ471" s="200"/>
      <c r="CA471" s="223"/>
      <c r="CB471" s="223"/>
      <c r="CC471" s="223"/>
      <c r="CD471" s="223"/>
      <c r="CE471" s="223"/>
      <c r="CF471" s="223"/>
      <c r="CG471" s="200"/>
      <c r="CH471" s="200"/>
      <c r="CI471" s="522"/>
      <c r="CJ471" s="200"/>
      <c r="CK471" s="223"/>
      <c r="CL471" s="223"/>
      <c r="CM471" s="223"/>
      <c r="CN471" s="223"/>
      <c r="CO471" s="223"/>
      <c r="CP471" s="223"/>
      <c r="CQ471" s="200"/>
      <c r="CR471" s="200"/>
      <c r="CS471" s="522"/>
      <c r="CT471" s="200"/>
      <c r="CU471" s="223"/>
      <c r="CV471" s="223"/>
      <c r="CW471" s="223"/>
      <c r="CX471" s="223"/>
      <c r="CY471" s="223"/>
      <c r="CZ471" s="223"/>
      <c r="DA471" s="223"/>
      <c r="DB471" s="200"/>
      <c r="DC471" s="522"/>
      <c r="DD471" s="200"/>
      <c r="DE471" s="223"/>
      <c r="DF471" s="223"/>
      <c r="DG471" s="223"/>
      <c r="DH471" s="223"/>
      <c r="DI471" s="223"/>
      <c r="DJ471" s="223"/>
      <c r="DK471" s="200"/>
      <c r="DL471" s="200"/>
      <c r="DM471" s="522"/>
      <c r="DN471" s="200"/>
      <c r="DO471" s="223"/>
      <c r="DP471" s="223"/>
      <c r="DQ471" s="223"/>
      <c r="DR471" s="223"/>
      <c r="DS471" s="223"/>
      <c r="DT471" s="223"/>
      <c r="DU471" s="200"/>
      <c r="DV471" s="200"/>
      <c r="DW471" s="522"/>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2"/>
      <c r="R472" s="200"/>
      <c r="S472" s="223"/>
      <c r="T472" s="223"/>
      <c r="U472" s="223"/>
      <c r="V472" s="223"/>
      <c r="W472" s="223"/>
      <c r="X472" s="223"/>
      <c r="Y472" s="200"/>
      <c r="Z472" s="200"/>
      <c r="AA472" s="522"/>
      <c r="AB472" s="200"/>
      <c r="AC472" s="223"/>
      <c r="AD472" s="223"/>
      <c r="AE472" s="223"/>
      <c r="AF472" s="223"/>
      <c r="AG472" s="223"/>
      <c r="AH472" s="223"/>
      <c r="AI472" s="200"/>
      <c r="AJ472" s="200"/>
      <c r="AK472" s="522"/>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2"/>
      <c r="BF472" s="200"/>
      <c r="BG472" s="223"/>
      <c r="BH472" s="223"/>
      <c r="BI472" s="223"/>
      <c r="BJ472" s="223"/>
      <c r="BK472" s="223"/>
      <c r="BL472" s="223"/>
      <c r="BM472" s="200"/>
      <c r="BN472" s="200"/>
      <c r="BO472" s="522"/>
      <c r="BP472" s="200"/>
      <c r="BQ472" s="223"/>
      <c r="BR472" s="223"/>
      <c r="BS472" s="223"/>
      <c r="BT472" s="223"/>
      <c r="BU472" s="223"/>
      <c r="BV472" s="223"/>
      <c r="BW472" s="223"/>
      <c r="BX472" s="200"/>
      <c r="BY472" s="522"/>
      <c r="BZ472" s="200"/>
      <c r="CA472" s="223"/>
      <c r="CB472" s="223"/>
      <c r="CC472" s="223"/>
      <c r="CD472" s="223"/>
      <c r="CE472" s="223"/>
      <c r="CF472" s="223"/>
      <c r="CG472" s="200"/>
      <c r="CH472" s="200"/>
      <c r="CI472" s="522"/>
      <c r="CJ472" s="200"/>
      <c r="CK472" s="223"/>
      <c r="CL472" s="223"/>
      <c r="CM472" s="223"/>
      <c r="CN472" s="223"/>
      <c r="CO472" s="223"/>
      <c r="CP472" s="223"/>
      <c r="CQ472" s="200"/>
      <c r="CR472" s="200"/>
      <c r="CS472" s="522"/>
      <c r="CT472" s="200"/>
      <c r="CU472" s="223"/>
      <c r="CV472" s="223"/>
      <c r="CW472" s="223"/>
      <c r="CX472" s="223"/>
      <c r="CY472" s="223"/>
      <c r="CZ472" s="223"/>
      <c r="DA472" s="223"/>
      <c r="DB472" s="200"/>
      <c r="DC472" s="522"/>
      <c r="DD472" s="200"/>
      <c r="DE472" s="223"/>
      <c r="DF472" s="223"/>
      <c r="DG472" s="223"/>
      <c r="DH472" s="223"/>
      <c r="DI472" s="223"/>
      <c r="DJ472" s="223"/>
      <c r="DK472" s="200"/>
      <c r="DL472" s="200"/>
      <c r="DM472" s="522"/>
      <c r="DN472" s="200"/>
      <c r="DO472" s="223"/>
      <c r="DP472" s="223"/>
      <c r="DQ472" s="223"/>
      <c r="DR472" s="223"/>
      <c r="DS472" s="223"/>
      <c r="DT472" s="223"/>
      <c r="DU472" s="200"/>
      <c r="DV472" s="200"/>
      <c r="DW472" s="522"/>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2"/>
      <c r="R473" s="200"/>
      <c r="S473" s="223"/>
      <c r="T473" s="223"/>
      <c r="U473" s="223"/>
      <c r="V473" s="223"/>
      <c r="W473" s="223"/>
      <c r="X473" s="223"/>
      <c r="Y473" s="200"/>
      <c r="Z473" s="200"/>
      <c r="AA473" s="522"/>
      <c r="AB473" s="200"/>
      <c r="AC473" s="223"/>
      <c r="AD473" s="223"/>
      <c r="AE473" s="223"/>
      <c r="AF473" s="223"/>
      <c r="AG473" s="223"/>
      <c r="AH473" s="223"/>
      <c r="AI473" s="200"/>
      <c r="AJ473" s="200"/>
      <c r="AK473" s="522"/>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2"/>
      <c r="BF473" s="200"/>
      <c r="BG473" s="223"/>
      <c r="BH473" s="223"/>
      <c r="BI473" s="223"/>
      <c r="BJ473" s="223"/>
      <c r="BK473" s="223"/>
      <c r="BL473" s="223"/>
      <c r="BM473" s="200"/>
      <c r="BN473" s="200"/>
      <c r="BO473" s="522"/>
      <c r="BP473" s="200"/>
      <c r="BQ473" s="223"/>
      <c r="BR473" s="223"/>
      <c r="BS473" s="223"/>
      <c r="BT473" s="223"/>
      <c r="BU473" s="223"/>
      <c r="BV473" s="223"/>
      <c r="BW473" s="223"/>
      <c r="BX473" s="200"/>
      <c r="BY473" s="522"/>
      <c r="BZ473" s="200"/>
      <c r="CA473" s="223"/>
      <c r="CB473" s="223"/>
      <c r="CC473" s="223"/>
      <c r="CD473" s="223"/>
      <c r="CE473" s="223"/>
      <c r="CF473" s="223"/>
      <c r="CG473" s="200"/>
      <c r="CH473" s="200"/>
      <c r="CI473" s="522"/>
      <c r="CJ473" s="200"/>
      <c r="CK473" s="223"/>
      <c r="CL473" s="223"/>
      <c r="CM473" s="223"/>
      <c r="CN473" s="223"/>
      <c r="CO473" s="223"/>
      <c r="CP473" s="223"/>
      <c r="CQ473" s="200"/>
      <c r="CR473" s="200"/>
      <c r="CS473" s="522"/>
      <c r="CT473" s="200"/>
      <c r="CU473" s="223"/>
      <c r="CV473" s="223"/>
      <c r="CW473" s="223"/>
      <c r="CX473" s="223"/>
      <c r="CY473" s="223"/>
      <c r="CZ473" s="223"/>
      <c r="DA473" s="223"/>
      <c r="DB473" s="200"/>
      <c r="DC473" s="522"/>
      <c r="DD473" s="200"/>
      <c r="DE473" s="223"/>
      <c r="DF473" s="223"/>
      <c r="DG473" s="223"/>
      <c r="DH473" s="223"/>
      <c r="DI473" s="223"/>
      <c r="DJ473" s="223"/>
      <c r="DK473" s="200"/>
      <c r="DL473" s="200"/>
      <c r="DM473" s="522"/>
      <c r="DN473" s="200"/>
      <c r="DO473" s="223"/>
      <c r="DP473" s="223"/>
      <c r="DQ473" s="223"/>
      <c r="DR473" s="223"/>
      <c r="DS473" s="223"/>
      <c r="DT473" s="223"/>
      <c r="DU473" s="200"/>
      <c r="DV473" s="200"/>
      <c r="DW473" s="522"/>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2"/>
      <c r="R474" s="200"/>
      <c r="S474" s="223"/>
      <c r="T474" s="223"/>
      <c r="U474" s="223"/>
      <c r="V474" s="223"/>
      <c r="W474" s="223"/>
      <c r="X474" s="223"/>
      <c r="Y474" s="200"/>
      <c r="Z474" s="200"/>
      <c r="AA474" s="522"/>
      <c r="AB474" s="200"/>
      <c r="AC474" s="223"/>
      <c r="AD474" s="223"/>
      <c r="AE474" s="223"/>
      <c r="AF474" s="223"/>
      <c r="AG474" s="223"/>
      <c r="AH474" s="223"/>
      <c r="AI474" s="200"/>
      <c r="AJ474" s="200"/>
      <c r="AK474" s="522"/>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2"/>
      <c r="BF474" s="200"/>
      <c r="BG474" s="223"/>
      <c r="BH474" s="223"/>
      <c r="BI474" s="223"/>
      <c r="BJ474" s="223"/>
      <c r="BK474" s="223"/>
      <c r="BL474" s="223"/>
      <c r="BM474" s="200"/>
      <c r="BN474" s="200"/>
      <c r="BO474" s="522"/>
      <c r="BP474" s="200"/>
      <c r="BQ474" s="223"/>
      <c r="BR474" s="223"/>
      <c r="BS474" s="223"/>
      <c r="BT474" s="223"/>
      <c r="BU474" s="223"/>
      <c r="BV474" s="223"/>
      <c r="BW474" s="223"/>
      <c r="BX474" s="200"/>
      <c r="BY474" s="522"/>
      <c r="BZ474" s="200"/>
      <c r="CA474" s="223"/>
      <c r="CB474" s="223"/>
      <c r="CC474" s="223"/>
      <c r="CD474" s="223"/>
      <c r="CE474" s="223"/>
      <c r="CF474" s="223"/>
      <c r="CG474" s="200"/>
      <c r="CH474" s="200"/>
      <c r="CI474" s="522"/>
      <c r="CJ474" s="200"/>
      <c r="CK474" s="223"/>
      <c r="CL474" s="223"/>
      <c r="CM474" s="223"/>
      <c r="CN474" s="223"/>
      <c r="CO474" s="223"/>
      <c r="CP474" s="223"/>
      <c r="CQ474" s="200"/>
      <c r="CR474" s="200"/>
      <c r="CS474" s="522"/>
      <c r="CT474" s="200"/>
      <c r="CU474" s="223"/>
      <c r="CV474" s="223"/>
      <c r="CW474" s="223"/>
      <c r="CX474" s="223"/>
      <c r="CY474" s="223"/>
      <c r="CZ474" s="223"/>
      <c r="DA474" s="223"/>
      <c r="DB474" s="200"/>
      <c r="DC474" s="522"/>
      <c r="DD474" s="200"/>
      <c r="DE474" s="223"/>
      <c r="DF474" s="223"/>
      <c r="DG474" s="223"/>
      <c r="DH474" s="223"/>
      <c r="DI474" s="223"/>
      <c r="DJ474" s="223"/>
      <c r="DK474" s="200"/>
      <c r="DL474" s="200"/>
      <c r="DM474" s="522"/>
      <c r="DN474" s="200"/>
      <c r="DO474" s="223"/>
      <c r="DP474" s="223"/>
      <c r="DQ474" s="223"/>
      <c r="DR474" s="223"/>
      <c r="DS474" s="223"/>
      <c r="DT474" s="223"/>
      <c r="DU474" s="200"/>
      <c r="DV474" s="200"/>
      <c r="DW474" s="522"/>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2"/>
      <c r="R475" s="200"/>
      <c r="S475" s="223"/>
      <c r="T475" s="223"/>
      <c r="U475" s="223"/>
      <c r="V475" s="223"/>
      <c r="W475" s="223"/>
      <c r="X475" s="223"/>
      <c r="Y475" s="200"/>
      <c r="Z475" s="200"/>
      <c r="AA475" s="522"/>
      <c r="AB475" s="200"/>
      <c r="AC475" s="223"/>
      <c r="AD475" s="223"/>
      <c r="AE475" s="223"/>
      <c r="AF475" s="223"/>
      <c r="AG475" s="223"/>
      <c r="AH475" s="223"/>
      <c r="AI475" s="200"/>
      <c r="AJ475" s="200"/>
      <c r="AK475" s="522"/>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2"/>
      <c r="BF475" s="200"/>
      <c r="BG475" s="223"/>
      <c r="BH475" s="223"/>
      <c r="BI475" s="223"/>
      <c r="BJ475" s="223"/>
      <c r="BK475" s="223"/>
      <c r="BL475" s="223"/>
      <c r="BM475" s="200"/>
      <c r="BN475" s="200"/>
      <c r="BO475" s="522"/>
      <c r="BP475" s="200"/>
      <c r="BQ475" s="223"/>
      <c r="BR475" s="223"/>
      <c r="BS475" s="223"/>
      <c r="BT475" s="223"/>
      <c r="BU475" s="223"/>
      <c r="BV475" s="223"/>
      <c r="BW475" s="223"/>
      <c r="BX475" s="200"/>
      <c r="BY475" s="522"/>
      <c r="BZ475" s="200"/>
      <c r="CA475" s="223"/>
      <c r="CB475" s="223"/>
      <c r="CC475" s="223"/>
      <c r="CD475" s="223"/>
      <c r="CE475" s="223"/>
      <c r="CF475" s="223"/>
      <c r="CG475" s="200"/>
      <c r="CH475" s="200"/>
      <c r="CI475" s="522"/>
      <c r="CJ475" s="200"/>
      <c r="CK475" s="223"/>
      <c r="CL475" s="223"/>
      <c r="CM475" s="223"/>
      <c r="CN475" s="223"/>
      <c r="CO475" s="223"/>
      <c r="CP475" s="223"/>
      <c r="CQ475" s="200"/>
      <c r="CR475" s="200"/>
      <c r="CS475" s="522"/>
      <c r="CT475" s="200"/>
      <c r="CU475" s="223"/>
      <c r="CV475" s="223"/>
      <c r="CW475" s="223"/>
      <c r="CX475" s="223"/>
      <c r="CY475" s="223"/>
      <c r="CZ475" s="223"/>
      <c r="DA475" s="223"/>
      <c r="DB475" s="200"/>
      <c r="DC475" s="522"/>
      <c r="DD475" s="200"/>
      <c r="DE475" s="223"/>
      <c r="DF475" s="223"/>
      <c r="DG475" s="223"/>
      <c r="DH475" s="223"/>
      <c r="DI475" s="223"/>
      <c r="DJ475" s="223"/>
      <c r="DK475" s="200"/>
      <c r="DL475" s="200"/>
      <c r="DM475" s="522"/>
      <c r="DN475" s="200"/>
      <c r="DO475" s="223"/>
      <c r="DP475" s="223"/>
      <c r="DQ475" s="223"/>
      <c r="DR475" s="223"/>
      <c r="DS475" s="223"/>
      <c r="DT475" s="223"/>
      <c r="DU475" s="200"/>
      <c r="DV475" s="200"/>
      <c r="DW475" s="522"/>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2"/>
      <c r="R476" s="200"/>
      <c r="S476" s="223"/>
      <c r="T476" s="223"/>
      <c r="U476" s="223"/>
      <c r="V476" s="223"/>
      <c r="W476" s="223"/>
      <c r="X476" s="223"/>
      <c r="Y476" s="200"/>
      <c r="Z476" s="200"/>
      <c r="AA476" s="522"/>
      <c r="AB476" s="200"/>
      <c r="AC476" s="223"/>
      <c r="AD476" s="223"/>
      <c r="AE476" s="223"/>
      <c r="AF476" s="223"/>
      <c r="AG476" s="223"/>
      <c r="AH476" s="223"/>
      <c r="AI476" s="200"/>
      <c r="AJ476" s="200"/>
      <c r="AK476" s="522"/>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2"/>
      <c r="BF476" s="200"/>
      <c r="BG476" s="223"/>
      <c r="BH476" s="223"/>
      <c r="BI476" s="223"/>
      <c r="BJ476" s="223"/>
      <c r="BK476" s="223"/>
      <c r="BL476" s="223"/>
      <c r="BM476" s="200"/>
      <c r="BN476" s="200"/>
      <c r="BO476" s="522"/>
      <c r="BP476" s="200"/>
      <c r="BQ476" s="223"/>
      <c r="BR476" s="223"/>
      <c r="BS476" s="223"/>
      <c r="BT476" s="223"/>
      <c r="BU476" s="223"/>
      <c r="BV476" s="223"/>
      <c r="BW476" s="223"/>
      <c r="BX476" s="200"/>
      <c r="BY476" s="522"/>
      <c r="BZ476" s="200"/>
      <c r="CA476" s="223"/>
      <c r="CB476" s="223"/>
      <c r="CC476" s="223"/>
      <c r="CD476" s="223"/>
      <c r="CE476" s="223"/>
      <c r="CF476" s="223"/>
      <c r="CG476" s="200"/>
      <c r="CH476" s="200"/>
      <c r="CI476" s="522"/>
      <c r="CJ476" s="200"/>
      <c r="CK476" s="223"/>
      <c r="CL476" s="223"/>
      <c r="CM476" s="223"/>
      <c r="CN476" s="223"/>
      <c r="CO476" s="223"/>
      <c r="CP476" s="223"/>
      <c r="CQ476" s="200"/>
      <c r="CR476" s="200"/>
      <c r="CS476" s="522"/>
      <c r="CT476" s="200"/>
      <c r="CU476" s="223"/>
      <c r="CV476" s="223"/>
      <c r="CW476" s="223"/>
      <c r="CX476" s="223"/>
      <c r="CY476" s="223"/>
      <c r="CZ476" s="223"/>
      <c r="DA476" s="223"/>
      <c r="DB476" s="200"/>
      <c r="DC476" s="522"/>
      <c r="DD476" s="200"/>
      <c r="DE476" s="223"/>
      <c r="DF476" s="223"/>
      <c r="DG476" s="223"/>
      <c r="DH476" s="223"/>
      <c r="DI476" s="223"/>
      <c r="DJ476" s="223"/>
      <c r="DK476" s="200"/>
      <c r="DL476" s="200"/>
      <c r="DM476" s="522"/>
      <c r="DN476" s="200"/>
      <c r="DO476" s="223"/>
      <c r="DP476" s="223"/>
      <c r="DQ476" s="223"/>
      <c r="DR476" s="223"/>
      <c r="DS476" s="223"/>
      <c r="DT476" s="223"/>
      <c r="DU476" s="200"/>
      <c r="DV476" s="200"/>
      <c r="DW476" s="522"/>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2"/>
      <c r="R477" s="200"/>
      <c r="S477" s="223"/>
      <c r="T477" s="223"/>
      <c r="U477" s="223"/>
      <c r="V477" s="223"/>
      <c r="W477" s="223"/>
      <c r="X477" s="223"/>
      <c r="Y477" s="200"/>
      <c r="Z477" s="200"/>
      <c r="AA477" s="522"/>
      <c r="AB477" s="200"/>
      <c r="AC477" s="223"/>
      <c r="AD477" s="223"/>
      <c r="AE477" s="223"/>
      <c r="AF477" s="223"/>
      <c r="AG477" s="223"/>
      <c r="AH477" s="223"/>
      <c r="AI477" s="200"/>
      <c r="AJ477" s="200"/>
      <c r="AK477" s="522"/>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2"/>
      <c r="BF477" s="200"/>
      <c r="BG477" s="223"/>
      <c r="BH477" s="223"/>
      <c r="BI477" s="223"/>
      <c r="BJ477" s="223"/>
      <c r="BK477" s="223"/>
      <c r="BL477" s="223"/>
      <c r="BM477" s="200"/>
      <c r="BN477" s="200"/>
      <c r="BO477" s="522"/>
      <c r="BP477" s="200"/>
      <c r="BQ477" s="223"/>
      <c r="BR477" s="223"/>
      <c r="BS477" s="223"/>
      <c r="BT477" s="223"/>
      <c r="BU477" s="223"/>
      <c r="BV477" s="223"/>
      <c r="BW477" s="223"/>
      <c r="BX477" s="200"/>
      <c r="BY477" s="522"/>
      <c r="BZ477" s="200"/>
      <c r="CA477" s="223"/>
      <c r="CB477" s="223"/>
      <c r="CC477" s="223"/>
      <c r="CD477" s="223"/>
      <c r="CE477" s="223"/>
      <c r="CF477" s="223"/>
      <c r="CG477" s="200"/>
      <c r="CH477" s="200"/>
      <c r="CI477" s="522"/>
      <c r="CJ477" s="200"/>
      <c r="CK477" s="223"/>
      <c r="CL477" s="223"/>
      <c r="CM477" s="223"/>
      <c r="CN477" s="223"/>
      <c r="CO477" s="223"/>
      <c r="CP477" s="223"/>
      <c r="CQ477" s="200"/>
      <c r="CR477" s="200"/>
      <c r="CS477" s="522"/>
      <c r="CT477" s="200"/>
      <c r="CU477" s="223"/>
      <c r="CV477" s="223"/>
      <c r="CW477" s="223"/>
      <c r="CX477" s="223"/>
      <c r="CY477" s="223"/>
      <c r="CZ477" s="223"/>
      <c r="DA477" s="223"/>
      <c r="DB477" s="200"/>
      <c r="DC477" s="522"/>
      <c r="DD477" s="200"/>
      <c r="DE477" s="223"/>
      <c r="DF477" s="223"/>
      <c r="DG477" s="223"/>
      <c r="DH477" s="223"/>
      <c r="DI477" s="223"/>
      <c r="DJ477" s="223"/>
      <c r="DK477" s="200"/>
      <c r="DL477" s="200"/>
      <c r="DM477" s="522"/>
      <c r="DN477" s="200"/>
      <c r="DO477" s="223"/>
      <c r="DP477" s="223"/>
      <c r="DQ477" s="223"/>
      <c r="DR477" s="223"/>
      <c r="DS477" s="223"/>
      <c r="DT477" s="223"/>
      <c r="DU477" s="200"/>
      <c r="DV477" s="200"/>
      <c r="DW477" s="522"/>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2"/>
      <c r="R478" s="200"/>
      <c r="S478" s="223"/>
      <c r="T478" s="223"/>
      <c r="U478" s="223"/>
      <c r="V478" s="223"/>
      <c r="W478" s="223"/>
      <c r="X478" s="223"/>
      <c r="Y478" s="200"/>
      <c r="Z478" s="200"/>
      <c r="AA478" s="522"/>
      <c r="AB478" s="200"/>
      <c r="AC478" s="223"/>
      <c r="AD478" s="223"/>
      <c r="AE478" s="223"/>
      <c r="AF478" s="223"/>
      <c r="AG478" s="223"/>
      <c r="AH478" s="223"/>
      <c r="AI478" s="200"/>
      <c r="AJ478" s="200"/>
      <c r="AK478" s="522"/>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2"/>
      <c r="BF478" s="200"/>
      <c r="BG478" s="223"/>
      <c r="BH478" s="223"/>
      <c r="BI478" s="223"/>
      <c r="BJ478" s="223"/>
      <c r="BK478" s="223"/>
      <c r="BL478" s="223"/>
      <c r="BM478" s="200"/>
      <c r="BN478" s="200"/>
      <c r="BO478" s="522"/>
      <c r="BP478" s="200"/>
      <c r="BQ478" s="223"/>
      <c r="BR478" s="223"/>
      <c r="BS478" s="223"/>
      <c r="BT478" s="223"/>
      <c r="BU478" s="223"/>
      <c r="BV478" s="223"/>
      <c r="BW478" s="223"/>
      <c r="BX478" s="200"/>
      <c r="BY478" s="522"/>
      <c r="BZ478" s="200"/>
      <c r="CA478" s="223"/>
      <c r="CB478" s="223"/>
      <c r="CC478" s="223"/>
      <c r="CD478" s="223"/>
      <c r="CE478" s="223"/>
      <c r="CF478" s="223"/>
      <c r="CG478" s="200"/>
      <c r="CH478" s="200"/>
      <c r="CI478" s="522"/>
      <c r="CJ478" s="200"/>
      <c r="CK478" s="223"/>
      <c r="CL478" s="223"/>
      <c r="CM478" s="223"/>
      <c r="CN478" s="223"/>
      <c r="CO478" s="223"/>
      <c r="CP478" s="223"/>
      <c r="CQ478" s="200"/>
      <c r="CR478" s="200"/>
      <c r="CS478" s="522"/>
      <c r="CT478" s="200"/>
      <c r="CU478" s="223"/>
      <c r="CV478" s="223"/>
      <c r="CW478" s="223"/>
      <c r="CX478" s="223"/>
      <c r="CY478" s="223"/>
      <c r="CZ478" s="223"/>
      <c r="DA478" s="223"/>
      <c r="DB478" s="200"/>
      <c r="DC478" s="522"/>
      <c r="DD478" s="200"/>
      <c r="DE478" s="223"/>
      <c r="DF478" s="223"/>
      <c r="DG478" s="223"/>
      <c r="DH478" s="223"/>
      <c r="DI478" s="223"/>
      <c r="DJ478" s="223"/>
      <c r="DK478" s="200"/>
      <c r="DL478" s="200"/>
      <c r="DM478" s="522"/>
      <c r="DN478" s="200"/>
      <c r="DO478" s="223"/>
      <c r="DP478" s="223"/>
      <c r="DQ478" s="223"/>
      <c r="DR478" s="223"/>
      <c r="DS478" s="223"/>
      <c r="DT478" s="223"/>
      <c r="DU478" s="200"/>
      <c r="DV478" s="200"/>
      <c r="DW478" s="522"/>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2"/>
      <c r="R479" s="200"/>
      <c r="S479" s="223"/>
      <c r="T479" s="223"/>
      <c r="U479" s="223"/>
      <c r="V479" s="223"/>
      <c r="W479" s="223"/>
      <c r="X479" s="223"/>
      <c r="Y479" s="200"/>
      <c r="Z479" s="200"/>
      <c r="AA479" s="522"/>
      <c r="AB479" s="200"/>
      <c r="AC479" s="223"/>
      <c r="AD479" s="223"/>
      <c r="AE479" s="223"/>
      <c r="AF479" s="223"/>
      <c r="AG479" s="223"/>
      <c r="AH479" s="223"/>
      <c r="AI479" s="200"/>
      <c r="AJ479" s="200"/>
      <c r="AK479" s="522"/>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2"/>
      <c r="BF479" s="200"/>
      <c r="BG479" s="223"/>
      <c r="BH479" s="223"/>
      <c r="BI479" s="223"/>
      <c r="BJ479" s="223"/>
      <c r="BK479" s="223"/>
      <c r="BL479" s="223"/>
      <c r="BM479" s="200"/>
      <c r="BN479" s="200"/>
      <c r="BO479" s="522"/>
      <c r="BP479" s="200"/>
      <c r="BQ479" s="223"/>
      <c r="BR479" s="223"/>
      <c r="BS479" s="223"/>
      <c r="BT479" s="223"/>
      <c r="BU479" s="223"/>
      <c r="BV479" s="223"/>
      <c r="BW479" s="223"/>
      <c r="BX479" s="200"/>
      <c r="BY479" s="522"/>
      <c r="BZ479" s="200"/>
      <c r="CA479" s="223"/>
      <c r="CB479" s="223"/>
      <c r="CC479" s="223"/>
      <c r="CD479" s="223"/>
      <c r="CE479" s="223"/>
      <c r="CF479" s="223"/>
      <c r="CG479" s="200"/>
      <c r="CH479" s="200"/>
      <c r="CI479" s="522"/>
      <c r="CJ479" s="200"/>
      <c r="CK479" s="223"/>
      <c r="CL479" s="223"/>
      <c r="CM479" s="223"/>
      <c r="CN479" s="223"/>
      <c r="CO479" s="223"/>
      <c r="CP479" s="223"/>
      <c r="CQ479" s="200"/>
      <c r="CR479" s="200"/>
      <c r="CS479" s="522"/>
      <c r="CT479" s="200"/>
      <c r="CU479" s="223"/>
      <c r="CV479" s="223"/>
      <c r="CW479" s="223"/>
      <c r="CX479" s="223"/>
      <c r="CY479" s="223"/>
      <c r="CZ479" s="223"/>
      <c r="DA479" s="223"/>
      <c r="DB479" s="200"/>
      <c r="DC479" s="522"/>
      <c r="DD479" s="200"/>
      <c r="DE479" s="223"/>
      <c r="DF479" s="223"/>
      <c r="DG479" s="223"/>
      <c r="DH479" s="223"/>
      <c r="DI479" s="223"/>
      <c r="DJ479" s="223"/>
      <c r="DK479" s="200"/>
      <c r="DL479" s="200"/>
      <c r="DM479" s="522"/>
      <c r="DN479" s="200"/>
      <c r="DO479" s="223"/>
      <c r="DP479" s="223"/>
      <c r="DQ479" s="223"/>
      <c r="DR479" s="223"/>
      <c r="DS479" s="223"/>
      <c r="DT479" s="223"/>
      <c r="DU479" s="200"/>
      <c r="DV479" s="200"/>
      <c r="DW479" s="522"/>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2"/>
      <c r="R480" s="200"/>
      <c r="S480" s="223"/>
      <c r="T480" s="223"/>
      <c r="U480" s="223"/>
      <c r="V480" s="223"/>
      <c r="W480" s="223"/>
      <c r="X480" s="223"/>
      <c r="Y480" s="200"/>
      <c r="Z480" s="200"/>
      <c r="AA480" s="522"/>
      <c r="AB480" s="200"/>
      <c r="AC480" s="223"/>
      <c r="AD480" s="223"/>
      <c r="AE480" s="223"/>
      <c r="AF480" s="223"/>
      <c r="AG480" s="223"/>
      <c r="AH480" s="223"/>
      <c r="AI480" s="200"/>
      <c r="AJ480" s="200"/>
      <c r="AK480" s="522"/>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2"/>
      <c r="BF480" s="200"/>
      <c r="BG480" s="223"/>
      <c r="BH480" s="223"/>
      <c r="BI480" s="223"/>
      <c r="BJ480" s="223"/>
      <c r="BK480" s="223"/>
      <c r="BL480" s="223"/>
      <c r="BM480" s="200"/>
      <c r="BN480" s="200"/>
      <c r="BO480" s="522"/>
      <c r="BP480" s="200"/>
      <c r="BQ480" s="223"/>
      <c r="BR480" s="223"/>
      <c r="BS480" s="223"/>
      <c r="BT480" s="223"/>
      <c r="BU480" s="223"/>
      <c r="BV480" s="223"/>
      <c r="BW480" s="223"/>
      <c r="BX480" s="200"/>
      <c r="BY480" s="522"/>
      <c r="BZ480" s="200"/>
      <c r="CA480" s="223"/>
      <c r="CB480" s="223"/>
      <c r="CC480" s="223"/>
      <c r="CD480" s="223"/>
      <c r="CE480" s="223"/>
      <c r="CF480" s="223"/>
      <c r="CG480" s="200"/>
      <c r="CH480" s="200"/>
      <c r="CI480" s="522"/>
      <c r="CJ480" s="200"/>
      <c r="CK480" s="223"/>
      <c r="CL480" s="223"/>
      <c r="CM480" s="223"/>
      <c r="CN480" s="223"/>
      <c r="CO480" s="223"/>
      <c r="CP480" s="223"/>
      <c r="CQ480" s="200"/>
      <c r="CR480" s="200"/>
      <c r="CS480" s="522"/>
      <c r="CT480" s="200"/>
      <c r="CU480" s="223"/>
      <c r="CV480" s="223"/>
      <c r="CW480" s="223"/>
      <c r="CX480" s="223"/>
      <c r="CY480" s="223"/>
      <c r="CZ480" s="223"/>
      <c r="DA480" s="223"/>
      <c r="DB480" s="200"/>
      <c r="DC480" s="522"/>
      <c r="DD480" s="200"/>
      <c r="DE480" s="223"/>
      <c r="DF480" s="223"/>
      <c r="DG480" s="223"/>
      <c r="DH480" s="223"/>
      <c r="DI480" s="223"/>
      <c r="DJ480" s="223"/>
      <c r="DK480" s="200"/>
      <c r="DL480" s="200"/>
      <c r="DM480" s="522"/>
      <c r="DN480" s="200"/>
      <c r="DO480" s="223"/>
      <c r="DP480" s="223"/>
      <c r="DQ480" s="223"/>
      <c r="DR480" s="223"/>
      <c r="DS480" s="223"/>
      <c r="DT480" s="223"/>
      <c r="DU480" s="200"/>
      <c r="DV480" s="200"/>
      <c r="DW480" s="522"/>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2"/>
      <c r="R481" s="200"/>
      <c r="S481" s="223"/>
      <c r="T481" s="223"/>
      <c r="U481" s="223"/>
      <c r="V481" s="223"/>
      <c r="W481" s="223"/>
      <c r="X481" s="223"/>
      <c r="Y481" s="200"/>
      <c r="Z481" s="200"/>
      <c r="AA481" s="522"/>
      <c r="AB481" s="200"/>
      <c r="AC481" s="223"/>
      <c r="AD481" s="223"/>
      <c r="AE481" s="223"/>
      <c r="AF481" s="223"/>
      <c r="AG481" s="223"/>
      <c r="AH481" s="223"/>
      <c r="AI481" s="200"/>
      <c r="AJ481" s="200"/>
      <c r="AK481" s="522"/>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2"/>
      <c r="BF481" s="200"/>
      <c r="BG481" s="223"/>
      <c r="BH481" s="223"/>
      <c r="BI481" s="223"/>
      <c r="BJ481" s="223"/>
      <c r="BK481" s="223"/>
      <c r="BL481" s="223"/>
      <c r="BM481" s="200"/>
      <c r="BN481" s="200"/>
      <c r="BO481" s="522"/>
      <c r="BP481" s="200"/>
      <c r="BQ481" s="223"/>
      <c r="BR481" s="223"/>
      <c r="BS481" s="223"/>
      <c r="BT481" s="223"/>
      <c r="BU481" s="223"/>
      <c r="BV481" s="223"/>
      <c r="BW481" s="223"/>
      <c r="BX481" s="200"/>
      <c r="BY481" s="522"/>
      <c r="BZ481" s="200"/>
      <c r="CA481" s="223"/>
      <c r="CB481" s="223"/>
      <c r="CC481" s="223"/>
      <c r="CD481" s="223"/>
      <c r="CE481" s="223"/>
      <c r="CF481" s="223"/>
      <c r="CG481" s="200"/>
      <c r="CH481" s="200"/>
      <c r="CI481" s="522"/>
      <c r="CJ481" s="200"/>
      <c r="CK481" s="223"/>
      <c r="CL481" s="223"/>
      <c r="CM481" s="223"/>
      <c r="CN481" s="223"/>
      <c r="CO481" s="223"/>
      <c r="CP481" s="223"/>
      <c r="CQ481" s="200"/>
      <c r="CR481" s="200"/>
      <c r="CS481" s="522"/>
      <c r="CT481" s="200"/>
      <c r="CU481" s="223"/>
      <c r="CV481" s="223"/>
      <c r="CW481" s="223"/>
      <c r="CX481" s="223"/>
      <c r="CY481" s="223"/>
      <c r="CZ481" s="223"/>
      <c r="DA481" s="223"/>
      <c r="DB481" s="200"/>
      <c r="DC481" s="522"/>
      <c r="DD481" s="200"/>
      <c r="DE481" s="223"/>
      <c r="DF481" s="223"/>
      <c r="DG481" s="223"/>
      <c r="DH481" s="223"/>
      <c r="DI481" s="223"/>
      <c r="DJ481" s="223"/>
      <c r="DK481" s="200"/>
      <c r="DL481" s="200"/>
      <c r="DM481" s="522"/>
      <c r="DN481" s="200"/>
      <c r="DO481" s="223"/>
      <c r="DP481" s="223"/>
      <c r="DQ481" s="223"/>
      <c r="DR481" s="223"/>
      <c r="DS481" s="223"/>
      <c r="DT481" s="223"/>
      <c r="DU481" s="200"/>
      <c r="DV481" s="200"/>
      <c r="DW481" s="522"/>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2"/>
      <c r="R482" s="200"/>
      <c r="S482" s="223"/>
      <c r="T482" s="223"/>
      <c r="U482" s="223"/>
      <c r="V482" s="223"/>
      <c r="W482" s="223"/>
      <c r="X482" s="223"/>
      <c r="Y482" s="200"/>
      <c r="Z482" s="200"/>
      <c r="AA482" s="522"/>
      <c r="AB482" s="200"/>
      <c r="AC482" s="223"/>
      <c r="AD482" s="223"/>
      <c r="AE482" s="223"/>
      <c r="AF482" s="223"/>
      <c r="AG482" s="223"/>
      <c r="AH482" s="223"/>
      <c r="AI482" s="200"/>
      <c r="AJ482" s="200"/>
      <c r="AK482" s="522"/>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2"/>
      <c r="BF482" s="200"/>
      <c r="BG482" s="223"/>
      <c r="BH482" s="223"/>
      <c r="BI482" s="223"/>
      <c r="BJ482" s="223"/>
      <c r="BK482" s="223"/>
      <c r="BL482" s="223"/>
      <c r="BM482" s="200"/>
      <c r="BN482" s="200"/>
      <c r="BO482" s="522"/>
      <c r="BP482" s="200"/>
      <c r="BQ482" s="223"/>
      <c r="BR482" s="223"/>
      <c r="BS482" s="223"/>
      <c r="BT482" s="223"/>
      <c r="BU482" s="223"/>
      <c r="BV482" s="223"/>
      <c r="BW482" s="223"/>
      <c r="BX482" s="200"/>
      <c r="BY482" s="522"/>
      <c r="BZ482" s="200"/>
      <c r="CA482" s="223"/>
      <c r="CB482" s="223"/>
      <c r="CC482" s="223"/>
      <c r="CD482" s="223"/>
      <c r="CE482" s="223"/>
      <c r="CF482" s="223"/>
      <c r="CG482" s="200"/>
      <c r="CH482" s="200"/>
      <c r="CI482" s="522"/>
      <c r="CJ482" s="200"/>
      <c r="CK482" s="223"/>
      <c r="CL482" s="223"/>
      <c r="CM482" s="223"/>
      <c r="CN482" s="223"/>
      <c r="CO482" s="223"/>
      <c r="CP482" s="223"/>
      <c r="CQ482" s="200"/>
      <c r="CR482" s="200"/>
      <c r="CS482" s="522"/>
      <c r="CT482" s="200"/>
      <c r="CU482" s="223"/>
      <c r="CV482" s="223"/>
      <c r="CW482" s="223"/>
      <c r="CX482" s="223"/>
      <c r="CY482" s="223"/>
      <c r="CZ482" s="223"/>
      <c r="DA482" s="223"/>
      <c r="DB482" s="200"/>
      <c r="DC482" s="522"/>
      <c r="DD482" s="200"/>
      <c r="DE482" s="223"/>
      <c r="DF482" s="223"/>
      <c r="DG482" s="223"/>
      <c r="DH482" s="223"/>
      <c r="DI482" s="223"/>
      <c r="DJ482" s="223"/>
      <c r="DK482" s="200"/>
      <c r="DL482" s="200"/>
      <c r="DM482" s="522"/>
      <c r="DN482" s="200"/>
      <c r="DO482" s="223"/>
      <c r="DP482" s="223"/>
      <c r="DQ482" s="223"/>
      <c r="DR482" s="223"/>
      <c r="DS482" s="223"/>
      <c r="DT482" s="223"/>
      <c r="DU482" s="200"/>
      <c r="DV482" s="200"/>
      <c r="DW482" s="522"/>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2"/>
      <c r="R483" s="200"/>
      <c r="S483" s="223"/>
      <c r="T483" s="223"/>
      <c r="U483" s="223"/>
      <c r="V483" s="223"/>
      <c r="W483" s="223"/>
      <c r="X483" s="223"/>
      <c r="Y483" s="200"/>
      <c r="Z483" s="200"/>
      <c r="AA483" s="522"/>
      <c r="AB483" s="200"/>
      <c r="AC483" s="223"/>
      <c r="AD483" s="223"/>
      <c r="AE483" s="223"/>
      <c r="AF483" s="223"/>
      <c r="AG483" s="223"/>
      <c r="AH483" s="223"/>
      <c r="AI483" s="200"/>
      <c r="AJ483" s="200"/>
      <c r="AK483" s="522"/>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2"/>
      <c r="BF483" s="200"/>
      <c r="BG483" s="223"/>
      <c r="BH483" s="223"/>
      <c r="BI483" s="223"/>
      <c r="BJ483" s="223"/>
      <c r="BK483" s="223"/>
      <c r="BL483" s="223"/>
      <c r="BM483" s="200"/>
      <c r="BN483" s="200"/>
      <c r="BO483" s="522"/>
      <c r="BP483" s="200"/>
      <c r="BQ483" s="223"/>
      <c r="BR483" s="223"/>
      <c r="BS483" s="223"/>
      <c r="BT483" s="223"/>
      <c r="BU483" s="223"/>
      <c r="BV483" s="223"/>
      <c r="BW483" s="223"/>
      <c r="BX483" s="200"/>
      <c r="BY483" s="522"/>
      <c r="BZ483" s="200"/>
      <c r="CA483" s="223"/>
      <c r="CB483" s="223"/>
      <c r="CC483" s="223"/>
      <c r="CD483" s="223"/>
      <c r="CE483" s="223"/>
      <c r="CF483" s="223"/>
      <c r="CG483" s="200"/>
      <c r="CH483" s="200"/>
      <c r="CI483" s="522"/>
      <c r="CJ483" s="200"/>
      <c r="CK483" s="223"/>
      <c r="CL483" s="223"/>
      <c r="CM483" s="223"/>
      <c r="CN483" s="223"/>
      <c r="CO483" s="223"/>
      <c r="CP483" s="223"/>
      <c r="CQ483" s="200"/>
      <c r="CR483" s="200"/>
      <c r="CS483" s="522"/>
      <c r="CT483" s="200"/>
      <c r="CU483" s="223"/>
      <c r="CV483" s="223"/>
      <c r="CW483" s="223"/>
      <c r="CX483" s="223"/>
      <c r="CY483" s="223"/>
      <c r="CZ483" s="223"/>
      <c r="DA483" s="223"/>
      <c r="DB483" s="200"/>
      <c r="DC483" s="522"/>
      <c r="DD483" s="200"/>
      <c r="DE483" s="223"/>
      <c r="DF483" s="223"/>
      <c r="DG483" s="223"/>
      <c r="DH483" s="223"/>
      <c r="DI483" s="223"/>
      <c r="DJ483" s="223"/>
      <c r="DK483" s="200"/>
      <c r="DL483" s="200"/>
      <c r="DM483" s="522"/>
      <c r="DN483" s="200"/>
      <c r="DO483" s="223"/>
      <c r="DP483" s="223"/>
      <c r="DQ483" s="223"/>
      <c r="DR483" s="223"/>
      <c r="DS483" s="223"/>
      <c r="DT483" s="223"/>
      <c r="DU483" s="200"/>
      <c r="DV483" s="200"/>
      <c r="DW483" s="522"/>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2"/>
      <c r="R484" s="200"/>
      <c r="S484" s="223"/>
      <c r="T484" s="223"/>
      <c r="U484" s="223"/>
      <c r="V484" s="223"/>
      <c r="W484" s="223"/>
      <c r="X484" s="223"/>
      <c r="Y484" s="200"/>
      <c r="Z484" s="200"/>
      <c r="AA484" s="522"/>
      <c r="AB484" s="200"/>
      <c r="AC484" s="223"/>
      <c r="AD484" s="223"/>
      <c r="AE484" s="223"/>
      <c r="AF484" s="223"/>
      <c r="AG484" s="223"/>
      <c r="AH484" s="223"/>
      <c r="AI484" s="200"/>
      <c r="AJ484" s="200"/>
      <c r="AK484" s="522"/>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2"/>
      <c r="BF484" s="200"/>
      <c r="BG484" s="223"/>
      <c r="BH484" s="223"/>
      <c r="BI484" s="223"/>
      <c r="BJ484" s="223"/>
      <c r="BK484" s="223"/>
      <c r="BL484" s="223"/>
      <c r="BM484" s="200"/>
      <c r="BN484" s="200"/>
      <c r="BO484" s="522"/>
      <c r="BP484" s="200"/>
      <c r="BQ484" s="223"/>
      <c r="BR484" s="223"/>
      <c r="BS484" s="223"/>
      <c r="BT484" s="223"/>
      <c r="BU484" s="223"/>
      <c r="BV484" s="223"/>
      <c r="BW484" s="223"/>
      <c r="BX484" s="200"/>
      <c r="BY484" s="522"/>
      <c r="BZ484" s="200"/>
      <c r="CA484" s="223"/>
      <c r="CB484" s="223"/>
      <c r="CC484" s="223"/>
      <c r="CD484" s="223"/>
      <c r="CE484" s="223"/>
      <c r="CF484" s="223"/>
      <c r="CG484" s="200"/>
      <c r="CH484" s="200"/>
      <c r="CI484" s="522"/>
      <c r="CJ484" s="200"/>
      <c r="CK484" s="223"/>
      <c r="CL484" s="223"/>
      <c r="CM484" s="223"/>
      <c r="CN484" s="223"/>
      <c r="CO484" s="223"/>
      <c r="CP484" s="223"/>
      <c r="CQ484" s="200"/>
      <c r="CR484" s="200"/>
      <c r="CS484" s="522"/>
      <c r="CT484" s="200"/>
      <c r="CU484" s="223"/>
      <c r="CV484" s="223"/>
      <c r="CW484" s="223"/>
      <c r="CX484" s="223"/>
      <c r="CY484" s="223"/>
      <c r="CZ484" s="223"/>
      <c r="DA484" s="223"/>
      <c r="DB484" s="200"/>
      <c r="DC484" s="522"/>
      <c r="DD484" s="200"/>
      <c r="DE484" s="223"/>
      <c r="DF484" s="223"/>
      <c r="DG484" s="223"/>
      <c r="DH484" s="223"/>
      <c r="DI484" s="223"/>
      <c r="DJ484" s="223"/>
      <c r="DK484" s="200"/>
      <c r="DL484" s="200"/>
      <c r="DM484" s="522"/>
      <c r="DN484" s="200"/>
      <c r="DO484" s="223"/>
      <c r="DP484" s="223"/>
      <c r="DQ484" s="223"/>
      <c r="DR484" s="223"/>
      <c r="DS484" s="223"/>
      <c r="DT484" s="223"/>
      <c r="DU484" s="200"/>
      <c r="DV484" s="200"/>
      <c r="DW484" s="522"/>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2"/>
      <c r="R485" s="200"/>
      <c r="S485" s="223"/>
      <c r="T485" s="223"/>
      <c r="U485" s="223"/>
      <c r="V485" s="223"/>
      <c r="W485" s="223"/>
      <c r="X485" s="223"/>
      <c r="Y485" s="200"/>
      <c r="Z485" s="200"/>
      <c r="AA485" s="522"/>
      <c r="AB485" s="200"/>
      <c r="AC485" s="223"/>
      <c r="AD485" s="223"/>
      <c r="AE485" s="223"/>
      <c r="AF485" s="223"/>
      <c r="AG485" s="223"/>
      <c r="AH485" s="223"/>
      <c r="AI485" s="200"/>
      <c r="AJ485" s="200"/>
      <c r="AK485" s="522"/>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2"/>
      <c r="BF485" s="200"/>
      <c r="BG485" s="223"/>
      <c r="BH485" s="223"/>
      <c r="BI485" s="223"/>
      <c r="BJ485" s="223"/>
      <c r="BK485" s="223"/>
      <c r="BL485" s="223"/>
      <c r="BM485" s="200"/>
      <c r="BN485" s="200"/>
      <c r="BO485" s="522"/>
      <c r="BP485" s="200"/>
      <c r="BQ485" s="223"/>
      <c r="BR485" s="223"/>
      <c r="BS485" s="223"/>
      <c r="BT485" s="223"/>
      <c r="BU485" s="223"/>
      <c r="BV485" s="223"/>
      <c r="BW485" s="223"/>
      <c r="BX485" s="200"/>
      <c r="BY485" s="522"/>
      <c r="BZ485" s="200"/>
      <c r="CA485" s="223"/>
      <c r="CB485" s="223"/>
      <c r="CC485" s="223"/>
      <c r="CD485" s="223"/>
      <c r="CE485" s="223"/>
      <c r="CF485" s="223"/>
      <c r="CG485" s="200"/>
      <c r="CH485" s="200"/>
      <c r="CI485" s="522"/>
      <c r="CJ485" s="200"/>
      <c r="CK485" s="223"/>
      <c r="CL485" s="223"/>
      <c r="CM485" s="223"/>
      <c r="CN485" s="223"/>
      <c r="CO485" s="223"/>
      <c r="CP485" s="223"/>
      <c r="CQ485" s="200"/>
      <c r="CR485" s="200"/>
      <c r="CS485" s="522"/>
      <c r="CT485" s="200"/>
      <c r="CU485" s="223"/>
      <c r="CV485" s="223"/>
      <c r="CW485" s="223"/>
      <c r="CX485" s="223"/>
      <c r="CY485" s="223"/>
      <c r="CZ485" s="223"/>
      <c r="DA485" s="223"/>
      <c r="DB485" s="200"/>
      <c r="DC485" s="522"/>
      <c r="DD485" s="200"/>
      <c r="DE485" s="223"/>
      <c r="DF485" s="223"/>
      <c r="DG485" s="223"/>
      <c r="DH485" s="223"/>
      <c r="DI485" s="223"/>
      <c r="DJ485" s="223"/>
      <c r="DK485" s="200"/>
      <c r="DL485" s="200"/>
      <c r="DM485" s="522"/>
      <c r="DN485" s="200"/>
      <c r="DO485" s="223"/>
      <c r="DP485" s="223"/>
      <c r="DQ485" s="223"/>
      <c r="DR485" s="223"/>
      <c r="DS485" s="223"/>
      <c r="DT485" s="223"/>
      <c r="DU485" s="200"/>
      <c r="DV485" s="200"/>
      <c r="DW485" s="522"/>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2"/>
      <c r="R486" s="200"/>
      <c r="S486" s="223"/>
      <c r="T486" s="223"/>
      <c r="U486" s="223"/>
      <c r="V486" s="223"/>
      <c r="W486" s="223"/>
      <c r="X486" s="223"/>
      <c r="Y486" s="200"/>
      <c r="Z486" s="200"/>
      <c r="AA486" s="522"/>
      <c r="AB486" s="200"/>
      <c r="AC486" s="223"/>
      <c r="AD486" s="223"/>
      <c r="AE486" s="223"/>
      <c r="AF486" s="223"/>
      <c r="AG486" s="223"/>
      <c r="AH486" s="223"/>
      <c r="AI486" s="200"/>
      <c r="AJ486" s="200"/>
      <c r="AK486" s="522"/>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2"/>
      <c r="BF486" s="200"/>
      <c r="BG486" s="223"/>
      <c r="BH486" s="223"/>
      <c r="BI486" s="223"/>
      <c r="BJ486" s="223"/>
      <c r="BK486" s="223"/>
      <c r="BL486" s="223"/>
      <c r="BM486" s="200"/>
      <c r="BN486" s="200"/>
      <c r="BO486" s="522"/>
      <c r="BP486" s="200"/>
      <c r="BQ486" s="223"/>
      <c r="BR486" s="223"/>
      <c r="BS486" s="223"/>
      <c r="BT486" s="223"/>
      <c r="BU486" s="223"/>
      <c r="BV486" s="223"/>
      <c r="BW486" s="223"/>
      <c r="BX486" s="200"/>
      <c r="BY486" s="522"/>
      <c r="BZ486" s="200"/>
      <c r="CA486" s="223"/>
      <c r="CB486" s="223"/>
      <c r="CC486" s="223"/>
      <c r="CD486" s="223"/>
      <c r="CE486" s="223"/>
      <c r="CF486" s="223"/>
      <c r="CG486" s="200"/>
      <c r="CH486" s="200"/>
      <c r="CI486" s="522"/>
      <c r="CJ486" s="200"/>
      <c r="CK486" s="223"/>
      <c r="CL486" s="223"/>
      <c r="CM486" s="223"/>
      <c r="CN486" s="223"/>
      <c r="CO486" s="223"/>
      <c r="CP486" s="223"/>
      <c r="CQ486" s="200"/>
      <c r="CR486" s="200"/>
      <c r="CS486" s="522"/>
      <c r="CT486" s="200"/>
      <c r="CU486" s="223"/>
      <c r="CV486" s="223"/>
      <c r="CW486" s="223"/>
      <c r="CX486" s="223"/>
      <c r="CY486" s="223"/>
      <c r="CZ486" s="223"/>
      <c r="DA486" s="223"/>
      <c r="DB486" s="200"/>
      <c r="DC486" s="522"/>
      <c r="DD486" s="200"/>
      <c r="DE486" s="223"/>
      <c r="DF486" s="223"/>
      <c r="DG486" s="223"/>
      <c r="DH486" s="223"/>
      <c r="DI486" s="223"/>
      <c r="DJ486" s="223"/>
      <c r="DK486" s="200"/>
      <c r="DL486" s="200"/>
      <c r="DM486" s="522"/>
      <c r="DN486" s="200"/>
      <c r="DO486" s="223"/>
      <c r="DP486" s="223"/>
      <c r="DQ486" s="223"/>
      <c r="DR486" s="223"/>
      <c r="DS486" s="223"/>
      <c r="DT486" s="223"/>
      <c r="DU486" s="200"/>
      <c r="DV486" s="200"/>
      <c r="DW486" s="522"/>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2"/>
      <c r="R487" s="200"/>
      <c r="S487" s="223"/>
      <c r="T487" s="223"/>
      <c r="U487" s="223"/>
      <c r="V487" s="223"/>
      <c r="W487" s="223"/>
      <c r="X487" s="223"/>
      <c r="Y487" s="200"/>
      <c r="Z487" s="200"/>
      <c r="AA487" s="522"/>
      <c r="AB487" s="200"/>
      <c r="AC487" s="223"/>
      <c r="AD487" s="223"/>
      <c r="AE487" s="223"/>
      <c r="AF487" s="223"/>
      <c r="AG487" s="223"/>
      <c r="AH487" s="223"/>
      <c r="AI487" s="200"/>
      <c r="AJ487" s="200"/>
      <c r="AK487" s="522"/>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2"/>
      <c r="BF487" s="200"/>
      <c r="BG487" s="223"/>
      <c r="BH487" s="223"/>
      <c r="BI487" s="223"/>
      <c r="BJ487" s="223"/>
      <c r="BK487" s="223"/>
      <c r="BL487" s="223"/>
      <c r="BM487" s="200"/>
      <c r="BN487" s="200"/>
      <c r="BO487" s="522"/>
      <c r="BP487" s="200"/>
      <c r="BQ487" s="223"/>
      <c r="BR487" s="223"/>
      <c r="BS487" s="223"/>
      <c r="BT487" s="223"/>
      <c r="BU487" s="223"/>
      <c r="BV487" s="223"/>
      <c r="BW487" s="223"/>
      <c r="BX487" s="200"/>
      <c r="BY487" s="522"/>
      <c r="BZ487" s="200"/>
      <c r="CA487" s="223"/>
      <c r="CB487" s="223"/>
      <c r="CC487" s="223"/>
      <c r="CD487" s="223"/>
      <c r="CE487" s="223"/>
      <c r="CF487" s="223"/>
      <c r="CG487" s="200"/>
      <c r="CH487" s="200"/>
      <c r="CI487" s="522"/>
      <c r="CJ487" s="200"/>
      <c r="CK487" s="223"/>
      <c r="CL487" s="223"/>
      <c r="CM487" s="223"/>
      <c r="CN487" s="223"/>
      <c r="CO487" s="223"/>
      <c r="CP487" s="223"/>
      <c r="CQ487" s="200"/>
      <c r="CR487" s="200"/>
      <c r="CS487" s="522"/>
      <c r="CT487" s="200"/>
      <c r="CU487" s="223"/>
      <c r="CV487" s="223"/>
      <c r="CW487" s="223"/>
      <c r="CX487" s="223"/>
      <c r="CY487" s="223"/>
      <c r="CZ487" s="223"/>
      <c r="DA487" s="223"/>
      <c r="DB487" s="200"/>
      <c r="DC487" s="522"/>
      <c r="DD487" s="200"/>
      <c r="DE487" s="223"/>
      <c r="DF487" s="223"/>
      <c r="DG487" s="223"/>
      <c r="DH487" s="223"/>
      <c r="DI487" s="223"/>
      <c r="DJ487" s="223"/>
      <c r="DK487" s="200"/>
      <c r="DL487" s="200"/>
      <c r="DM487" s="522"/>
      <c r="DN487" s="200"/>
      <c r="DO487" s="223"/>
      <c r="DP487" s="223"/>
      <c r="DQ487" s="223"/>
      <c r="DR487" s="223"/>
      <c r="DS487" s="223"/>
      <c r="DT487" s="223"/>
      <c r="DU487" s="200"/>
      <c r="DV487" s="200"/>
      <c r="DW487" s="522"/>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2"/>
      <c r="R488" s="200"/>
      <c r="S488" s="223"/>
      <c r="T488" s="223"/>
      <c r="U488" s="223"/>
      <c r="V488" s="223"/>
      <c r="W488" s="223"/>
      <c r="X488" s="223"/>
      <c r="Y488" s="200"/>
      <c r="Z488" s="200"/>
      <c r="AA488" s="522"/>
      <c r="AB488" s="200"/>
      <c r="AC488" s="223"/>
      <c r="AD488" s="223"/>
      <c r="AE488" s="223"/>
      <c r="AF488" s="223"/>
      <c r="AG488" s="223"/>
      <c r="AH488" s="223"/>
      <c r="AI488" s="200"/>
      <c r="AJ488" s="200"/>
      <c r="AK488" s="522"/>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2"/>
      <c r="BF488" s="200"/>
      <c r="BG488" s="223"/>
      <c r="BH488" s="223"/>
      <c r="BI488" s="223"/>
      <c r="BJ488" s="223"/>
      <c r="BK488" s="223"/>
      <c r="BL488" s="223"/>
      <c r="BM488" s="200"/>
      <c r="BN488" s="200"/>
      <c r="BO488" s="522"/>
      <c r="BP488" s="200"/>
      <c r="BQ488" s="223"/>
      <c r="BR488" s="223"/>
      <c r="BS488" s="223"/>
      <c r="BT488" s="223"/>
      <c r="BU488" s="223"/>
      <c r="BV488" s="223"/>
      <c r="BW488" s="223"/>
      <c r="BX488" s="200"/>
      <c r="BY488" s="522"/>
      <c r="BZ488" s="200"/>
      <c r="CA488" s="223"/>
      <c r="CB488" s="223"/>
      <c r="CC488" s="223"/>
      <c r="CD488" s="223"/>
      <c r="CE488" s="223"/>
      <c r="CF488" s="223"/>
      <c r="CG488" s="200"/>
      <c r="CH488" s="200"/>
      <c r="CI488" s="522"/>
      <c r="CJ488" s="200"/>
      <c r="CK488" s="223"/>
      <c r="CL488" s="223"/>
      <c r="CM488" s="223"/>
      <c r="CN488" s="223"/>
      <c r="CO488" s="223"/>
      <c r="CP488" s="223"/>
      <c r="CQ488" s="200"/>
      <c r="CR488" s="200"/>
      <c r="CS488" s="522"/>
      <c r="CT488" s="200"/>
      <c r="CU488" s="223"/>
      <c r="CV488" s="223"/>
      <c r="CW488" s="223"/>
      <c r="CX488" s="223"/>
      <c r="CY488" s="223"/>
      <c r="CZ488" s="223"/>
      <c r="DA488" s="223"/>
      <c r="DB488" s="200"/>
      <c r="DC488" s="522"/>
      <c r="DD488" s="200"/>
      <c r="DE488" s="223"/>
      <c r="DF488" s="223"/>
      <c r="DG488" s="223"/>
      <c r="DH488" s="223"/>
      <c r="DI488" s="223"/>
      <c r="DJ488" s="223"/>
      <c r="DK488" s="200"/>
      <c r="DL488" s="200"/>
      <c r="DM488" s="522"/>
      <c r="DN488" s="200"/>
      <c r="DO488" s="223"/>
      <c r="DP488" s="223"/>
      <c r="DQ488" s="223"/>
      <c r="DR488" s="223"/>
      <c r="DS488" s="223"/>
      <c r="DT488" s="223"/>
      <c r="DU488" s="200"/>
      <c r="DV488" s="200"/>
      <c r="DW488" s="522"/>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2"/>
      <c r="R489" s="200"/>
      <c r="S489" s="223"/>
      <c r="T489" s="223"/>
      <c r="U489" s="223"/>
      <c r="V489" s="223"/>
      <c r="W489" s="223"/>
      <c r="X489" s="223"/>
      <c r="Y489" s="200"/>
      <c r="Z489" s="200"/>
      <c r="AA489" s="522"/>
      <c r="AB489" s="200"/>
      <c r="AC489" s="223"/>
      <c r="AD489" s="223"/>
      <c r="AE489" s="223"/>
      <c r="AF489" s="223"/>
      <c r="AG489" s="223"/>
      <c r="AH489" s="223"/>
      <c r="AI489" s="200"/>
      <c r="AJ489" s="200"/>
      <c r="AK489" s="522"/>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2"/>
      <c r="BF489" s="200"/>
      <c r="BG489" s="223"/>
      <c r="BH489" s="223"/>
      <c r="BI489" s="223"/>
      <c r="BJ489" s="223"/>
      <c r="BK489" s="223"/>
      <c r="BL489" s="223"/>
      <c r="BM489" s="200"/>
      <c r="BN489" s="200"/>
      <c r="BO489" s="522"/>
      <c r="BP489" s="200"/>
      <c r="BQ489" s="223"/>
      <c r="BR489" s="223"/>
      <c r="BS489" s="223"/>
      <c r="BT489" s="223"/>
      <c r="BU489" s="223"/>
      <c r="BV489" s="223"/>
      <c r="BW489" s="223"/>
      <c r="BX489" s="200"/>
      <c r="BY489" s="522"/>
      <c r="BZ489" s="200"/>
      <c r="CA489" s="223"/>
      <c r="CB489" s="223"/>
      <c r="CC489" s="223"/>
      <c r="CD489" s="223"/>
      <c r="CE489" s="223"/>
      <c r="CF489" s="223"/>
      <c r="CG489" s="200"/>
      <c r="CH489" s="200"/>
      <c r="CI489" s="522"/>
      <c r="CJ489" s="200"/>
      <c r="CK489" s="223"/>
      <c r="CL489" s="223"/>
      <c r="CM489" s="223"/>
      <c r="CN489" s="223"/>
      <c r="CO489" s="223"/>
      <c r="CP489" s="223"/>
      <c r="CQ489" s="200"/>
      <c r="CR489" s="200"/>
      <c r="CS489" s="522"/>
      <c r="CT489" s="200"/>
      <c r="CU489" s="223"/>
      <c r="CV489" s="223"/>
      <c r="CW489" s="223"/>
      <c r="CX489" s="223"/>
      <c r="CY489" s="223"/>
      <c r="CZ489" s="223"/>
      <c r="DA489" s="223"/>
      <c r="DB489" s="200"/>
      <c r="DC489" s="522"/>
      <c r="DD489" s="200"/>
      <c r="DE489" s="223"/>
      <c r="DF489" s="223"/>
      <c r="DG489" s="223"/>
      <c r="DH489" s="223"/>
      <c r="DI489" s="223"/>
      <c r="DJ489" s="223"/>
      <c r="DK489" s="200"/>
      <c r="DL489" s="200"/>
      <c r="DM489" s="522"/>
      <c r="DN489" s="200"/>
      <c r="DO489" s="223"/>
      <c r="DP489" s="223"/>
      <c r="DQ489" s="223"/>
      <c r="DR489" s="223"/>
      <c r="DS489" s="223"/>
      <c r="DT489" s="223"/>
      <c r="DU489" s="200"/>
      <c r="DV489" s="200"/>
      <c r="DW489" s="522"/>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2"/>
      <c r="R490" s="200"/>
      <c r="S490" s="223"/>
      <c r="T490" s="223"/>
      <c r="U490" s="223"/>
      <c r="V490" s="223"/>
      <c r="W490" s="223"/>
      <c r="X490" s="223"/>
      <c r="Y490" s="200"/>
      <c r="Z490" s="200"/>
      <c r="AA490" s="522"/>
      <c r="AB490" s="200"/>
      <c r="AC490" s="223"/>
      <c r="AD490" s="223"/>
      <c r="AE490" s="223"/>
      <c r="AF490" s="223"/>
      <c r="AG490" s="223"/>
      <c r="AH490" s="223"/>
      <c r="AI490" s="200"/>
      <c r="AJ490" s="200"/>
      <c r="AK490" s="522"/>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2"/>
      <c r="BF490" s="200"/>
      <c r="BG490" s="223"/>
      <c r="BH490" s="223"/>
      <c r="BI490" s="223"/>
      <c r="BJ490" s="223"/>
      <c r="BK490" s="223"/>
      <c r="BL490" s="223"/>
      <c r="BM490" s="200"/>
      <c r="BN490" s="200"/>
      <c r="BO490" s="522"/>
      <c r="BP490" s="200"/>
      <c r="BQ490" s="223"/>
      <c r="BR490" s="223"/>
      <c r="BS490" s="223"/>
      <c r="BT490" s="223"/>
      <c r="BU490" s="223"/>
      <c r="BV490" s="223"/>
      <c r="BW490" s="223"/>
      <c r="BX490" s="200"/>
      <c r="BY490" s="522"/>
      <c r="BZ490" s="200"/>
      <c r="CA490" s="223"/>
      <c r="CB490" s="223"/>
      <c r="CC490" s="223"/>
      <c r="CD490" s="223"/>
      <c r="CE490" s="223"/>
      <c r="CF490" s="223"/>
      <c r="CG490" s="200"/>
      <c r="CH490" s="200"/>
      <c r="CI490" s="522"/>
      <c r="CJ490" s="200"/>
      <c r="CK490" s="223"/>
      <c r="CL490" s="223"/>
      <c r="CM490" s="223"/>
      <c r="CN490" s="223"/>
      <c r="CO490" s="223"/>
      <c r="CP490" s="223"/>
      <c r="CQ490" s="200"/>
      <c r="CR490" s="200"/>
      <c r="CS490" s="522"/>
      <c r="CT490" s="200"/>
      <c r="CU490" s="223"/>
      <c r="CV490" s="223"/>
      <c r="CW490" s="223"/>
      <c r="CX490" s="223"/>
      <c r="CY490" s="223"/>
      <c r="CZ490" s="223"/>
      <c r="DA490" s="223"/>
      <c r="DB490" s="200"/>
      <c r="DC490" s="522"/>
      <c r="DD490" s="200"/>
      <c r="DE490" s="223"/>
      <c r="DF490" s="223"/>
      <c r="DG490" s="223"/>
      <c r="DH490" s="223"/>
      <c r="DI490" s="223"/>
      <c r="DJ490" s="223"/>
      <c r="DK490" s="200"/>
      <c r="DL490" s="200"/>
      <c r="DM490" s="522"/>
      <c r="DN490" s="200"/>
      <c r="DO490" s="223"/>
      <c r="DP490" s="223"/>
      <c r="DQ490" s="223"/>
      <c r="DR490" s="223"/>
      <c r="DS490" s="223"/>
      <c r="DT490" s="223"/>
      <c r="DU490" s="200"/>
      <c r="DV490" s="200"/>
      <c r="DW490" s="522"/>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2"/>
      <c r="R491" s="200"/>
      <c r="S491" s="223"/>
      <c r="T491" s="223"/>
      <c r="U491" s="223"/>
      <c r="V491" s="223"/>
      <c r="W491" s="223"/>
      <c r="X491" s="223"/>
      <c r="Y491" s="200"/>
      <c r="Z491" s="200"/>
      <c r="AA491" s="522"/>
      <c r="AB491" s="200"/>
      <c r="AC491" s="223"/>
      <c r="AD491" s="223"/>
      <c r="AE491" s="223"/>
      <c r="AF491" s="223"/>
      <c r="AG491" s="223"/>
      <c r="AH491" s="223"/>
      <c r="AI491" s="200"/>
      <c r="AJ491" s="200"/>
      <c r="AK491" s="522"/>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2"/>
      <c r="BF491" s="200"/>
      <c r="BG491" s="223"/>
      <c r="BH491" s="223"/>
      <c r="BI491" s="223"/>
      <c r="BJ491" s="223"/>
      <c r="BK491" s="223"/>
      <c r="BL491" s="223"/>
      <c r="BM491" s="200"/>
      <c r="BN491" s="200"/>
      <c r="BO491" s="522"/>
      <c r="BP491" s="200"/>
      <c r="BQ491" s="223"/>
      <c r="BR491" s="223"/>
      <c r="BS491" s="223"/>
      <c r="BT491" s="223"/>
      <c r="BU491" s="223"/>
      <c r="BV491" s="223"/>
      <c r="BW491" s="223"/>
      <c r="BX491" s="200"/>
      <c r="BY491" s="522"/>
      <c r="BZ491" s="200"/>
      <c r="CA491" s="223"/>
      <c r="CB491" s="223"/>
      <c r="CC491" s="223"/>
      <c r="CD491" s="223"/>
      <c r="CE491" s="223"/>
      <c r="CF491" s="223"/>
      <c r="CG491" s="200"/>
      <c r="CH491" s="200"/>
      <c r="CI491" s="522"/>
      <c r="CJ491" s="200"/>
      <c r="CK491" s="223"/>
      <c r="CL491" s="223"/>
      <c r="CM491" s="223"/>
      <c r="CN491" s="223"/>
      <c r="CO491" s="223"/>
      <c r="CP491" s="223"/>
      <c r="CQ491" s="200"/>
      <c r="CR491" s="200"/>
      <c r="CS491" s="522"/>
      <c r="CT491" s="200"/>
      <c r="CU491" s="223"/>
      <c r="CV491" s="223"/>
      <c r="CW491" s="223"/>
      <c r="CX491" s="223"/>
      <c r="CY491" s="223"/>
      <c r="CZ491" s="223"/>
      <c r="DA491" s="223"/>
      <c r="DB491" s="200"/>
      <c r="DC491" s="522"/>
      <c r="DD491" s="200"/>
      <c r="DE491" s="223"/>
      <c r="DF491" s="223"/>
      <c r="DG491" s="223"/>
      <c r="DH491" s="223"/>
      <c r="DI491" s="223"/>
      <c r="DJ491" s="223"/>
      <c r="DK491" s="200"/>
      <c r="DL491" s="200"/>
      <c r="DM491" s="522"/>
      <c r="DN491" s="200"/>
      <c r="DO491" s="223"/>
      <c r="DP491" s="223"/>
      <c r="DQ491" s="223"/>
      <c r="DR491" s="223"/>
      <c r="DS491" s="223"/>
      <c r="DT491" s="223"/>
      <c r="DU491" s="200"/>
      <c r="DV491" s="200"/>
      <c r="DW491" s="522"/>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2"/>
      <c r="R492" s="200"/>
      <c r="S492" s="223"/>
      <c r="T492" s="223"/>
      <c r="U492" s="223"/>
      <c r="V492" s="223"/>
      <c r="W492" s="223"/>
      <c r="X492" s="223"/>
      <c r="Y492" s="200"/>
      <c r="Z492" s="200"/>
      <c r="AA492" s="522"/>
      <c r="AB492" s="200"/>
      <c r="AC492" s="223"/>
      <c r="AD492" s="223"/>
      <c r="AE492" s="223"/>
      <c r="AF492" s="223"/>
      <c r="AG492" s="223"/>
      <c r="AH492" s="223"/>
      <c r="AI492" s="200"/>
      <c r="AJ492" s="200"/>
      <c r="AK492" s="522"/>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2"/>
      <c r="BF492" s="200"/>
      <c r="BG492" s="223"/>
      <c r="BH492" s="223"/>
      <c r="BI492" s="223"/>
      <c r="BJ492" s="223"/>
      <c r="BK492" s="223"/>
      <c r="BL492" s="223"/>
      <c r="BM492" s="200"/>
      <c r="BN492" s="200"/>
      <c r="BO492" s="522"/>
      <c r="BP492" s="200"/>
      <c r="BQ492" s="223"/>
      <c r="BR492" s="223"/>
      <c r="BS492" s="223"/>
      <c r="BT492" s="223"/>
      <c r="BU492" s="223"/>
      <c r="BV492" s="223"/>
      <c r="BW492" s="223"/>
      <c r="BX492" s="200"/>
      <c r="BY492" s="522"/>
      <c r="BZ492" s="200"/>
      <c r="CA492" s="223"/>
      <c r="CB492" s="223"/>
      <c r="CC492" s="223"/>
      <c r="CD492" s="223"/>
      <c r="CE492" s="223"/>
      <c r="CF492" s="223"/>
      <c r="CG492" s="200"/>
      <c r="CH492" s="200"/>
      <c r="CI492" s="522"/>
      <c r="CJ492" s="200"/>
      <c r="CK492" s="223"/>
      <c r="CL492" s="223"/>
      <c r="CM492" s="223"/>
      <c r="CN492" s="223"/>
      <c r="CO492" s="223"/>
      <c r="CP492" s="223"/>
      <c r="CQ492" s="200"/>
      <c r="CR492" s="200"/>
      <c r="CS492" s="522"/>
      <c r="CT492" s="200"/>
      <c r="CU492" s="223"/>
      <c r="CV492" s="223"/>
      <c r="CW492" s="223"/>
      <c r="CX492" s="223"/>
      <c r="CY492" s="223"/>
      <c r="CZ492" s="223"/>
      <c r="DA492" s="223"/>
      <c r="DB492" s="200"/>
      <c r="DC492" s="522"/>
      <c r="DD492" s="200"/>
      <c r="DE492" s="223"/>
      <c r="DF492" s="223"/>
      <c r="DG492" s="223"/>
      <c r="DH492" s="223"/>
      <c r="DI492" s="223"/>
      <c r="DJ492" s="223"/>
      <c r="DK492" s="200"/>
      <c r="DL492" s="200"/>
      <c r="DM492" s="522"/>
      <c r="DN492" s="200"/>
      <c r="DO492" s="223"/>
      <c r="DP492" s="223"/>
      <c r="DQ492" s="223"/>
      <c r="DR492" s="223"/>
      <c r="DS492" s="223"/>
      <c r="DT492" s="223"/>
      <c r="DU492" s="200"/>
      <c r="DV492" s="200"/>
      <c r="DW492" s="522"/>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2"/>
      <c r="R493" s="200"/>
      <c r="S493" s="223"/>
      <c r="T493" s="223"/>
      <c r="U493" s="223"/>
      <c r="V493" s="223"/>
      <c r="W493" s="223"/>
      <c r="X493" s="223"/>
      <c r="Y493" s="200"/>
      <c r="Z493" s="200"/>
      <c r="AA493" s="522"/>
      <c r="AB493" s="200"/>
      <c r="AC493" s="223"/>
      <c r="AD493" s="223"/>
      <c r="AE493" s="223"/>
      <c r="AF493" s="223"/>
      <c r="AG493" s="223"/>
      <c r="AH493" s="223"/>
      <c r="AI493" s="200"/>
      <c r="AJ493" s="200"/>
      <c r="AK493" s="522"/>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2"/>
      <c r="BF493" s="200"/>
      <c r="BG493" s="223"/>
      <c r="BH493" s="223"/>
      <c r="BI493" s="223"/>
      <c r="BJ493" s="223"/>
      <c r="BK493" s="223"/>
      <c r="BL493" s="223"/>
      <c r="BM493" s="200"/>
      <c r="BN493" s="200"/>
      <c r="BO493" s="522"/>
      <c r="BP493" s="200"/>
      <c r="BQ493" s="223"/>
      <c r="BR493" s="223"/>
      <c r="BS493" s="223"/>
      <c r="BT493" s="223"/>
      <c r="BU493" s="223"/>
      <c r="BV493" s="223"/>
      <c r="BW493" s="223"/>
      <c r="BX493" s="200"/>
      <c r="BY493" s="522"/>
      <c r="BZ493" s="200"/>
      <c r="CA493" s="223"/>
      <c r="CB493" s="223"/>
      <c r="CC493" s="223"/>
      <c r="CD493" s="223"/>
      <c r="CE493" s="223"/>
      <c r="CF493" s="223"/>
      <c r="CG493" s="200"/>
      <c r="CH493" s="200"/>
      <c r="CI493" s="522"/>
      <c r="CJ493" s="200"/>
      <c r="CK493" s="223"/>
      <c r="CL493" s="223"/>
      <c r="CM493" s="223"/>
      <c r="CN493" s="223"/>
      <c r="CO493" s="223"/>
      <c r="CP493" s="223"/>
      <c r="CQ493" s="200"/>
      <c r="CR493" s="200"/>
      <c r="CS493" s="522"/>
      <c r="CT493" s="200"/>
      <c r="CU493" s="223"/>
      <c r="CV493" s="223"/>
      <c r="CW493" s="223"/>
      <c r="CX493" s="223"/>
      <c r="CY493" s="223"/>
      <c r="CZ493" s="223"/>
      <c r="DA493" s="223"/>
      <c r="DB493" s="200"/>
      <c r="DC493" s="522"/>
      <c r="DD493" s="200"/>
      <c r="DE493" s="223"/>
      <c r="DF493" s="223"/>
      <c r="DG493" s="223"/>
      <c r="DH493" s="223"/>
      <c r="DI493" s="223"/>
      <c r="DJ493" s="223"/>
      <c r="DK493" s="200"/>
      <c r="DL493" s="200"/>
      <c r="DM493" s="522"/>
      <c r="DN493" s="200"/>
      <c r="DO493" s="223"/>
      <c r="DP493" s="223"/>
      <c r="DQ493" s="223"/>
      <c r="DR493" s="223"/>
      <c r="DS493" s="223"/>
      <c r="DT493" s="223"/>
      <c r="DU493" s="200"/>
      <c r="DV493" s="200"/>
      <c r="DW493" s="522"/>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2"/>
      <c r="R494" s="200"/>
      <c r="S494" s="223"/>
      <c r="T494" s="223"/>
      <c r="U494" s="223"/>
      <c r="V494" s="223"/>
      <c r="W494" s="223"/>
      <c r="X494" s="223"/>
      <c r="Y494" s="200"/>
      <c r="Z494" s="200"/>
      <c r="AA494" s="522"/>
      <c r="AB494" s="200"/>
      <c r="AC494" s="223"/>
      <c r="AD494" s="223"/>
      <c r="AE494" s="223"/>
      <c r="AF494" s="223"/>
      <c r="AG494" s="223"/>
      <c r="AH494" s="223"/>
      <c r="AI494" s="200"/>
      <c r="AJ494" s="200"/>
      <c r="AK494" s="522"/>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2"/>
      <c r="BF494" s="200"/>
      <c r="BG494" s="223"/>
      <c r="BH494" s="223"/>
      <c r="BI494" s="223"/>
      <c r="BJ494" s="223"/>
      <c r="BK494" s="223"/>
      <c r="BL494" s="223"/>
      <c r="BM494" s="200"/>
      <c r="BN494" s="200"/>
      <c r="BO494" s="522"/>
      <c r="BP494" s="200"/>
      <c r="BQ494" s="223"/>
      <c r="BR494" s="223"/>
      <c r="BS494" s="223"/>
      <c r="BT494" s="223"/>
      <c r="BU494" s="223"/>
      <c r="BV494" s="223"/>
      <c r="BW494" s="223"/>
      <c r="BX494" s="200"/>
      <c r="BY494" s="522"/>
      <c r="BZ494" s="200"/>
      <c r="CA494" s="223"/>
      <c r="CB494" s="223"/>
      <c r="CC494" s="223"/>
      <c r="CD494" s="223"/>
      <c r="CE494" s="223"/>
      <c r="CF494" s="223"/>
      <c r="CG494" s="200"/>
      <c r="CH494" s="200"/>
      <c r="CI494" s="522"/>
      <c r="CJ494" s="200"/>
      <c r="CK494" s="223"/>
      <c r="CL494" s="223"/>
      <c r="CM494" s="223"/>
      <c r="CN494" s="223"/>
      <c r="CO494" s="223"/>
      <c r="CP494" s="223"/>
      <c r="CQ494" s="200"/>
      <c r="CR494" s="200"/>
      <c r="CS494" s="522"/>
      <c r="CT494" s="200"/>
      <c r="CU494" s="223"/>
      <c r="CV494" s="223"/>
      <c r="CW494" s="223"/>
      <c r="CX494" s="223"/>
      <c r="CY494" s="223"/>
      <c r="CZ494" s="223"/>
      <c r="DA494" s="223"/>
      <c r="DB494" s="200"/>
      <c r="DC494" s="522"/>
      <c r="DD494" s="200"/>
      <c r="DE494" s="223"/>
      <c r="DF494" s="223"/>
      <c r="DG494" s="223"/>
      <c r="DH494" s="223"/>
      <c r="DI494" s="223"/>
      <c r="DJ494" s="223"/>
      <c r="DK494" s="200"/>
      <c r="DL494" s="200"/>
      <c r="DM494" s="522"/>
      <c r="DN494" s="200"/>
      <c r="DO494" s="223"/>
      <c r="DP494" s="223"/>
      <c r="DQ494" s="223"/>
      <c r="DR494" s="223"/>
      <c r="DS494" s="223"/>
      <c r="DT494" s="223"/>
      <c r="DU494" s="200"/>
      <c r="DV494" s="200"/>
      <c r="DW494" s="522"/>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2"/>
      <c r="R495" s="200"/>
      <c r="S495" s="223"/>
      <c r="T495" s="223"/>
      <c r="U495" s="223"/>
      <c r="V495" s="223"/>
      <c r="W495" s="223"/>
      <c r="X495" s="223"/>
      <c r="Y495" s="200"/>
      <c r="Z495" s="200"/>
      <c r="AA495" s="522"/>
      <c r="AB495" s="200"/>
      <c r="AC495" s="223"/>
      <c r="AD495" s="223"/>
      <c r="AE495" s="223"/>
      <c r="AF495" s="223"/>
      <c r="AG495" s="223"/>
      <c r="AH495" s="223"/>
      <c r="AI495" s="200"/>
      <c r="AJ495" s="200"/>
      <c r="AK495" s="522"/>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2"/>
      <c r="BF495" s="200"/>
      <c r="BG495" s="223"/>
      <c r="BH495" s="223"/>
      <c r="BI495" s="223"/>
      <c r="BJ495" s="223"/>
      <c r="BK495" s="223"/>
      <c r="BL495" s="223"/>
      <c r="BM495" s="200"/>
      <c r="BN495" s="200"/>
      <c r="BO495" s="522"/>
      <c r="BP495" s="200"/>
      <c r="BQ495" s="223"/>
      <c r="BR495" s="223"/>
      <c r="BS495" s="223"/>
      <c r="BT495" s="223"/>
      <c r="BU495" s="223"/>
      <c r="BV495" s="223"/>
      <c r="BW495" s="223"/>
      <c r="BX495" s="200"/>
      <c r="BY495" s="522"/>
      <c r="BZ495" s="200"/>
      <c r="CA495" s="223"/>
      <c r="CB495" s="223"/>
      <c r="CC495" s="223"/>
      <c r="CD495" s="223"/>
      <c r="CE495" s="223"/>
      <c r="CF495" s="223"/>
      <c r="CG495" s="200"/>
      <c r="CH495" s="200"/>
      <c r="CI495" s="522"/>
      <c r="CJ495" s="200"/>
      <c r="CK495" s="223"/>
      <c r="CL495" s="223"/>
      <c r="CM495" s="223"/>
      <c r="CN495" s="223"/>
      <c r="CO495" s="223"/>
      <c r="CP495" s="223"/>
      <c r="CQ495" s="200"/>
      <c r="CR495" s="200"/>
      <c r="CS495" s="522"/>
      <c r="CT495" s="200"/>
      <c r="CU495" s="223"/>
      <c r="CV495" s="223"/>
      <c r="CW495" s="223"/>
      <c r="CX495" s="223"/>
      <c r="CY495" s="223"/>
      <c r="CZ495" s="223"/>
      <c r="DA495" s="223"/>
      <c r="DB495" s="200"/>
      <c r="DC495" s="522"/>
      <c r="DD495" s="200"/>
      <c r="DE495" s="223"/>
      <c r="DF495" s="223"/>
      <c r="DG495" s="223"/>
      <c r="DH495" s="223"/>
      <c r="DI495" s="223"/>
      <c r="DJ495" s="223"/>
      <c r="DK495" s="200"/>
      <c r="DL495" s="200"/>
      <c r="DM495" s="522"/>
      <c r="DN495" s="200"/>
      <c r="DO495" s="223"/>
      <c r="DP495" s="223"/>
      <c r="DQ495" s="223"/>
      <c r="DR495" s="223"/>
      <c r="DS495" s="223"/>
      <c r="DT495" s="223"/>
      <c r="DU495" s="200"/>
      <c r="DV495" s="200"/>
      <c r="DW495" s="522"/>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2"/>
      <c r="R496" s="200"/>
      <c r="S496" s="223"/>
      <c r="T496" s="223"/>
      <c r="U496" s="223"/>
      <c r="V496" s="223"/>
      <c r="W496" s="223"/>
      <c r="X496" s="223"/>
      <c r="Y496" s="200"/>
      <c r="Z496" s="200"/>
      <c r="AA496" s="522"/>
      <c r="AB496" s="200"/>
      <c r="AC496" s="223"/>
      <c r="AD496" s="223"/>
      <c r="AE496" s="223"/>
      <c r="AF496" s="223"/>
      <c r="AG496" s="223"/>
      <c r="AH496" s="223"/>
      <c r="AI496" s="200"/>
      <c r="AJ496" s="200"/>
      <c r="AK496" s="522"/>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2"/>
      <c r="BF496" s="200"/>
      <c r="BG496" s="223"/>
      <c r="BH496" s="223"/>
      <c r="BI496" s="223"/>
      <c r="BJ496" s="223"/>
      <c r="BK496" s="223"/>
      <c r="BL496" s="223"/>
      <c r="BM496" s="200"/>
      <c r="BN496" s="200"/>
      <c r="BO496" s="522"/>
      <c r="BP496" s="200"/>
      <c r="BQ496" s="223"/>
      <c r="BR496" s="223"/>
      <c r="BS496" s="223"/>
      <c r="BT496" s="223"/>
      <c r="BU496" s="223"/>
      <c r="BV496" s="223"/>
      <c r="BW496" s="223"/>
      <c r="BX496" s="200"/>
      <c r="BY496" s="522"/>
      <c r="BZ496" s="200"/>
      <c r="CA496" s="223"/>
      <c r="CB496" s="223"/>
      <c r="CC496" s="223"/>
      <c r="CD496" s="223"/>
      <c r="CE496" s="223"/>
      <c r="CF496" s="223"/>
      <c r="CG496" s="200"/>
      <c r="CH496" s="200"/>
      <c r="CI496" s="522"/>
      <c r="CJ496" s="200"/>
      <c r="CK496" s="223"/>
      <c r="CL496" s="223"/>
      <c r="CM496" s="223"/>
      <c r="CN496" s="223"/>
      <c r="CO496" s="223"/>
      <c r="CP496" s="223"/>
      <c r="CQ496" s="200"/>
      <c r="CR496" s="200"/>
      <c r="CS496" s="522"/>
      <c r="CT496" s="200"/>
      <c r="CU496" s="223"/>
      <c r="CV496" s="223"/>
      <c r="CW496" s="223"/>
      <c r="CX496" s="223"/>
      <c r="CY496" s="223"/>
      <c r="CZ496" s="223"/>
      <c r="DA496" s="223"/>
      <c r="DB496" s="200"/>
      <c r="DC496" s="522"/>
      <c r="DD496" s="200"/>
      <c r="DE496" s="223"/>
      <c r="DF496" s="223"/>
      <c r="DG496" s="223"/>
      <c r="DH496" s="223"/>
      <c r="DI496" s="223"/>
      <c r="DJ496" s="223"/>
      <c r="DK496" s="200"/>
      <c r="DL496" s="200"/>
      <c r="DM496" s="522"/>
      <c r="DN496" s="200"/>
      <c r="DO496" s="223"/>
      <c r="DP496" s="223"/>
      <c r="DQ496" s="223"/>
      <c r="DR496" s="223"/>
      <c r="DS496" s="223"/>
      <c r="DT496" s="223"/>
      <c r="DU496" s="200"/>
      <c r="DV496" s="200"/>
      <c r="DW496" s="522"/>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2"/>
      <c r="R497" s="200"/>
      <c r="S497" s="223"/>
      <c r="T497" s="223"/>
      <c r="U497" s="223"/>
      <c r="V497" s="223"/>
      <c r="W497" s="223"/>
      <c r="X497" s="223"/>
      <c r="Y497" s="200"/>
      <c r="Z497" s="200"/>
      <c r="AA497" s="522"/>
      <c r="AB497" s="200"/>
      <c r="AC497" s="223"/>
      <c r="AD497" s="223"/>
      <c r="AE497" s="223"/>
      <c r="AF497" s="223"/>
      <c r="AG497" s="223"/>
      <c r="AH497" s="223"/>
      <c r="AI497" s="200"/>
      <c r="AJ497" s="200"/>
      <c r="AK497" s="522"/>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2"/>
      <c r="BF497" s="200"/>
      <c r="BG497" s="223"/>
      <c r="BH497" s="223"/>
      <c r="BI497" s="223"/>
      <c r="BJ497" s="223"/>
      <c r="BK497" s="223"/>
      <c r="BL497" s="223"/>
      <c r="BM497" s="200"/>
      <c r="BN497" s="200"/>
      <c r="BO497" s="522"/>
      <c r="BP497" s="200"/>
      <c r="BQ497" s="223"/>
      <c r="BR497" s="223"/>
      <c r="BS497" s="223"/>
      <c r="BT497" s="223"/>
      <c r="BU497" s="223"/>
      <c r="BV497" s="223"/>
      <c r="BW497" s="223"/>
      <c r="BX497" s="200"/>
      <c r="BY497" s="522"/>
      <c r="BZ497" s="200"/>
      <c r="CA497" s="223"/>
      <c r="CB497" s="223"/>
      <c r="CC497" s="223"/>
      <c r="CD497" s="223"/>
      <c r="CE497" s="223"/>
      <c r="CF497" s="223"/>
      <c r="CG497" s="200"/>
      <c r="CH497" s="200"/>
      <c r="CI497" s="522"/>
      <c r="CJ497" s="200"/>
      <c r="CK497" s="223"/>
      <c r="CL497" s="223"/>
      <c r="CM497" s="223"/>
      <c r="CN497" s="223"/>
      <c r="CO497" s="223"/>
      <c r="CP497" s="223"/>
      <c r="CQ497" s="200"/>
      <c r="CR497" s="200"/>
      <c r="CS497" s="522"/>
      <c r="CT497" s="200"/>
      <c r="CU497" s="223"/>
      <c r="CV497" s="223"/>
      <c r="CW497" s="223"/>
      <c r="CX497" s="223"/>
      <c r="CY497" s="223"/>
      <c r="CZ497" s="223"/>
      <c r="DA497" s="223"/>
      <c r="DB497" s="200"/>
      <c r="DC497" s="522"/>
      <c r="DD497" s="200"/>
      <c r="DE497" s="223"/>
      <c r="DF497" s="223"/>
      <c r="DG497" s="223"/>
      <c r="DH497" s="223"/>
      <c r="DI497" s="223"/>
      <c r="DJ497" s="223"/>
      <c r="DK497" s="200"/>
      <c r="DL497" s="200"/>
      <c r="DM497" s="522"/>
      <c r="DN497" s="200"/>
      <c r="DO497" s="223"/>
      <c r="DP497" s="223"/>
      <c r="DQ497" s="223"/>
      <c r="DR497" s="223"/>
      <c r="DS497" s="223"/>
      <c r="DT497" s="223"/>
      <c r="DU497" s="200"/>
      <c r="DV497" s="200"/>
      <c r="DW497" s="522"/>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2"/>
      <c r="R498" s="200"/>
      <c r="S498" s="223"/>
      <c r="T498" s="223"/>
      <c r="U498" s="223"/>
      <c r="V498" s="223"/>
      <c r="W498" s="223"/>
      <c r="X498" s="223"/>
      <c r="Y498" s="200"/>
      <c r="Z498" s="200"/>
      <c r="AA498" s="522"/>
      <c r="AB498" s="200"/>
      <c r="AC498" s="223"/>
      <c r="AD498" s="223"/>
      <c r="AE498" s="223"/>
      <c r="AF498" s="223"/>
      <c r="AG498" s="223"/>
      <c r="AH498" s="223"/>
      <c r="AI498" s="200"/>
      <c r="AJ498" s="200"/>
      <c r="AK498" s="522"/>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2"/>
      <c r="BF498" s="200"/>
      <c r="BG498" s="223"/>
      <c r="BH498" s="223"/>
      <c r="BI498" s="223"/>
      <c r="BJ498" s="223"/>
      <c r="BK498" s="223"/>
      <c r="BL498" s="223"/>
      <c r="BM498" s="200"/>
      <c r="BN498" s="200"/>
      <c r="BO498" s="522"/>
      <c r="BP498" s="200"/>
      <c r="BQ498" s="223"/>
      <c r="BR498" s="223"/>
      <c r="BS498" s="223"/>
      <c r="BT498" s="223"/>
      <c r="BU498" s="223"/>
      <c r="BV498" s="223"/>
      <c r="BW498" s="223"/>
      <c r="BX498" s="200"/>
      <c r="BY498" s="522"/>
      <c r="BZ498" s="200"/>
      <c r="CA498" s="223"/>
      <c r="CB498" s="223"/>
      <c r="CC498" s="223"/>
      <c r="CD498" s="223"/>
      <c r="CE498" s="223"/>
      <c r="CF498" s="223"/>
      <c r="CG498" s="200"/>
      <c r="CH498" s="200"/>
      <c r="CI498" s="522"/>
      <c r="CJ498" s="200"/>
      <c r="CK498" s="223"/>
      <c r="CL498" s="223"/>
      <c r="CM498" s="223"/>
      <c r="CN498" s="223"/>
      <c r="CO498" s="223"/>
      <c r="CP498" s="223"/>
      <c r="CQ498" s="200"/>
      <c r="CR498" s="200"/>
      <c r="CS498" s="522"/>
      <c r="CT498" s="200"/>
      <c r="CU498" s="223"/>
      <c r="CV498" s="223"/>
      <c r="CW498" s="223"/>
      <c r="CX498" s="223"/>
      <c r="CY498" s="223"/>
      <c r="CZ498" s="223"/>
      <c r="DA498" s="223"/>
      <c r="DB498" s="200"/>
      <c r="DC498" s="522"/>
      <c r="DD498" s="200"/>
      <c r="DE498" s="223"/>
      <c r="DF498" s="223"/>
      <c r="DG498" s="223"/>
      <c r="DH498" s="223"/>
      <c r="DI498" s="223"/>
      <c r="DJ498" s="223"/>
      <c r="DK498" s="200"/>
      <c r="DL498" s="200"/>
      <c r="DM498" s="522"/>
      <c r="DN498" s="200"/>
      <c r="DO498" s="223"/>
      <c r="DP498" s="223"/>
      <c r="DQ498" s="223"/>
      <c r="DR498" s="223"/>
      <c r="DS498" s="223"/>
      <c r="DT498" s="223"/>
      <c r="DU498" s="200"/>
      <c r="DV498" s="200"/>
      <c r="DW498" s="522"/>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2"/>
      <c r="R499" s="200"/>
      <c r="S499" s="223"/>
      <c r="T499" s="223"/>
      <c r="U499" s="223"/>
      <c r="V499" s="223"/>
      <c r="W499" s="223"/>
      <c r="X499" s="223"/>
      <c r="Y499" s="200"/>
      <c r="Z499" s="200"/>
      <c r="AA499" s="522"/>
      <c r="AB499" s="200"/>
      <c r="AC499" s="223"/>
      <c r="AD499" s="223"/>
      <c r="AE499" s="223"/>
      <c r="AF499" s="223"/>
      <c r="AG499" s="223"/>
      <c r="AH499" s="223"/>
      <c r="AI499" s="200"/>
      <c r="AJ499" s="200"/>
      <c r="AK499" s="522"/>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2"/>
      <c r="BF499" s="200"/>
      <c r="BG499" s="223"/>
      <c r="BH499" s="223"/>
      <c r="BI499" s="223"/>
      <c r="BJ499" s="223"/>
      <c r="BK499" s="223"/>
      <c r="BL499" s="223"/>
      <c r="BM499" s="200"/>
      <c r="BN499" s="200"/>
      <c r="BO499" s="522"/>
      <c r="BP499" s="200"/>
      <c r="BQ499" s="223"/>
      <c r="BR499" s="223"/>
      <c r="BS499" s="223"/>
      <c r="BT499" s="223"/>
      <c r="BU499" s="223"/>
      <c r="BV499" s="223"/>
      <c r="BW499" s="223"/>
      <c r="BX499" s="200"/>
      <c r="BY499" s="522"/>
      <c r="BZ499" s="200"/>
      <c r="CA499" s="223"/>
      <c r="CB499" s="223"/>
      <c r="CC499" s="223"/>
      <c r="CD499" s="223"/>
      <c r="CE499" s="223"/>
      <c r="CF499" s="223"/>
      <c r="CG499" s="200"/>
      <c r="CH499" s="200"/>
      <c r="CI499" s="522"/>
      <c r="CJ499" s="200"/>
      <c r="CK499" s="223"/>
      <c r="CL499" s="223"/>
      <c r="CM499" s="223"/>
      <c r="CN499" s="223"/>
      <c r="CO499" s="223"/>
      <c r="CP499" s="223"/>
      <c r="CQ499" s="200"/>
      <c r="CR499" s="200"/>
      <c r="CS499" s="522"/>
      <c r="CT499" s="200"/>
      <c r="CU499" s="223"/>
      <c r="CV499" s="223"/>
      <c r="CW499" s="223"/>
      <c r="CX499" s="223"/>
      <c r="CY499" s="223"/>
      <c r="CZ499" s="223"/>
      <c r="DA499" s="223"/>
      <c r="DB499" s="200"/>
      <c r="DC499" s="522"/>
      <c r="DD499" s="200"/>
      <c r="DE499" s="223"/>
      <c r="DF499" s="223"/>
      <c r="DG499" s="223"/>
      <c r="DH499" s="223"/>
      <c r="DI499" s="223"/>
      <c r="DJ499" s="223"/>
      <c r="DK499" s="200"/>
      <c r="DL499" s="200"/>
      <c r="DM499" s="522"/>
      <c r="DN499" s="200"/>
      <c r="DO499" s="223"/>
      <c r="DP499" s="223"/>
      <c r="DQ499" s="223"/>
      <c r="DR499" s="223"/>
      <c r="DS499" s="223"/>
      <c r="DT499" s="223"/>
      <c r="DU499" s="200"/>
      <c r="DV499" s="200"/>
      <c r="DW499" s="522"/>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2"/>
      <c r="R500" s="200"/>
      <c r="S500" s="223"/>
      <c r="T500" s="223"/>
      <c r="U500" s="223"/>
      <c r="V500" s="223"/>
      <c r="W500" s="223"/>
      <c r="X500" s="223"/>
      <c r="Y500" s="200"/>
      <c r="Z500" s="200"/>
      <c r="AA500" s="522"/>
      <c r="AB500" s="200"/>
      <c r="AC500" s="223"/>
      <c r="AD500" s="223"/>
      <c r="AE500" s="223"/>
      <c r="AF500" s="223"/>
      <c r="AG500" s="223"/>
      <c r="AH500" s="223"/>
      <c r="AI500" s="200"/>
      <c r="AJ500" s="200"/>
      <c r="AK500" s="522"/>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2"/>
      <c r="BF500" s="200"/>
      <c r="BG500" s="223"/>
      <c r="BH500" s="223"/>
      <c r="BI500" s="223"/>
      <c r="BJ500" s="223"/>
      <c r="BK500" s="223"/>
      <c r="BL500" s="223"/>
      <c r="BM500" s="200"/>
      <c r="BN500" s="200"/>
      <c r="BO500" s="522"/>
      <c r="BP500" s="200"/>
      <c r="BQ500" s="223"/>
      <c r="BR500" s="223"/>
      <c r="BS500" s="223"/>
      <c r="BT500" s="223"/>
      <c r="BU500" s="223"/>
      <c r="BV500" s="223"/>
      <c r="BW500" s="223"/>
      <c r="BX500" s="200"/>
      <c r="BY500" s="522"/>
      <c r="BZ500" s="200"/>
      <c r="CA500" s="223"/>
      <c r="CB500" s="223"/>
      <c r="CC500" s="223"/>
      <c r="CD500" s="223"/>
      <c r="CE500" s="223"/>
      <c r="CF500" s="223"/>
      <c r="CG500" s="200"/>
      <c r="CH500" s="200"/>
      <c r="CI500" s="522"/>
      <c r="CJ500" s="200"/>
      <c r="CK500" s="223"/>
      <c r="CL500" s="223"/>
      <c r="CM500" s="223"/>
      <c r="CN500" s="223"/>
      <c r="CO500" s="223"/>
      <c r="CP500" s="223"/>
      <c r="CQ500" s="200"/>
      <c r="CR500" s="200"/>
      <c r="CS500" s="522"/>
      <c r="CT500" s="200"/>
      <c r="CU500" s="223"/>
      <c r="CV500" s="223"/>
      <c r="CW500" s="223"/>
      <c r="CX500" s="223"/>
      <c r="CY500" s="223"/>
      <c r="CZ500" s="223"/>
      <c r="DA500" s="223"/>
      <c r="DB500" s="200"/>
      <c r="DC500" s="522"/>
      <c r="DD500" s="200"/>
      <c r="DE500" s="223"/>
      <c r="DF500" s="223"/>
      <c r="DG500" s="223"/>
      <c r="DH500" s="223"/>
      <c r="DI500" s="223"/>
      <c r="DJ500" s="223"/>
      <c r="DK500" s="200"/>
      <c r="DL500" s="200"/>
      <c r="DM500" s="522"/>
      <c r="DN500" s="200"/>
      <c r="DO500" s="223"/>
      <c r="DP500" s="223"/>
      <c r="DQ500" s="223"/>
      <c r="DR500" s="223"/>
      <c r="DS500" s="223"/>
      <c r="DT500" s="223"/>
      <c r="DU500" s="200"/>
      <c r="DV500" s="200"/>
      <c r="DW500" s="522"/>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2"/>
      <c r="R501" s="200"/>
      <c r="S501" s="223"/>
      <c r="T501" s="223"/>
      <c r="U501" s="223"/>
      <c r="V501" s="223"/>
      <c r="W501" s="223"/>
      <c r="X501" s="223"/>
      <c r="Y501" s="200"/>
      <c r="Z501" s="200"/>
      <c r="AA501" s="522"/>
      <c r="AB501" s="200"/>
      <c r="AC501" s="223"/>
      <c r="AD501" s="223"/>
      <c r="AE501" s="223"/>
      <c r="AF501" s="223"/>
      <c r="AG501" s="223"/>
      <c r="AH501" s="223"/>
      <c r="AI501" s="200"/>
      <c r="AJ501" s="200"/>
      <c r="AK501" s="522"/>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2"/>
      <c r="BF501" s="200"/>
      <c r="BG501" s="223"/>
      <c r="BH501" s="223"/>
      <c r="BI501" s="223"/>
      <c r="BJ501" s="223"/>
      <c r="BK501" s="223"/>
      <c r="BL501" s="223"/>
      <c r="BM501" s="200"/>
      <c r="BN501" s="200"/>
      <c r="BO501" s="522"/>
      <c r="BP501" s="200"/>
      <c r="BQ501" s="223"/>
      <c r="BR501" s="223"/>
      <c r="BS501" s="223"/>
      <c r="BT501" s="223"/>
      <c r="BU501" s="223"/>
      <c r="BV501" s="223"/>
      <c r="BW501" s="223"/>
      <c r="BX501" s="200"/>
      <c r="BY501" s="522"/>
      <c r="BZ501" s="200"/>
      <c r="CA501" s="223"/>
      <c r="CB501" s="223"/>
      <c r="CC501" s="223"/>
      <c r="CD501" s="223"/>
      <c r="CE501" s="223"/>
      <c r="CF501" s="223"/>
      <c r="CG501" s="200"/>
      <c r="CH501" s="200"/>
      <c r="CI501" s="522"/>
      <c r="CJ501" s="200"/>
      <c r="CK501" s="223"/>
      <c r="CL501" s="223"/>
      <c r="CM501" s="223"/>
      <c r="CN501" s="223"/>
      <c r="CO501" s="223"/>
      <c r="CP501" s="223"/>
      <c r="CQ501" s="200"/>
      <c r="CR501" s="200"/>
      <c r="CS501" s="522"/>
      <c r="CT501" s="200"/>
      <c r="CU501" s="223"/>
      <c r="CV501" s="223"/>
      <c r="CW501" s="223"/>
      <c r="CX501" s="223"/>
      <c r="CY501" s="223"/>
      <c r="CZ501" s="223"/>
      <c r="DA501" s="223"/>
      <c r="DB501" s="200"/>
      <c r="DC501" s="522"/>
      <c r="DD501" s="200"/>
      <c r="DE501" s="223"/>
      <c r="DF501" s="223"/>
      <c r="DG501" s="223"/>
      <c r="DH501" s="223"/>
      <c r="DI501" s="223"/>
      <c r="DJ501" s="223"/>
      <c r="DK501" s="200"/>
      <c r="DL501" s="200"/>
      <c r="DM501" s="522"/>
      <c r="DN501" s="200"/>
      <c r="DO501" s="223"/>
      <c r="DP501" s="223"/>
      <c r="DQ501" s="223"/>
      <c r="DR501" s="223"/>
      <c r="DS501" s="223"/>
      <c r="DT501" s="223"/>
      <c r="DU501" s="200"/>
      <c r="DV501" s="200"/>
      <c r="DW501" s="522"/>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2"/>
      <c r="R502" s="200"/>
      <c r="S502" s="223"/>
      <c r="T502" s="223"/>
      <c r="U502" s="223"/>
      <c r="V502" s="223"/>
      <c r="W502" s="223"/>
      <c r="X502" s="223"/>
      <c r="Y502" s="200"/>
      <c r="Z502" s="200"/>
      <c r="AA502" s="522"/>
      <c r="AB502" s="200"/>
      <c r="AC502" s="223"/>
      <c r="AD502" s="223"/>
      <c r="AE502" s="223"/>
      <c r="AF502" s="223"/>
      <c r="AG502" s="223"/>
      <c r="AH502" s="223"/>
      <c r="AI502" s="200"/>
      <c r="AJ502" s="200"/>
      <c r="AK502" s="522"/>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2"/>
      <c r="BF502" s="200"/>
      <c r="BG502" s="223"/>
      <c r="BH502" s="223"/>
      <c r="BI502" s="223"/>
      <c r="BJ502" s="223"/>
      <c r="BK502" s="223"/>
      <c r="BL502" s="223"/>
      <c r="BM502" s="200"/>
      <c r="BN502" s="200"/>
      <c r="BO502" s="522"/>
      <c r="BP502" s="200"/>
      <c r="BQ502" s="223"/>
      <c r="BR502" s="223"/>
      <c r="BS502" s="223"/>
      <c r="BT502" s="223"/>
      <c r="BU502" s="223"/>
      <c r="BV502" s="223"/>
      <c r="BW502" s="223"/>
      <c r="BX502" s="200"/>
      <c r="BY502" s="522"/>
      <c r="BZ502" s="200"/>
      <c r="CA502" s="223"/>
      <c r="CB502" s="223"/>
      <c r="CC502" s="223"/>
      <c r="CD502" s="223"/>
      <c r="CE502" s="223"/>
      <c r="CF502" s="223"/>
      <c r="CG502" s="200"/>
      <c r="CH502" s="200"/>
      <c r="CI502" s="522"/>
      <c r="CJ502" s="200"/>
      <c r="CK502" s="223"/>
      <c r="CL502" s="223"/>
      <c r="CM502" s="223"/>
      <c r="CN502" s="223"/>
      <c r="CO502" s="223"/>
      <c r="CP502" s="223"/>
      <c r="CQ502" s="200"/>
      <c r="CR502" s="200"/>
      <c r="CS502" s="522"/>
      <c r="CT502" s="200"/>
      <c r="CU502" s="223"/>
      <c r="CV502" s="223"/>
      <c r="CW502" s="223"/>
      <c r="CX502" s="223"/>
      <c r="CY502" s="223"/>
      <c r="CZ502" s="223"/>
      <c r="DA502" s="223"/>
      <c r="DB502" s="200"/>
      <c r="DC502" s="522"/>
      <c r="DD502" s="200"/>
      <c r="DE502" s="223"/>
      <c r="DF502" s="223"/>
      <c r="DG502" s="223"/>
      <c r="DH502" s="223"/>
      <c r="DI502" s="223"/>
      <c r="DJ502" s="223"/>
      <c r="DK502" s="200"/>
      <c r="DL502" s="200"/>
      <c r="DM502" s="522"/>
      <c r="DN502" s="200"/>
      <c r="DO502" s="223"/>
      <c r="DP502" s="223"/>
      <c r="DQ502" s="223"/>
      <c r="DR502" s="223"/>
      <c r="DS502" s="223"/>
      <c r="DT502" s="223"/>
      <c r="DU502" s="200"/>
      <c r="DV502" s="200"/>
      <c r="DW502" s="522"/>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2"/>
      <c r="R503" s="200"/>
      <c r="S503" s="223"/>
      <c r="T503" s="223"/>
      <c r="U503" s="223"/>
      <c r="V503" s="223"/>
      <c r="W503" s="223"/>
      <c r="X503" s="223"/>
      <c r="Y503" s="200"/>
      <c r="Z503" s="200"/>
      <c r="AA503" s="522"/>
      <c r="AB503" s="200"/>
      <c r="AC503" s="223"/>
      <c r="AD503" s="223"/>
      <c r="AE503" s="223"/>
      <c r="AF503" s="223"/>
      <c r="AG503" s="223"/>
      <c r="AH503" s="223"/>
      <c r="AI503" s="200"/>
      <c r="AJ503" s="200"/>
      <c r="AK503" s="522"/>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2"/>
      <c r="BF503" s="200"/>
      <c r="BG503" s="223"/>
      <c r="BH503" s="223"/>
      <c r="BI503" s="223"/>
      <c r="BJ503" s="223"/>
      <c r="BK503" s="223"/>
      <c r="BL503" s="223"/>
      <c r="BM503" s="200"/>
      <c r="BN503" s="200"/>
      <c r="BO503" s="522"/>
      <c r="BP503" s="200"/>
      <c r="BQ503" s="223"/>
      <c r="BR503" s="223"/>
      <c r="BS503" s="223"/>
      <c r="BT503" s="223"/>
      <c r="BU503" s="223"/>
      <c r="BV503" s="223"/>
      <c r="BW503" s="223"/>
      <c r="BX503" s="200"/>
      <c r="BY503" s="522"/>
      <c r="BZ503" s="200"/>
      <c r="CA503" s="223"/>
      <c r="CB503" s="223"/>
      <c r="CC503" s="223"/>
      <c r="CD503" s="223"/>
      <c r="CE503" s="223"/>
      <c r="CF503" s="223"/>
      <c r="CG503" s="200"/>
      <c r="CH503" s="200"/>
      <c r="CI503" s="522"/>
      <c r="CJ503" s="200"/>
      <c r="CK503" s="223"/>
      <c r="CL503" s="223"/>
      <c r="CM503" s="223"/>
      <c r="CN503" s="223"/>
      <c r="CO503" s="223"/>
      <c r="CP503" s="223"/>
      <c r="CQ503" s="200"/>
      <c r="CR503" s="200"/>
      <c r="CS503" s="522"/>
      <c r="CT503" s="200"/>
      <c r="CU503" s="223"/>
      <c r="CV503" s="223"/>
      <c r="CW503" s="223"/>
      <c r="CX503" s="223"/>
      <c r="CY503" s="223"/>
      <c r="CZ503" s="223"/>
      <c r="DA503" s="223"/>
      <c r="DB503" s="200"/>
      <c r="DC503" s="522"/>
      <c r="DD503" s="200"/>
      <c r="DE503" s="223"/>
      <c r="DF503" s="223"/>
      <c r="DG503" s="223"/>
      <c r="DH503" s="223"/>
      <c r="DI503" s="223"/>
      <c r="DJ503" s="223"/>
      <c r="DK503" s="200"/>
      <c r="DL503" s="200"/>
      <c r="DM503" s="522"/>
      <c r="DN503" s="200"/>
      <c r="DO503" s="223"/>
      <c r="DP503" s="223"/>
      <c r="DQ503" s="223"/>
      <c r="DR503" s="223"/>
      <c r="DS503" s="223"/>
      <c r="DT503" s="223"/>
      <c r="DU503" s="200"/>
      <c r="DV503" s="200"/>
      <c r="DW503" s="522"/>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2"/>
      <c r="R504" s="200"/>
      <c r="S504" s="223"/>
      <c r="T504" s="223"/>
      <c r="U504" s="223"/>
      <c r="V504" s="223"/>
      <c r="W504" s="223"/>
      <c r="X504" s="223"/>
      <c r="Y504" s="200"/>
      <c r="Z504" s="200"/>
      <c r="AA504" s="522"/>
      <c r="AB504" s="200"/>
      <c r="AC504" s="223"/>
      <c r="AD504" s="223"/>
      <c r="AE504" s="223"/>
      <c r="AF504" s="223"/>
      <c r="AG504" s="223"/>
      <c r="AH504" s="223"/>
      <c r="AI504" s="200"/>
      <c r="AJ504" s="200"/>
      <c r="AK504" s="522"/>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2"/>
      <c r="BF504" s="200"/>
      <c r="BG504" s="223"/>
      <c r="BH504" s="223"/>
      <c r="BI504" s="223"/>
      <c r="BJ504" s="223"/>
      <c r="BK504" s="223"/>
      <c r="BL504" s="223"/>
      <c r="BM504" s="200"/>
      <c r="BN504" s="200"/>
      <c r="BO504" s="522"/>
      <c r="BP504" s="200"/>
      <c r="BQ504" s="223"/>
      <c r="BR504" s="223"/>
      <c r="BS504" s="223"/>
      <c r="BT504" s="223"/>
      <c r="BU504" s="223"/>
      <c r="BV504" s="223"/>
      <c r="BW504" s="223"/>
      <c r="BX504" s="200"/>
      <c r="BY504" s="522"/>
      <c r="BZ504" s="200"/>
      <c r="CA504" s="223"/>
      <c r="CB504" s="223"/>
      <c r="CC504" s="223"/>
      <c r="CD504" s="223"/>
      <c r="CE504" s="223"/>
      <c r="CF504" s="223"/>
      <c r="CG504" s="200"/>
      <c r="CH504" s="200"/>
      <c r="CI504" s="522"/>
      <c r="CJ504" s="200"/>
      <c r="CK504" s="223"/>
      <c r="CL504" s="223"/>
      <c r="CM504" s="223"/>
      <c r="CN504" s="223"/>
      <c r="CO504" s="223"/>
      <c r="CP504" s="223"/>
      <c r="CQ504" s="200"/>
      <c r="CR504" s="200"/>
      <c r="CS504" s="522"/>
      <c r="CT504" s="200"/>
      <c r="CU504" s="223"/>
      <c r="CV504" s="223"/>
      <c r="CW504" s="223"/>
      <c r="CX504" s="223"/>
      <c r="CY504" s="223"/>
      <c r="CZ504" s="223"/>
      <c r="DA504" s="223"/>
      <c r="DB504" s="200"/>
      <c r="DC504" s="522"/>
      <c r="DD504" s="200"/>
      <c r="DE504" s="223"/>
      <c r="DF504" s="223"/>
      <c r="DG504" s="223"/>
      <c r="DH504" s="223"/>
      <c r="DI504" s="223"/>
      <c r="DJ504" s="223"/>
      <c r="DK504" s="200"/>
      <c r="DL504" s="200"/>
      <c r="DM504" s="522"/>
      <c r="DN504" s="200"/>
      <c r="DO504" s="223"/>
      <c r="DP504" s="223"/>
      <c r="DQ504" s="223"/>
      <c r="DR504" s="223"/>
      <c r="DS504" s="223"/>
      <c r="DT504" s="223"/>
      <c r="DU504" s="200"/>
      <c r="DV504" s="200"/>
      <c r="DW504" s="522"/>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2"/>
      <c r="R505" s="200"/>
      <c r="S505" s="223"/>
      <c r="T505" s="223"/>
      <c r="U505" s="223"/>
      <c r="V505" s="223"/>
      <c r="W505" s="223"/>
      <c r="X505" s="223"/>
      <c r="Y505" s="200"/>
      <c r="Z505" s="200"/>
      <c r="AA505" s="522"/>
      <c r="AB505" s="200"/>
      <c r="AC505" s="223"/>
      <c r="AD505" s="223"/>
      <c r="AE505" s="223"/>
      <c r="AF505" s="223"/>
      <c r="AG505" s="223"/>
      <c r="AH505" s="223"/>
      <c r="AI505" s="200"/>
      <c r="AJ505" s="200"/>
      <c r="AK505" s="522"/>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2"/>
      <c r="BF505" s="200"/>
      <c r="BG505" s="223"/>
      <c r="BH505" s="223"/>
      <c r="BI505" s="223"/>
      <c r="BJ505" s="223"/>
      <c r="BK505" s="223"/>
      <c r="BL505" s="223"/>
      <c r="BM505" s="200"/>
      <c r="BN505" s="200"/>
      <c r="BO505" s="522"/>
      <c r="BP505" s="200"/>
      <c r="BQ505" s="223"/>
      <c r="BR505" s="223"/>
      <c r="BS505" s="223"/>
      <c r="BT505" s="223"/>
      <c r="BU505" s="223"/>
      <c r="BV505" s="223"/>
      <c r="BW505" s="223"/>
      <c r="BX505" s="200"/>
      <c r="BY505" s="522"/>
      <c r="BZ505" s="200"/>
      <c r="CA505" s="223"/>
      <c r="CB505" s="223"/>
      <c r="CC505" s="223"/>
      <c r="CD505" s="223"/>
      <c r="CE505" s="223"/>
      <c r="CF505" s="223"/>
      <c r="CG505" s="200"/>
      <c r="CH505" s="200"/>
      <c r="CI505" s="522"/>
      <c r="CJ505" s="200"/>
      <c r="CK505" s="223"/>
      <c r="CL505" s="223"/>
      <c r="CM505" s="223"/>
      <c r="CN505" s="223"/>
      <c r="CO505" s="223"/>
      <c r="CP505" s="223"/>
      <c r="CQ505" s="200"/>
      <c r="CR505" s="200"/>
      <c r="CS505" s="522"/>
      <c r="CT505" s="200"/>
      <c r="CU505" s="223"/>
      <c r="CV505" s="223"/>
      <c r="CW505" s="223"/>
      <c r="CX505" s="223"/>
      <c r="CY505" s="223"/>
      <c r="CZ505" s="223"/>
      <c r="DA505" s="223"/>
      <c r="DB505" s="200"/>
      <c r="DC505" s="522"/>
      <c r="DD505" s="200"/>
      <c r="DE505" s="223"/>
      <c r="DF505" s="223"/>
      <c r="DG505" s="223"/>
      <c r="DH505" s="223"/>
      <c r="DI505" s="223"/>
      <c r="DJ505" s="223"/>
      <c r="DK505" s="200"/>
      <c r="DL505" s="200"/>
      <c r="DM505" s="522"/>
      <c r="DN505" s="200"/>
      <c r="DO505" s="223"/>
      <c r="DP505" s="223"/>
      <c r="DQ505" s="223"/>
      <c r="DR505" s="223"/>
      <c r="DS505" s="223"/>
      <c r="DT505" s="223"/>
      <c r="DU505" s="200"/>
      <c r="DV505" s="200"/>
      <c r="DW505" s="522"/>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2"/>
      <c r="R506" s="200"/>
      <c r="S506" s="223"/>
      <c r="T506" s="223"/>
      <c r="U506" s="223"/>
      <c r="V506" s="223"/>
      <c r="W506" s="223"/>
      <c r="X506" s="223"/>
      <c r="Y506" s="200"/>
      <c r="Z506" s="200"/>
      <c r="AA506" s="522"/>
      <c r="AB506" s="200"/>
      <c r="AC506" s="223"/>
      <c r="AD506" s="223"/>
      <c r="AE506" s="223"/>
      <c r="AF506" s="223"/>
      <c r="AG506" s="223"/>
      <c r="AH506" s="223"/>
      <c r="AI506" s="200"/>
      <c r="AJ506" s="200"/>
      <c r="AK506" s="522"/>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2"/>
      <c r="BF506" s="200"/>
      <c r="BG506" s="223"/>
      <c r="BH506" s="223"/>
      <c r="BI506" s="223"/>
      <c r="BJ506" s="223"/>
      <c r="BK506" s="223"/>
      <c r="BL506" s="223"/>
      <c r="BM506" s="200"/>
      <c r="BN506" s="200"/>
      <c r="BO506" s="522"/>
      <c r="BP506" s="200"/>
      <c r="BQ506" s="223"/>
      <c r="BR506" s="223"/>
      <c r="BS506" s="223"/>
      <c r="BT506" s="223"/>
      <c r="BU506" s="223"/>
      <c r="BV506" s="223"/>
      <c r="BW506" s="223"/>
      <c r="BX506" s="200"/>
      <c r="BY506" s="522"/>
      <c r="BZ506" s="200"/>
      <c r="CA506" s="223"/>
      <c r="CB506" s="223"/>
      <c r="CC506" s="223"/>
      <c r="CD506" s="223"/>
      <c r="CE506" s="223"/>
      <c r="CF506" s="223"/>
      <c r="CG506" s="200"/>
      <c r="CH506" s="200"/>
      <c r="CI506" s="522"/>
      <c r="CJ506" s="200"/>
      <c r="CK506" s="223"/>
      <c r="CL506" s="223"/>
      <c r="CM506" s="223"/>
      <c r="CN506" s="223"/>
      <c r="CO506" s="223"/>
      <c r="CP506" s="223"/>
      <c r="CQ506" s="200"/>
      <c r="CR506" s="200"/>
      <c r="CS506" s="522"/>
      <c r="CT506" s="200"/>
      <c r="CU506" s="223"/>
      <c r="CV506" s="223"/>
      <c r="CW506" s="223"/>
      <c r="CX506" s="223"/>
      <c r="CY506" s="223"/>
      <c r="CZ506" s="223"/>
      <c r="DA506" s="223"/>
      <c r="DB506" s="200"/>
      <c r="DC506" s="522"/>
      <c r="DD506" s="200"/>
      <c r="DE506" s="223"/>
      <c r="DF506" s="223"/>
      <c r="DG506" s="223"/>
      <c r="DH506" s="223"/>
      <c r="DI506" s="223"/>
      <c r="DJ506" s="223"/>
      <c r="DK506" s="200"/>
      <c r="DL506" s="200"/>
      <c r="DM506" s="522"/>
      <c r="DN506" s="200"/>
      <c r="DO506" s="223"/>
      <c r="DP506" s="223"/>
      <c r="DQ506" s="223"/>
      <c r="DR506" s="223"/>
      <c r="DS506" s="223"/>
      <c r="DT506" s="223"/>
      <c r="DU506" s="200"/>
      <c r="DV506" s="200"/>
      <c r="DW506" s="522"/>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2"/>
      <c r="R507" s="200"/>
      <c r="S507" s="223"/>
      <c r="T507" s="223"/>
      <c r="U507" s="223"/>
      <c r="V507" s="223"/>
      <c r="W507" s="223"/>
      <c r="X507" s="223"/>
      <c r="Y507" s="200"/>
      <c r="Z507" s="200"/>
      <c r="AA507" s="522"/>
      <c r="AB507" s="200"/>
      <c r="AC507" s="223"/>
      <c r="AD507" s="223"/>
      <c r="AE507" s="223"/>
      <c r="AF507" s="223"/>
      <c r="AG507" s="223"/>
      <c r="AH507" s="223"/>
      <c r="AI507" s="200"/>
      <c r="AJ507" s="200"/>
      <c r="AK507" s="522"/>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2"/>
      <c r="BF507" s="200"/>
      <c r="BG507" s="223"/>
      <c r="BH507" s="223"/>
      <c r="BI507" s="223"/>
      <c r="BJ507" s="223"/>
      <c r="BK507" s="223"/>
      <c r="BL507" s="223"/>
      <c r="BM507" s="200"/>
      <c r="BN507" s="200"/>
      <c r="BO507" s="522"/>
      <c r="BP507" s="200"/>
      <c r="BQ507" s="223"/>
      <c r="BR507" s="223"/>
      <c r="BS507" s="223"/>
      <c r="BT507" s="223"/>
      <c r="BU507" s="223"/>
      <c r="BV507" s="223"/>
      <c r="BW507" s="223"/>
      <c r="BX507" s="200"/>
      <c r="BY507" s="522"/>
      <c r="BZ507" s="200"/>
      <c r="CA507" s="223"/>
      <c r="CB507" s="223"/>
      <c r="CC507" s="223"/>
      <c r="CD507" s="223"/>
      <c r="CE507" s="223"/>
      <c r="CF507" s="223"/>
      <c r="CG507" s="200"/>
      <c r="CH507" s="200"/>
      <c r="CI507" s="522"/>
      <c r="CJ507" s="200"/>
      <c r="CK507" s="223"/>
      <c r="CL507" s="223"/>
      <c r="CM507" s="223"/>
      <c r="CN507" s="223"/>
      <c r="CO507" s="223"/>
      <c r="CP507" s="223"/>
      <c r="CQ507" s="200"/>
      <c r="CR507" s="200"/>
      <c r="CS507" s="522"/>
      <c r="CT507" s="200"/>
      <c r="CU507" s="223"/>
      <c r="CV507" s="223"/>
      <c r="CW507" s="223"/>
      <c r="CX507" s="223"/>
      <c r="CY507" s="223"/>
      <c r="CZ507" s="223"/>
      <c r="DA507" s="223"/>
      <c r="DB507" s="200"/>
      <c r="DC507" s="522"/>
      <c r="DD507" s="200"/>
      <c r="DE507" s="223"/>
      <c r="DF507" s="223"/>
      <c r="DG507" s="223"/>
      <c r="DH507" s="223"/>
      <c r="DI507" s="223"/>
      <c r="DJ507" s="223"/>
      <c r="DK507" s="200"/>
      <c r="DL507" s="200"/>
      <c r="DM507" s="522"/>
      <c r="DN507" s="200"/>
      <c r="DO507" s="223"/>
      <c r="DP507" s="223"/>
      <c r="DQ507" s="223"/>
      <c r="DR507" s="223"/>
      <c r="DS507" s="223"/>
      <c r="DT507" s="223"/>
      <c r="DU507" s="200"/>
      <c r="DV507" s="200"/>
      <c r="DW507" s="522"/>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2"/>
      <c r="R508" s="200"/>
      <c r="S508" s="223"/>
      <c r="T508" s="223"/>
      <c r="U508" s="223"/>
      <c r="V508" s="223"/>
      <c r="W508" s="223"/>
      <c r="X508" s="223"/>
      <c r="Y508" s="200"/>
      <c r="Z508" s="200"/>
      <c r="AA508" s="522"/>
      <c r="AB508" s="200"/>
      <c r="AC508" s="223"/>
      <c r="AD508" s="223"/>
      <c r="AE508" s="223"/>
      <c r="AF508" s="223"/>
      <c r="AG508" s="223"/>
      <c r="AH508" s="223"/>
      <c r="AI508" s="200"/>
      <c r="AJ508" s="200"/>
      <c r="AK508" s="522"/>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2"/>
      <c r="BF508" s="200"/>
      <c r="BG508" s="223"/>
      <c r="BH508" s="223"/>
      <c r="BI508" s="223"/>
      <c r="BJ508" s="223"/>
      <c r="BK508" s="223"/>
      <c r="BL508" s="223"/>
      <c r="BM508" s="200"/>
      <c r="BN508" s="200"/>
      <c r="BO508" s="522"/>
      <c r="BP508" s="200"/>
      <c r="BQ508" s="223"/>
      <c r="BR508" s="223"/>
      <c r="BS508" s="223"/>
      <c r="BT508" s="223"/>
      <c r="BU508" s="223"/>
      <c r="BV508" s="223"/>
      <c r="BW508" s="223"/>
      <c r="BX508" s="200"/>
      <c r="BY508" s="522"/>
      <c r="BZ508" s="200"/>
      <c r="CA508" s="223"/>
      <c r="CB508" s="223"/>
      <c r="CC508" s="223"/>
      <c r="CD508" s="223"/>
      <c r="CE508" s="223"/>
      <c r="CF508" s="223"/>
      <c r="CG508" s="200"/>
      <c r="CH508" s="200"/>
      <c r="CI508" s="522"/>
      <c r="CJ508" s="200"/>
      <c r="CK508" s="223"/>
      <c r="CL508" s="223"/>
      <c r="CM508" s="223"/>
      <c r="CN508" s="223"/>
      <c r="CO508" s="223"/>
      <c r="CP508" s="223"/>
      <c r="CQ508" s="200"/>
      <c r="CR508" s="200"/>
      <c r="CS508" s="522"/>
      <c r="CT508" s="200"/>
      <c r="CU508" s="223"/>
      <c r="CV508" s="223"/>
      <c r="CW508" s="223"/>
      <c r="CX508" s="223"/>
      <c r="CY508" s="223"/>
      <c r="CZ508" s="223"/>
      <c r="DA508" s="223"/>
      <c r="DB508" s="200"/>
      <c r="DC508" s="522"/>
      <c r="DD508" s="200"/>
      <c r="DE508" s="223"/>
      <c r="DF508" s="223"/>
      <c r="DG508" s="223"/>
      <c r="DH508" s="223"/>
      <c r="DI508" s="223"/>
      <c r="DJ508" s="223"/>
      <c r="DK508" s="200"/>
      <c r="DL508" s="200"/>
      <c r="DM508" s="522"/>
      <c r="DN508" s="200"/>
      <c r="DO508" s="223"/>
      <c r="DP508" s="223"/>
      <c r="DQ508" s="223"/>
      <c r="DR508" s="223"/>
      <c r="DS508" s="223"/>
      <c r="DT508" s="223"/>
      <c r="DU508" s="200"/>
      <c r="DV508" s="200"/>
      <c r="DW508" s="522"/>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2"/>
      <c r="R509" s="200"/>
      <c r="S509" s="223"/>
      <c r="T509" s="223"/>
      <c r="U509" s="223"/>
      <c r="V509" s="223"/>
      <c r="W509" s="223"/>
      <c r="X509" s="223"/>
      <c r="Y509" s="200"/>
      <c r="Z509" s="200"/>
      <c r="AA509" s="522"/>
      <c r="AB509" s="200"/>
      <c r="AC509" s="223"/>
      <c r="AD509" s="223"/>
      <c r="AE509" s="223"/>
      <c r="AF509" s="223"/>
      <c r="AG509" s="223"/>
      <c r="AH509" s="223"/>
      <c r="AI509" s="200"/>
      <c r="AJ509" s="200"/>
      <c r="AK509" s="522"/>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2"/>
      <c r="BF509" s="200"/>
      <c r="BG509" s="223"/>
      <c r="BH509" s="223"/>
      <c r="BI509" s="223"/>
      <c r="BJ509" s="223"/>
      <c r="BK509" s="223"/>
      <c r="BL509" s="223"/>
      <c r="BM509" s="200"/>
      <c r="BN509" s="200"/>
      <c r="BO509" s="522"/>
      <c r="BP509" s="200"/>
      <c r="BQ509" s="223"/>
      <c r="BR509" s="223"/>
      <c r="BS509" s="223"/>
      <c r="BT509" s="223"/>
      <c r="BU509" s="223"/>
      <c r="BV509" s="223"/>
      <c r="BW509" s="223"/>
      <c r="BX509" s="200"/>
      <c r="BY509" s="522"/>
      <c r="BZ509" s="200"/>
      <c r="CA509" s="223"/>
      <c r="CB509" s="223"/>
      <c r="CC509" s="223"/>
      <c r="CD509" s="223"/>
      <c r="CE509" s="223"/>
      <c r="CF509" s="223"/>
      <c r="CG509" s="200"/>
      <c r="CH509" s="200"/>
      <c r="CI509" s="522"/>
      <c r="CJ509" s="200"/>
      <c r="CK509" s="223"/>
      <c r="CL509" s="223"/>
      <c r="CM509" s="223"/>
      <c r="CN509" s="223"/>
      <c r="CO509" s="223"/>
      <c r="CP509" s="223"/>
      <c r="CQ509" s="200"/>
      <c r="CR509" s="200"/>
      <c r="CS509" s="522"/>
      <c r="CT509" s="200"/>
      <c r="CU509" s="223"/>
      <c r="CV509" s="223"/>
      <c r="CW509" s="223"/>
      <c r="CX509" s="223"/>
      <c r="CY509" s="223"/>
      <c r="CZ509" s="223"/>
      <c r="DA509" s="223"/>
      <c r="DB509" s="200"/>
      <c r="DC509" s="522"/>
      <c r="DD509" s="200"/>
      <c r="DE509" s="223"/>
      <c r="DF509" s="223"/>
      <c r="DG509" s="223"/>
      <c r="DH509" s="223"/>
      <c r="DI509" s="223"/>
      <c r="DJ509" s="223"/>
      <c r="DK509" s="200"/>
      <c r="DL509" s="200"/>
      <c r="DM509" s="522"/>
      <c r="DN509" s="200"/>
      <c r="DO509" s="223"/>
      <c r="DP509" s="223"/>
      <c r="DQ509" s="223"/>
      <c r="DR509" s="223"/>
      <c r="DS509" s="223"/>
      <c r="DT509" s="223"/>
      <c r="DU509" s="200"/>
      <c r="DV509" s="200"/>
      <c r="DW509" s="522"/>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2"/>
      <c r="R510" s="200"/>
      <c r="S510" s="223"/>
      <c r="T510" s="223"/>
      <c r="U510" s="223"/>
      <c r="V510" s="223"/>
      <c r="W510" s="223"/>
      <c r="X510" s="223"/>
      <c r="Y510" s="200"/>
      <c r="Z510" s="200"/>
      <c r="AA510" s="522"/>
      <c r="AB510" s="200"/>
      <c r="AC510" s="223"/>
      <c r="AD510" s="223"/>
      <c r="AE510" s="223"/>
      <c r="AF510" s="223"/>
      <c r="AG510" s="223"/>
      <c r="AH510" s="223"/>
      <c r="AI510" s="200"/>
      <c r="AJ510" s="200"/>
      <c r="AK510" s="522"/>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2"/>
      <c r="BF510" s="200"/>
      <c r="BG510" s="223"/>
      <c r="BH510" s="223"/>
      <c r="BI510" s="223"/>
      <c r="BJ510" s="223"/>
      <c r="BK510" s="223"/>
      <c r="BL510" s="223"/>
      <c r="BM510" s="200"/>
      <c r="BN510" s="200"/>
      <c r="BO510" s="522"/>
      <c r="BP510" s="200"/>
      <c r="BQ510" s="223"/>
      <c r="BR510" s="223"/>
      <c r="BS510" s="223"/>
      <c r="BT510" s="223"/>
      <c r="BU510" s="223"/>
      <c r="BV510" s="223"/>
      <c r="BW510" s="223"/>
      <c r="BX510" s="200"/>
      <c r="BY510" s="522"/>
      <c r="BZ510" s="200"/>
      <c r="CA510" s="223"/>
      <c r="CB510" s="223"/>
      <c r="CC510" s="223"/>
      <c r="CD510" s="223"/>
      <c r="CE510" s="223"/>
      <c r="CF510" s="223"/>
      <c r="CG510" s="200"/>
      <c r="CH510" s="200"/>
      <c r="CI510" s="522"/>
      <c r="CJ510" s="200"/>
      <c r="CK510" s="223"/>
      <c r="CL510" s="223"/>
      <c r="CM510" s="223"/>
      <c r="CN510" s="223"/>
      <c r="CO510" s="223"/>
      <c r="CP510" s="223"/>
      <c r="CQ510" s="200"/>
      <c r="CR510" s="200"/>
      <c r="CS510" s="522"/>
      <c r="CT510" s="200"/>
      <c r="CU510" s="223"/>
      <c r="CV510" s="223"/>
      <c r="CW510" s="223"/>
      <c r="CX510" s="223"/>
      <c r="CY510" s="223"/>
      <c r="CZ510" s="223"/>
      <c r="DA510" s="223"/>
      <c r="DB510" s="200"/>
      <c r="DC510" s="522"/>
      <c r="DD510" s="200"/>
      <c r="DE510" s="223"/>
      <c r="DF510" s="223"/>
      <c r="DG510" s="223"/>
      <c r="DH510" s="223"/>
      <c r="DI510" s="223"/>
      <c r="DJ510" s="223"/>
      <c r="DK510" s="200"/>
      <c r="DL510" s="200"/>
      <c r="DM510" s="522"/>
      <c r="DN510" s="200"/>
      <c r="DO510" s="223"/>
      <c r="DP510" s="223"/>
      <c r="DQ510" s="223"/>
      <c r="DR510" s="223"/>
      <c r="DS510" s="223"/>
      <c r="DT510" s="223"/>
      <c r="DU510" s="200"/>
      <c r="DV510" s="200"/>
      <c r="DW510" s="522"/>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2"/>
      <c r="R511" s="200"/>
      <c r="S511" s="223"/>
      <c r="T511" s="223"/>
      <c r="U511" s="223"/>
      <c r="V511" s="223"/>
      <c r="W511" s="223"/>
      <c r="X511" s="223"/>
      <c r="Y511" s="200"/>
      <c r="Z511" s="200"/>
      <c r="AA511" s="522"/>
      <c r="AB511" s="200"/>
      <c r="AC511" s="223"/>
      <c r="AD511" s="223"/>
      <c r="AE511" s="223"/>
      <c r="AF511" s="223"/>
      <c r="AG511" s="223"/>
      <c r="AH511" s="223"/>
      <c r="AI511" s="200"/>
      <c r="AJ511" s="200"/>
      <c r="AK511" s="522"/>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2"/>
      <c r="BF511" s="200"/>
      <c r="BG511" s="223"/>
      <c r="BH511" s="223"/>
      <c r="BI511" s="223"/>
      <c r="BJ511" s="223"/>
      <c r="BK511" s="223"/>
      <c r="BL511" s="223"/>
      <c r="BM511" s="200"/>
      <c r="BN511" s="200"/>
      <c r="BO511" s="522"/>
      <c r="BP511" s="200"/>
      <c r="BQ511" s="223"/>
      <c r="BR511" s="223"/>
      <c r="BS511" s="223"/>
      <c r="BT511" s="223"/>
      <c r="BU511" s="223"/>
      <c r="BV511" s="223"/>
      <c r="BW511" s="223"/>
      <c r="BX511" s="200"/>
      <c r="BY511" s="522"/>
      <c r="BZ511" s="200"/>
      <c r="CA511" s="223"/>
      <c r="CB511" s="223"/>
      <c r="CC511" s="223"/>
      <c r="CD511" s="223"/>
      <c r="CE511" s="223"/>
      <c r="CF511" s="223"/>
      <c r="CG511" s="200"/>
      <c r="CH511" s="200"/>
      <c r="CI511" s="522"/>
      <c r="CJ511" s="200"/>
      <c r="CK511" s="223"/>
      <c r="CL511" s="223"/>
      <c r="CM511" s="223"/>
      <c r="CN511" s="223"/>
      <c r="CO511" s="223"/>
      <c r="CP511" s="223"/>
      <c r="CQ511" s="200"/>
      <c r="CR511" s="200"/>
      <c r="CS511" s="522"/>
      <c r="CT511" s="200"/>
      <c r="CU511" s="223"/>
      <c r="CV511" s="223"/>
      <c r="CW511" s="223"/>
      <c r="CX511" s="223"/>
      <c r="CY511" s="223"/>
      <c r="CZ511" s="223"/>
      <c r="DA511" s="223"/>
      <c r="DB511" s="200"/>
      <c r="DC511" s="522"/>
      <c r="DD511" s="200"/>
      <c r="DE511" s="223"/>
      <c r="DF511" s="223"/>
      <c r="DG511" s="223"/>
      <c r="DH511" s="223"/>
      <c r="DI511" s="223"/>
      <c r="DJ511" s="223"/>
      <c r="DK511" s="200"/>
      <c r="DL511" s="200"/>
      <c r="DM511" s="522"/>
      <c r="DN511" s="200"/>
      <c r="DO511" s="223"/>
      <c r="DP511" s="223"/>
      <c r="DQ511" s="223"/>
      <c r="DR511" s="223"/>
      <c r="DS511" s="223"/>
      <c r="DT511" s="223"/>
      <c r="DU511" s="200"/>
      <c r="DV511" s="200"/>
      <c r="DW511" s="522"/>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2"/>
      <c r="R512" s="200"/>
      <c r="S512" s="223"/>
      <c r="T512" s="223"/>
      <c r="U512" s="223"/>
      <c r="V512" s="223"/>
      <c r="W512" s="223"/>
      <c r="X512" s="223"/>
      <c r="Y512" s="200"/>
      <c r="Z512" s="200"/>
      <c r="AA512" s="522"/>
      <c r="AB512" s="200"/>
      <c r="AC512" s="223"/>
      <c r="AD512" s="223"/>
      <c r="AE512" s="223"/>
      <c r="AF512" s="223"/>
      <c r="AG512" s="223"/>
      <c r="AH512" s="223"/>
      <c r="AI512" s="200"/>
      <c r="AJ512" s="200"/>
      <c r="AK512" s="522"/>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2"/>
      <c r="BF512" s="200"/>
      <c r="BG512" s="223"/>
      <c r="BH512" s="223"/>
      <c r="BI512" s="223"/>
      <c r="BJ512" s="223"/>
      <c r="BK512" s="223"/>
      <c r="BL512" s="223"/>
      <c r="BM512" s="200"/>
      <c r="BN512" s="200"/>
      <c r="BO512" s="522"/>
      <c r="BP512" s="200"/>
      <c r="BQ512" s="223"/>
      <c r="BR512" s="223"/>
      <c r="BS512" s="223"/>
      <c r="BT512" s="223"/>
      <c r="BU512" s="223"/>
      <c r="BV512" s="223"/>
      <c r="BW512" s="223"/>
      <c r="BX512" s="200"/>
      <c r="BY512" s="522"/>
      <c r="BZ512" s="200"/>
      <c r="CA512" s="223"/>
      <c r="CB512" s="223"/>
      <c r="CC512" s="223"/>
      <c r="CD512" s="223"/>
      <c r="CE512" s="223"/>
      <c r="CF512" s="223"/>
      <c r="CG512" s="200"/>
      <c r="CH512" s="200"/>
      <c r="CI512" s="522"/>
      <c r="CJ512" s="200"/>
      <c r="CK512" s="223"/>
      <c r="CL512" s="223"/>
      <c r="CM512" s="223"/>
      <c r="CN512" s="223"/>
      <c r="CO512" s="223"/>
      <c r="CP512" s="223"/>
      <c r="CQ512" s="200"/>
      <c r="CR512" s="200"/>
      <c r="CS512" s="522"/>
      <c r="CT512" s="200"/>
      <c r="CU512" s="223"/>
      <c r="CV512" s="223"/>
      <c r="CW512" s="223"/>
      <c r="CX512" s="223"/>
      <c r="CY512" s="223"/>
      <c r="CZ512" s="223"/>
      <c r="DA512" s="223"/>
      <c r="DB512" s="200"/>
      <c r="DC512" s="522"/>
      <c r="DD512" s="200"/>
      <c r="DE512" s="223"/>
      <c r="DF512" s="223"/>
      <c r="DG512" s="223"/>
      <c r="DH512" s="223"/>
      <c r="DI512" s="223"/>
      <c r="DJ512" s="223"/>
      <c r="DK512" s="200"/>
      <c r="DL512" s="200"/>
      <c r="DM512" s="522"/>
      <c r="DN512" s="200"/>
      <c r="DO512" s="223"/>
      <c r="DP512" s="223"/>
      <c r="DQ512" s="223"/>
      <c r="DR512" s="223"/>
      <c r="DS512" s="223"/>
      <c r="DT512" s="223"/>
      <c r="DU512" s="200"/>
      <c r="DV512" s="200"/>
      <c r="DW512" s="522"/>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2"/>
      <c r="R513" s="200"/>
      <c r="S513" s="223"/>
      <c r="T513" s="223"/>
      <c r="U513" s="223"/>
      <c r="V513" s="223"/>
      <c r="W513" s="223"/>
      <c r="X513" s="223"/>
      <c r="Y513" s="200"/>
      <c r="Z513" s="200"/>
      <c r="AA513" s="522"/>
      <c r="AB513" s="200"/>
      <c r="AC513" s="223"/>
      <c r="AD513" s="223"/>
      <c r="AE513" s="223"/>
      <c r="AF513" s="223"/>
      <c r="AG513" s="223"/>
      <c r="AH513" s="223"/>
      <c r="AI513" s="200"/>
      <c r="AJ513" s="200"/>
      <c r="AK513" s="522"/>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2"/>
      <c r="BF513" s="200"/>
      <c r="BG513" s="223"/>
      <c r="BH513" s="223"/>
      <c r="BI513" s="223"/>
      <c r="BJ513" s="223"/>
      <c r="BK513" s="223"/>
      <c r="BL513" s="223"/>
      <c r="BM513" s="200"/>
      <c r="BN513" s="200"/>
      <c r="BO513" s="522"/>
      <c r="BP513" s="200"/>
      <c r="BQ513" s="223"/>
      <c r="BR513" s="223"/>
      <c r="BS513" s="223"/>
      <c r="BT513" s="223"/>
      <c r="BU513" s="223"/>
      <c r="BV513" s="223"/>
      <c r="BW513" s="223"/>
      <c r="BX513" s="200"/>
      <c r="BY513" s="522"/>
      <c r="BZ513" s="200"/>
      <c r="CA513" s="223"/>
      <c r="CB513" s="223"/>
      <c r="CC513" s="223"/>
      <c r="CD513" s="223"/>
      <c r="CE513" s="223"/>
      <c r="CF513" s="223"/>
      <c r="CG513" s="200"/>
      <c r="CH513" s="200"/>
      <c r="CI513" s="522"/>
      <c r="CJ513" s="200"/>
      <c r="CK513" s="223"/>
      <c r="CL513" s="223"/>
      <c r="CM513" s="223"/>
      <c r="CN513" s="223"/>
      <c r="CO513" s="223"/>
      <c r="CP513" s="223"/>
      <c r="CQ513" s="200"/>
      <c r="CR513" s="200"/>
      <c r="CS513" s="522"/>
      <c r="CT513" s="200"/>
      <c r="CU513" s="223"/>
      <c r="CV513" s="223"/>
      <c r="CW513" s="223"/>
      <c r="CX513" s="223"/>
      <c r="CY513" s="223"/>
      <c r="CZ513" s="223"/>
      <c r="DA513" s="223"/>
      <c r="DB513" s="200"/>
      <c r="DC513" s="522"/>
      <c r="DD513" s="200"/>
      <c r="DE513" s="223"/>
      <c r="DF513" s="223"/>
      <c r="DG513" s="223"/>
      <c r="DH513" s="223"/>
      <c r="DI513" s="223"/>
      <c r="DJ513" s="223"/>
      <c r="DK513" s="200"/>
      <c r="DL513" s="200"/>
      <c r="DM513" s="522"/>
      <c r="DN513" s="200"/>
      <c r="DO513" s="223"/>
      <c r="DP513" s="223"/>
      <c r="DQ513" s="223"/>
      <c r="DR513" s="223"/>
      <c r="DS513" s="223"/>
      <c r="DT513" s="223"/>
      <c r="DU513" s="200"/>
      <c r="DV513" s="200"/>
      <c r="DW513" s="522"/>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2"/>
      <c r="R514" s="200"/>
      <c r="S514" s="223"/>
      <c r="T514" s="223"/>
      <c r="U514" s="223"/>
      <c r="V514" s="223"/>
      <c r="W514" s="223"/>
      <c r="X514" s="223"/>
      <c r="Y514" s="200"/>
      <c r="Z514" s="200"/>
      <c r="AA514" s="522"/>
      <c r="AB514" s="200"/>
      <c r="AC514" s="223"/>
      <c r="AD514" s="223"/>
      <c r="AE514" s="223"/>
      <c r="AF514" s="223"/>
      <c r="AG514" s="223"/>
      <c r="AH514" s="223"/>
      <c r="AI514" s="200"/>
      <c r="AJ514" s="200"/>
      <c r="AK514" s="522"/>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2"/>
      <c r="BF514" s="200"/>
      <c r="BG514" s="223"/>
      <c r="BH514" s="223"/>
      <c r="BI514" s="223"/>
      <c r="BJ514" s="223"/>
      <c r="BK514" s="223"/>
      <c r="BL514" s="223"/>
      <c r="BM514" s="200"/>
      <c r="BN514" s="200"/>
      <c r="BO514" s="522"/>
      <c r="BP514" s="200"/>
      <c r="BQ514" s="223"/>
      <c r="BR514" s="223"/>
      <c r="BS514" s="223"/>
      <c r="BT514" s="223"/>
      <c r="BU514" s="223"/>
      <c r="BV514" s="223"/>
      <c r="BW514" s="223"/>
      <c r="BX514" s="200"/>
      <c r="BY514" s="522"/>
      <c r="BZ514" s="200"/>
      <c r="CA514" s="223"/>
      <c r="CB514" s="223"/>
      <c r="CC514" s="223"/>
      <c r="CD514" s="223"/>
      <c r="CE514" s="223"/>
      <c r="CF514" s="223"/>
      <c r="CG514" s="200"/>
      <c r="CH514" s="200"/>
      <c r="CI514" s="522"/>
      <c r="CJ514" s="200"/>
      <c r="CK514" s="223"/>
      <c r="CL514" s="223"/>
      <c r="CM514" s="223"/>
      <c r="CN514" s="223"/>
      <c r="CO514" s="223"/>
      <c r="CP514" s="223"/>
      <c r="CQ514" s="200"/>
      <c r="CR514" s="200"/>
      <c r="CS514" s="522"/>
      <c r="CT514" s="200"/>
      <c r="CU514" s="223"/>
      <c r="CV514" s="223"/>
      <c r="CW514" s="223"/>
      <c r="CX514" s="223"/>
      <c r="CY514" s="223"/>
      <c r="CZ514" s="223"/>
      <c r="DA514" s="223"/>
      <c r="DB514" s="200"/>
      <c r="DC514" s="522"/>
      <c r="DD514" s="200"/>
      <c r="DE514" s="223"/>
      <c r="DF514" s="223"/>
      <c r="DG514" s="223"/>
      <c r="DH514" s="223"/>
      <c r="DI514" s="223"/>
      <c r="DJ514" s="223"/>
      <c r="DK514" s="200"/>
      <c r="DL514" s="200"/>
      <c r="DM514" s="522"/>
      <c r="DN514" s="200"/>
      <c r="DO514" s="223"/>
      <c r="DP514" s="223"/>
      <c r="DQ514" s="223"/>
      <c r="DR514" s="223"/>
      <c r="DS514" s="223"/>
      <c r="DT514" s="223"/>
      <c r="DU514" s="200"/>
      <c r="DV514" s="200"/>
      <c r="DW514" s="522"/>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2"/>
      <c r="R515" s="200"/>
      <c r="S515" s="223"/>
      <c r="T515" s="223"/>
      <c r="U515" s="223"/>
      <c r="V515" s="223"/>
      <c r="W515" s="223"/>
      <c r="X515" s="223"/>
      <c r="Y515" s="200"/>
      <c r="Z515" s="200"/>
      <c r="AA515" s="522"/>
      <c r="AB515" s="200"/>
      <c r="AC515" s="223"/>
      <c r="AD515" s="223"/>
      <c r="AE515" s="223"/>
      <c r="AF515" s="223"/>
      <c r="AG515" s="223"/>
      <c r="AH515" s="223"/>
      <c r="AI515" s="200"/>
      <c r="AJ515" s="200"/>
      <c r="AK515" s="522"/>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2"/>
      <c r="BF515" s="200"/>
      <c r="BG515" s="223"/>
      <c r="BH515" s="223"/>
      <c r="BI515" s="223"/>
      <c r="BJ515" s="223"/>
      <c r="BK515" s="223"/>
      <c r="BL515" s="223"/>
      <c r="BM515" s="200"/>
      <c r="BN515" s="200"/>
      <c r="BO515" s="522"/>
      <c r="BP515" s="200"/>
      <c r="BQ515" s="223"/>
      <c r="BR515" s="223"/>
      <c r="BS515" s="223"/>
      <c r="BT515" s="223"/>
      <c r="BU515" s="223"/>
      <c r="BV515" s="223"/>
      <c r="BW515" s="223"/>
      <c r="BX515" s="200"/>
      <c r="BY515" s="522"/>
      <c r="BZ515" s="200"/>
      <c r="CA515" s="223"/>
      <c r="CB515" s="223"/>
      <c r="CC515" s="223"/>
      <c r="CD515" s="223"/>
      <c r="CE515" s="223"/>
      <c r="CF515" s="223"/>
      <c r="CG515" s="200"/>
      <c r="CH515" s="200"/>
      <c r="CI515" s="522"/>
      <c r="CJ515" s="200"/>
      <c r="CK515" s="223"/>
      <c r="CL515" s="223"/>
      <c r="CM515" s="223"/>
      <c r="CN515" s="223"/>
      <c r="CO515" s="223"/>
      <c r="CP515" s="223"/>
      <c r="CQ515" s="200"/>
      <c r="CR515" s="200"/>
      <c r="CS515" s="522"/>
      <c r="CT515" s="200"/>
      <c r="CU515" s="223"/>
      <c r="CV515" s="223"/>
      <c r="CW515" s="223"/>
      <c r="CX515" s="223"/>
      <c r="CY515" s="223"/>
      <c r="CZ515" s="223"/>
      <c r="DA515" s="223"/>
      <c r="DB515" s="200"/>
      <c r="DC515" s="522"/>
      <c r="DD515" s="200"/>
      <c r="DE515" s="223"/>
      <c r="DF515" s="223"/>
      <c r="DG515" s="223"/>
      <c r="DH515" s="223"/>
      <c r="DI515" s="223"/>
      <c r="DJ515" s="223"/>
      <c r="DK515" s="200"/>
      <c r="DL515" s="200"/>
      <c r="DM515" s="522"/>
      <c r="DN515" s="200"/>
      <c r="DO515" s="223"/>
      <c r="DP515" s="223"/>
      <c r="DQ515" s="223"/>
      <c r="DR515" s="223"/>
      <c r="DS515" s="223"/>
      <c r="DT515" s="223"/>
      <c r="DU515" s="200"/>
      <c r="DV515" s="200"/>
      <c r="DW515" s="522"/>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2"/>
      <c r="R516" s="200"/>
      <c r="S516" s="223"/>
      <c r="T516" s="223"/>
      <c r="U516" s="223"/>
      <c r="V516" s="223"/>
      <c r="W516" s="223"/>
      <c r="X516" s="223"/>
      <c r="Y516" s="200"/>
      <c r="Z516" s="200"/>
      <c r="AA516" s="522"/>
      <c r="AB516" s="200"/>
      <c r="AC516" s="223"/>
      <c r="AD516" s="223"/>
      <c r="AE516" s="223"/>
      <c r="AF516" s="223"/>
      <c r="AG516" s="223"/>
      <c r="AH516" s="223"/>
      <c r="AI516" s="200"/>
      <c r="AJ516" s="200"/>
      <c r="AK516" s="522"/>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2"/>
      <c r="BF516" s="200"/>
      <c r="BG516" s="223"/>
      <c r="BH516" s="223"/>
      <c r="BI516" s="223"/>
      <c r="BJ516" s="223"/>
      <c r="BK516" s="223"/>
      <c r="BL516" s="223"/>
      <c r="BM516" s="200"/>
      <c r="BN516" s="200"/>
      <c r="BO516" s="522"/>
      <c r="BP516" s="200"/>
      <c r="BQ516" s="223"/>
      <c r="BR516" s="223"/>
      <c r="BS516" s="223"/>
      <c r="BT516" s="223"/>
      <c r="BU516" s="223"/>
      <c r="BV516" s="223"/>
      <c r="BW516" s="223"/>
      <c r="BX516" s="200"/>
      <c r="BY516" s="522"/>
      <c r="BZ516" s="200"/>
      <c r="CA516" s="223"/>
      <c r="CB516" s="223"/>
      <c r="CC516" s="223"/>
      <c r="CD516" s="223"/>
      <c r="CE516" s="223"/>
      <c r="CF516" s="223"/>
      <c r="CG516" s="200"/>
      <c r="CH516" s="200"/>
      <c r="CI516" s="522"/>
      <c r="CJ516" s="200"/>
      <c r="CK516" s="223"/>
      <c r="CL516" s="223"/>
      <c r="CM516" s="223"/>
      <c r="CN516" s="223"/>
      <c r="CO516" s="223"/>
      <c r="CP516" s="223"/>
      <c r="CQ516" s="200"/>
      <c r="CR516" s="200"/>
      <c r="CS516" s="522"/>
      <c r="CT516" s="200"/>
      <c r="CU516" s="223"/>
      <c r="CV516" s="223"/>
      <c r="CW516" s="223"/>
      <c r="CX516" s="223"/>
      <c r="CY516" s="223"/>
      <c r="CZ516" s="223"/>
      <c r="DA516" s="223"/>
      <c r="DB516" s="200"/>
      <c r="DC516" s="522"/>
      <c r="DD516" s="200"/>
      <c r="DE516" s="223"/>
      <c r="DF516" s="223"/>
      <c r="DG516" s="223"/>
      <c r="DH516" s="223"/>
      <c r="DI516" s="223"/>
      <c r="DJ516" s="223"/>
      <c r="DK516" s="200"/>
      <c r="DL516" s="200"/>
      <c r="DM516" s="522"/>
      <c r="DN516" s="200"/>
      <c r="DO516" s="223"/>
      <c r="DP516" s="223"/>
      <c r="DQ516" s="223"/>
      <c r="DR516" s="223"/>
      <c r="DS516" s="223"/>
      <c r="DT516" s="223"/>
      <c r="DU516" s="200"/>
      <c r="DV516" s="200"/>
      <c r="DW516" s="522"/>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2"/>
      <c r="R517" s="200"/>
      <c r="S517" s="223"/>
      <c r="T517" s="223"/>
      <c r="U517" s="223"/>
      <c r="V517" s="223"/>
      <c r="W517" s="223"/>
      <c r="X517" s="223"/>
      <c r="Y517" s="200"/>
      <c r="Z517" s="200"/>
      <c r="AA517" s="522"/>
      <c r="AB517" s="200"/>
      <c r="AC517" s="223"/>
      <c r="AD517" s="223"/>
      <c r="AE517" s="223"/>
      <c r="AF517" s="223"/>
      <c r="AG517" s="223"/>
      <c r="AH517" s="223"/>
      <c r="AI517" s="200"/>
      <c r="AJ517" s="200"/>
      <c r="AK517" s="522"/>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2"/>
      <c r="BF517" s="200"/>
      <c r="BG517" s="223"/>
      <c r="BH517" s="223"/>
      <c r="BI517" s="223"/>
      <c r="BJ517" s="223"/>
      <c r="BK517" s="223"/>
      <c r="BL517" s="223"/>
      <c r="BM517" s="200"/>
      <c r="BN517" s="200"/>
      <c r="BO517" s="522"/>
      <c r="BP517" s="200"/>
      <c r="BQ517" s="223"/>
      <c r="BR517" s="223"/>
      <c r="BS517" s="223"/>
      <c r="BT517" s="223"/>
      <c r="BU517" s="223"/>
      <c r="BV517" s="223"/>
      <c r="BW517" s="223"/>
      <c r="BX517" s="200"/>
      <c r="BY517" s="522"/>
      <c r="BZ517" s="200"/>
      <c r="CA517" s="223"/>
      <c r="CB517" s="223"/>
      <c r="CC517" s="223"/>
      <c r="CD517" s="223"/>
      <c r="CE517" s="223"/>
      <c r="CF517" s="223"/>
      <c r="CG517" s="200"/>
      <c r="CH517" s="200"/>
      <c r="CI517" s="522"/>
      <c r="CJ517" s="200"/>
      <c r="CK517" s="223"/>
      <c r="CL517" s="223"/>
      <c r="CM517" s="223"/>
      <c r="CN517" s="223"/>
      <c r="CO517" s="223"/>
      <c r="CP517" s="223"/>
      <c r="CQ517" s="200"/>
      <c r="CR517" s="200"/>
      <c r="CS517" s="522"/>
      <c r="CT517" s="200"/>
      <c r="CU517" s="223"/>
      <c r="CV517" s="223"/>
      <c r="CW517" s="223"/>
      <c r="CX517" s="223"/>
      <c r="CY517" s="223"/>
      <c r="CZ517" s="223"/>
      <c r="DA517" s="223"/>
      <c r="DB517" s="200"/>
      <c r="DC517" s="522"/>
      <c r="DD517" s="200"/>
      <c r="DE517" s="223"/>
      <c r="DF517" s="223"/>
      <c r="DG517" s="223"/>
      <c r="DH517" s="223"/>
      <c r="DI517" s="223"/>
      <c r="DJ517" s="223"/>
      <c r="DK517" s="200"/>
      <c r="DL517" s="200"/>
      <c r="DM517" s="522"/>
      <c r="DN517" s="200"/>
      <c r="DO517" s="223"/>
      <c r="DP517" s="223"/>
      <c r="DQ517" s="223"/>
      <c r="DR517" s="223"/>
      <c r="DS517" s="223"/>
      <c r="DT517" s="223"/>
      <c r="DU517" s="200"/>
      <c r="DV517" s="200"/>
      <c r="DW517" s="522"/>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2"/>
      <c r="R518" s="200"/>
      <c r="S518" s="223"/>
      <c r="T518" s="223"/>
      <c r="U518" s="223"/>
      <c r="V518" s="223"/>
      <c r="W518" s="223"/>
      <c r="X518" s="223"/>
      <c r="Y518" s="200"/>
      <c r="Z518" s="200"/>
      <c r="AA518" s="522"/>
      <c r="AB518" s="200"/>
      <c r="AC518" s="223"/>
      <c r="AD518" s="223"/>
      <c r="AE518" s="223"/>
      <c r="AF518" s="223"/>
      <c r="AG518" s="223"/>
      <c r="AH518" s="223"/>
      <c r="AI518" s="200"/>
      <c r="AJ518" s="200"/>
      <c r="AK518" s="522"/>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2"/>
      <c r="BF518" s="200"/>
      <c r="BG518" s="223"/>
      <c r="BH518" s="223"/>
      <c r="BI518" s="223"/>
      <c r="BJ518" s="223"/>
      <c r="BK518" s="223"/>
      <c r="BL518" s="223"/>
      <c r="BM518" s="200"/>
      <c r="BN518" s="200"/>
      <c r="BO518" s="522"/>
      <c r="BP518" s="200"/>
      <c r="BQ518" s="223"/>
      <c r="BR518" s="223"/>
      <c r="BS518" s="223"/>
      <c r="BT518" s="223"/>
      <c r="BU518" s="223"/>
      <c r="BV518" s="223"/>
      <c r="BW518" s="223"/>
      <c r="BX518" s="200"/>
      <c r="BY518" s="522"/>
      <c r="BZ518" s="200"/>
      <c r="CA518" s="223"/>
      <c r="CB518" s="223"/>
      <c r="CC518" s="223"/>
      <c r="CD518" s="223"/>
      <c r="CE518" s="223"/>
      <c r="CF518" s="223"/>
      <c r="CG518" s="200"/>
      <c r="CH518" s="200"/>
      <c r="CI518" s="522"/>
      <c r="CJ518" s="200"/>
      <c r="CK518" s="223"/>
      <c r="CL518" s="223"/>
      <c r="CM518" s="223"/>
      <c r="CN518" s="223"/>
      <c r="CO518" s="223"/>
      <c r="CP518" s="223"/>
      <c r="CQ518" s="200"/>
      <c r="CR518" s="200"/>
      <c r="CS518" s="522"/>
      <c r="CT518" s="200"/>
      <c r="CU518" s="223"/>
      <c r="CV518" s="223"/>
      <c r="CW518" s="223"/>
      <c r="CX518" s="223"/>
      <c r="CY518" s="223"/>
      <c r="CZ518" s="223"/>
      <c r="DA518" s="223"/>
      <c r="DB518" s="200"/>
      <c r="DC518" s="522"/>
      <c r="DD518" s="200"/>
      <c r="DE518" s="223"/>
      <c r="DF518" s="223"/>
      <c r="DG518" s="223"/>
      <c r="DH518" s="223"/>
      <c r="DI518" s="223"/>
      <c r="DJ518" s="223"/>
      <c r="DK518" s="200"/>
      <c r="DL518" s="200"/>
      <c r="DM518" s="522"/>
      <c r="DN518" s="200"/>
      <c r="DO518" s="223"/>
      <c r="DP518" s="223"/>
      <c r="DQ518" s="223"/>
      <c r="DR518" s="223"/>
      <c r="DS518" s="223"/>
      <c r="DT518" s="223"/>
      <c r="DU518" s="200"/>
      <c r="DV518" s="200"/>
      <c r="DW518" s="522"/>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2"/>
      <c r="R519" s="200"/>
      <c r="S519" s="223"/>
      <c r="T519" s="223"/>
      <c r="U519" s="223"/>
      <c r="V519" s="223"/>
      <c r="W519" s="223"/>
      <c r="X519" s="223"/>
      <c r="Y519" s="200"/>
      <c r="Z519" s="200"/>
      <c r="AA519" s="522"/>
      <c r="AB519" s="200"/>
      <c r="AC519" s="223"/>
      <c r="AD519" s="223"/>
      <c r="AE519" s="223"/>
      <c r="AF519" s="223"/>
      <c r="AG519" s="223"/>
      <c r="AH519" s="223"/>
      <c r="AI519" s="200"/>
      <c r="AJ519" s="200"/>
      <c r="AK519" s="522"/>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2"/>
      <c r="BF519" s="200"/>
      <c r="BG519" s="223"/>
      <c r="BH519" s="223"/>
      <c r="BI519" s="223"/>
      <c r="BJ519" s="223"/>
      <c r="BK519" s="223"/>
      <c r="BL519" s="223"/>
      <c r="BM519" s="200"/>
      <c r="BN519" s="200"/>
      <c r="BO519" s="522"/>
      <c r="BP519" s="200"/>
      <c r="BQ519" s="223"/>
      <c r="BR519" s="223"/>
      <c r="BS519" s="223"/>
      <c r="BT519" s="223"/>
      <c r="BU519" s="223"/>
      <c r="BV519" s="223"/>
      <c r="BW519" s="223"/>
      <c r="BX519" s="200"/>
      <c r="BY519" s="522"/>
      <c r="BZ519" s="200"/>
      <c r="CA519" s="223"/>
      <c r="CB519" s="223"/>
      <c r="CC519" s="223"/>
      <c r="CD519" s="223"/>
      <c r="CE519" s="223"/>
      <c r="CF519" s="223"/>
      <c r="CG519" s="200"/>
      <c r="CH519" s="200"/>
      <c r="CI519" s="522"/>
      <c r="CJ519" s="200"/>
      <c r="CK519" s="223"/>
      <c r="CL519" s="223"/>
      <c r="CM519" s="223"/>
      <c r="CN519" s="223"/>
      <c r="CO519" s="223"/>
      <c r="CP519" s="223"/>
      <c r="CQ519" s="200"/>
      <c r="CR519" s="200"/>
      <c r="CS519" s="522"/>
      <c r="CT519" s="200"/>
      <c r="CU519" s="223"/>
      <c r="CV519" s="223"/>
      <c r="CW519" s="223"/>
      <c r="CX519" s="223"/>
      <c r="CY519" s="223"/>
      <c r="CZ519" s="223"/>
      <c r="DA519" s="223"/>
      <c r="DB519" s="200"/>
      <c r="DC519" s="522"/>
      <c r="DD519" s="200"/>
      <c r="DE519" s="223"/>
      <c r="DF519" s="223"/>
      <c r="DG519" s="223"/>
      <c r="DH519" s="223"/>
      <c r="DI519" s="223"/>
      <c r="DJ519" s="223"/>
      <c r="DK519" s="200"/>
      <c r="DL519" s="200"/>
      <c r="DM519" s="522"/>
      <c r="DN519" s="200"/>
      <c r="DO519" s="223"/>
      <c r="DP519" s="223"/>
      <c r="DQ519" s="223"/>
      <c r="DR519" s="223"/>
      <c r="DS519" s="223"/>
      <c r="DT519" s="223"/>
      <c r="DU519" s="200"/>
      <c r="DV519" s="200"/>
      <c r="DW519" s="522"/>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2"/>
      <c r="R520" s="200"/>
      <c r="S520" s="223"/>
      <c r="T520" s="223"/>
      <c r="U520" s="223"/>
      <c r="V520" s="223"/>
      <c r="W520" s="223"/>
      <c r="X520" s="223"/>
      <c r="Y520" s="200"/>
      <c r="Z520" s="200"/>
      <c r="AA520" s="522"/>
      <c r="AB520" s="200"/>
      <c r="AC520" s="223"/>
      <c r="AD520" s="223"/>
      <c r="AE520" s="223"/>
      <c r="AF520" s="223"/>
      <c r="AG520" s="223"/>
      <c r="AH520" s="223"/>
      <c r="AI520" s="200"/>
      <c r="AJ520" s="200"/>
      <c r="AK520" s="522"/>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2"/>
      <c r="BF520" s="200"/>
      <c r="BG520" s="223"/>
      <c r="BH520" s="223"/>
      <c r="BI520" s="223"/>
      <c r="BJ520" s="223"/>
      <c r="BK520" s="223"/>
      <c r="BL520" s="223"/>
      <c r="BM520" s="200"/>
      <c r="BN520" s="200"/>
      <c r="BO520" s="522"/>
      <c r="BP520" s="200"/>
      <c r="BQ520" s="223"/>
      <c r="BR520" s="223"/>
      <c r="BS520" s="223"/>
      <c r="BT520" s="223"/>
      <c r="BU520" s="223"/>
      <c r="BV520" s="223"/>
      <c r="BW520" s="223"/>
      <c r="BX520" s="200"/>
      <c r="BY520" s="522"/>
      <c r="BZ520" s="200"/>
      <c r="CA520" s="223"/>
      <c r="CB520" s="223"/>
      <c r="CC520" s="223"/>
      <c r="CD520" s="223"/>
      <c r="CE520" s="223"/>
      <c r="CF520" s="223"/>
      <c r="CG520" s="200"/>
      <c r="CH520" s="200"/>
      <c r="CI520" s="522"/>
      <c r="CJ520" s="200"/>
      <c r="CK520" s="223"/>
      <c r="CL520" s="223"/>
      <c r="CM520" s="223"/>
      <c r="CN520" s="223"/>
      <c r="CO520" s="223"/>
      <c r="CP520" s="223"/>
      <c r="CQ520" s="200"/>
      <c r="CR520" s="200"/>
      <c r="CS520" s="522"/>
      <c r="CT520" s="200"/>
      <c r="CU520" s="223"/>
      <c r="CV520" s="223"/>
      <c r="CW520" s="223"/>
      <c r="CX520" s="223"/>
      <c r="CY520" s="223"/>
      <c r="CZ520" s="223"/>
      <c r="DA520" s="223"/>
      <c r="DB520" s="200"/>
      <c r="DC520" s="522"/>
      <c r="DD520" s="200"/>
      <c r="DE520" s="223"/>
      <c r="DF520" s="223"/>
      <c r="DG520" s="223"/>
      <c r="DH520" s="223"/>
      <c r="DI520" s="223"/>
      <c r="DJ520" s="223"/>
      <c r="DK520" s="200"/>
      <c r="DL520" s="200"/>
      <c r="DM520" s="522"/>
      <c r="DN520" s="200"/>
      <c r="DO520" s="223"/>
      <c r="DP520" s="223"/>
      <c r="DQ520" s="223"/>
      <c r="DR520" s="223"/>
      <c r="DS520" s="223"/>
      <c r="DT520" s="223"/>
      <c r="DU520" s="200"/>
      <c r="DV520" s="200"/>
      <c r="DW520" s="522"/>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2"/>
      <c r="R521" s="200"/>
      <c r="S521" s="223"/>
      <c r="T521" s="223"/>
      <c r="U521" s="223"/>
      <c r="V521" s="223"/>
      <c r="W521" s="223"/>
      <c r="X521" s="223"/>
      <c r="Y521" s="200"/>
      <c r="Z521" s="200"/>
      <c r="AA521" s="522"/>
      <c r="AB521" s="200"/>
      <c r="AC521" s="223"/>
      <c r="AD521" s="223"/>
      <c r="AE521" s="223"/>
      <c r="AF521" s="223"/>
      <c r="AG521" s="223"/>
      <c r="AH521" s="223"/>
      <c r="AI521" s="200"/>
      <c r="AJ521" s="200"/>
      <c r="AK521" s="522"/>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2"/>
      <c r="BF521" s="200"/>
      <c r="BG521" s="223"/>
      <c r="BH521" s="223"/>
      <c r="BI521" s="223"/>
      <c r="BJ521" s="223"/>
      <c r="BK521" s="223"/>
      <c r="BL521" s="223"/>
      <c r="BM521" s="200"/>
      <c r="BN521" s="200"/>
      <c r="BO521" s="522"/>
      <c r="BP521" s="200"/>
      <c r="BQ521" s="223"/>
      <c r="BR521" s="223"/>
      <c r="BS521" s="223"/>
      <c r="BT521" s="223"/>
      <c r="BU521" s="223"/>
      <c r="BV521" s="223"/>
      <c r="BW521" s="223"/>
      <c r="BX521" s="200"/>
      <c r="BY521" s="522"/>
      <c r="BZ521" s="200"/>
      <c r="CA521" s="223"/>
      <c r="CB521" s="223"/>
      <c r="CC521" s="223"/>
      <c r="CD521" s="223"/>
      <c r="CE521" s="223"/>
      <c r="CF521" s="223"/>
      <c r="CG521" s="200"/>
      <c r="CH521" s="200"/>
      <c r="CI521" s="522"/>
      <c r="CJ521" s="200"/>
      <c r="CK521" s="223"/>
      <c r="CL521" s="223"/>
      <c r="CM521" s="223"/>
      <c r="CN521" s="223"/>
      <c r="CO521" s="223"/>
      <c r="CP521" s="223"/>
      <c r="CQ521" s="200"/>
      <c r="CR521" s="200"/>
      <c r="CS521" s="522"/>
      <c r="CT521" s="200"/>
      <c r="CU521" s="223"/>
      <c r="CV521" s="223"/>
      <c r="CW521" s="223"/>
      <c r="CX521" s="223"/>
      <c r="CY521" s="223"/>
      <c r="CZ521" s="223"/>
      <c r="DA521" s="223"/>
      <c r="DB521" s="200"/>
      <c r="DC521" s="522"/>
      <c r="DD521" s="200"/>
      <c r="DE521" s="223"/>
      <c r="DF521" s="223"/>
      <c r="DG521" s="223"/>
      <c r="DH521" s="223"/>
      <c r="DI521" s="223"/>
      <c r="DJ521" s="223"/>
      <c r="DK521" s="200"/>
      <c r="DL521" s="200"/>
      <c r="DM521" s="522"/>
      <c r="DN521" s="200"/>
      <c r="DO521" s="223"/>
      <c r="DP521" s="223"/>
      <c r="DQ521" s="223"/>
      <c r="DR521" s="223"/>
      <c r="DS521" s="223"/>
      <c r="DT521" s="223"/>
      <c r="DU521" s="200"/>
      <c r="DV521" s="200"/>
      <c r="DW521" s="522"/>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2"/>
      <c r="R522" s="200"/>
      <c r="S522" s="223"/>
      <c r="T522" s="223"/>
      <c r="U522" s="223"/>
      <c r="V522" s="223"/>
      <c r="W522" s="223"/>
      <c r="X522" s="223"/>
      <c r="Y522" s="200"/>
      <c r="Z522" s="200"/>
      <c r="AA522" s="522"/>
      <c r="AB522" s="200"/>
      <c r="AC522" s="223"/>
      <c r="AD522" s="223"/>
      <c r="AE522" s="223"/>
      <c r="AF522" s="223"/>
      <c r="AG522" s="223"/>
      <c r="AH522" s="223"/>
      <c r="AI522" s="200"/>
      <c r="AJ522" s="200"/>
      <c r="AK522" s="522"/>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2"/>
      <c r="BF522" s="200"/>
      <c r="BG522" s="223"/>
      <c r="BH522" s="223"/>
      <c r="BI522" s="223"/>
      <c r="BJ522" s="223"/>
      <c r="BK522" s="223"/>
      <c r="BL522" s="223"/>
      <c r="BM522" s="200"/>
      <c r="BN522" s="200"/>
      <c r="BO522" s="522"/>
      <c r="BP522" s="200"/>
      <c r="BQ522" s="223"/>
      <c r="BR522" s="223"/>
      <c r="BS522" s="223"/>
      <c r="BT522" s="223"/>
      <c r="BU522" s="223"/>
      <c r="BV522" s="223"/>
      <c r="BW522" s="223"/>
      <c r="BX522" s="200"/>
      <c r="BY522" s="522"/>
      <c r="BZ522" s="200"/>
      <c r="CA522" s="223"/>
      <c r="CB522" s="223"/>
      <c r="CC522" s="223"/>
      <c r="CD522" s="223"/>
      <c r="CE522" s="223"/>
      <c r="CF522" s="223"/>
      <c r="CG522" s="200"/>
      <c r="CH522" s="200"/>
      <c r="CI522" s="522"/>
      <c r="CJ522" s="200"/>
      <c r="CK522" s="223"/>
      <c r="CL522" s="223"/>
      <c r="CM522" s="223"/>
      <c r="CN522" s="223"/>
      <c r="CO522" s="223"/>
      <c r="CP522" s="223"/>
      <c r="CQ522" s="200"/>
      <c r="CR522" s="200"/>
      <c r="CS522" s="522"/>
      <c r="CT522" s="200"/>
      <c r="CU522" s="223"/>
      <c r="CV522" s="223"/>
      <c r="CW522" s="223"/>
      <c r="CX522" s="223"/>
      <c r="CY522" s="223"/>
      <c r="CZ522" s="223"/>
      <c r="DA522" s="223"/>
      <c r="DB522" s="200"/>
      <c r="DC522" s="522"/>
      <c r="DD522" s="200"/>
      <c r="DE522" s="223"/>
      <c r="DF522" s="223"/>
      <c r="DG522" s="223"/>
      <c r="DH522" s="223"/>
      <c r="DI522" s="223"/>
      <c r="DJ522" s="223"/>
      <c r="DK522" s="200"/>
      <c r="DL522" s="200"/>
      <c r="DM522" s="522"/>
      <c r="DN522" s="200"/>
      <c r="DO522" s="223"/>
      <c r="DP522" s="223"/>
      <c r="DQ522" s="223"/>
      <c r="DR522" s="223"/>
      <c r="DS522" s="223"/>
      <c r="DT522" s="223"/>
      <c r="DU522" s="200"/>
      <c r="DV522" s="200"/>
      <c r="DW522" s="522"/>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2"/>
      <c r="R523" s="200"/>
      <c r="S523" s="223"/>
      <c r="T523" s="223"/>
      <c r="U523" s="223"/>
      <c r="V523" s="223"/>
      <c r="W523" s="223"/>
      <c r="X523" s="223"/>
      <c r="Y523" s="200"/>
      <c r="Z523" s="200"/>
      <c r="AA523" s="522"/>
      <c r="AB523" s="200"/>
      <c r="AC523" s="223"/>
      <c r="AD523" s="223"/>
      <c r="AE523" s="223"/>
      <c r="AF523" s="223"/>
      <c r="AG523" s="223"/>
      <c r="AH523" s="223"/>
      <c r="AI523" s="200"/>
      <c r="AJ523" s="200"/>
      <c r="AK523" s="522"/>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2"/>
      <c r="BF523" s="200"/>
      <c r="BG523" s="223"/>
      <c r="BH523" s="223"/>
      <c r="BI523" s="223"/>
      <c r="BJ523" s="223"/>
      <c r="BK523" s="223"/>
      <c r="BL523" s="223"/>
      <c r="BM523" s="200"/>
      <c r="BN523" s="200"/>
      <c r="BO523" s="522"/>
      <c r="BP523" s="200"/>
      <c r="BQ523" s="223"/>
      <c r="BR523" s="223"/>
      <c r="BS523" s="223"/>
      <c r="BT523" s="223"/>
      <c r="BU523" s="223"/>
      <c r="BV523" s="223"/>
      <c r="BW523" s="223"/>
      <c r="BX523" s="200"/>
      <c r="BY523" s="522"/>
      <c r="BZ523" s="200"/>
      <c r="CA523" s="223"/>
      <c r="CB523" s="223"/>
      <c r="CC523" s="223"/>
      <c r="CD523" s="223"/>
      <c r="CE523" s="223"/>
      <c r="CF523" s="223"/>
      <c r="CG523" s="200"/>
      <c r="CH523" s="200"/>
      <c r="CI523" s="522"/>
      <c r="CJ523" s="200"/>
      <c r="CK523" s="223"/>
      <c r="CL523" s="223"/>
      <c r="CM523" s="223"/>
      <c r="CN523" s="223"/>
      <c r="CO523" s="223"/>
      <c r="CP523" s="223"/>
      <c r="CQ523" s="200"/>
      <c r="CR523" s="200"/>
      <c r="CS523" s="522"/>
      <c r="CT523" s="200"/>
      <c r="CU523" s="223"/>
      <c r="CV523" s="223"/>
      <c r="CW523" s="223"/>
      <c r="CX523" s="223"/>
      <c r="CY523" s="223"/>
      <c r="CZ523" s="223"/>
      <c r="DA523" s="223"/>
      <c r="DB523" s="200"/>
      <c r="DC523" s="522"/>
      <c r="DD523" s="200"/>
      <c r="DE523" s="223"/>
      <c r="DF523" s="223"/>
      <c r="DG523" s="223"/>
      <c r="DH523" s="223"/>
      <c r="DI523" s="223"/>
      <c r="DJ523" s="223"/>
      <c r="DK523" s="200"/>
      <c r="DL523" s="200"/>
      <c r="DM523" s="522"/>
      <c r="DN523" s="200"/>
      <c r="DO523" s="223"/>
      <c r="DP523" s="223"/>
      <c r="DQ523" s="223"/>
      <c r="DR523" s="223"/>
      <c r="DS523" s="223"/>
      <c r="DT523" s="223"/>
      <c r="DU523" s="200"/>
      <c r="DV523" s="200"/>
      <c r="DW523" s="522"/>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2"/>
      <c r="R524" s="200"/>
      <c r="S524" s="223"/>
      <c r="T524" s="223"/>
      <c r="U524" s="223"/>
      <c r="V524" s="223"/>
      <c r="W524" s="223"/>
      <c r="X524" s="223"/>
      <c r="Y524" s="200"/>
      <c r="Z524" s="200"/>
      <c r="AA524" s="522"/>
      <c r="AB524" s="200"/>
      <c r="AC524" s="223"/>
      <c r="AD524" s="223"/>
      <c r="AE524" s="223"/>
      <c r="AF524" s="223"/>
      <c r="AG524" s="223"/>
      <c r="AH524" s="223"/>
      <c r="AI524" s="200"/>
      <c r="AJ524" s="200"/>
      <c r="AK524" s="522"/>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2"/>
      <c r="BF524" s="200"/>
      <c r="BG524" s="223"/>
      <c r="BH524" s="223"/>
      <c r="BI524" s="223"/>
      <c r="BJ524" s="223"/>
      <c r="BK524" s="223"/>
      <c r="BL524" s="223"/>
      <c r="BM524" s="200"/>
      <c r="BN524" s="200"/>
      <c r="BO524" s="522"/>
      <c r="BP524" s="200"/>
      <c r="BQ524" s="223"/>
      <c r="BR524" s="223"/>
      <c r="BS524" s="223"/>
      <c r="BT524" s="223"/>
      <c r="BU524" s="223"/>
      <c r="BV524" s="223"/>
      <c r="BW524" s="223"/>
      <c r="BX524" s="200"/>
      <c r="BY524" s="522"/>
      <c r="BZ524" s="200"/>
      <c r="CA524" s="223"/>
      <c r="CB524" s="223"/>
      <c r="CC524" s="223"/>
      <c r="CD524" s="223"/>
      <c r="CE524" s="223"/>
      <c r="CF524" s="223"/>
      <c r="CG524" s="200"/>
      <c r="CH524" s="200"/>
      <c r="CI524" s="522"/>
      <c r="CJ524" s="200"/>
      <c r="CK524" s="223"/>
      <c r="CL524" s="223"/>
      <c r="CM524" s="223"/>
      <c r="CN524" s="223"/>
      <c r="CO524" s="223"/>
      <c r="CP524" s="223"/>
      <c r="CQ524" s="200"/>
      <c r="CR524" s="200"/>
      <c r="CS524" s="522"/>
      <c r="CT524" s="200"/>
      <c r="CU524" s="223"/>
      <c r="CV524" s="223"/>
      <c r="CW524" s="223"/>
      <c r="CX524" s="223"/>
      <c r="CY524" s="223"/>
      <c r="CZ524" s="223"/>
      <c r="DA524" s="223"/>
      <c r="DB524" s="200"/>
      <c r="DC524" s="522"/>
      <c r="DD524" s="200"/>
      <c r="DE524" s="223"/>
      <c r="DF524" s="223"/>
      <c r="DG524" s="223"/>
      <c r="DH524" s="223"/>
      <c r="DI524" s="223"/>
      <c r="DJ524" s="223"/>
      <c r="DK524" s="200"/>
      <c r="DL524" s="200"/>
      <c r="DM524" s="522"/>
      <c r="DN524" s="200"/>
      <c r="DO524" s="223"/>
      <c r="DP524" s="223"/>
      <c r="DQ524" s="223"/>
      <c r="DR524" s="223"/>
      <c r="DS524" s="223"/>
      <c r="DT524" s="223"/>
      <c r="DU524" s="200"/>
      <c r="DV524" s="200"/>
      <c r="DW524" s="522"/>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2"/>
      <c r="R525" s="200"/>
      <c r="S525" s="223"/>
      <c r="T525" s="223"/>
      <c r="U525" s="223"/>
      <c r="V525" s="223"/>
      <c r="W525" s="223"/>
      <c r="X525" s="223"/>
      <c r="Y525" s="200"/>
      <c r="Z525" s="200"/>
      <c r="AA525" s="522"/>
      <c r="AB525" s="200"/>
      <c r="AC525" s="223"/>
      <c r="AD525" s="223"/>
      <c r="AE525" s="223"/>
      <c r="AF525" s="223"/>
      <c r="AG525" s="223"/>
      <c r="AH525" s="223"/>
      <c r="AI525" s="200"/>
      <c r="AJ525" s="200"/>
      <c r="AK525" s="522"/>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2"/>
      <c r="BF525" s="200"/>
      <c r="BG525" s="223"/>
      <c r="BH525" s="223"/>
      <c r="BI525" s="223"/>
      <c r="BJ525" s="223"/>
      <c r="BK525" s="223"/>
      <c r="BL525" s="223"/>
      <c r="BM525" s="200"/>
      <c r="BN525" s="200"/>
      <c r="BO525" s="522"/>
      <c r="BP525" s="200"/>
      <c r="BQ525" s="223"/>
      <c r="BR525" s="223"/>
      <c r="BS525" s="223"/>
      <c r="BT525" s="223"/>
      <c r="BU525" s="223"/>
      <c r="BV525" s="223"/>
      <c r="BW525" s="223"/>
      <c r="BX525" s="200"/>
      <c r="BY525" s="522"/>
      <c r="BZ525" s="200"/>
      <c r="CA525" s="223"/>
      <c r="CB525" s="223"/>
      <c r="CC525" s="223"/>
      <c r="CD525" s="223"/>
      <c r="CE525" s="223"/>
      <c r="CF525" s="223"/>
      <c r="CG525" s="200"/>
      <c r="CH525" s="200"/>
      <c r="CI525" s="522"/>
      <c r="CJ525" s="200"/>
      <c r="CK525" s="223"/>
      <c r="CL525" s="223"/>
      <c r="CM525" s="223"/>
      <c r="CN525" s="223"/>
      <c r="CO525" s="223"/>
      <c r="CP525" s="223"/>
      <c r="CQ525" s="200"/>
      <c r="CR525" s="200"/>
      <c r="CS525" s="522"/>
      <c r="CT525" s="200"/>
      <c r="CU525" s="223"/>
      <c r="CV525" s="223"/>
      <c r="CW525" s="223"/>
      <c r="CX525" s="223"/>
      <c r="CY525" s="223"/>
      <c r="CZ525" s="223"/>
      <c r="DA525" s="223"/>
      <c r="DB525" s="200"/>
      <c r="DC525" s="522"/>
      <c r="DD525" s="200"/>
      <c r="DE525" s="223"/>
      <c r="DF525" s="223"/>
      <c r="DG525" s="223"/>
      <c r="DH525" s="223"/>
      <c r="DI525" s="223"/>
      <c r="DJ525" s="223"/>
      <c r="DK525" s="200"/>
      <c r="DL525" s="200"/>
      <c r="DM525" s="522"/>
      <c r="DN525" s="200"/>
      <c r="DO525" s="223"/>
      <c r="DP525" s="223"/>
      <c r="DQ525" s="223"/>
      <c r="DR525" s="223"/>
      <c r="DS525" s="223"/>
      <c r="DT525" s="223"/>
      <c r="DU525" s="200"/>
      <c r="DV525" s="200"/>
      <c r="DW525" s="522"/>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2"/>
      <c r="R526" s="200"/>
      <c r="S526" s="223"/>
      <c r="T526" s="223"/>
      <c r="U526" s="223"/>
      <c r="V526" s="223"/>
      <c r="W526" s="223"/>
      <c r="X526" s="223"/>
      <c r="Y526" s="200"/>
      <c r="Z526" s="200"/>
      <c r="AA526" s="522"/>
      <c r="AB526" s="200"/>
      <c r="AC526" s="223"/>
      <c r="AD526" s="223"/>
      <c r="AE526" s="223"/>
      <c r="AF526" s="223"/>
      <c r="AG526" s="223"/>
      <c r="AH526" s="223"/>
      <c r="AI526" s="200"/>
      <c r="AJ526" s="200"/>
      <c r="AK526" s="522"/>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2"/>
      <c r="BF526" s="200"/>
      <c r="BG526" s="223"/>
      <c r="BH526" s="223"/>
      <c r="BI526" s="223"/>
      <c r="BJ526" s="223"/>
      <c r="BK526" s="223"/>
      <c r="BL526" s="223"/>
      <c r="BM526" s="200"/>
      <c r="BN526" s="200"/>
      <c r="BO526" s="522"/>
      <c r="BP526" s="200"/>
      <c r="BQ526" s="223"/>
      <c r="BR526" s="223"/>
      <c r="BS526" s="223"/>
      <c r="BT526" s="223"/>
      <c r="BU526" s="223"/>
      <c r="BV526" s="223"/>
      <c r="BW526" s="223"/>
      <c r="BX526" s="200"/>
      <c r="BY526" s="522"/>
      <c r="BZ526" s="200"/>
      <c r="CA526" s="223"/>
      <c r="CB526" s="223"/>
      <c r="CC526" s="223"/>
      <c r="CD526" s="223"/>
      <c r="CE526" s="223"/>
      <c r="CF526" s="223"/>
      <c r="CG526" s="200"/>
      <c r="CH526" s="200"/>
      <c r="CI526" s="522"/>
      <c r="CJ526" s="200"/>
      <c r="CK526" s="223"/>
      <c r="CL526" s="223"/>
      <c r="CM526" s="223"/>
      <c r="CN526" s="223"/>
      <c r="CO526" s="223"/>
      <c r="CP526" s="223"/>
      <c r="CQ526" s="200"/>
      <c r="CR526" s="200"/>
      <c r="CS526" s="522"/>
      <c r="CT526" s="200"/>
      <c r="CU526" s="223"/>
      <c r="CV526" s="223"/>
      <c r="CW526" s="223"/>
      <c r="CX526" s="223"/>
      <c r="CY526" s="223"/>
      <c r="CZ526" s="223"/>
      <c r="DA526" s="223"/>
      <c r="DB526" s="200"/>
      <c r="DC526" s="522"/>
      <c r="DD526" s="200"/>
      <c r="DE526" s="223"/>
      <c r="DF526" s="223"/>
      <c r="DG526" s="223"/>
      <c r="DH526" s="223"/>
      <c r="DI526" s="223"/>
      <c r="DJ526" s="223"/>
      <c r="DK526" s="200"/>
      <c r="DL526" s="200"/>
      <c r="DM526" s="522"/>
      <c r="DN526" s="200"/>
      <c r="DO526" s="223"/>
      <c r="DP526" s="223"/>
      <c r="DQ526" s="223"/>
      <c r="DR526" s="223"/>
      <c r="DS526" s="223"/>
      <c r="DT526" s="223"/>
      <c r="DU526" s="200"/>
      <c r="DV526" s="200"/>
      <c r="DW526" s="522"/>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2"/>
      <c r="R527" s="200"/>
      <c r="S527" s="223"/>
      <c r="T527" s="223"/>
      <c r="U527" s="223"/>
      <c r="V527" s="223"/>
      <c r="W527" s="223"/>
      <c r="X527" s="223"/>
      <c r="Y527" s="200"/>
      <c r="Z527" s="200"/>
      <c r="AA527" s="522"/>
      <c r="AB527" s="200"/>
      <c r="AC527" s="223"/>
      <c r="AD527" s="223"/>
      <c r="AE527" s="223"/>
      <c r="AF527" s="223"/>
      <c r="AG527" s="223"/>
      <c r="AH527" s="223"/>
      <c r="AI527" s="200"/>
      <c r="AJ527" s="200"/>
      <c r="AK527" s="522"/>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2"/>
      <c r="BF527" s="200"/>
      <c r="BG527" s="223"/>
      <c r="BH527" s="223"/>
      <c r="BI527" s="223"/>
      <c r="BJ527" s="223"/>
      <c r="BK527" s="223"/>
      <c r="BL527" s="223"/>
      <c r="BM527" s="200"/>
      <c r="BN527" s="200"/>
      <c r="BO527" s="522"/>
      <c r="BP527" s="200"/>
      <c r="BQ527" s="223"/>
      <c r="BR527" s="223"/>
      <c r="BS527" s="223"/>
      <c r="BT527" s="223"/>
      <c r="BU527" s="223"/>
      <c r="BV527" s="223"/>
      <c r="BW527" s="223"/>
      <c r="BX527" s="200"/>
      <c r="BY527" s="522"/>
      <c r="BZ527" s="200"/>
      <c r="CA527" s="223"/>
      <c r="CB527" s="223"/>
      <c r="CC527" s="223"/>
      <c r="CD527" s="223"/>
      <c r="CE527" s="223"/>
      <c r="CF527" s="223"/>
      <c r="CG527" s="200"/>
      <c r="CH527" s="200"/>
      <c r="CI527" s="522"/>
      <c r="CJ527" s="200"/>
      <c r="CK527" s="223"/>
      <c r="CL527" s="223"/>
      <c r="CM527" s="223"/>
      <c r="CN527" s="223"/>
      <c r="CO527" s="223"/>
      <c r="CP527" s="223"/>
      <c r="CQ527" s="200"/>
      <c r="CR527" s="200"/>
      <c r="CS527" s="522"/>
      <c r="CT527" s="200"/>
      <c r="CU527" s="223"/>
      <c r="CV527" s="223"/>
      <c r="CW527" s="223"/>
      <c r="CX527" s="223"/>
      <c r="CY527" s="223"/>
      <c r="CZ527" s="223"/>
      <c r="DA527" s="223"/>
      <c r="DB527" s="200"/>
      <c r="DC527" s="522"/>
      <c r="DD527" s="200"/>
      <c r="DE527" s="223"/>
      <c r="DF527" s="223"/>
      <c r="DG527" s="223"/>
      <c r="DH527" s="223"/>
      <c r="DI527" s="223"/>
      <c r="DJ527" s="223"/>
      <c r="DK527" s="200"/>
      <c r="DL527" s="200"/>
      <c r="DM527" s="522"/>
      <c r="DN527" s="200"/>
      <c r="DO527" s="223"/>
      <c r="DP527" s="223"/>
      <c r="DQ527" s="223"/>
      <c r="DR527" s="223"/>
      <c r="DS527" s="223"/>
      <c r="DT527" s="223"/>
      <c r="DU527" s="200"/>
      <c r="DV527" s="200"/>
      <c r="DW527" s="522"/>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2"/>
      <c r="R528" s="200"/>
      <c r="S528" s="223"/>
      <c r="T528" s="223"/>
      <c r="U528" s="223"/>
      <c r="V528" s="223"/>
      <c r="W528" s="223"/>
      <c r="X528" s="223"/>
      <c r="Y528" s="200"/>
      <c r="Z528" s="200"/>
      <c r="AA528" s="522"/>
      <c r="AB528" s="200"/>
      <c r="AC528" s="223"/>
      <c r="AD528" s="223"/>
      <c r="AE528" s="223"/>
      <c r="AF528" s="223"/>
      <c r="AG528" s="223"/>
      <c r="AH528" s="223"/>
      <c r="AI528" s="200"/>
      <c r="AJ528" s="200"/>
      <c r="AK528" s="522"/>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2"/>
      <c r="BF528" s="200"/>
      <c r="BG528" s="223"/>
      <c r="BH528" s="223"/>
      <c r="BI528" s="223"/>
      <c r="BJ528" s="223"/>
      <c r="BK528" s="223"/>
      <c r="BL528" s="223"/>
      <c r="BM528" s="200"/>
      <c r="BN528" s="200"/>
      <c r="BO528" s="522"/>
      <c r="BP528" s="200"/>
      <c r="BQ528" s="223"/>
      <c r="BR528" s="223"/>
      <c r="BS528" s="223"/>
      <c r="BT528" s="223"/>
      <c r="BU528" s="223"/>
      <c r="BV528" s="223"/>
      <c r="BW528" s="223"/>
      <c r="BX528" s="200"/>
      <c r="BY528" s="522"/>
      <c r="BZ528" s="200"/>
      <c r="CA528" s="223"/>
      <c r="CB528" s="223"/>
      <c r="CC528" s="223"/>
      <c r="CD528" s="223"/>
      <c r="CE528" s="223"/>
      <c r="CF528" s="223"/>
      <c r="CG528" s="200"/>
      <c r="CH528" s="200"/>
      <c r="CI528" s="522"/>
      <c r="CJ528" s="200"/>
      <c r="CK528" s="223"/>
      <c r="CL528" s="223"/>
      <c r="CM528" s="223"/>
      <c r="CN528" s="223"/>
      <c r="CO528" s="223"/>
      <c r="CP528" s="223"/>
      <c r="CQ528" s="200"/>
      <c r="CR528" s="200"/>
      <c r="CS528" s="522"/>
      <c r="CT528" s="200"/>
      <c r="CU528" s="223"/>
      <c r="CV528" s="223"/>
      <c r="CW528" s="223"/>
      <c r="CX528" s="223"/>
      <c r="CY528" s="223"/>
      <c r="CZ528" s="223"/>
      <c r="DA528" s="223"/>
      <c r="DB528" s="200"/>
      <c r="DC528" s="522"/>
      <c r="DD528" s="200"/>
      <c r="DE528" s="223"/>
      <c r="DF528" s="223"/>
      <c r="DG528" s="223"/>
      <c r="DH528" s="223"/>
      <c r="DI528" s="223"/>
      <c r="DJ528" s="223"/>
      <c r="DK528" s="200"/>
      <c r="DL528" s="200"/>
      <c r="DM528" s="522"/>
      <c r="DN528" s="200"/>
      <c r="DO528" s="223"/>
      <c r="DP528" s="223"/>
      <c r="DQ528" s="223"/>
      <c r="DR528" s="223"/>
      <c r="DS528" s="223"/>
      <c r="DT528" s="223"/>
      <c r="DU528" s="200"/>
      <c r="DV528" s="200"/>
      <c r="DW528" s="522"/>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2"/>
      <c r="R529" s="200"/>
      <c r="S529" s="223"/>
      <c r="T529" s="223"/>
      <c r="U529" s="223"/>
      <c r="V529" s="223"/>
      <c r="W529" s="223"/>
      <c r="X529" s="223"/>
      <c r="Y529" s="200"/>
      <c r="Z529" s="200"/>
      <c r="AA529" s="522"/>
      <c r="AB529" s="200"/>
      <c r="AC529" s="223"/>
      <c r="AD529" s="223"/>
      <c r="AE529" s="223"/>
      <c r="AF529" s="223"/>
      <c r="AG529" s="223"/>
      <c r="AH529" s="223"/>
      <c r="AI529" s="200"/>
      <c r="AJ529" s="200"/>
      <c r="AK529" s="522"/>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2"/>
      <c r="BF529" s="200"/>
      <c r="BG529" s="223"/>
      <c r="BH529" s="223"/>
      <c r="BI529" s="223"/>
      <c r="BJ529" s="223"/>
      <c r="BK529" s="223"/>
      <c r="BL529" s="223"/>
      <c r="BM529" s="200"/>
      <c r="BN529" s="200"/>
      <c r="BO529" s="522"/>
      <c r="BP529" s="200"/>
      <c r="BQ529" s="223"/>
      <c r="BR529" s="223"/>
      <c r="BS529" s="223"/>
      <c r="BT529" s="223"/>
      <c r="BU529" s="223"/>
      <c r="BV529" s="223"/>
      <c r="BW529" s="223"/>
      <c r="BX529" s="200"/>
      <c r="BY529" s="522"/>
      <c r="BZ529" s="200"/>
      <c r="CA529" s="223"/>
      <c r="CB529" s="223"/>
      <c r="CC529" s="223"/>
      <c r="CD529" s="223"/>
      <c r="CE529" s="223"/>
      <c r="CF529" s="223"/>
      <c r="CG529" s="200"/>
      <c r="CH529" s="200"/>
      <c r="CI529" s="522"/>
      <c r="CJ529" s="200"/>
      <c r="CK529" s="223"/>
      <c r="CL529" s="223"/>
      <c r="CM529" s="223"/>
      <c r="CN529" s="223"/>
      <c r="CO529" s="223"/>
      <c r="CP529" s="223"/>
      <c r="CQ529" s="200"/>
      <c r="CR529" s="200"/>
      <c r="CS529" s="522"/>
      <c r="CT529" s="200"/>
      <c r="CU529" s="223"/>
      <c r="CV529" s="223"/>
      <c r="CW529" s="223"/>
      <c r="CX529" s="223"/>
      <c r="CY529" s="223"/>
      <c r="CZ529" s="223"/>
      <c r="DA529" s="223"/>
      <c r="DB529" s="200"/>
      <c r="DC529" s="522"/>
      <c r="DD529" s="200"/>
      <c r="DE529" s="223"/>
      <c r="DF529" s="223"/>
      <c r="DG529" s="223"/>
      <c r="DH529" s="223"/>
      <c r="DI529" s="223"/>
      <c r="DJ529" s="223"/>
      <c r="DK529" s="200"/>
      <c r="DL529" s="200"/>
      <c r="DM529" s="522"/>
      <c r="DN529" s="200"/>
      <c r="DO529" s="223"/>
      <c r="DP529" s="223"/>
      <c r="DQ529" s="223"/>
      <c r="DR529" s="223"/>
      <c r="DS529" s="223"/>
      <c r="DT529" s="223"/>
      <c r="DU529" s="200"/>
      <c r="DV529" s="200"/>
      <c r="DW529" s="522"/>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2"/>
      <c r="R530" s="200"/>
      <c r="S530" s="223"/>
      <c r="T530" s="223"/>
      <c r="U530" s="223"/>
      <c r="V530" s="223"/>
      <c r="W530" s="223"/>
      <c r="X530" s="223"/>
      <c r="Y530" s="200"/>
      <c r="Z530" s="200"/>
      <c r="AA530" s="522"/>
      <c r="AB530" s="200"/>
      <c r="AC530" s="223"/>
      <c r="AD530" s="223"/>
      <c r="AE530" s="223"/>
      <c r="AF530" s="223"/>
      <c r="AG530" s="223"/>
      <c r="AH530" s="223"/>
      <c r="AI530" s="200"/>
      <c r="AJ530" s="200"/>
      <c r="AK530" s="522"/>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2"/>
      <c r="BF530" s="200"/>
      <c r="BG530" s="223"/>
      <c r="BH530" s="223"/>
      <c r="BI530" s="223"/>
      <c r="BJ530" s="223"/>
      <c r="BK530" s="223"/>
      <c r="BL530" s="223"/>
      <c r="BM530" s="200"/>
      <c r="BN530" s="200"/>
      <c r="BO530" s="522"/>
      <c r="BP530" s="200"/>
      <c r="BQ530" s="223"/>
      <c r="BR530" s="223"/>
      <c r="BS530" s="223"/>
      <c r="BT530" s="223"/>
      <c r="BU530" s="223"/>
      <c r="BV530" s="223"/>
      <c r="BW530" s="223"/>
      <c r="BX530" s="200"/>
      <c r="BY530" s="522"/>
      <c r="BZ530" s="200"/>
      <c r="CA530" s="223"/>
      <c r="CB530" s="223"/>
      <c r="CC530" s="223"/>
      <c r="CD530" s="223"/>
      <c r="CE530" s="223"/>
      <c r="CF530" s="223"/>
      <c r="CG530" s="200"/>
      <c r="CH530" s="200"/>
      <c r="CI530" s="522"/>
      <c r="CJ530" s="200"/>
      <c r="CK530" s="223"/>
      <c r="CL530" s="223"/>
      <c r="CM530" s="223"/>
      <c r="CN530" s="223"/>
      <c r="CO530" s="223"/>
      <c r="CP530" s="223"/>
      <c r="CQ530" s="200"/>
      <c r="CR530" s="200"/>
      <c r="CS530" s="522"/>
      <c r="CT530" s="200"/>
      <c r="CU530" s="223"/>
      <c r="CV530" s="223"/>
      <c r="CW530" s="223"/>
      <c r="CX530" s="223"/>
      <c r="CY530" s="223"/>
      <c r="CZ530" s="223"/>
      <c r="DA530" s="223"/>
      <c r="DB530" s="200"/>
      <c r="DC530" s="522"/>
      <c r="DD530" s="200"/>
      <c r="DE530" s="223"/>
      <c r="DF530" s="223"/>
      <c r="DG530" s="223"/>
      <c r="DH530" s="223"/>
      <c r="DI530" s="223"/>
      <c r="DJ530" s="223"/>
      <c r="DK530" s="200"/>
      <c r="DL530" s="200"/>
      <c r="DM530" s="522"/>
      <c r="DN530" s="200"/>
      <c r="DO530" s="223"/>
      <c r="DP530" s="223"/>
      <c r="DQ530" s="223"/>
      <c r="DR530" s="223"/>
      <c r="DS530" s="223"/>
      <c r="DT530" s="223"/>
      <c r="DU530" s="200"/>
      <c r="DV530" s="200"/>
      <c r="DW530" s="522"/>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2"/>
      <c r="R531" s="200"/>
      <c r="S531" s="223"/>
      <c r="T531" s="223"/>
      <c r="U531" s="223"/>
      <c r="V531" s="223"/>
      <c r="W531" s="223"/>
      <c r="X531" s="223"/>
      <c r="Y531" s="200"/>
      <c r="Z531" s="200"/>
      <c r="AA531" s="522"/>
      <c r="AB531" s="200"/>
      <c r="AC531" s="223"/>
      <c r="AD531" s="223"/>
      <c r="AE531" s="223"/>
      <c r="AF531" s="223"/>
      <c r="AG531" s="223"/>
      <c r="AH531" s="223"/>
      <c r="AI531" s="200"/>
      <c r="AJ531" s="200"/>
      <c r="AK531" s="522"/>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2"/>
      <c r="BF531" s="200"/>
      <c r="BG531" s="223"/>
      <c r="BH531" s="223"/>
      <c r="BI531" s="223"/>
      <c r="BJ531" s="223"/>
      <c r="BK531" s="223"/>
      <c r="BL531" s="223"/>
      <c r="BM531" s="200"/>
      <c r="BN531" s="200"/>
      <c r="BO531" s="522"/>
      <c r="BP531" s="200"/>
      <c r="BQ531" s="223"/>
      <c r="BR531" s="223"/>
      <c r="BS531" s="223"/>
      <c r="BT531" s="223"/>
      <c r="BU531" s="223"/>
      <c r="BV531" s="223"/>
      <c r="BW531" s="223"/>
      <c r="BX531" s="200"/>
      <c r="BY531" s="522"/>
      <c r="BZ531" s="200"/>
      <c r="CA531" s="223"/>
      <c r="CB531" s="223"/>
      <c r="CC531" s="223"/>
      <c r="CD531" s="223"/>
      <c r="CE531" s="223"/>
      <c r="CF531" s="223"/>
      <c r="CG531" s="200"/>
      <c r="CH531" s="200"/>
      <c r="CI531" s="522"/>
      <c r="CJ531" s="200"/>
      <c r="CK531" s="223"/>
      <c r="CL531" s="223"/>
      <c r="CM531" s="223"/>
      <c r="CN531" s="223"/>
      <c r="CO531" s="223"/>
      <c r="CP531" s="223"/>
      <c r="CQ531" s="200"/>
      <c r="CR531" s="200"/>
      <c r="CS531" s="522"/>
      <c r="CT531" s="200"/>
      <c r="CU531" s="223"/>
      <c r="CV531" s="223"/>
      <c r="CW531" s="223"/>
      <c r="CX531" s="223"/>
      <c r="CY531" s="223"/>
      <c r="CZ531" s="223"/>
      <c r="DA531" s="223"/>
      <c r="DB531" s="200"/>
      <c r="DC531" s="522"/>
      <c r="DD531" s="200"/>
      <c r="DE531" s="223"/>
      <c r="DF531" s="223"/>
      <c r="DG531" s="223"/>
      <c r="DH531" s="223"/>
      <c r="DI531" s="223"/>
      <c r="DJ531" s="223"/>
      <c r="DK531" s="200"/>
      <c r="DL531" s="200"/>
      <c r="DM531" s="522"/>
      <c r="DN531" s="200"/>
      <c r="DO531" s="223"/>
      <c r="DP531" s="223"/>
      <c r="DQ531" s="223"/>
      <c r="DR531" s="223"/>
      <c r="DS531" s="223"/>
      <c r="DT531" s="223"/>
      <c r="DU531" s="200"/>
      <c r="DV531" s="200"/>
      <c r="DW531" s="522"/>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2"/>
      <c r="R532" s="200"/>
      <c r="S532" s="223"/>
      <c r="T532" s="223"/>
      <c r="U532" s="223"/>
      <c r="V532" s="223"/>
      <c r="W532" s="223"/>
      <c r="X532" s="223"/>
      <c r="Y532" s="200"/>
      <c r="Z532" s="200"/>
      <c r="AA532" s="522"/>
      <c r="AB532" s="200"/>
      <c r="AC532" s="223"/>
      <c r="AD532" s="223"/>
      <c r="AE532" s="223"/>
      <c r="AF532" s="223"/>
      <c r="AG532" s="223"/>
      <c r="AH532" s="223"/>
      <c r="AI532" s="200"/>
      <c r="AJ532" s="200"/>
      <c r="AK532" s="522"/>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2"/>
      <c r="BF532" s="200"/>
      <c r="BG532" s="223"/>
      <c r="BH532" s="223"/>
      <c r="BI532" s="223"/>
      <c r="BJ532" s="223"/>
      <c r="BK532" s="223"/>
      <c r="BL532" s="223"/>
      <c r="BM532" s="200"/>
      <c r="BN532" s="200"/>
      <c r="BO532" s="522"/>
      <c r="BP532" s="200"/>
      <c r="BQ532" s="223"/>
      <c r="BR532" s="223"/>
      <c r="BS532" s="223"/>
      <c r="BT532" s="223"/>
      <c r="BU532" s="223"/>
      <c r="BV532" s="223"/>
      <c r="BW532" s="223"/>
      <c r="BX532" s="200"/>
      <c r="BY532" s="522"/>
      <c r="BZ532" s="200"/>
      <c r="CA532" s="223"/>
      <c r="CB532" s="223"/>
      <c r="CC532" s="223"/>
      <c r="CD532" s="223"/>
      <c r="CE532" s="223"/>
      <c r="CF532" s="223"/>
      <c r="CG532" s="200"/>
      <c r="CH532" s="200"/>
      <c r="CI532" s="522"/>
      <c r="CJ532" s="200"/>
      <c r="CK532" s="223"/>
      <c r="CL532" s="223"/>
      <c r="CM532" s="223"/>
      <c r="CN532" s="223"/>
      <c r="CO532" s="223"/>
      <c r="CP532" s="223"/>
      <c r="CQ532" s="200"/>
      <c r="CR532" s="200"/>
      <c r="CS532" s="522"/>
      <c r="CT532" s="200"/>
      <c r="CU532" s="223"/>
      <c r="CV532" s="223"/>
      <c r="CW532" s="223"/>
      <c r="CX532" s="223"/>
      <c r="CY532" s="223"/>
      <c r="CZ532" s="223"/>
      <c r="DA532" s="223"/>
      <c r="DB532" s="200"/>
      <c r="DC532" s="522"/>
      <c r="DD532" s="200"/>
      <c r="DE532" s="223"/>
      <c r="DF532" s="223"/>
      <c r="DG532" s="223"/>
      <c r="DH532" s="223"/>
      <c r="DI532" s="223"/>
      <c r="DJ532" s="223"/>
      <c r="DK532" s="200"/>
      <c r="DL532" s="200"/>
      <c r="DM532" s="522"/>
      <c r="DN532" s="200"/>
      <c r="DO532" s="223"/>
      <c r="DP532" s="223"/>
      <c r="DQ532" s="223"/>
      <c r="DR532" s="223"/>
      <c r="DS532" s="223"/>
      <c r="DT532" s="223"/>
      <c r="DU532" s="200"/>
      <c r="DV532" s="200"/>
      <c r="DW532" s="522"/>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2"/>
      <c r="R533" s="200"/>
      <c r="S533" s="223"/>
      <c r="T533" s="223"/>
      <c r="U533" s="223"/>
      <c r="V533" s="223"/>
      <c r="W533" s="223"/>
      <c r="X533" s="223"/>
      <c r="Y533" s="200"/>
      <c r="Z533" s="200"/>
      <c r="AA533" s="522"/>
      <c r="AB533" s="200"/>
      <c r="AC533" s="223"/>
      <c r="AD533" s="223"/>
      <c r="AE533" s="223"/>
      <c r="AF533" s="223"/>
      <c r="AG533" s="223"/>
      <c r="AH533" s="223"/>
      <c r="AI533" s="200"/>
      <c r="AJ533" s="200"/>
      <c r="AK533" s="522"/>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2"/>
      <c r="BF533" s="200"/>
      <c r="BG533" s="223"/>
      <c r="BH533" s="223"/>
      <c r="BI533" s="223"/>
      <c r="BJ533" s="223"/>
      <c r="BK533" s="223"/>
      <c r="BL533" s="223"/>
      <c r="BM533" s="200"/>
      <c r="BN533" s="200"/>
      <c r="BO533" s="522"/>
      <c r="BP533" s="200"/>
      <c r="BQ533" s="223"/>
      <c r="BR533" s="223"/>
      <c r="BS533" s="223"/>
      <c r="BT533" s="223"/>
      <c r="BU533" s="223"/>
      <c r="BV533" s="223"/>
      <c r="BW533" s="223"/>
      <c r="BX533" s="200"/>
      <c r="BY533" s="522"/>
      <c r="BZ533" s="200"/>
      <c r="CA533" s="223"/>
      <c r="CB533" s="223"/>
      <c r="CC533" s="223"/>
      <c r="CD533" s="223"/>
      <c r="CE533" s="223"/>
      <c r="CF533" s="223"/>
      <c r="CG533" s="200"/>
      <c r="CH533" s="200"/>
      <c r="CI533" s="522"/>
      <c r="CJ533" s="200"/>
      <c r="CK533" s="223"/>
      <c r="CL533" s="223"/>
      <c r="CM533" s="223"/>
      <c r="CN533" s="223"/>
      <c r="CO533" s="223"/>
      <c r="CP533" s="223"/>
      <c r="CQ533" s="200"/>
      <c r="CR533" s="200"/>
      <c r="CS533" s="522"/>
      <c r="CT533" s="200"/>
      <c r="CU533" s="223"/>
      <c r="CV533" s="223"/>
      <c r="CW533" s="223"/>
      <c r="CX533" s="223"/>
      <c r="CY533" s="223"/>
      <c r="CZ533" s="223"/>
      <c r="DA533" s="223"/>
      <c r="DB533" s="200"/>
      <c r="DC533" s="522"/>
      <c r="DD533" s="200"/>
      <c r="DE533" s="223"/>
      <c r="DF533" s="223"/>
      <c r="DG533" s="223"/>
      <c r="DH533" s="223"/>
      <c r="DI533" s="223"/>
      <c r="DJ533" s="223"/>
      <c r="DK533" s="200"/>
      <c r="DL533" s="200"/>
      <c r="DM533" s="522"/>
      <c r="DN533" s="200"/>
      <c r="DO533" s="223"/>
      <c r="DP533" s="223"/>
      <c r="DQ533" s="223"/>
      <c r="DR533" s="223"/>
      <c r="DS533" s="223"/>
      <c r="DT533" s="223"/>
      <c r="DU533" s="200"/>
      <c r="DV533" s="200"/>
      <c r="DW533" s="522"/>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2"/>
      <c r="R534" s="200"/>
      <c r="S534" s="223"/>
      <c r="T534" s="223"/>
      <c r="U534" s="223"/>
      <c r="V534" s="223"/>
      <c r="W534" s="223"/>
      <c r="X534" s="223"/>
      <c r="Y534" s="200"/>
      <c r="Z534" s="200"/>
      <c r="AA534" s="522"/>
      <c r="AB534" s="200"/>
      <c r="AC534" s="223"/>
      <c r="AD534" s="223"/>
      <c r="AE534" s="223"/>
      <c r="AF534" s="223"/>
      <c r="AG534" s="223"/>
      <c r="AH534" s="223"/>
      <c r="AI534" s="200"/>
      <c r="AJ534" s="200"/>
      <c r="AK534" s="522"/>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2"/>
      <c r="BF534" s="200"/>
      <c r="BG534" s="223"/>
      <c r="BH534" s="223"/>
      <c r="BI534" s="223"/>
      <c r="BJ534" s="223"/>
      <c r="BK534" s="223"/>
      <c r="BL534" s="223"/>
      <c r="BM534" s="200"/>
      <c r="BN534" s="200"/>
      <c r="BO534" s="522"/>
      <c r="BP534" s="200"/>
      <c r="BQ534" s="223"/>
      <c r="BR534" s="223"/>
      <c r="BS534" s="223"/>
      <c r="BT534" s="223"/>
      <c r="BU534" s="223"/>
      <c r="BV534" s="223"/>
      <c r="BW534" s="223"/>
      <c r="BX534" s="200"/>
      <c r="BY534" s="522"/>
      <c r="BZ534" s="200"/>
      <c r="CA534" s="223"/>
      <c r="CB534" s="223"/>
      <c r="CC534" s="223"/>
      <c r="CD534" s="223"/>
      <c r="CE534" s="223"/>
      <c r="CF534" s="223"/>
      <c r="CG534" s="200"/>
      <c r="CH534" s="200"/>
      <c r="CI534" s="522"/>
      <c r="CJ534" s="200"/>
      <c r="CK534" s="223"/>
      <c r="CL534" s="223"/>
      <c r="CM534" s="223"/>
      <c r="CN534" s="223"/>
      <c r="CO534" s="223"/>
      <c r="CP534" s="223"/>
      <c r="CQ534" s="200"/>
      <c r="CR534" s="200"/>
      <c r="CS534" s="522"/>
      <c r="CT534" s="200"/>
      <c r="CU534" s="223"/>
      <c r="CV534" s="223"/>
      <c r="CW534" s="223"/>
      <c r="CX534" s="223"/>
      <c r="CY534" s="223"/>
      <c r="CZ534" s="223"/>
      <c r="DA534" s="223"/>
      <c r="DB534" s="200"/>
      <c r="DC534" s="522"/>
      <c r="DD534" s="200"/>
      <c r="DE534" s="223"/>
      <c r="DF534" s="223"/>
      <c r="DG534" s="223"/>
      <c r="DH534" s="223"/>
      <c r="DI534" s="223"/>
      <c r="DJ534" s="223"/>
      <c r="DK534" s="200"/>
      <c r="DL534" s="200"/>
      <c r="DM534" s="522"/>
      <c r="DN534" s="200"/>
      <c r="DO534" s="223"/>
      <c r="DP534" s="223"/>
      <c r="DQ534" s="223"/>
      <c r="DR534" s="223"/>
      <c r="DS534" s="223"/>
      <c r="DT534" s="223"/>
      <c r="DU534" s="200"/>
      <c r="DV534" s="200"/>
      <c r="DW534" s="522"/>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2"/>
      <c r="R535" s="200"/>
      <c r="S535" s="223"/>
      <c r="T535" s="223"/>
      <c r="U535" s="223"/>
      <c r="V535" s="223"/>
      <c r="W535" s="223"/>
      <c r="X535" s="223"/>
      <c r="Y535" s="200"/>
      <c r="Z535" s="200"/>
      <c r="AA535" s="522"/>
      <c r="AB535" s="200"/>
      <c r="AC535" s="223"/>
      <c r="AD535" s="223"/>
      <c r="AE535" s="223"/>
      <c r="AF535" s="223"/>
      <c r="AG535" s="223"/>
      <c r="AH535" s="223"/>
      <c r="AI535" s="200"/>
      <c r="AJ535" s="200"/>
      <c r="AK535" s="522"/>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2"/>
      <c r="BF535" s="200"/>
      <c r="BG535" s="223"/>
      <c r="BH535" s="223"/>
      <c r="BI535" s="223"/>
      <c r="BJ535" s="223"/>
      <c r="BK535" s="223"/>
      <c r="BL535" s="223"/>
      <c r="BM535" s="200"/>
      <c r="BN535" s="200"/>
      <c r="BO535" s="522"/>
      <c r="BP535" s="200"/>
      <c r="BQ535" s="223"/>
      <c r="BR535" s="223"/>
      <c r="BS535" s="223"/>
      <c r="BT535" s="223"/>
      <c r="BU535" s="223"/>
      <c r="BV535" s="223"/>
      <c r="BW535" s="223"/>
      <c r="BX535" s="200"/>
      <c r="BY535" s="522"/>
      <c r="BZ535" s="200"/>
      <c r="CA535" s="223"/>
      <c r="CB535" s="223"/>
      <c r="CC535" s="223"/>
      <c r="CD535" s="223"/>
      <c r="CE535" s="223"/>
      <c r="CF535" s="223"/>
      <c r="CG535" s="200"/>
      <c r="CH535" s="200"/>
      <c r="CI535" s="522"/>
      <c r="CJ535" s="200"/>
      <c r="CK535" s="223"/>
      <c r="CL535" s="223"/>
      <c r="CM535" s="223"/>
      <c r="CN535" s="223"/>
      <c r="CO535" s="223"/>
      <c r="CP535" s="223"/>
      <c r="CQ535" s="200"/>
      <c r="CR535" s="200"/>
      <c r="CS535" s="522"/>
      <c r="CT535" s="200"/>
      <c r="CU535" s="223"/>
      <c r="CV535" s="223"/>
      <c r="CW535" s="223"/>
      <c r="CX535" s="223"/>
      <c r="CY535" s="223"/>
      <c r="CZ535" s="223"/>
      <c r="DA535" s="223"/>
      <c r="DB535" s="200"/>
      <c r="DC535" s="522"/>
      <c r="DD535" s="200"/>
      <c r="DE535" s="223"/>
      <c r="DF535" s="223"/>
      <c r="DG535" s="223"/>
      <c r="DH535" s="223"/>
      <c r="DI535" s="223"/>
      <c r="DJ535" s="223"/>
      <c r="DK535" s="200"/>
      <c r="DL535" s="200"/>
      <c r="DM535" s="522"/>
      <c r="DN535" s="200"/>
      <c r="DO535" s="223"/>
      <c r="DP535" s="223"/>
      <c r="DQ535" s="223"/>
      <c r="DR535" s="223"/>
      <c r="DS535" s="223"/>
      <c r="DT535" s="223"/>
      <c r="DU535" s="200"/>
      <c r="DV535" s="200"/>
      <c r="DW535" s="522"/>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2"/>
      <c r="R536" s="200"/>
      <c r="S536" s="223"/>
      <c r="T536" s="223"/>
      <c r="U536" s="223"/>
      <c r="V536" s="223"/>
      <c r="W536" s="223"/>
      <c r="X536" s="223"/>
      <c r="Y536" s="200"/>
      <c r="Z536" s="200"/>
      <c r="AA536" s="522"/>
      <c r="AB536" s="200"/>
      <c r="AC536" s="223"/>
      <c r="AD536" s="223"/>
      <c r="AE536" s="223"/>
      <c r="AF536" s="223"/>
      <c r="AG536" s="223"/>
      <c r="AH536" s="223"/>
      <c r="AI536" s="200"/>
      <c r="AJ536" s="200"/>
      <c r="AK536" s="522"/>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2"/>
      <c r="BF536" s="200"/>
      <c r="BG536" s="223"/>
      <c r="BH536" s="223"/>
      <c r="BI536" s="223"/>
      <c r="BJ536" s="223"/>
      <c r="BK536" s="223"/>
      <c r="BL536" s="223"/>
      <c r="BM536" s="200"/>
      <c r="BN536" s="200"/>
      <c r="BO536" s="522"/>
      <c r="BP536" s="200"/>
      <c r="BQ536" s="223"/>
      <c r="BR536" s="223"/>
      <c r="BS536" s="223"/>
      <c r="BT536" s="223"/>
      <c r="BU536" s="223"/>
      <c r="BV536" s="223"/>
      <c r="BW536" s="223"/>
      <c r="BX536" s="200"/>
      <c r="BY536" s="522"/>
      <c r="BZ536" s="200"/>
      <c r="CA536" s="223"/>
      <c r="CB536" s="223"/>
      <c r="CC536" s="223"/>
      <c r="CD536" s="223"/>
      <c r="CE536" s="223"/>
      <c r="CF536" s="223"/>
      <c r="CG536" s="200"/>
      <c r="CH536" s="200"/>
      <c r="CI536" s="522"/>
      <c r="CJ536" s="200"/>
      <c r="CK536" s="223"/>
      <c r="CL536" s="223"/>
      <c r="CM536" s="223"/>
      <c r="CN536" s="223"/>
      <c r="CO536" s="223"/>
      <c r="CP536" s="223"/>
      <c r="CQ536" s="200"/>
      <c r="CR536" s="200"/>
      <c r="CS536" s="522"/>
      <c r="CT536" s="200"/>
      <c r="CU536" s="223"/>
      <c r="CV536" s="223"/>
      <c r="CW536" s="223"/>
      <c r="CX536" s="223"/>
      <c r="CY536" s="223"/>
      <c r="CZ536" s="223"/>
      <c r="DA536" s="223"/>
      <c r="DB536" s="200"/>
      <c r="DC536" s="522"/>
      <c r="DD536" s="200"/>
      <c r="DE536" s="223"/>
      <c r="DF536" s="223"/>
      <c r="DG536" s="223"/>
      <c r="DH536" s="223"/>
      <c r="DI536" s="223"/>
      <c r="DJ536" s="223"/>
      <c r="DK536" s="200"/>
      <c r="DL536" s="200"/>
      <c r="DM536" s="522"/>
      <c r="DN536" s="200"/>
      <c r="DO536" s="223"/>
      <c r="DP536" s="223"/>
      <c r="DQ536" s="223"/>
      <c r="DR536" s="223"/>
      <c r="DS536" s="223"/>
      <c r="DT536" s="223"/>
      <c r="DU536" s="200"/>
      <c r="DV536" s="200"/>
      <c r="DW536" s="522"/>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2"/>
      <c r="R537" s="200"/>
      <c r="S537" s="223"/>
      <c r="T537" s="223"/>
      <c r="U537" s="223"/>
      <c r="V537" s="223"/>
      <c r="W537" s="223"/>
      <c r="X537" s="223"/>
      <c r="Y537" s="200"/>
      <c r="Z537" s="200"/>
      <c r="AA537" s="522"/>
      <c r="AB537" s="200"/>
      <c r="AC537" s="223"/>
      <c r="AD537" s="223"/>
      <c r="AE537" s="223"/>
      <c r="AF537" s="223"/>
      <c r="AG537" s="223"/>
      <c r="AH537" s="223"/>
      <c r="AI537" s="200"/>
      <c r="AJ537" s="200"/>
      <c r="AK537" s="522"/>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2"/>
      <c r="BF537" s="200"/>
      <c r="BG537" s="223"/>
      <c r="BH537" s="223"/>
      <c r="BI537" s="223"/>
      <c r="BJ537" s="223"/>
      <c r="BK537" s="223"/>
      <c r="BL537" s="223"/>
      <c r="BM537" s="200"/>
      <c r="BN537" s="200"/>
      <c r="BO537" s="522"/>
      <c r="BP537" s="200"/>
      <c r="BQ537" s="223"/>
      <c r="BR537" s="223"/>
      <c r="BS537" s="223"/>
      <c r="BT537" s="223"/>
      <c r="BU537" s="223"/>
      <c r="BV537" s="223"/>
      <c r="BW537" s="223"/>
      <c r="BX537" s="200"/>
      <c r="BY537" s="522"/>
      <c r="BZ537" s="200"/>
      <c r="CA537" s="223"/>
      <c r="CB537" s="223"/>
      <c r="CC537" s="223"/>
      <c r="CD537" s="223"/>
      <c r="CE537" s="223"/>
      <c r="CF537" s="223"/>
      <c r="CG537" s="200"/>
      <c r="CH537" s="200"/>
      <c r="CI537" s="522"/>
      <c r="CJ537" s="200"/>
      <c r="CK537" s="223"/>
      <c r="CL537" s="223"/>
      <c r="CM537" s="223"/>
      <c r="CN537" s="223"/>
      <c r="CO537" s="223"/>
      <c r="CP537" s="223"/>
      <c r="CQ537" s="200"/>
      <c r="CR537" s="200"/>
      <c r="CS537" s="522"/>
      <c r="CT537" s="200"/>
      <c r="CU537" s="223"/>
      <c r="CV537" s="223"/>
      <c r="CW537" s="223"/>
      <c r="CX537" s="223"/>
      <c r="CY537" s="223"/>
      <c r="CZ537" s="223"/>
      <c r="DA537" s="223"/>
      <c r="DB537" s="200"/>
      <c r="DC537" s="522"/>
      <c r="DD537" s="200"/>
      <c r="DE537" s="223"/>
      <c r="DF537" s="223"/>
      <c r="DG537" s="223"/>
      <c r="DH537" s="223"/>
      <c r="DI537" s="223"/>
      <c r="DJ537" s="223"/>
      <c r="DK537" s="200"/>
      <c r="DL537" s="200"/>
      <c r="DM537" s="522"/>
      <c r="DN537" s="200"/>
      <c r="DO537" s="223"/>
      <c r="DP537" s="223"/>
      <c r="DQ537" s="223"/>
      <c r="DR537" s="223"/>
      <c r="DS537" s="223"/>
      <c r="DT537" s="223"/>
      <c r="DU537" s="200"/>
      <c r="DV537" s="200"/>
      <c r="DW537" s="522"/>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2"/>
      <c r="R538" s="200"/>
      <c r="S538" s="223"/>
      <c r="T538" s="223"/>
      <c r="U538" s="223"/>
      <c r="V538" s="223"/>
      <c r="W538" s="223"/>
      <c r="X538" s="223"/>
      <c r="Y538" s="200"/>
      <c r="Z538" s="200"/>
      <c r="AA538" s="522"/>
      <c r="AB538" s="200"/>
      <c r="AC538" s="223"/>
      <c r="AD538" s="223"/>
      <c r="AE538" s="223"/>
      <c r="AF538" s="223"/>
      <c r="AG538" s="223"/>
      <c r="AH538" s="223"/>
      <c r="AI538" s="200"/>
      <c r="AJ538" s="200"/>
      <c r="AK538" s="522"/>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2"/>
      <c r="BF538" s="200"/>
      <c r="BG538" s="223"/>
      <c r="BH538" s="223"/>
      <c r="BI538" s="223"/>
      <c r="BJ538" s="223"/>
      <c r="BK538" s="223"/>
      <c r="BL538" s="223"/>
      <c r="BM538" s="200"/>
      <c r="BN538" s="200"/>
      <c r="BO538" s="522"/>
      <c r="BP538" s="200"/>
      <c r="BQ538" s="223"/>
      <c r="BR538" s="223"/>
      <c r="BS538" s="223"/>
      <c r="BT538" s="223"/>
      <c r="BU538" s="223"/>
      <c r="BV538" s="223"/>
      <c r="BW538" s="223"/>
      <c r="BX538" s="200"/>
      <c r="BY538" s="522"/>
      <c r="BZ538" s="200"/>
      <c r="CA538" s="223"/>
      <c r="CB538" s="223"/>
      <c r="CC538" s="223"/>
      <c r="CD538" s="223"/>
      <c r="CE538" s="223"/>
      <c r="CF538" s="223"/>
      <c r="CG538" s="200"/>
      <c r="CH538" s="200"/>
      <c r="CI538" s="522"/>
      <c r="CJ538" s="200"/>
      <c r="CK538" s="223"/>
      <c r="CL538" s="223"/>
      <c r="CM538" s="223"/>
      <c r="CN538" s="223"/>
      <c r="CO538" s="223"/>
      <c r="CP538" s="223"/>
      <c r="CQ538" s="200"/>
      <c r="CR538" s="200"/>
      <c r="CS538" s="522"/>
      <c r="CT538" s="200"/>
      <c r="CU538" s="223"/>
      <c r="CV538" s="223"/>
      <c r="CW538" s="223"/>
      <c r="CX538" s="223"/>
      <c r="CY538" s="223"/>
      <c r="CZ538" s="223"/>
      <c r="DA538" s="223"/>
      <c r="DB538" s="200"/>
      <c r="DC538" s="522"/>
      <c r="DD538" s="200"/>
      <c r="DE538" s="223"/>
      <c r="DF538" s="223"/>
      <c r="DG538" s="223"/>
      <c r="DH538" s="223"/>
      <c r="DI538" s="223"/>
      <c r="DJ538" s="223"/>
      <c r="DK538" s="200"/>
      <c r="DL538" s="200"/>
      <c r="DM538" s="522"/>
      <c r="DN538" s="200"/>
      <c r="DO538" s="223"/>
      <c r="DP538" s="223"/>
      <c r="DQ538" s="223"/>
      <c r="DR538" s="223"/>
      <c r="DS538" s="223"/>
      <c r="DT538" s="223"/>
      <c r="DU538" s="200"/>
      <c r="DV538" s="200"/>
      <c r="DW538" s="522"/>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2"/>
      <c r="R539" s="200"/>
      <c r="S539" s="223"/>
      <c r="T539" s="223"/>
      <c r="U539" s="223"/>
      <c r="V539" s="223"/>
      <c r="W539" s="223"/>
      <c r="X539" s="223"/>
      <c r="Y539" s="200"/>
      <c r="Z539" s="200"/>
      <c r="AA539" s="522"/>
      <c r="AB539" s="200"/>
      <c r="AC539" s="223"/>
      <c r="AD539" s="223"/>
      <c r="AE539" s="223"/>
      <c r="AF539" s="223"/>
      <c r="AG539" s="223"/>
      <c r="AH539" s="223"/>
      <c r="AI539" s="200"/>
      <c r="AJ539" s="200"/>
      <c r="AK539" s="522"/>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2"/>
      <c r="BF539" s="200"/>
      <c r="BG539" s="223"/>
      <c r="BH539" s="223"/>
      <c r="BI539" s="223"/>
      <c r="BJ539" s="223"/>
      <c r="BK539" s="223"/>
      <c r="BL539" s="223"/>
      <c r="BM539" s="200"/>
      <c r="BN539" s="200"/>
      <c r="BO539" s="522"/>
      <c r="BP539" s="200"/>
      <c r="BQ539" s="223"/>
      <c r="BR539" s="223"/>
      <c r="BS539" s="223"/>
      <c r="BT539" s="223"/>
      <c r="BU539" s="223"/>
      <c r="BV539" s="223"/>
      <c r="BW539" s="223"/>
      <c r="BX539" s="200"/>
      <c r="BY539" s="522"/>
      <c r="BZ539" s="200"/>
      <c r="CA539" s="223"/>
      <c r="CB539" s="223"/>
      <c r="CC539" s="223"/>
      <c r="CD539" s="223"/>
      <c r="CE539" s="223"/>
      <c r="CF539" s="223"/>
      <c r="CG539" s="200"/>
      <c r="CH539" s="200"/>
      <c r="CI539" s="522"/>
      <c r="CJ539" s="200"/>
      <c r="CK539" s="223"/>
      <c r="CL539" s="223"/>
      <c r="CM539" s="223"/>
      <c r="CN539" s="223"/>
      <c r="CO539" s="223"/>
      <c r="CP539" s="223"/>
      <c r="CQ539" s="200"/>
      <c r="CR539" s="200"/>
      <c r="CS539" s="522"/>
      <c r="CT539" s="200"/>
      <c r="CU539" s="223"/>
      <c r="CV539" s="223"/>
      <c r="CW539" s="223"/>
      <c r="CX539" s="223"/>
      <c r="CY539" s="223"/>
      <c r="CZ539" s="223"/>
      <c r="DA539" s="223"/>
      <c r="DB539" s="200"/>
      <c r="DC539" s="522"/>
      <c r="DD539" s="200"/>
      <c r="DE539" s="223"/>
      <c r="DF539" s="223"/>
      <c r="DG539" s="223"/>
      <c r="DH539" s="223"/>
      <c r="DI539" s="223"/>
      <c r="DJ539" s="223"/>
      <c r="DK539" s="200"/>
      <c r="DL539" s="200"/>
      <c r="DM539" s="522"/>
      <c r="DN539" s="200"/>
      <c r="DO539" s="223"/>
      <c r="DP539" s="223"/>
      <c r="DQ539" s="223"/>
      <c r="DR539" s="223"/>
      <c r="DS539" s="223"/>
      <c r="DT539" s="223"/>
      <c r="DU539" s="200"/>
      <c r="DV539" s="200"/>
      <c r="DW539" s="522"/>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2"/>
      <c r="R540" s="200"/>
      <c r="S540" s="223"/>
      <c r="T540" s="223"/>
      <c r="U540" s="223"/>
      <c r="V540" s="223"/>
      <c r="W540" s="223"/>
      <c r="X540" s="223"/>
      <c r="Y540" s="200"/>
      <c r="Z540" s="200"/>
      <c r="AA540" s="522"/>
      <c r="AB540" s="200"/>
      <c r="AC540" s="223"/>
      <c r="AD540" s="223"/>
      <c r="AE540" s="223"/>
      <c r="AF540" s="223"/>
      <c r="AG540" s="223"/>
      <c r="AH540" s="223"/>
      <c r="AI540" s="200"/>
      <c r="AJ540" s="200"/>
      <c r="AK540" s="522"/>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2"/>
      <c r="BF540" s="200"/>
      <c r="BG540" s="223"/>
      <c r="BH540" s="223"/>
      <c r="BI540" s="223"/>
      <c r="BJ540" s="223"/>
      <c r="BK540" s="223"/>
      <c r="BL540" s="223"/>
      <c r="BM540" s="200"/>
      <c r="BN540" s="200"/>
      <c r="BO540" s="522"/>
      <c r="BP540" s="200"/>
      <c r="BQ540" s="223"/>
      <c r="BR540" s="223"/>
      <c r="BS540" s="223"/>
      <c r="BT540" s="223"/>
      <c r="BU540" s="223"/>
      <c r="BV540" s="223"/>
      <c r="BW540" s="223"/>
      <c r="BX540" s="200"/>
      <c r="BY540" s="522"/>
      <c r="BZ540" s="200"/>
      <c r="CA540" s="223"/>
      <c r="CB540" s="223"/>
      <c r="CC540" s="223"/>
      <c r="CD540" s="223"/>
      <c r="CE540" s="223"/>
      <c r="CF540" s="223"/>
      <c r="CG540" s="200"/>
      <c r="CH540" s="200"/>
      <c r="CI540" s="522"/>
      <c r="CJ540" s="200"/>
      <c r="CK540" s="223"/>
      <c r="CL540" s="223"/>
      <c r="CM540" s="223"/>
      <c r="CN540" s="223"/>
      <c r="CO540" s="223"/>
      <c r="CP540" s="223"/>
      <c r="CQ540" s="200"/>
      <c r="CR540" s="200"/>
      <c r="CS540" s="522"/>
      <c r="CT540" s="200"/>
      <c r="CU540" s="223"/>
      <c r="CV540" s="223"/>
      <c r="CW540" s="223"/>
      <c r="CX540" s="223"/>
      <c r="CY540" s="223"/>
      <c r="CZ540" s="223"/>
      <c r="DA540" s="223"/>
      <c r="DB540" s="200"/>
      <c r="DC540" s="522"/>
      <c r="DD540" s="200"/>
      <c r="DE540" s="223"/>
      <c r="DF540" s="223"/>
      <c r="DG540" s="223"/>
      <c r="DH540" s="223"/>
      <c r="DI540" s="223"/>
      <c r="DJ540" s="223"/>
      <c r="DK540" s="200"/>
      <c r="DL540" s="200"/>
      <c r="DM540" s="522"/>
      <c r="DN540" s="200"/>
      <c r="DO540" s="223"/>
      <c r="DP540" s="223"/>
      <c r="DQ540" s="223"/>
      <c r="DR540" s="223"/>
      <c r="DS540" s="223"/>
      <c r="DT540" s="223"/>
      <c r="DU540" s="200"/>
      <c r="DV540" s="200"/>
      <c r="DW540" s="522"/>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2"/>
      <c r="R541" s="200"/>
      <c r="S541" s="223"/>
      <c r="T541" s="223"/>
      <c r="U541" s="223"/>
      <c r="V541" s="223"/>
      <c r="W541" s="223"/>
      <c r="X541" s="223"/>
      <c r="Y541" s="200"/>
      <c r="Z541" s="200"/>
      <c r="AA541" s="522"/>
      <c r="AB541" s="200"/>
      <c r="AC541" s="223"/>
      <c r="AD541" s="223"/>
      <c r="AE541" s="223"/>
      <c r="AF541" s="223"/>
      <c r="AG541" s="223"/>
      <c r="AH541" s="223"/>
      <c r="AI541" s="200"/>
      <c r="AJ541" s="200"/>
      <c r="AK541" s="522"/>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2"/>
      <c r="BF541" s="200"/>
      <c r="BG541" s="223"/>
      <c r="BH541" s="223"/>
      <c r="BI541" s="223"/>
      <c r="BJ541" s="223"/>
      <c r="BK541" s="223"/>
      <c r="BL541" s="223"/>
      <c r="BM541" s="200"/>
      <c r="BN541" s="200"/>
      <c r="BO541" s="522"/>
      <c r="BP541" s="200"/>
      <c r="BQ541" s="223"/>
      <c r="BR541" s="223"/>
      <c r="BS541" s="223"/>
      <c r="BT541" s="223"/>
      <c r="BU541" s="223"/>
      <c r="BV541" s="223"/>
      <c r="BW541" s="223"/>
      <c r="BX541" s="200"/>
      <c r="BY541" s="522"/>
      <c r="BZ541" s="200"/>
      <c r="CA541" s="223"/>
      <c r="CB541" s="223"/>
      <c r="CC541" s="223"/>
      <c r="CD541" s="223"/>
      <c r="CE541" s="223"/>
      <c r="CF541" s="223"/>
      <c r="CG541" s="200"/>
      <c r="CH541" s="200"/>
      <c r="CI541" s="522"/>
      <c r="CJ541" s="200"/>
      <c r="CK541" s="223"/>
      <c r="CL541" s="223"/>
      <c r="CM541" s="223"/>
      <c r="CN541" s="223"/>
      <c r="CO541" s="223"/>
      <c r="CP541" s="223"/>
      <c r="CQ541" s="200"/>
      <c r="CR541" s="200"/>
      <c r="CS541" s="522"/>
      <c r="CT541" s="200"/>
      <c r="CU541" s="223"/>
      <c r="CV541" s="223"/>
      <c r="CW541" s="223"/>
      <c r="CX541" s="223"/>
      <c r="CY541" s="223"/>
      <c r="CZ541" s="223"/>
      <c r="DA541" s="223"/>
      <c r="DB541" s="200"/>
      <c r="DC541" s="522"/>
      <c r="DD541" s="200"/>
      <c r="DE541" s="223"/>
      <c r="DF541" s="223"/>
      <c r="DG541" s="223"/>
      <c r="DH541" s="223"/>
      <c r="DI541" s="223"/>
      <c r="DJ541" s="223"/>
      <c r="DK541" s="200"/>
      <c r="DL541" s="200"/>
      <c r="DM541" s="522"/>
      <c r="DN541" s="200"/>
      <c r="DO541" s="223"/>
      <c r="DP541" s="223"/>
      <c r="DQ541" s="223"/>
      <c r="DR541" s="223"/>
      <c r="DS541" s="223"/>
      <c r="DT541" s="223"/>
      <c r="DU541" s="200"/>
      <c r="DV541" s="200"/>
      <c r="DW541" s="522"/>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2"/>
      <c r="R542" s="200"/>
      <c r="S542" s="223"/>
      <c r="T542" s="223"/>
      <c r="U542" s="223"/>
      <c r="V542" s="223"/>
      <c r="W542" s="223"/>
      <c r="X542" s="223"/>
      <c r="Y542" s="200"/>
      <c r="Z542" s="200"/>
      <c r="AA542" s="522"/>
      <c r="AB542" s="200"/>
      <c r="AC542" s="223"/>
      <c r="AD542" s="223"/>
      <c r="AE542" s="223"/>
      <c r="AF542" s="223"/>
      <c r="AG542" s="223"/>
      <c r="AH542" s="223"/>
      <c r="AI542" s="200"/>
      <c r="AJ542" s="200"/>
      <c r="AK542" s="522"/>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2"/>
      <c r="BF542" s="200"/>
      <c r="BG542" s="223"/>
      <c r="BH542" s="223"/>
      <c r="BI542" s="223"/>
      <c r="BJ542" s="223"/>
      <c r="BK542" s="223"/>
      <c r="BL542" s="223"/>
      <c r="BM542" s="200"/>
      <c r="BN542" s="200"/>
      <c r="BO542" s="522"/>
      <c r="BP542" s="200"/>
      <c r="BQ542" s="223"/>
      <c r="BR542" s="223"/>
      <c r="BS542" s="223"/>
      <c r="BT542" s="223"/>
      <c r="BU542" s="223"/>
      <c r="BV542" s="223"/>
      <c r="BW542" s="223"/>
      <c r="BX542" s="200"/>
      <c r="BY542" s="522"/>
      <c r="BZ542" s="200"/>
      <c r="CA542" s="223"/>
      <c r="CB542" s="223"/>
      <c r="CC542" s="223"/>
      <c r="CD542" s="223"/>
      <c r="CE542" s="223"/>
      <c r="CF542" s="223"/>
      <c r="CG542" s="200"/>
      <c r="CH542" s="200"/>
      <c r="CI542" s="522"/>
      <c r="CJ542" s="200"/>
      <c r="CK542" s="223"/>
      <c r="CL542" s="223"/>
      <c r="CM542" s="223"/>
      <c r="CN542" s="223"/>
      <c r="CO542" s="223"/>
      <c r="CP542" s="223"/>
      <c r="CQ542" s="200"/>
      <c r="CR542" s="200"/>
      <c r="CS542" s="522"/>
      <c r="CT542" s="200"/>
      <c r="CU542" s="223"/>
      <c r="CV542" s="223"/>
      <c r="CW542" s="223"/>
      <c r="CX542" s="223"/>
      <c r="CY542" s="223"/>
      <c r="CZ542" s="223"/>
      <c r="DA542" s="223"/>
      <c r="DB542" s="200"/>
      <c r="DC542" s="522"/>
      <c r="DD542" s="200"/>
      <c r="DE542" s="223"/>
      <c r="DF542" s="223"/>
      <c r="DG542" s="223"/>
      <c r="DH542" s="223"/>
      <c r="DI542" s="223"/>
      <c r="DJ542" s="223"/>
      <c r="DK542" s="200"/>
      <c r="DL542" s="200"/>
      <c r="DM542" s="522"/>
      <c r="DN542" s="200"/>
      <c r="DO542" s="223"/>
      <c r="DP542" s="223"/>
      <c r="DQ542" s="223"/>
      <c r="DR542" s="223"/>
      <c r="DS542" s="223"/>
      <c r="DT542" s="223"/>
      <c r="DU542" s="200"/>
      <c r="DV542" s="200"/>
      <c r="DW542" s="522"/>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2"/>
      <c r="R543" s="200"/>
      <c r="S543" s="223"/>
      <c r="T543" s="223"/>
      <c r="U543" s="223"/>
      <c r="V543" s="223"/>
      <c r="W543" s="223"/>
      <c r="X543" s="223"/>
      <c r="Y543" s="200"/>
      <c r="Z543" s="200"/>
      <c r="AA543" s="522"/>
      <c r="AB543" s="200"/>
      <c r="AC543" s="223"/>
      <c r="AD543" s="223"/>
      <c r="AE543" s="223"/>
      <c r="AF543" s="223"/>
      <c r="AG543" s="223"/>
      <c r="AH543" s="223"/>
      <c r="AI543" s="200"/>
      <c r="AJ543" s="200"/>
      <c r="AK543" s="522"/>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2"/>
      <c r="BF543" s="200"/>
      <c r="BG543" s="223"/>
      <c r="BH543" s="223"/>
      <c r="BI543" s="223"/>
      <c r="BJ543" s="223"/>
      <c r="BK543" s="223"/>
      <c r="BL543" s="223"/>
      <c r="BM543" s="200"/>
      <c r="BN543" s="200"/>
      <c r="BO543" s="522"/>
      <c r="BP543" s="200"/>
      <c r="BQ543" s="223"/>
      <c r="BR543" s="223"/>
      <c r="BS543" s="223"/>
      <c r="BT543" s="223"/>
      <c r="BU543" s="223"/>
      <c r="BV543" s="223"/>
      <c r="BW543" s="223"/>
      <c r="BX543" s="200"/>
      <c r="BY543" s="522"/>
      <c r="BZ543" s="200"/>
      <c r="CA543" s="223"/>
      <c r="CB543" s="223"/>
      <c r="CC543" s="223"/>
      <c r="CD543" s="223"/>
      <c r="CE543" s="223"/>
      <c r="CF543" s="223"/>
      <c r="CG543" s="200"/>
      <c r="CH543" s="200"/>
      <c r="CI543" s="522"/>
      <c r="CJ543" s="200"/>
      <c r="CK543" s="223"/>
      <c r="CL543" s="223"/>
      <c r="CM543" s="223"/>
      <c r="CN543" s="223"/>
      <c r="CO543" s="223"/>
      <c r="CP543" s="223"/>
      <c r="CQ543" s="200"/>
      <c r="CR543" s="200"/>
      <c r="CS543" s="522"/>
      <c r="CT543" s="200"/>
      <c r="CU543" s="223"/>
      <c r="CV543" s="223"/>
      <c r="CW543" s="223"/>
      <c r="CX543" s="223"/>
      <c r="CY543" s="223"/>
      <c r="CZ543" s="223"/>
      <c r="DA543" s="223"/>
      <c r="DB543" s="200"/>
      <c r="DC543" s="522"/>
      <c r="DD543" s="200"/>
      <c r="DE543" s="223"/>
      <c r="DF543" s="223"/>
      <c r="DG543" s="223"/>
      <c r="DH543" s="223"/>
      <c r="DI543" s="223"/>
      <c r="DJ543" s="223"/>
      <c r="DK543" s="200"/>
      <c r="DL543" s="200"/>
      <c r="DM543" s="522"/>
      <c r="DN543" s="200"/>
      <c r="DO543" s="223"/>
      <c r="DP543" s="223"/>
      <c r="DQ543" s="223"/>
      <c r="DR543" s="223"/>
      <c r="DS543" s="223"/>
      <c r="DT543" s="223"/>
      <c r="DU543" s="200"/>
      <c r="DV543" s="200"/>
      <c r="DW543" s="522"/>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2"/>
      <c r="R544" s="200"/>
      <c r="S544" s="223"/>
      <c r="T544" s="223"/>
      <c r="U544" s="223"/>
      <c r="V544" s="223"/>
      <c r="W544" s="223"/>
      <c r="X544" s="223"/>
      <c r="Y544" s="200"/>
      <c r="Z544" s="200"/>
      <c r="AA544" s="522"/>
      <c r="AB544" s="200"/>
      <c r="AC544" s="223"/>
      <c r="AD544" s="223"/>
      <c r="AE544" s="223"/>
      <c r="AF544" s="223"/>
      <c r="AG544" s="223"/>
      <c r="AH544" s="223"/>
      <c r="AI544" s="200"/>
      <c r="AJ544" s="200"/>
      <c r="AK544" s="522"/>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2"/>
      <c r="BF544" s="200"/>
      <c r="BG544" s="223"/>
      <c r="BH544" s="223"/>
      <c r="BI544" s="223"/>
      <c r="BJ544" s="223"/>
      <c r="BK544" s="223"/>
      <c r="BL544" s="223"/>
      <c r="BM544" s="200"/>
      <c r="BN544" s="200"/>
      <c r="BO544" s="522"/>
      <c r="BP544" s="200"/>
      <c r="BQ544" s="223"/>
      <c r="BR544" s="223"/>
      <c r="BS544" s="223"/>
      <c r="BT544" s="223"/>
      <c r="BU544" s="223"/>
      <c r="BV544" s="223"/>
      <c r="BW544" s="223"/>
      <c r="BX544" s="200"/>
      <c r="BY544" s="522"/>
      <c r="BZ544" s="200"/>
      <c r="CA544" s="223"/>
      <c r="CB544" s="223"/>
      <c r="CC544" s="223"/>
      <c r="CD544" s="223"/>
      <c r="CE544" s="223"/>
      <c r="CF544" s="223"/>
      <c r="CG544" s="200"/>
      <c r="CH544" s="200"/>
      <c r="CI544" s="522"/>
      <c r="CJ544" s="200"/>
      <c r="CK544" s="223"/>
      <c r="CL544" s="223"/>
      <c r="CM544" s="223"/>
      <c r="CN544" s="223"/>
      <c r="CO544" s="223"/>
      <c r="CP544" s="223"/>
      <c r="CQ544" s="200"/>
      <c r="CR544" s="200"/>
      <c r="CS544" s="522"/>
      <c r="CT544" s="200"/>
      <c r="CU544" s="223"/>
      <c r="CV544" s="223"/>
      <c r="CW544" s="223"/>
      <c r="CX544" s="223"/>
      <c r="CY544" s="223"/>
      <c r="CZ544" s="223"/>
      <c r="DA544" s="223"/>
      <c r="DB544" s="200"/>
      <c r="DC544" s="522"/>
      <c r="DD544" s="200"/>
      <c r="DE544" s="223"/>
      <c r="DF544" s="223"/>
      <c r="DG544" s="223"/>
      <c r="DH544" s="223"/>
      <c r="DI544" s="223"/>
      <c r="DJ544" s="223"/>
      <c r="DK544" s="200"/>
      <c r="DL544" s="200"/>
      <c r="DM544" s="522"/>
      <c r="DN544" s="200"/>
      <c r="DO544" s="223"/>
      <c r="DP544" s="223"/>
      <c r="DQ544" s="223"/>
      <c r="DR544" s="223"/>
      <c r="DS544" s="223"/>
      <c r="DT544" s="223"/>
      <c r="DU544" s="200"/>
      <c r="DV544" s="200"/>
      <c r="DW544" s="522"/>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2"/>
      <c r="R545" s="200"/>
      <c r="S545" s="223"/>
      <c r="T545" s="223"/>
      <c r="U545" s="223"/>
      <c r="V545" s="223"/>
      <c r="W545" s="223"/>
      <c r="X545" s="223"/>
      <c r="Y545" s="200"/>
      <c r="Z545" s="200"/>
      <c r="AA545" s="522"/>
      <c r="AB545" s="200"/>
      <c r="AC545" s="223"/>
      <c r="AD545" s="223"/>
      <c r="AE545" s="223"/>
      <c r="AF545" s="223"/>
      <c r="AG545" s="223"/>
      <c r="AH545" s="223"/>
      <c r="AI545" s="200"/>
      <c r="AJ545" s="200"/>
      <c r="AK545" s="522"/>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2"/>
      <c r="BF545" s="200"/>
      <c r="BG545" s="223"/>
      <c r="BH545" s="223"/>
      <c r="BI545" s="223"/>
      <c r="BJ545" s="223"/>
      <c r="BK545" s="223"/>
      <c r="BL545" s="223"/>
      <c r="BM545" s="200"/>
      <c r="BN545" s="200"/>
      <c r="BO545" s="522"/>
      <c r="BP545" s="200"/>
      <c r="BQ545" s="223"/>
      <c r="BR545" s="223"/>
      <c r="BS545" s="223"/>
      <c r="BT545" s="223"/>
      <c r="BU545" s="223"/>
      <c r="BV545" s="223"/>
      <c r="BW545" s="223"/>
      <c r="BX545" s="200"/>
      <c r="BY545" s="522"/>
      <c r="BZ545" s="200"/>
      <c r="CA545" s="223"/>
      <c r="CB545" s="223"/>
      <c r="CC545" s="223"/>
      <c r="CD545" s="223"/>
      <c r="CE545" s="223"/>
      <c r="CF545" s="223"/>
      <c r="CG545" s="200"/>
      <c r="CH545" s="200"/>
      <c r="CI545" s="522"/>
      <c r="CJ545" s="200"/>
      <c r="CK545" s="223"/>
      <c r="CL545" s="223"/>
      <c r="CM545" s="223"/>
      <c r="CN545" s="223"/>
      <c r="CO545" s="223"/>
      <c r="CP545" s="223"/>
      <c r="CQ545" s="200"/>
      <c r="CR545" s="200"/>
      <c r="CS545" s="522"/>
      <c r="CT545" s="200"/>
      <c r="CU545" s="223"/>
      <c r="CV545" s="223"/>
      <c r="CW545" s="223"/>
      <c r="CX545" s="223"/>
      <c r="CY545" s="223"/>
      <c r="CZ545" s="223"/>
      <c r="DA545" s="223"/>
      <c r="DB545" s="200"/>
      <c r="DC545" s="522"/>
      <c r="DD545" s="200"/>
      <c r="DE545" s="223"/>
      <c r="DF545" s="223"/>
      <c r="DG545" s="223"/>
      <c r="DH545" s="223"/>
      <c r="DI545" s="223"/>
      <c r="DJ545" s="223"/>
      <c r="DK545" s="200"/>
      <c r="DL545" s="200"/>
      <c r="DM545" s="522"/>
      <c r="DN545" s="200"/>
      <c r="DO545" s="223"/>
      <c r="DP545" s="223"/>
      <c r="DQ545" s="223"/>
      <c r="DR545" s="223"/>
      <c r="DS545" s="223"/>
      <c r="DT545" s="223"/>
      <c r="DU545" s="200"/>
      <c r="DV545" s="200"/>
      <c r="DW545" s="522"/>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2"/>
      <c r="R546" s="200"/>
      <c r="S546" s="223"/>
      <c r="T546" s="223"/>
      <c r="U546" s="223"/>
      <c r="V546" s="223"/>
      <c r="W546" s="223"/>
      <c r="X546" s="223"/>
      <c r="Y546" s="200"/>
      <c r="Z546" s="200"/>
      <c r="AA546" s="522"/>
      <c r="AB546" s="200"/>
      <c r="AC546" s="223"/>
      <c r="AD546" s="223"/>
      <c r="AE546" s="223"/>
      <c r="AF546" s="223"/>
      <c r="AG546" s="223"/>
      <c r="AH546" s="223"/>
      <c r="AI546" s="200"/>
      <c r="AJ546" s="200"/>
      <c r="AK546" s="522"/>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2"/>
      <c r="BF546" s="200"/>
      <c r="BG546" s="223"/>
      <c r="BH546" s="223"/>
      <c r="BI546" s="223"/>
      <c r="BJ546" s="223"/>
      <c r="BK546" s="223"/>
      <c r="BL546" s="223"/>
      <c r="BM546" s="200"/>
      <c r="BN546" s="200"/>
      <c r="BO546" s="522"/>
      <c r="BP546" s="200"/>
      <c r="BQ546" s="223"/>
      <c r="BR546" s="223"/>
      <c r="BS546" s="223"/>
      <c r="BT546" s="223"/>
      <c r="BU546" s="223"/>
      <c r="BV546" s="223"/>
      <c r="BW546" s="223"/>
      <c r="BX546" s="200"/>
      <c r="BY546" s="522"/>
      <c r="BZ546" s="200"/>
      <c r="CA546" s="223"/>
      <c r="CB546" s="223"/>
      <c r="CC546" s="223"/>
      <c r="CD546" s="223"/>
      <c r="CE546" s="223"/>
      <c r="CF546" s="223"/>
      <c r="CG546" s="200"/>
      <c r="CH546" s="200"/>
      <c r="CI546" s="522"/>
      <c r="CJ546" s="200"/>
      <c r="CK546" s="223"/>
      <c r="CL546" s="223"/>
      <c r="CM546" s="223"/>
      <c r="CN546" s="223"/>
      <c r="CO546" s="223"/>
      <c r="CP546" s="223"/>
      <c r="CQ546" s="200"/>
      <c r="CR546" s="200"/>
      <c r="CS546" s="522"/>
      <c r="CT546" s="200"/>
      <c r="CU546" s="223"/>
      <c r="CV546" s="223"/>
      <c r="CW546" s="223"/>
      <c r="CX546" s="223"/>
      <c r="CY546" s="223"/>
      <c r="CZ546" s="223"/>
      <c r="DA546" s="223"/>
      <c r="DB546" s="200"/>
      <c r="DC546" s="522"/>
      <c r="DD546" s="200"/>
      <c r="DE546" s="223"/>
      <c r="DF546" s="223"/>
      <c r="DG546" s="223"/>
      <c r="DH546" s="223"/>
      <c r="DI546" s="223"/>
      <c r="DJ546" s="223"/>
      <c r="DK546" s="200"/>
      <c r="DL546" s="200"/>
      <c r="DM546" s="522"/>
      <c r="DN546" s="200"/>
      <c r="DO546" s="223"/>
      <c r="DP546" s="223"/>
      <c r="DQ546" s="223"/>
      <c r="DR546" s="223"/>
      <c r="DS546" s="223"/>
      <c r="DT546" s="223"/>
      <c r="DU546" s="200"/>
      <c r="DV546" s="200"/>
      <c r="DW546" s="522"/>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2"/>
      <c r="R547" s="200"/>
      <c r="S547" s="223"/>
      <c r="T547" s="223"/>
      <c r="U547" s="223"/>
      <c r="V547" s="223"/>
      <c r="W547" s="223"/>
      <c r="X547" s="223"/>
      <c r="Y547" s="200"/>
      <c r="Z547" s="200"/>
      <c r="AA547" s="522"/>
      <c r="AB547" s="200"/>
      <c r="AC547" s="223"/>
      <c r="AD547" s="223"/>
      <c r="AE547" s="223"/>
      <c r="AF547" s="223"/>
      <c r="AG547" s="223"/>
      <c r="AH547" s="223"/>
      <c r="AI547" s="200"/>
      <c r="AJ547" s="200"/>
      <c r="AK547" s="522"/>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2"/>
      <c r="BF547" s="200"/>
      <c r="BG547" s="223"/>
      <c r="BH547" s="223"/>
      <c r="BI547" s="223"/>
      <c r="BJ547" s="223"/>
      <c r="BK547" s="223"/>
      <c r="BL547" s="223"/>
      <c r="BM547" s="200"/>
      <c r="BN547" s="200"/>
      <c r="BO547" s="522"/>
      <c r="BP547" s="200"/>
      <c r="BQ547" s="223"/>
      <c r="BR547" s="223"/>
      <c r="BS547" s="223"/>
      <c r="BT547" s="223"/>
      <c r="BU547" s="223"/>
      <c r="BV547" s="223"/>
      <c r="BW547" s="223"/>
      <c r="BX547" s="200"/>
      <c r="BY547" s="522"/>
      <c r="BZ547" s="200"/>
      <c r="CA547" s="223"/>
      <c r="CB547" s="223"/>
      <c r="CC547" s="223"/>
      <c r="CD547" s="223"/>
      <c r="CE547" s="223"/>
      <c r="CF547" s="223"/>
      <c r="CG547" s="200"/>
      <c r="CH547" s="200"/>
      <c r="CI547" s="522"/>
      <c r="CJ547" s="200"/>
      <c r="CK547" s="223"/>
      <c r="CL547" s="223"/>
      <c r="CM547" s="223"/>
      <c r="CN547" s="223"/>
      <c r="CO547" s="223"/>
      <c r="CP547" s="223"/>
      <c r="CQ547" s="200"/>
      <c r="CR547" s="200"/>
      <c r="CS547" s="522"/>
      <c r="CT547" s="200"/>
      <c r="CU547" s="223"/>
      <c r="CV547" s="223"/>
      <c r="CW547" s="223"/>
      <c r="CX547" s="223"/>
      <c r="CY547" s="223"/>
      <c r="CZ547" s="223"/>
      <c r="DA547" s="223"/>
      <c r="DB547" s="200"/>
      <c r="DC547" s="522"/>
      <c r="DD547" s="200"/>
      <c r="DE547" s="223"/>
      <c r="DF547" s="223"/>
      <c r="DG547" s="223"/>
      <c r="DH547" s="223"/>
      <c r="DI547" s="223"/>
      <c r="DJ547" s="223"/>
      <c r="DK547" s="200"/>
      <c r="DL547" s="200"/>
      <c r="DM547" s="522"/>
      <c r="DN547" s="200"/>
      <c r="DO547" s="223"/>
      <c r="DP547" s="223"/>
      <c r="DQ547" s="223"/>
      <c r="DR547" s="223"/>
      <c r="DS547" s="223"/>
      <c r="DT547" s="223"/>
      <c r="DU547" s="200"/>
      <c r="DV547" s="200"/>
      <c r="DW547" s="522"/>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2"/>
      <c r="R548" s="200"/>
      <c r="S548" s="223"/>
      <c r="T548" s="223"/>
      <c r="U548" s="223"/>
      <c r="V548" s="223"/>
      <c r="W548" s="223"/>
      <c r="X548" s="223"/>
      <c r="Y548" s="200"/>
      <c r="Z548" s="200"/>
      <c r="AA548" s="522"/>
      <c r="AB548" s="200"/>
      <c r="AC548" s="223"/>
      <c r="AD548" s="223"/>
      <c r="AE548" s="223"/>
      <c r="AF548" s="223"/>
      <c r="AG548" s="223"/>
      <c r="AH548" s="223"/>
      <c r="AI548" s="200"/>
      <c r="AJ548" s="200"/>
      <c r="AK548" s="522"/>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2"/>
      <c r="BF548" s="200"/>
      <c r="BG548" s="223"/>
      <c r="BH548" s="223"/>
      <c r="BI548" s="223"/>
      <c r="BJ548" s="223"/>
      <c r="BK548" s="223"/>
      <c r="BL548" s="223"/>
      <c r="BM548" s="200"/>
      <c r="BN548" s="200"/>
      <c r="BO548" s="522"/>
      <c r="BP548" s="200"/>
      <c r="BQ548" s="223"/>
      <c r="BR548" s="223"/>
      <c r="BS548" s="223"/>
      <c r="BT548" s="223"/>
      <c r="BU548" s="223"/>
      <c r="BV548" s="223"/>
      <c r="BW548" s="223"/>
      <c r="BX548" s="200"/>
      <c r="BY548" s="522"/>
      <c r="BZ548" s="200"/>
      <c r="CA548" s="223"/>
      <c r="CB548" s="223"/>
      <c r="CC548" s="223"/>
      <c r="CD548" s="223"/>
      <c r="CE548" s="223"/>
      <c r="CF548" s="223"/>
      <c r="CG548" s="200"/>
      <c r="CH548" s="200"/>
      <c r="CI548" s="522"/>
      <c r="CJ548" s="200"/>
      <c r="CK548" s="223"/>
      <c r="CL548" s="223"/>
      <c r="CM548" s="223"/>
      <c r="CN548" s="223"/>
      <c r="CO548" s="223"/>
      <c r="CP548" s="223"/>
      <c r="CQ548" s="200"/>
      <c r="CR548" s="200"/>
      <c r="CS548" s="522"/>
      <c r="CT548" s="200"/>
      <c r="CU548" s="223"/>
      <c r="CV548" s="223"/>
      <c r="CW548" s="223"/>
      <c r="CX548" s="223"/>
      <c r="CY548" s="223"/>
      <c r="CZ548" s="223"/>
      <c r="DA548" s="223"/>
      <c r="DB548" s="200"/>
      <c r="DC548" s="522"/>
      <c r="DD548" s="200"/>
      <c r="DE548" s="223"/>
      <c r="DF548" s="223"/>
      <c r="DG548" s="223"/>
      <c r="DH548" s="223"/>
      <c r="DI548" s="223"/>
      <c r="DJ548" s="223"/>
      <c r="DK548" s="200"/>
      <c r="DL548" s="200"/>
      <c r="DM548" s="522"/>
      <c r="DN548" s="200"/>
      <c r="DO548" s="223"/>
      <c r="DP548" s="223"/>
      <c r="DQ548" s="223"/>
      <c r="DR548" s="223"/>
      <c r="DS548" s="223"/>
      <c r="DT548" s="223"/>
      <c r="DU548" s="200"/>
      <c r="DV548" s="200"/>
      <c r="DW548" s="522"/>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2"/>
      <c r="R549" s="200"/>
      <c r="S549" s="223"/>
      <c r="T549" s="223"/>
      <c r="U549" s="223"/>
      <c r="V549" s="223"/>
      <c r="W549" s="223"/>
      <c r="X549" s="223"/>
      <c r="Y549" s="200"/>
      <c r="Z549" s="200"/>
      <c r="AA549" s="522"/>
      <c r="AB549" s="200"/>
      <c r="AC549" s="223"/>
      <c r="AD549" s="223"/>
      <c r="AE549" s="223"/>
      <c r="AF549" s="223"/>
      <c r="AG549" s="223"/>
      <c r="AH549" s="223"/>
      <c r="AI549" s="200"/>
      <c r="AJ549" s="200"/>
      <c r="AK549" s="522"/>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2"/>
      <c r="BF549" s="200"/>
      <c r="BG549" s="223"/>
      <c r="BH549" s="223"/>
      <c r="BI549" s="223"/>
      <c r="BJ549" s="223"/>
      <c r="BK549" s="223"/>
      <c r="BL549" s="223"/>
      <c r="BM549" s="200"/>
      <c r="BN549" s="200"/>
      <c r="BO549" s="522"/>
      <c r="BP549" s="200"/>
      <c r="BQ549" s="223"/>
      <c r="BR549" s="223"/>
      <c r="BS549" s="223"/>
      <c r="BT549" s="223"/>
      <c r="BU549" s="223"/>
      <c r="BV549" s="223"/>
      <c r="BW549" s="223"/>
      <c r="BX549" s="200"/>
      <c r="BY549" s="522"/>
      <c r="BZ549" s="200"/>
      <c r="CA549" s="223"/>
      <c r="CB549" s="223"/>
      <c r="CC549" s="223"/>
      <c r="CD549" s="223"/>
      <c r="CE549" s="223"/>
      <c r="CF549" s="223"/>
      <c r="CG549" s="200"/>
      <c r="CH549" s="200"/>
      <c r="CI549" s="522"/>
      <c r="CJ549" s="200"/>
      <c r="CK549" s="223"/>
      <c r="CL549" s="223"/>
      <c r="CM549" s="223"/>
      <c r="CN549" s="223"/>
      <c r="CO549" s="223"/>
      <c r="CP549" s="223"/>
      <c r="CQ549" s="200"/>
      <c r="CR549" s="200"/>
      <c r="CS549" s="522"/>
      <c r="CT549" s="200"/>
      <c r="CU549" s="223"/>
      <c r="CV549" s="223"/>
      <c r="CW549" s="223"/>
      <c r="CX549" s="223"/>
      <c r="CY549" s="223"/>
      <c r="CZ549" s="223"/>
      <c r="DA549" s="223"/>
      <c r="DB549" s="200"/>
      <c r="DC549" s="522"/>
      <c r="DD549" s="200"/>
      <c r="DE549" s="223"/>
      <c r="DF549" s="223"/>
      <c r="DG549" s="223"/>
      <c r="DH549" s="223"/>
      <c r="DI549" s="223"/>
      <c r="DJ549" s="223"/>
      <c r="DK549" s="200"/>
      <c r="DL549" s="200"/>
      <c r="DM549" s="522"/>
      <c r="DN549" s="200"/>
      <c r="DO549" s="223"/>
      <c r="DP549" s="223"/>
      <c r="DQ549" s="223"/>
      <c r="DR549" s="223"/>
      <c r="DS549" s="223"/>
      <c r="DT549" s="223"/>
      <c r="DU549" s="200"/>
      <c r="DV549" s="200"/>
      <c r="DW549" s="522"/>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2"/>
      <c r="R550" s="200"/>
      <c r="S550" s="223"/>
      <c r="T550" s="223"/>
      <c r="U550" s="223"/>
      <c r="V550" s="223"/>
      <c r="W550" s="223"/>
      <c r="X550" s="223"/>
      <c r="Y550" s="200"/>
      <c r="Z550" s="200"/>
      <c r="AA550" s="522"/>
      <c r="AB550" s="200"/>
      <c r="AC550" s="223"/>
      <c r="AD550" s="223"/>
      <c r="AE550" s="223"/>
      <c r="AF550" s="223"/>
      <c r="AG550" s="223"/>
      <c r="AH550" s="223"/>
      <c r="AI550" s="200"/>
      <c r="AJ550" s="200"/>
      <c r="AK550" s="522"/>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2"/>
      <c r="BF550" s="200"/>
      <c r="BG550" s="223"/>
      <c r="BH550" s="223"/>
      <c r="BI550" s="223"/>
      <c r="BJ550" s="223"/>
      <c r="BK550" s="223"/>
      <c r="BL550" s="223"/>
      <c r="BM550" s="200"/>
      <c r="BN550" s="200"/>
      <c r="BO550" s="522"/>
      <c r="BP550" s="200"/>
      <c r="BQ550" s="223"/>
      <c r="BR550" s="223"/>
      <c r="BS550" s="223"/>
      <c r="BT550" s="223"/>
      <c r="BU550" s="223"/>
      <c r="BV550" s="223"/>
      <c r="BW550" s="223"/>
      <c r="BX550" s="200"/>
      <c r="BY550" s="522"/>
      <c r="BZ550" s="200"/>
      <c r="CA550" s="223"/>
      <c r="CB550" s="223"/>
      <c r="CC550" s="223"/>
      <c r="CD550" s="223"/>
      <c r="CE550" s="223"/>
      <c r="CF550" s="223"/>
      <c r="CG550" s="200"/>
      <c r="CH550" s="200"/>
      <c r="CI550" s="522"/>
      <c r="CJ550" s="200"/>
      <c r="CK550" s="223"/>
      <c r="CL550" s="223"/>
      <c r="CM550" s="223"/>
      <c r="CN550" s="223"/>
      <c r="CO550" s="223"/>
      <c r="CP550" s="223"/>
      <c r="CQ550" s="200"/>
      <c r="CR550" s="200"/>
      <c r="CS550" s="522"/>
      <c r="CT550" s="200"/>
      <c r="CU550" s="223"/>
      <c r="CV550" s="223"/>
      <c r="CW550" s="223"/>
      <c r="CX550" s="223"/>
      <c r="CY550" s="223"/>
      <c r="CZ550" s="223"/>
      <c r="DA550" s="223"/>
      <c r="DB550" s="200"/>
      <c r="DC550" s="522"/>
      <c r="DD550" s="200"/>
      <c r="DE550" s="223"/>
      <c r="DF550" s="223"/>
      <c r="DG550" s="223"/>
      <c r="DH550" s="223"/>
      <c r="DI550" s="223"/>
      <c r="DJ550" s="223"/>
      <c r="DK550" s="200"/>
      <c r="DL550" s="200"/>
      <c r="DM550" s="522"/>
      <c r="DN550" s="200"/>
      <c r="DO550" s="223"/>
      <c r="DP550" s="223"/>
      <c r="DQ550" s="223"/>
      <c r="DR550" s="223"/>
      <c r="DS550" s="223"/>
      <c r="DT550" s="223"/>
      <c r="DU550" s="200"/>
      <c r="DV550" s="200"/>
      <c r="DW550" s="522"/>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2"/>
      <c r="R551" s="200"/>
      <c r="S551" s="223"/>
      <c r="T551" s="223"/>
      <c r="U551" s="223"/>
      <c r="V551" s="223"/>
      <c r="W551" s="223"/>
      <c r="X551" s="223"/>
      <c r="Y551" s="200"/>
      <c r="Z551" s="200"/>
      <c r="AA551" s="522"/>
      <c r="AB551" s="200"/>
      <c r="AC551" s="223"/>
      <c r="AD551" s="223"/>
      <c r="AE551" s="223"/>
      <c r="AF551" s="223"/>
      <c r="AG551" s="223"/>
      <c r="AH551" s="223"/>
      <c r="AI551" s="200"/>
      <c r="AJ551" s="200"/>
      <c r="AK551" s="522"/>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2"/>
      <c r="BF551" s="200"/>
      <c r="BG551" s="223"/>
      <c r="BH551" s="223"/>
      <c r="BI551" s="223"/>
      <c r="BJ551" s="223"/>
      <c r="BK551" s="223"/>
      <c r="BL551" s="223"/>
      <c r="BM551" s="200"/>
      <c r="BN551" s="200"/>
      <c r="BO551" s="522"/>
      <c r="BP551" s="200"/>
      <c r="BQ551" s="223"/>
      <c r="BR551" s="223"/>
      <c r="BS551" s="223"/>
      <c r="BT551" s="223"/>
      <c r="BU551" s="223"/>
      <c r="BV551" s="223"/>
      <c r="BW551" s="223"/>
      <c r="BX551" s="200"/>
      <c r="BY551" s="522"/>
      <c r="BZ551" s="200"/>
      <c r="CA551" s="223"/>
      <c r="CB551" s="223"/>
      <c r="CC551" s="223"/>
      <c r="CD551" s="223"/>
      <c r="CE551" s="223"/>
      <c r="CF551" s="223"/>
      <c r="CG551" s="200"/>
      <c r="CH551" s="200"/>
      <c r="CI551" s="522"/>
      <c r="CJ551" s="200"/>
      <c r="CK551" s="223"/>
      <c r="CL551" s="223"/>
      <c r="CM551" s="223"/>
      <c r="CN551" s="223"/>
      <c r="CO551" s="223"/>
      <c r="CP551" s="223"/>
      <c r="CQ551" s="200"/>
      <c r="CR551" s="200"/>
      <c r="CS551" s="522"/>
      <c r="CT551" s="200"/>
      <c r="CU551" s="223"/>
      <c r="CV551" s="223"/>
      <c r="CW551" s="223"/>
      <c r="CX551" s="223"/>
      <c r="CY551" s="223"/>
      <c r="CZ551" s="223"/>
      <c r="DA551" s="223"/>
      <c r="DB551" s="200"/>
      <c r="DC551" s="522"/>
      <c r="DD551" s="200"/>
      <c r="DE551" s="223"/>
      <c r="DF551" s="223"/>
      <c r="DG551" s="223"/>
      <c r="DH551" s="223"/>
      <c r="DI551" s="223"/>
      <c r="DJ551" s="223"/>
      <c r="DK551" s="200"/>
      <c r="DL551" s="200"/>
      <c r="DM551" s="522"/>
      <c r="DN551" s="200"/>
      <c r="DO551" s="223"/>
      <c r="DP551" s="223"/>
      <c r="DQ551" s="223"/>
      <c r="DR551" s="223"/>
      <c r="DS551" s="223"/>
      <c r="DT551" s="223"/>
      <c r="DU551" s="200"/>
      <c r="DV551" s="200"/>
      <c r="DW551" s="522"/>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2"/>
      <c r="R552" s="200"/>
      <c r="S552" s="223"/>
      <c r="T552" s="223"/>
      <c r="U552" s="223"/>
      <c r="V552" s="223"/>
      <c r="W552" s="223"/>
      <c r="X552" s="223"/>
      <c r="Y552" s="200"/>
      <c r="Z552" s="200"/>
      <c r="AA552" s="522"/>
      <c r="AB552" s="200"/>
      <c r="AC552" s="223"/>
      <c r="AD552" s="223"/>
      <c r="AE552" s="223"/>
      <c r="AF552" s="223"/>
      <c r="AG552" s="223"/>
      <c r="AH552" s="223"/>
      <c r="AI552" s="200"/>
      <c r="AJ552" s="200"/>
      <c r="AK552" s="522"/>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2"/>
      <c r="BF552" s="200"/>
      <c r="BG552" s="223"/>
      <c r="BH552" s="223"/>
      <c r="BI552" s="223"/>
      <c r="BJ552" s="223"/>
      <c r="BK552" s="223"/>
      <c r="BL552" s="223"/>
      <c r="BM552" s="200"/>
      <c r="BN552" s="200"/>
      <c r="BO552" s="522"/>
      <c r="BP552" s="200"/>
      <c r="BQ552" s="223"/>
      <c r="BR552" s="223"/>
      <c r="BS552" s="223"/>
      <c r="BT552" s="223"/>
      <c r="BU552" s="223"/>
      <c r="BV552" s="223"/>
      <c r="BW552" s="223"/>
      <c r="BX552" s="200"/>
      <c r="BY552" s="522"/>
      <c r="BZ552" s="200"/>
      <c r="CA552" s="223"/>
      <c r="CB552" s="223"/>
      <c r="CC552" s="223"/>
      <c r="CD552" s="223"/>
      <c r="CE552" s="223"/>
      <c r="CF552" s="223"/>
      <c r="CG552" s="200"/>
      <c r="CH552" s="200"/>
      <c r="CI552" s="522"/>
      <c r="CJ552" s="200"/>
      <c r="CK552" s="223"/>
      <c r="CL552" s="223"/>
      <c r="CM552" s="223"/>
      <c r="CN552" s="223"/>
      <c r="CO552" s="223"/>
      <c r="CP552" s="223"/>
      <c r="CQ552" s="200"/>
      <c r="CR552" s="200"/>
      <c r="CS552" s="522"/>
      <c r="CT552" s="200"/>
      <c r="CU552" s="223"/>
      <c r="CV552" s="223"/>
      <c r="CW552" s="223"/>
      <c r="CX552" s="223"/>
      <c r="CY552" s="223"/>
      <c r="CZ552" s="223"/>
      <c r="DA552" s="223"/>
      <c r="DB552" s="200"/>
      <c r="DC552" s="522"/>
      <c r="DD552" s="200"/>
      <c r="DE552" s="223"/>
      <c r="DF552" s="223"/>
      <c r="DG552" s="223"/>
      <c r="DH552" s="223"/>
      <c r="DI552" s="223"/>
      <c r="DJ552" s="223"/>
      <c r="DK552" s="200"/>
      <c r="DL552" s="200"/>
      <c r="DM552" s="522"/>
      <c r="DN552" s="200"/>
      <c r="DO552" s="223"/>
      <c r="DP552" s="223"/>
      <c r="DQ552" s="223"/>
      <c r="DR552" s="223"/>
      <c r="DS552" s="223"/>
      <c r="DT552" s="223"/>
      <c r="DU552" s="200"/>
      <c r="DV552" s="200"/>
      <c r="DW552" s="522"/>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2"/>
      <c r="R553" s="200"/>
      <c r="S553" s="223"/>
      <c r="T553" s="223"/>
      <c r="U553" s="223"/>
      <c r="V553" s="223"/>
      <c r="W553" s="223"/>
      <c r="X553" s="223"/>
      <c r="Y553" s="200"/>
      <c r="Z553" s="200"/>
      <c r="AA553" s="522"/>
      <c r="AB553" s="200"/>
      <c r="AC553" s="223"/>
      <c r="AD553" s="223"/>
      <c r="AE553" s="223"/>
      <c r="AF553" s="223"/>
      <c r="AG553" s="223"/>
      <c r="AH553" s="223"/>
      <c r="AI553" s="200"/>
      <c r="AJ553" s="200"/>
      <c r="AK553" s="522"/>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2"/>
      <c r="BF553" s="200"/>
      <c r="BG553" s="223"/>
      <c r="BH553" s="223"/>
      <c r="BI553" s="223"/>
      <c r="BJ553" s="223"/>
      <c r="BK553" s="223"/>
      <c r="BL553" s="223"/>
      <c r="BM553" s="200"/>
      <c r="BN553" s="200"/>
      <c r="BO553" s="522"/>
      <c r="BP553" s="200"/>
      <c r="BQ553" s="223"/>
      <c r="BR553" s="223"/>
      <c r="BS553" s="223"/>
      <c r="BT553" s="223"/>
      <c r="BU553" s="223"/>
      <c r="BV553" s="223"/>
      <c r="BW553" s="223"/>
      <c r="BX553" s="200"/>
      <c r="BY553" s="522"/>
      <c r="BZ553" s="200"/>
      <c r="CA553" s="223"/>
      <c r="CB553" s="223"/>
      <c r="CC553" s="223"/>
      <c r="CD553" s="223"/>
      <c r="CE553" s="223"/>
      <c r="CF553" s="223"/>
      <c r="CG553" s="200"/>
      <c r="CH553" s="200"/>
      <c r="CI553" s="522"/>
      <c r="CJ553" s="200"/>
      <c r="CK553" s="223"/>
      <c r="CL553" s="223"/>
      <c r="CM553" s="223"/>
      <c r="CN553" s="223"/>
      <c r="CO553" s="223"/>
      <c r="CP553" s="223"/>
      <c r="CQ553" s="200"/>
      <c r="CR553" s="200"/>
      <c r="CS553" s="522"/>
      <c r="CT553" s="200"/>
      <c r="CU553" s="223"/>
      <c r="CV553" s="223"/>
      <c r="CW553" s="223"/>
      <c r="CX553" s="223"/>
      <c r="CY553" s="223"/>
      <c r="CZ553" s="223"/>
      <c r="DA553" s="223"/>
      <c r="DB553" s="200"/>
      <c r="DC553" s="522"/>
      <c r="DD553" s="200"/>
      <c r="DE553" s="223"/>
      <c r="DF553" s="223"/>
      <c r="DG553" s="223"/>
      <c r="DH553" s="223"/>
      <c r="DI553" s="223"/>
      <c r="DJ553" s="223"/>
      <c r="DK553" s="200"/>
      <c r="DL553" s="200"/>
      <c r="DM553" s="522"/>
      <c r="DN553" s="200"/>
      <c r="DO553" s="223"/>
      <c r="DP553" s="223"/>
      <c r="DQ553" s="223"/>
      <c r="DR553" s="223"/>
      <c r="DS553" s="223"/>
      <c r="DT553" s="223"/>
      <c r="DU553" s="200"/>
      <c r="DV553" s="200"/>
      <c r="DW553" s="522"/>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2"/>
      <c r="R554" s="200"/>
      <c r="S554" s="223"/>
      <c r="T554" s="223"/>
      <c r="U554" s="223"/>
      <c r="V554" s="223"/>
      <c r="W554" s="223"/>
      <c r="X554" s="223"/>
      <c r="Y554" s="200"/>
      <c r="Z554" s="200"/>
      <c r="AA554" s="522"/>
      <c r="AB554" s="200"/>
      <c r="AC554" s="223"/>
      <c r="AD554" s="223"/>
      <c r="AE554" s="223"/>
      <c r="AF554" s="223"/>
      <c r="AG554" s="223"/>
      <c r="AH554" s="223"/>
      <c r="AI554" s="200"/>
      <c r="AJ554" s="200"/>
      <c r="AK554" s="522"/>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2"/>
      <c r="BF554" s="200"/>
      <c r="BG554" s="223"/>
      <c r="BH554" s="223"/>
      <c r="BI554" s="223"/>
      <c r="BJ554" s="223"/>
      <c r="BK554" s="223"/>
      <c r="BL554" s="223"/>
      <c r="BM554" s="200"/>
      <c r="BN554" s="200"/>
      <c r="BO554" s="522"/>
      <c r="BP554" s="200"/>
      <c r="BQ554" s="223"/>
      <c r="BR554" s="223"/>
      <c r="BS554" s="223"/>
      <c r="BT554" s="223"/>
      <c r="BU554" s="223"/>
      <c r="BV554" s="223"/>
      <c r="BW554" s="223"/>
      <c r="BX554" s="200"/>
      <c r="BY554" s="522"/>
      <c r="BZ554" s="200"/>
      <c r="CA554" s="223"/>
      <c r="CB554" s="223"/>
      <c r="CC554" s="223"/>
      <c r="CD554" s="223"/>
      <c r="CE554" s="223"/>
      <c r="CF554" s="223"/>
      <c r="CG554" s="200"/>
      <c r="CH554" s="200"/>
      <c r="CI554" s="522"/>
      <c r="CJ554" s="200"/>
      <c r="CK554" s="223"/>
      <c r="CL554" s="223"/>
      <c r="CM554" s="223"/>
      <c r="CN554" s="223"/>
      <c r="CO554" s="223"/>
      <c r="CP554" s="223"/>
      <c r="CQ554" s="200"/>
      <c r="CR554" s="200"/>
      <c r="CS554" s="522"/>
      <c r="CT554" s="200"/>
      <c r="CU554" s="223"/>
      <c r="CV554" s="223"/>
      <c r="CW554" s="223"/>
      <c r="CX554" s="223"/>
      <c r="CY554" s="223"/>
      <c r="CZ554" s="223"/>
      <c r="DA554" s="223"/>
      <c r="DB554" s="200"/>
      <c r="DC554" s="522"/>
      <c r="DD554" s="200"/>
      <c r="DE554" s="223"/>
      <c r="DF554" s="223"/>
      <c r="DG554" s="223"/>
      <c r="DH554" s="223"/>
      <c r="DI554" s="223"/>
      <c r="DJ554" s="223"/>
      <c r="DK554" s="200"/>
      <c r="DL554" s="200"/>
      <c r="DM554" s="522"/>
      <c r="DN554" s="200"/>
      <c r="DO554" s="223"/>
      <c r="DP554" s="223"/>
      <c r="DQ554" s="223"/>
      <c r="DR554" s="223"/>
      <c r="DS554" s="223"/>
      <c r="DT554" s="223"/>
      <c r="DU554" s="200"/>
      <c r="DV554" s="200"/>
      <c r="DW554" s="522"/>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2"/>
      <c r="R555" s="200"/>
      <c r="S555" s="223"/>
      <c r="T555" s="223"/>
      <c r="U555" s="223"/>
      <c r="V555" s="223"/>
      <c r="W555" s="223"/>
      <c r="X555" s="223"/>
      <c r="Y555" s="200"/>
      <c r="Z555" s="200"/>
      <c r="AA555" s="522"/>
      <c r="AB555" s="200"/>
      <c r="AC555" s="223"/>
      <c r="AD555" s="223"/>
      <c r="AE555" s="223"/>
      <c r="AF555" s="223"/>
      <c r="AG555" s="223"/>
      <c r="AH555" s="223"/>
      <c r="AI555" s="200"/>
      <c r="AJ555" s="200"/>
      <c r="AK555" s="522"/>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2"/>
      <c r="BF555" s="200"/>
      <c r="BG555" s="223"/>
      <c r="BH555" s="223"/>
      <c r="BI555" s="223"/>
      <c r="BJ555" s="223"/>
      <c r="BK555" s="223"/>
      <c r="BL555" s="223"/>
      <c r="BM555" s="200"/>
      <c r="BN555" s="200"/>
      <c r="BO555" s="522"/>
      <c r="BP555" s="200"/>
      <c r="BQ555" s="223"/>
      <c r="BR555" s="223"/>
      <c r="BS555" s="223"/>
      <c r="BT555" s="223"/>
      <c r="BU555" s="223"/>
      <c r="BV555" s="223"/>
      <c r="BW555" s="223"/>
      <c r="BX555" s="200"/>
      <c r="BY555" s="522"/>
      <c r="BZ555" s="200"/>
      <c r="CA555" s="223"/>
      <c r="CB555" s="223"/>
      <c r="CC555" s="223"/>
      <c r="CD555" s="223"/>
      <c r="CE555" s="223"/>
      <c r="CF555" s="223"/>
      <c r="CG555" s="200"/>
      <c r="CH555" s="200"/>
      <c r="CI555" s="522"/>
      <c r="CJ555" s="200"/>
      <c r="CK555" s="223"/>
      <c r="CL555" s="223"/>
      <c r="CM555" s="223"/>
      <c r="CN555" s="223"/>
      <c r="CO555" s="223"/>
      <c r="CP555" s="223"/>
      <c r="CQ555" s="200"/>
      <c r="CR555" s="200"/>
      <c r="CS555" s="522"/>
      <c r="CT555" s="200"/>
      <c r="CU555" s="223"/>
      <c r="CV555" s="223"/>
      <c r="CW555" s="223"/>
      <c r="CX555" s="223"/>
      <c r="CY555" s="223"/>
      <c r="CZ555" s="223"/>
      <c r="DA555" s="223"/>
      <c r="DB555" s="200"/>
      <c r="DC555" s="522"/>
      <c r="DD555" s="200"/>
      <c r="DE555" s="223"/>
      <c r="DF555" s="223"/>
      <c r="DG555" s="223"/>
      <c r="DH555" s="223"/>
      <c r="DI555" s="223"/>
      <c r="DJ555" s="223"/>
      <c r="DK555" s="200"/>
      <c r="DL555" s="200"/>
      <c r="DM555" s="522"/>
      <c r="DN555" s="200"/>
      <c r="DO555" s="223"/>
      <c r="DP555" s="223"/>
      <c r="DQ555" s="223"/>
      <c r="DR555" s="223"/>
      <c r="DS555" s="223"/>
      <c r="DT555" s="223"/>
      <c r="DU555" s="200"/>
      <c r="DV555" s="200"/>
      <c r="DW555" s="522"/>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2"/>
      <c r="R556" s="200"/>
      <c r="S556" s="223"/>
      <c r="T556" s="223"/>
      <c r="U556" s="223"/>
      <c r="V556" s="223"/>
      <c r="W556" s="223"/>
      <c r="X556" s="223"/>
      <c r="Y556" s="200"/>
      <c r="Z556" s="200"/>
      <c r="AA556" s="522"/>
      <c r="AB556" s="200"/>
      <c r="AC556" s="223"/>
      <c r="AD556" s="223"/>
      <c r="AE556" s="223"/>
      <c r="AF556" s="223"/>
      <c r="AG556" s="223"/>
      <c r="AH556" s="223"/>
      <c r="AI556" s="200"/>
      <c r="AJ556" s="200"/>
      <c r="AK556" s="522"/>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2"/>
      <c r="BF556" s="200"/>
      <c r="BG556" s="223"/>
      <c r="BH556" s="223"/>
      <c r="BI556" s="223"/>
      <c r="BJ556" s="223"/>
      <c r="BK556" s="223"/>
      <c r="BL556" s="223"/>
      <c r="BM556" s="200"/>
      <c r="BN556" s="200"/>
      <c r="BO556" s="522"/>
      <c r="BP556" s="200"/>
      <c r="BQ556" s="223"/>
      <c r="BR556" s="223"/>
      <c r="BS556" s="223"/>
      <c r="BT556" s="223"/>
      <c r="BU556" s="223"/>
      <c r="BV556" s="223"/>
      <c r="BW556" s="223"/>
      <c r="BX556" s="200"/>
      <c r="BY556" s="522"/>
      <c r="BZ556" s="200"/>
      <c r="CA556" s="223"/>
      <c r="CB556" s="223"/>
      <c r="CC556" s="223"/>
      <c r="CD556" s="223"/>
      <c r="CE556" s="223"/>
      <c r="CF556" s="223"/>
      <c r="CG556" s="200"/>
      <c r="CH556" s="200"/>
      <c r="CI556" s="522"/>
      <c r="CJ556" s="200"/>
      <c r="CK556" s="223"/>
      <c r="CL556" s="223"/>
      <c r="CM556" s="223"/>
      <c r="CN556" s="223"/>
      <c r="CO556" s="223"/>
      <c r="CP556" s="223"/>
      <c r="CQ556" s="200"/>
      <c r="CR556" s="200"/>
      <c r="CS556" s="522"/>
      <c r="CT556" s="200"/>
      <c r="CU556" s="223"/>
      <c r="CV556" s="223"/>
      <c r="CW556" s="223"/>
      <c r="CX556" s="223"/>
      <c r="CY556" s="223"/>
      <c r="CZ556" s="223"/>
      <c r="DA556" s="223"/>
      <c r="DB556" s="200"/>
      <c r="DC556" s="522"/>
      <c r="DD556" s="200"/>
      <c r="DE556" s="223"/>
      <c r="DF556" s="223"/>
      <c r="DG556" s="223"/>
      <c r="DH556" s="223"/>
      <c r="DI556" s="223"/>
      <c r="DJ556" s="223"/>
      <c r="DK556" s="200"/>
      <c r="DL556" s="200"/>
      <c r="DM556" s="522"/>
      <c r="DN556" s="200"/>
      <c r="DO556" s="223"/>
      <c r="DP556" s="223"/>
      <c r="DQ556" s="223"/>
      <c r="DR556" s="223"/>
      <c r="DS556" s="223"/>
      <c r="DT556" s="223"/>
      <c r="DU556" s="200"/>
      <c r="DV556" s="200"/>
      <c r="DW556" s="522"/>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2"/>
      <c r="R557" s="200"/>
      <c r="S557" s="223"/>
      <c r="T557" s="223"/>
      <c r="U557" s="223"/>
      <c r="V557" s="223"/>
      <c r="W557" s="223"/>
      <c r="X557" s="223"/>
      <c r="Y557" s="200"/>
      <c r="Z557" s="200"/>
      <c r="AA557" s="522"/>
      <c r="AB557" s="200"/>
      <c r="AC557" s="223"/>
      <c r="AD557" s="223"/>
      <c r="AE557" s="223"/>
      <c r="AF557" s="223"/>
      <c r="AG557" s="223"/>
      <c r="AH557" s="223"/>
      <c r="AI557" s="200"/>
      <c r="AJ557" s="200"/>
      <c r="AK557" s="522"/>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2"/>
      <c r="BF557" s="200"/>
      <c r="BG557" s="223"/>
      <c r="BH557" s="223"/>
      <c r="BI557" s="223"/>
      <c r="BJ557" s="223"/>
      <c r="BK557" s="223"/>
      <c r="BL557" s="223"/>
      <c r="BM557" s="200"/>
      <c r="BN557" s="200"/>
      <c r="BO557" s="522"/>
      <c r="BP557" s="200"/>
      <c r="BQ557" s="223"/>
      <c r="BR557" s="223"/>
      <c r="BS557" s="223"/>
      <c r="BT557" s="223"/>
      <c r="BU557" s="223"/>
      <c r="BV557" s="223"/>
      <c r="BW557" s="223"/>
      <c r="BX557" s="200"/>
      <c r="BY557" s="522"/>
      <c r="BZ557" s="200"/>
      <c r="CA557" s="223"/>
      <c r="CB557" s="223"/>
      <c r="CC557" s="223"/>
      <c r="CD557" s="223"/>
      <c r="CE557" s="223"/>
      <c r="CF557" s="223"/>
      <c r="CG557" s="200"/>
      <c r="CH557" s="200"/>
      <c r="CI557" s="522"/>
      <c r="CJ557" s="200"/>
      <c r="CK557" s="223"/>
      <c r="CL557" s="223"/>
      <c r="CM557" s="223"/>
      <c r="CN557" s="223"/>
      <c r="CO557" s="223"/>
      <c r="CP557" s="223"/>
      <c r="CQ557" s="200"/>
      <c r="CR557" s="200"/>
      <c r="CS557" s="522"/>
      <c r="CT557" s="200"/>
      <c r="CU557" s="223"/>
      <c r="CV557" s="223"/>
      <c r="CW557" s="223"/>
      <c r="CX557" s="223"/>
      <c r="CY557" s="223"/>
      <c r="CZ557" s="223"/>
      <c r="DA557" s="223"/>
      <c r="DB557" s="200"/>
      <c r="DC557" s="522"/>
      <c r="DD557" s="200"/>
      <c r="DE557" s="223"/>
      <c r="DF557" s="223"/>
      <c r="DG557" s="223"/>
      <c r="DH557" s="223"/>
      <c r="DI557" s="223"/>
      <c r="DJ557" s="223"/>
      <c r="DK557" s="200"/>
      <c r="DL557" s="200"/>
      <c r="DM557" s="522"/>
      <c r="DN557" s="200"/>
      <c r="DO557" s="223"/>
      <c r="DP557" s="223"/>
      <c r="DQ557" s="223"/>
      <c r="DR557" s="223"/>
      <c r="DS557" s="223"/>
      <c r="DT557" s="223"/>
      <c r="DU557" s="200"/>
      <c r="DV557" s="200"/>
      <c r="DW557" s="522"/>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2"/>
      <c r="R558" s="200"/>
      <c r="S558" s="223"/>
      <c r="T558" s="223"/>
      <c r="U558" s="223"/>
      <c r="V558" s="223"/>
      <c r="W558" s="223"/>
      <c r="X558" s="223"/>
      <c r="Y558" s="200"/>
      <c r="Z558" s="200"/>
      <c r="AA558" s="522"/>
      <c r="AB558" s="200"/>
      <c r="AC558" s="223"/>
      <c r="AD558" s="223"/>
      <c r="AE558" s="223"/>
      <c r="AF558" s="223"/>
      <c r="AG558" s="223"/>
      <c r="AH558" s="223"/>
      <c r="AI558" s="200"/>
      <c r="AJ558" s="200"/>
      <c r="AK558" s="522"/>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2"/>
      <c r="BF558" s="200"/>
      <c r="BG558" s="223"/>
      <c r="BH558" s="223"/>
      <c r="BI558" s="223"/>
      <c r="BJ558" s="223"/>
      <c r="BK558" s="223"/>
      <c r="BL558" s="223"/>
      <c r="BM558" s="200"/>
      <c r="BN558" s="200"/>
      <c r="BO558" s="522"/>
      <c r="BP558" s="200"/>
      <c r="BQ558" s="223"/>
      <c r="BR558" s="223"/>
      <c r="BS558" s="223"/>
      <c r="BT558" s="223"/>
      <c r="BU558" s="223"/>
      <c r="BV558" s="223"/>
      <c r="BW558" s="223"/>
      <c r="BX558" s="200"/>
      <c r="BY558" s="522"/>
      <c r="BZ558" s="200"/>
      <c r="CA558" s="223"/>
      <c r="CB558" s="223"/>
      <c r="CC558" s="223"/>
      <c r="CD558" s="223"/>
      <c r="CE558" s="223"/>
      <c r="CF558" s="223"/>
      <c r="CG558" s="200"/>
      <c r="CH558" s="200"/>
      <c r="CI558" s="522"/>
      <c r="CJ558" s="200"/>
      <c r="CK558" s="223"/>
      <c r="CL558" s="223"/>
      <c r="CM558" s="223"/>
      <c r="CN558" s="223"/>
      <c r="CO558" s="223"/>
      <c r="CP558" s="223"/>
      <c r="CQ558" s="200"/>
      <c r="CR558" s="200"/>
      <c r="CS558" s="522"/>
      <c r="CT558" s="200"/>
      <c r="CU558" s="223"/>
      <c r="CV558" s="223"/>
      <c r="CW558" s="223"/>
      <c r="CX558" s="223"/>
      <c r="CY558" s="223"/>
      <c r="CZ558" s="223"/>
      <c r="DA558" s="223"/>
      <c r="DB558" s="200"/>
      <c r="DC558" s="522"/>
      <c r="DD558" s="200"/>
      <c r="DE558" s="223"/>
      <c r="DF558" s="223"/>
      <c r="DG558" s="223"/>
      <c r="DH558" s="223"/>
      <c r="DI558" s="223"/>
      <c r="DJ558" s="223"/>
      <c r="DK558" s="200"/>
      <c r="DL558" s="200"/>
      <c r="DM558" s="522"/>
      <c r="DN558" s="200"/>
      <c r="DO558" s="223"/>
      <c r="DP558" s="223"/>
      <c r="DQ558" s="223"/>
      <c r="DR558" s="223"/>
      <c r="DS558" s="223"/>
      <c r="DT558" s="223"/>
      <c r="DU558" s="200"/>
      <c r="DV558" s="200"/>
      <c r="DW558" s="522"/>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2"/>
      <c r="R559" s="200"/>
      <c r="S559" s="223"/>
      <c r="T559" s="223"/>
      <c r="U559" s="223"/>
      <c r="V559" s="223"/>
      <c r="W559" s="223"/>
      <c r="X559" s="223"/>
      <c r="Y559" s="200"/>
      <c r="Z559" s="200"/>
      <c r="AA559" s="522"/>
      <c r="AB559" s="200"/>
      <c r="AC559" s="223"/>
      <c r="AD559" s="223"/>
      <c r="AE559" s="223"/>
      <c r="AF559" s="223"/>
      <c r="AG559" s="223"/>
      <c r="AH559" s="223"/>
      <c r="AI559" s="200"/>
      <c r="AJ559" s="200"/>
      <c r="AK559" s="522"/>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2"/>
      <c r="BF559" s="200"/>
      <c r="BG559" s="223"/>
      <c r="BH559" s="223"/>
      <c r="BI559" s="223"/>
      <c r="BJ559" s="223"/>
      <c r="BK559" s="223"/>
      <c r="BL559" s="223"/>
      <c r="BM559" s="200"/>
      <c r="BN559" s="200"/>
      <c r="BO559" s="522"/>
      <c r="BP559" s="200"/>
      <c r="BQ559" s="223"/>
      <c r="BR559" s="223"/>
      <c r="BS559" s="223"/>
      <c r="BT559" s="223"/>
      <c r="BU559" s="223"/>
      <c r="BV559" s="223"/>
      <c r="BW559" s="223"/>
      <c r="BX559" s="200"/>
      <c r="BY559" s="522"/>
      <c r="BZ559" s="200"/>
      <c r="CA559" s="223"/>
      <c r="CB559" s="223"/>
      <c r="CC559" s="223"/>
      <c r="CD559" s="223"/>
      <c r="CE559" s="223"/>
      <c r="CF559" s="223"/>
      <c r="CG559" s="200"/>
      <c r="CH559" s="200"/>
      <c r="CI559" s="522"/>
      <c r="CJ559" s="200"/>
      <c r="CK559" s="223"/>
      <c r="CL559" s="223"/>
      <c r="CM559" s="223"/>
      <c r="CN559" s="223"/>
      <c r="CO559" s="223"/>
      <c r="CP559" s="223"/>
      <c r="CQ559" s="200"/>
      <c r="CR559" s="200"/>
      <c r="CS559" s="522"/>
      <c r="CT559" s="200"/>
      <c r="CU559" s="223"/>
      <c r="CV559" s="223"/>
      <c r="CW559" s="223"/>
      <c r="CX559" s="223"/>
      <c r="CY559" s="223"/>
      <c r="CZ559" s="223"/>
      <c r="DA559" s="223"/>
      <c r="DB559" s="200"/>
      <c r="DC559" s="522"/>
      <c r="DD559" s="200"/>
      <c r="DE559" s="223"/>
      <c r="DF559" s="223"/>
      <c r="DG559" s="223"/>
      <c r="DH559" s="223"/>
      <c r="DI559" s="223"/>
      <c r="DJ559" s="223"/>
      <c r="DK559" s="200"/>
      <c r="DL559" s="200"/>
      <c r="DM559" s="522"/>
      <c r="DN559" s="200"/>
      <c r="DO559" s="223"/>
      <c r="DP559" s="223"/>
      <c r="DQ559" s="223"/>
      <c r="DR559" s="223"/>
      <c r="DS559" s="223"/>
      <c r="DT559" s="223"/>
      <c r="DU559" s="200"/>
      <c r="DV559" s="200"/>
      <c r="DW559" s="522"/>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2"/>
      <c r="R560" s="200"/>
      <c r="S560" s="223"/>
      <c r="T560" s="223"/>
      <c r="U560" s="223"/>
      <c r="V560" s="223"/>
      <c r="W560" s="223"/>
      <c r="X560" s="223"/>
      <c r="Y560" s="200"/>
      <c r="Z560" s="200"/>
      <c r="AA560" s="522"/>
      <c r="AB560" s="200"/>
      <c r="AC560" s="223"/>
      <c r="AD560" s="223"/>
      <c r="AE560" s="223"/>
      <c r="AF560" s="223"/>
      <c r="AG560" s="223"/>
      <c r="AH560" s="223"/>
      <c r="AI560" s="200"/>
      <c r="AJ560" s="200"/>
      <c r="AK560" s="522"/>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2"/>
      <c r="BF560" s="200"/>
      <c r="BG560" s="223"/>
      <c r="BH560" s="223"/>
      <c r="BI560" s="223"/>
      <c r="BJ560" s="223"/>
      <c r="BK560" s="223"/>
      <c r="BL560" s="223"/>
      <c r="BM560" s="200"/>
      <c r="BN560" s="200"/>
      <c r="BO560" s="522"/>
      <c r="BP560" s="200"/>
      <c r="BQ560" s="223"/>
      <c r="BR560" s="223"/>
      <c r="BS560" s="223"/>
      <c r="BT560" s="223"/>
      <c r="BU560" s="223"/>
      <c r="BV560" s="223"/>
      <c r="BW560" s="223"/>
      <c r="BX560" s="200"/>
      <c r="BY560" s="522"/>
      <c r="BZ560" s="200"/>
      <c r="CA560" s="223"/>
      <c r="CB560" s="223"/>
      <c r="CC560" s="223"/>
      <c r="CD560" s="223"/>
      <c r="CE560" s="223"/>
      <c r="CF560" s="223"/>
      <c r="CG560" s="200"/>
      <c r="CH560" s="200"/>
      <c r="CI560" s="522"/>
      <c r="CJ560" s="200"/>
      <c r="CK560" s="223"/>
      <c r="CL560" s="223"/>
      <c r="CM560" s="223"/>
      <c r="CN560" s="223"/>
      <c r="CO560" s="223"/>
      <c r="CP560" s="223"/>
      <c r="CQ560" s="200"/>
      <c r="CR560" s="200"/>
      <c r="CS560" s="522"/>
      <c r="CT560" s="200"/>
      <c r="CU560" s="223"/>
      <c r="CV560" s="223"/>
      <c r="CW560" s="223"/>
      <c r="CX560" s="223"/>
      <c r="CY560" s="223"/>
      <c r="CZ560" s="223"/>
      <c r="DA560" s="223"/>
      <c r="DB560" s="200"/>
      <c r="DC560" s="522"/>
      <c r="DD560" s="200"/>
      <c r="DE560" s="223"/>
      <c r="DF560" s="223"/>
      <c r="DG560" s="223"/>
      <c r="DH560" s="223"/>
      <c r="DI560" s="223"/>
      <c r="DJ560" s="223"/>
      <c r="DK560" s="200"/>
      <c r="DL560" s="200"/>
      <c r="DM560" s="522"/>
      <c r="DN560" s="200"/>
      <c r="DO560" s="223"/>
      <c r="DP560" s="223"/>
      <c r="DQ560" s="223"/>
      <c r="DR560" s="223"/>
      <c r="DS560" s="223"/>
      <c r="DT560" s="223"/>
      <c r="DU560" s="200"/>
      <c r="DV560" s="200"/>
      <c r="DW560" s="522"/>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2"/>
      <c r="R561" s="200"/>
      <c r="S561" s="223"/>
      <c r="T561" s="223"/>
      <c r="U561" s="223"/>
      <c r="V561" s="223"/>
      <c r="W561" s="223"/>
      <c r="X561" s="223"/>
      <c r="Y561" s="200"/>
      <c r="Z561" s="200"/>
      <c r="AA561" s="522"/>
      <c r="AB561" s="200"/>
      <c r="AC561" s="223"/>
      <c r="AD561" s="223"/>
      <c r="AE561" s="223"/>
      <c r="AF561" s="223"/>
      <c r="AG561" s="223"/>
      <c r="AH561" s="223"/>
      <c r="AI561" s="200"/>
      <c r="AJ561" s="200"/>
      <c r="AK561" s="522"/>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2"/>
      <c r="BF561" s="200"/>
      <c r="BG561" s="223"/>
      <c r="BH561" s="223"/>
      <c r="BI561" s="223"/>
      <c r="BJ561" s="223"/>
      <c r="BK561" s="223"/>
      <c r="BL561" s="223"/>
      <c r="BM561" s="200"/>
      <c r="BN561" s="200"/>
      <c r="BO561" s="522"/>
      <c r="BP561" s="200"/>
      <c r="BQ561" s="223"/>
      <c r="BR561" s="223"/>
      <c r="BS561" s="223"/>
      <c r="BT561" s="223"/>
      <c r="BU561" s="223"/>
      <c r="BV561" s="223"/>
      <c r="BW561" s="223"/>
      <c r="BX561" s="200"/>
      <c r="BY561" s="522"/>
      <c r="BZ561" s="200"/>
      <c r="CA561" s="223"/>
      <c r="CB561" s="223"/>
      <c r="CC561" s="223"/>
      <c r="CD561" s="223"/>
      <c r="CE561" s="223"/>
      <c r="CF561" s="223"/>
      <c r="CG561" s="200"/>
      <c r="CH561" s="200"/>
      <c r="CI561" s="522"/>
      <c r="CJ561" s="200"/>
      <c r="CK561" s="223"/>
      <c r="CL561" s="223"/>
      <c r="CM561" s="223"/>
      <c r="CN561" s="223"/>
      <c r="CO561" s="223"/>
      <c r="CP561" s="223"/>
      <c r="CQ561" s="200"/>
      <c r="CR561" s="200"/>
      <c r="CS561" s="522"/>
      <c r="CT561" s="200"/>
      <c r="CU561" s="223"/>
      <c r="CV561" s="223"/>
      <c r="CW561" s="223"/>
      <c r="CX561" s="223"/>
      <c r="CY561" s="223"/>
      <c r="CZ561" s="223"/>
      <c r="DA561" s="223"/>
      <c r="DB561" s="200"/>
      <c r="DC561" s="522"/>
      <c r="DD561" s="200"/>
      <c r="DE561" s="223"/>
      <c r="DF561" s="223"/>
      <c r="DG561" s="223"/>
      <c r="DH561" s="223"/>
      <c r="DI561" s="223"/>
      <c r="DJ561" s="223"/>
      <c r="DK561" s="200"/>
      <c r="DL561" s="200"/>
      <c r="DM561" s="522"/>
      <c r="DN561" s="200"/>
      <c r="DO561" s="223"/>
      <c r="DP561" s="223"/>
      <c r="DQ561" s="223"/>
      <c r="DR561" s="223"/>
      <c r="DS561" s="223"/>
      <c r="DT561" s="223"/>
      <c r="DU561" s="200"/>
      <c r="DV561" s="200"/>
      <c r="DW561" s="522"/>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2"/>
      <c r="R562" s="200"/>
      <c r="S562" s="223"/>
      <c r="T562" s="223"/>
      <c r="U562" s="223"/>
      <c r="V562" s="223"/>
      <c r="W562" s="223"/>
      <c r="X562" s="223"/>
      <c r="Y562" s="200"/>
      <c r="Z562" s="200"/>
      <c r="AA562" s="522"/>
      <c r="AB562" s="200"/>
      <c r="AC562" s="223"/>
      <c r="AD562" s="223"/>
      <c r="AE562" s="223"/>
      <c r="AF562" s="223"/>
      <c r="AG562" s="223"/>
      <c r="AH562" s="223"/>
      <c r="AI562" s="200"/>
      <c r="AJ562" s="200"/>
      <c r="AK562" s="522"/>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2"/>
      <c r="BF562" s="200"/>
      <c r="BG562" s="223"/>
      <c r="BH562" s="223"/>
      <c r="BI562" s="223"/>
      <c r="BJ562" s="223"/>
      <c r="BK562" s="223"/>
      <c r="BL562" s="223"/>
      <c r="BM562" s="200"/>
      <c r="BN562" s="200"/>
      <c r="BO562" s="522"/>
      <c r="BP562" s="200"/>
      <c r="BQ562" s="223"/>
      <c r="BR562" s="223"/>
      <c r="BS562" s="223"/>
      <c r="BT562" s="223"/>
      <c r="BU562" s="223"/>
      <c r="BV562" s="223"/>
      <c r="BW562" s="223"/>
      <c r="BX562" s="200"/>
      <c r="BY562" s="522"/>
      <c r="BZ562" s="200"/>
      <c r="CA562" s="223"/>
      <c r="CB562" s="223"/>
      <c r="CC562" s="223"/>
      <c r="CD562" s="223"/>
      <c r="CE562" s="223"/>
      <c r="CF562" s="223"/>
      <c r="CG562" s="200"/>
      <c r="CH562" s="200"/>
      <c r="CI562" s="522"/>
      <c r="CJ562" s="200"/>
      <c r="CK562" s="223"/>
      <c r="CL562" s="223"/>
      <c r="CM562" s="223"/>
      <c r="CN562" s="223"/>
      <c r="CO562" s="223"/>
      <c r="CP562" s="223"/>
      <c r="CQ562" s="200"/>
      <c r="CR562" s="200"/>
      <c r="CS562" s="522"/>
      <c r="CT562" s="200"/>
      <c r="CU562" s="223"/>
      <c r="CV562" s="223"/>
      <c r="CW562" s="223"/>
      <c r="CX562" s="223"/>
      <c r="CY562" s="223"/>
      <c r="CZ562" s="223"/>
      <c r="DA562" s="223"/>
      <c r="DB562" s="200"/>
      <c r="DC562" s="522"/>
      <c r="DD562" s="200"/>
      <c r="DE562" s="223"/>
      <c r="DF562" s="223"/>
      <c r="DG562" s="223"/>
      <c r="DH562" s="223"/>
      <c r="DI562" s="223"/>
      <c r="DJ562" s="223"/>
      <c r="DK562" s="200"/>
      <c r="DL562" s="200"/>
      <c r="DM562" s="522"/>
      <c r="DN562" s="200"/>
      <c r="DO562" s="223"/>
      <c r="DP562" s="223"/>
      <c r="DQ562" s="223"/>
      <c r="DR562" s="223"/>
      <c r="DS562" s="223"/>
      <c r="DT562" s="223"/>
      <c r="DU562" s="200"/>
      <c r="DV562" s="200"/>
      <c r="DW562" s="522"/>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2"/>
      <c r="R563" s="200"/>
      <c r="S563" s="223"/>
      <c r="T563" s="223"/>
      <c r="U563" s="223"/>
      <c r="V563" s="223"/>
      <c r="W563" s="223"/>
      <c r="X563" s="223"/>
      <c r="Y563" s="200"/>
      <c r="Z563" s="200"/>
      <c r="AA563" s="522"/>
      <c r="AB563" s="200"/>
      <c r="AC563" s="223"/>
      <c r="AD563" s="223"/>
      <c r="AE563" s="223"/>
      <c r="AF563" s="223"/>
      <c r="AG563" s="223"/>
      <c r="AH563" s="223"/>
      <c r="AI563" s="200"/>
      <c r="AJ563" s="200"/>
      <c r="AK563" s="522"/>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2"/>
      <c r="BF563" s="200"/>
      <c r="BG563" s="223"/>
      <c r="BH563" s="223"/>
      <c r="BI563" s="223"/>
      <c r="BJ563" s="223"/>
      <c r="BK563" s="223"/>
      <c r="BL563" s="223"/>
      <c r="BM563" s="200"/>
      <c r="BN563" s="200"/>
      <c r="BO563" s="522"/>
      <c r="BP563" s="200"/>
      <c r="BQ563" s="223"/>
      <c r="BR563" s="223"/>
      <c r="BS563" s="223"/>
      <c r="BT563" s="223"/>
      <c r="BU563" s="223"/>
      <c r="BV563" s="223"/>
      <c r="BW563" s="223"/>
      <c r="BX563" s="200"/>
      <c r="BY563" s="522"/>
      <c r="BZ563" s="200"/>
      <c r="CA563" s="223"/>
      <c r="CB563" s="223"/>
      <c r="CC563" s="223"/>
      <c r="CD563" s="223"/>
      <c r="CE563" s="223"/>
      <c r="CF563" s="223"/>
      <c r="CG563" s="200"/>
      <c r="CH563" s="200"/>
      <c r="CI563" s="522"/>
      <c r="CJ563" s="200"/>
      <c r="CK563" s="223"/>
      <c r="CL563" s="223"/>
      <c r="CM563" s="223"/>
      <c r="CN563" s="223"/>
      <c r="CO563" s="223"/>
      <c r="CP563" s="223"/>
      <c r="CQ563" s="200"/>
      <c r="CR563" s="200"/>
      <c r="CS563" s="522"/>
      <c r="CT563" s="200"/>
      <c r="CU563" s="223"/>
      <c r="CV563" s="223"/>
      <c r="CW563" s="223"/>
      <c r="CX563" s="223"/>
      <c r="CY563" s="223"/>
      <c r="CZ563" s="223"/>
      <c r="DA563" s="223"/>
      <c r="DB563" s="200"/>
      <c r="DC563" s="522"/>
      <c r="DD563" s="200"/>
      <c r="DE563" s="223"/>
      <c r="DF563" s="223"/>
      <c r="DG563" s="223"/>
      <c r="DH563" s="223"/>
      <c r="DI563" s="223"/>
      <c r="DJ563" s="223"/>
      <c r="DK563" s="200"/>
      <c r="DL563" s="200"/>
      <c r="DM563" s="522"/>
      <c r="DN563" s="200"/>
      <c r="DO563" s="223"/>
      <c r="DP563" s="223"/>
      <c r="DQ563" s="223"/>
      <c r="DR563" s="223"/>
      <c r="DS563" s="223"/>
      <c r="DT563" s="223"/>
      <c r="DU563" s="200"/>
      <c r="DV563" s="200"/>
      <c r="DW563" s="522"/>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2"/>
      <c r="R564" s="200"/>
      <c r="S564" s="223"/>
      <c r="T564" s="223"/>
      <c r="U564" s="223"/>
      <c r="V564" s="223"/>
      <c r="W564" s="223"/>
      <c r="X564" s="223"/>
      <c r="Y564" s="200"/>
      <c r="Z564" s="200"/>
      <c r="AA564" s="522"/>
      <c r="AB564" s="200"/>
      <c r="AC564" s="223"/>
      <c r="AD564" s="223"/>
      <c r="AE564" s="223"/>
      <c r="AF564" s="223"/>
      <c r="AG564" s="223"/>
      <c r="AH564" s="223"/>
      <c r="AI564" s="200"/>
      <c r="AJ564" s="200"/>
      <c r="AK564" s="522"/>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2"/>
      <c r="BF564" s="200"/>
      <c r="BG564" s="223"/>
      <c r="BH564" s="223"/>
      <c r="BI564" s="223"/>
      <c r="BJ564" s="223"/>
      <c r="BK564" s="223"/>
      <c r="BL564" s="223"/>
      <c r="BM564" s="200"/>
      <c r="BN564" s="200"/>
      <c r="BO564" s="522"/>
      <c r="BP564" s="200"/>
      <c r="BQ564" s="223"/>
      <c r="BR564" s="223"/>
      <c r="BS564" s="223"/>
      <c r="BT564" s="223"/>
      <c r="BU564" s="223"/>
      <c r="BV564" s="223"/>
      <c r="BW564" s="223"/>
      <c r="BX564" s="200"/>
      <c r="BY564" s="522"/>
      <c r="BZ564" s="200"/>
      <c r="CA564" s="223"/>
      <c r="CB564" s="223"/>
      <c r="CC564" s="223"/>
      <c r="CD564" s="223"/>
      <c r="CE564" s="223"/>
      <c r="CF564" s="223"/>
      <c r="CG564" s="200"/>
      <c r="CH564" s="200"/>
      <c r="CI564" s="522"/>
      <c r="CJ564" s="200"/>
      <c r="CK564" s="223"/>
      <c r="CL564" s="223"/>
      <c r="CM564" s="223"/>
      <c r="CN564" s="223"/>
      <c r="CO564" s="223"/>
      <c r="CP564" s="223"/>
      <c r="CQ564" s="200"/>
      <c r="CR564" s="200"/>
      <c r="CS564" s="522"/>
      <c r="CT564" s="200"/>
      <c r="CU564" s="223"/>
      <c r="CV564" s="223"/>
      <c r="CW564" s="223"/>
      <c r="CX564" s="223"/>
      <c r="CY564" s="223"/>
      <c r="CZ564" s="223"/>
      <c r="DA564" s="223"/>
      <c r="DB564" s="200"/>
      <c r="DC564" s="522"/>
      <c r="DD564" s="200"/>
      <c r="DE564" s="223"/>
      <c r="DF564" s="223"/>
      <c r="DG564" s="223"/>
      <c r="DH564" s="223"/>
      <c r="DI564" s="223"/>
      <c r="DJ564" s="223"/>
      <c r="DK564" s="200"/>
      <c r="DL564" s="200"/>
      <c r="DM564" s="522"/>
      <c r="DN564" s="200"/>
      <c r="DO564" s="223"/>
      <c r="DP564" s="223"/>
      <c r="DQ564" s="223"/>
      <c r="DR564" s="223"/>
      <c r="DS564" s="223"/>
      <c r="DT564" s="223"/>
      <c r="DU564" s="200"/>
      <c r="DV564" s="200"/>
      <c r="DW564" s="522"/>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2"/>
      <c r="R565" s="200"/>
      <c r="S565" s="223"/>
      <c r="T565" s="223"/>
      <c r="U565" s="223"/>
      <c r="V565" s="223"/>
      <c r="W565" s="223"/>
      <c r="X565" s="223"/>
      <c r="Y565" s="200"/>
      <c r="Z565" s="200"/>
      <c r="AA565" s="522"/>
      <c r="AB565" s="200"/>
      <c r="AC565" s="223"/>
      <c r="AD565" s="223"/>
      <c r="AE565" s="223"/>
      <c r="AF565" s="223"/>
      <c r="AG565" s="223"/>
      <c r="AH565" s="223"/>
      <c r="AI565" s="200"/>
      <c r="AJ565" s="200"/>
      <c r="AK565" s="522"/>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2"/>
      <c r="BF565" s="200"/>
      <c r="BG565" s="223"/>
      <c r="BH565" s="223"/>
      <c r="BI565" s="223"/>
      <c r="BJ565" s="223"/>
      <c r="BK565" s="223"/>
      <c r="BL565" s="223"/>
      <c r="BM565" s="200"/>
      <c r="BN565" s="200"/>
      <c r="BO565" s="522"/>
      <c r="BP565" s="200"/>
      <c r="BQ565" s="223"/>
      <c r="BR565" s="223"/>
      <c r="BS565" s="223"/>
      <c r="BT565" s="223"/>
      <c r="BU565" s="223"/>
      <c r="BV565" s="223"/>
      <c r="BW565" s="223"/>
      <c r="BX565" s="200"/>
      <c r="BY565" s="522"/>
      <c r="BZ565" s="200"/>
      <c r="CA565" s="223"/>
      <c r="CB565" s="223"/>
      <c r="CC565" s="223"/>
      <c r="CD565" s="223"/>
      <c r="CE565" s="223"/>
      <c r="CF565" s="223"/>
      <c r="CG565" s="200"/>
      <c r="CH565" s="200"/>
      <c r="CI565" s="522"/>
      <c r="CJ565" s="200"/>
      <c r="CK565" s="223"/>
      <c r="CL565" s="223"/>
      <c r="CM565" s="223"/>
      <c r="CN565" s="223"/>
      <c r="CO565" s="223"/>
      <c r="CP565" s="223"/>
      <c r="CQ565" s="200"/>
      <c r="CR565" s="200"/>
      <c r="CS565" s="522"/>
      <c r="CT565" s="200"/>
      <c r="CU565" s="223"/>
      <c r="CV565" s="223"/>
      <c r="CW565" s="223"/>
      <c r="CX565" s="223"/>
      <c r="CY565" s="223"/>
      <c r="CZ565" s="223"/>
      <c r="DA565" s="223"/>
      <c r="DB565" s="200"/>
      <c r="DC565" s="522"/>
      <c r="DD565" s="200"/>
      <c r="DE565" s="223"/>
      <c r="DF565" s="223"/>
      <c r="DG565" s="223"/>
      <c r="DH565" s="223"/>
      <c r="DI565" s="223"/>
      <c r="DJ565" s="223"/>
      <c r="DK565" s="200"/>
      <c r="DL565" s="200"/>
      <c r="DM565" s="522"/>
      <c r="DN565" s="200"/>
      <c r="DO565" s="223"/>
      <c r="DP565" s="223"/>
      <c r="DQ565" s="223"/>
      <c r="DR565" s="223"/>
      <c r="DS565" s="223"/>
      <c r="DT565" s="223"/>
      <c r="DU565" s="200"/>
      <c r="DV565" s="200"/>
      <c r="DW565" s="522"/>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2"/>
      <c r="R566" s="200"/>
      <c r="S566" s="223"/>
      <c r="T566" s="223"/>
      <c r="U566" s="223"/>
      <c r="V566" s="223"/>
      <c r="W566" s="223"/>
      <c r="X566" s="223"/>
      <c r="Y566" s="200"/>
      <c r="Z566" s="200"/>
      <c r="AA566" s="522"/>
      <c r="AB566" s="200"/>
      <c r="AC566" s="223"/>
      <c r="AD566" s="223"/>
      <c r="AE566" s="223"/>
      <c r="AF566" s="223"/>
      <c r="AG566" s="223"/>
      <c r="AH566" s="223"/>
      <c r="AI566" s="200"/>
      <c r="AJ566" s="200"/>
      <c r="AK566" s="522"/>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2"/>
      <c r="BF566" s="200"/>
      <c r="BG566" s="223"/>
      <c r="BH566" s="223"/>
      <c r="BI566" s="223"/>
      <c r="BJ566" s="223"/>
      <c r="BK566" s="223"/>
      <c r="BL566" s="223"/>
      <c r="BM566" s="200"/>
      <c r="BN566" s="200"/>
      <c r="BO566" s="522"/>
      <c r="BP566" s="200"/>
      <c r="BQ566" s="223"/>
      <c r="BR566" s="223"/>
      <c r="BS566" s="223"/>
      <c r="BT566" s="223"/>
      <c r="BU566" s="223"/>
      <c r="BV566" s="223"/>
      <c r="BW566" s="223"/>
      <c r="BX566" s="200"/>
      <c r="BY566" s="522"/>
      <c r="BZ566" s="200"/>
      <c r="CA566" s="223"/>
      <c r="CB566" s="223"/>
      <c r="CC566" s="223"/>
      <c r="CD566" s="223"/>
      <c r="CE566" s="223"/>
      <c r="CF566" s="223"/>
      <c r="CG566" s="200"/>
      <c r="CH566" s="200"/>
      <c r="CI566" s="522"/>
      <c r="CJ566" s="200"/>
      <c r="CK566" s="223"/>
      <c r="CL566" s="223"/>
      <c r="CM566" s="223"/>
      <c r="CN566" s="223"/>
      <c r="CO566" s="223"/>
      <c r="CP566" s="223"/>
      <c r="CQ566" s="200"/>
      <c r="CR566" s="200"/>
      <c r="CS566" s="522"/>
      <c r="CT566" s="200"/>
      <c r="CU566" s="223"/>
      <c r="CV566" s="223"/>
      <c r="CW566" s="223"/>
      <c r="CX566" s="223"/>
      <c r="CY566" s="223"/>
      <c r="CZ566" s="223"/>
      <c r="DA566" s="223"/>
      <c r="DB566" s="200"/>
      <c r="DC566" s="522"/>
      <c r="DD566" s="200"/>
      <c r="DE566" s="223"/>
      <c r="DF566" s="223"/>
      <c r="DG566" s="223"/>
      <c r="DH566" s="223"/>
      <c r="DI566" s="223"/>
      <c r="DJ566" s="223"/>
      <c r="DK566" s="200"/>
      <c r="DL566" s="200"/>
      <c r="DM566" s="522"/>
      <c r="DN566" s="200"/>
      <c r="DO566" s="223"/>
      <c r="DP566" s="223"/>
      <c r="DQ566" s="223"/>
      <c r="DR566" s="223"/>
      <c r="DS566" s="223"/>
      <c r="DT566" s="223"/>
      <c r="DU566" s="200"/>
      <c r="DV566" s="200"/>
      <c r="DW566" s="522"/>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2"/>
      <c r="R567" s="200"/>
      <c r="S567" s="223"/>
      <c r="T567" s="223"/>
      <c r="U567" s="223"/>
      <c r="V567" s="223"/>
      <c r="W567" s="223"/>
      <c r="X567" s="223"/>
      <c r="Y567" s="200"/>
      <c r="Z567" s="200"/>
      <c r="AA567" s="522"/>
      <c r="AB567" s="200"/>
      <c r="AC567" s="223"/>
      <c r="AD567" s="223"/>
      <c r="AE567" s="223"/>
      <c r="AF567" s="223"/>
      <c r="AG567" s="223"/>
      <c r="AH567" s="223"/>
      <c r="AI567" s="200"/>
      <c r="AJ567" s="200"/>
      <c r="AK567" s="522"/>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2"/>
      <c r="BF567" s="200"/>
      <c r="BG567" s="223"/>
      <c r="BH567" s="223"/>
      <c r="BI567" s="223"/>
      <c r="BJ567" s="223"/>
      <c r="BK567" s="223"/>
      <c r="BL567" s="223"/>
      <c r="BM567" s="200"/>
      <c r="BN567" s="200"/>
      <c r="BO567" s="522"/>
      <c r="BP567" s="200"/>
      <c r="BQ567" s="223"/>
      <c r="BR567" s="223"/>
      <c r="BS567" s="223"/>
      <c r="BT567" s="223"/>
      <c r="BU567" s="223"/>
      <c r="BV567" s="223"/>
      <c r="BW567" s="223"/>
      <c r="BX567" s="200"/>
      <c r="BY567" s="522"/>
      <c r="BZ567" s="200"/>
      <c r="CA567" s="223"/>
      <c r="CB567" s="223"/>
      <c r="CC567" s="223"/>
      <c r="CD567" s="223"/>
      <c r="CE567" s="223"/>
      <c r="CF567" s="223"/>
      <c r="CG567" s="200"/>
      <c r="CH567" s="200"/>
      <c r="CI567" s="522"/>
      <c r="CJ567" s="200"/>
      <c r="CK567" s="223"/>
      <c r="CL567" s="223"/>
      <c r="CM567" s="223"/>
      <c r="CN567" s="223"/>
      <c r="CO567" s="223"/>
      <c r="CP567" s="223"/>
      <c r="CQ567" s="200"/>
      <c r="CR567" s="200"/>
      <c r="CS567" s="522"/>
      <c r="CT567" s="200"/>
      <c r="CU567" s="223"/>
      <c r="CV567" s="223"/>
      <c r="CW567" s="223"/>
      <c r="CX567" s="223"/>
      <c r="CY567" s="223"/>
      <c r="CZ567" s="223"/>
      <c r="DA567" s="223"/>
      <c r="DB567" s="200"/>
      <c r="DC567" s="522"/>
      <c r="DD567" s="200"/>
      <c r="DE567" s="223"/>
      <c r="DF567" s="223"/>
      <c r="DG567" s="223"/>
      <c r="DH567" s="223"/>
      <c r="DI567" s="223"/>
      <c r="DJ567" s="223"/>
      <c r="DK567" s="200"/>
      <c r="DL567" s="200"/>
      <c r="DM567" s="522"/>
      <c r="DN567" s="200"/>
      <c r="DO567" s="223"/>
      <c r="DP567" s="223"/>
      <c r="DQ567" s="223"/>
      <c r="DR567" s="223"/>
      <c r="DS567" s="223"/>
      <c r="DT567" s="223"/>
      <c r="DU567" s="200"/>
      <c r="DV567" s="200"/>
      <c r="DW567" s="522"/>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2"/>
      <c r="R568" s="200"/>
      <c r="S568" s="223"/>
      <c r="T568" s="223"/>
      <c r="U568" s="223"/>
      <c r="V568" s="223"/>
      <c r="W568" s="223"/>
      <c r="X568" s="223"/>
      <c r="Y568" s="200"/>
      <c r="Z568" s="200"/>
      <c r="AA568" s="522"/>
      <c r="AB568" s="200"/>
      <c r="AC568" s="223"/>
      <c r="AD568" s="223"/>
      <c r="AE568" s="223"/>
      <c r="AF568" s="223"/>
      <c r="AG568" s="223"/>
      <c r="AH568" s="223"/>
      <c r="AI568" s="200"/>
      <c r="AJ568" s="200"/>
      <c r="AK568" s="522"/>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2"/>
      <c r="BF568" s="200"/>
      <c r="BG568" s="223"/>
      <c r="BH568" s="223"/>
      <c r="BI568" s="223"/>
      <c r="BJ568" s="223"/>
      <c r="BK568" s="223"/>
      <c r="BL568" s="223"/>
      <c r="BM568" s="200"/>
      <c r="BN568" s="200"/>
      <c r="BO568" s="522"/>
      <c r="BP568" s="200"/>
      <c r="BQ568" s="223"/>
      <c r="BR568" s="223"/>
      <c r="BS568" s="223"/>
      <c r="BT568" s="223"/>
      <c r="BU568" s="223"/>
      <c r="BV568" s="223"/>
      <c r="BW568" s="223"/>
      <c r="BX568" s="200"/>
      <c r="BY568" s="522"/>
      <c r="BZ568" s="200"/>
      <c r="CA568" s="223"/>
      <c r="CB568" s="223"/>
      <c r="CC568" s="223"/>
      <c r="CD568" s="223"/>
      <c r="CE568" s="223"/>
      <c r="CF568" s="223"/>
      <c r="CG568" s="200"/>
      <c r="CH568" s="200"/>
      <c r="CI568" s="522"/>
      <c r="CJ568" s="200"/>
      <c r="CK568" s="223"/>
      <c r="CL568" s="223"/>
      <c r="CM568" s="223"/>
      <c r="CN568" s="223"/>
      <c r="CO568" s="223"/>
      <c r="CP568" s="223"/>
      <c r="CQ568" s="200"/>
      <c r="CR568" s="200"/>
      <c r="CS568" s="522"/>
      <c r="CT568" s="200"/>
      <c r="CU568" s="223"/>
      <c r="CV568" s="223"/>
      <c r="CW568" s="223"/>
      <c r="CX568" s="223"/>
      <c r="CY568" s="223"/>
      <c r="CZ568" s="223"/>
      <c r="DA568" s="223"/>
      <c r="DB568" s="200"/>
      <c r="DC568" s="522"/>
      <c r="DD568" s="200"/>
      <c r="DE568" s="223"/>
      <c r="DF568" s="223"/>
      <c r="DG568" s="223"/>
      <c r="DH568" s="223"/>
      <c r="DI568" s="223"/>
      <c r="DJ568" s="223"/>
      <c r="DK568" s="200"/>
      <c r="DL568" s="200"/>
      <c r="DM568" s="522"/>
      <c r="DN568" s="200"/>
      <c r="DO568" s="223"/>
      <c r="DP568" s="223"/>
      <c r="DQ568" s="223"/>
      <c r="DR568" s="223"/>
      <c r="DS568" s="223"/>
      <c r="DT568" s="223"/>
      <c r="DU568" s="200"/>
      <c r="DV568" s="200"/>
      <c r="DW568" s="522"/>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2"/>
      <c r="R569" s="200"/>
      <c r="S569" s="223"/>
      <c r="T569" s="223"/>
      <c r="U569" s="223"/>
      <c r="V569" s="223"/>
      <c r="W569" s="223"/>
      <c r="X569" s="223"/>
      <c r="Y569" s="200"/>
      <c r="Z569" s="200"/>
      <c r="AA569" s="522"/>
      <c r="AB569" s="200"/>
      <c r="AC569" s="223"/>
      <c r="AD569" s="223"/>
      <c r="AE569" s="223"/>
      <c r="AF569" s="223"/>
      <c r="AG569" s="223"/>
      <c r="AH569" s="223"/>
      <c r="AI569" s="200"/>
      <c r="AJ569" s="200"/>
      <c r="AK569" s="522"/>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2"/>
      <c r="BF569" s="200"/>
      <c r="BG569" s="223"/>
      <c r="BH569" s="223"/>
      <c r="BI569" s="223"/>
      <c r="BJ569" s="223"/>
      <c r="BK569" s="223"/>
      <c r="BL569" s="223"/>
      <c r="BM569" s="200"/>
      <c r="BN569" s="200"/>
      <c r="BO569" s="522"/>
      <c r="BP569" s="200"/>
      <c r="BQ569" s="223"/>
      <c r="BR569" s="223"/>
      <c r="BS569" s="223"/>
      <c r="BT569" s="223"/>
      <c r="BU569" s="223"/>
      <c r="BV569" s="223"/>
      <c r="BW569" s="223"/>
      <c r="BX569" s="200"/>
      <c r="BY569" s="522"/>
      <c r="BZ569" s="200"/>
      <c r="CA569" s="223"/>
      <c r="CB569" s="223"/>
      <c r="CC569" s="223"/>
      <c r="CD569" s="223"/>
      <c r="CE569" s="223"/>
      <c r="CF569" s="223"/>
      <c r="CG569" s="200"/>
      <c r="CH569" s="200"/>
      <c r="CI569" s="522"/>
      <c r="CJ569" s="200"/>
      <c r="CK569" s="223"/>
      <c r="CL569" s="223"/>
      <c r="CM569" s="223"/>
      <c r="CN569" s="223"/>
      <c r="CO569" s="223"/>
      <c r="CP569" s="223"/>
      <c r="CQ569" s="200"/>
      <c r="CR569" s="200"/>
      <c r="CS569" s="522"/>
      <c r="CT569" s="200"/>
      <c r="CU569" s="223"/>
      <c r="CV569" s="223"/>
      <c r="CW569" s="223"/>
      <c r="CX569" s="223"/>
      <c r="CY569" s="223"/>
      <c r="CZ569" s="223"/>
      <c r="DA569" s="223"/>
      <c r="DB569" s="200"/>
      <c r="DC569" s="522"/>
      <c r="DD569" s="200"/>
      <c r="DE569" s="223"/>
      <c r="DF569" s="223"/>
      <c r="DG569" s="223"/>
      <c r="DH569" s="223"/>
      <c r="DI569" s="223"/>
      <c r="DJ569" s="223"/>
      <c r="DK569" s="200"/>
      <c r="DL569" s="200"/>
      <c r="DM569" s="522"/>
      <c r="DN569" s="200"/>
      <c r="DO569" s="223"/>
      <c r="DP569" s="223"/>
      <c r="DQ569" s="223"/>
      <c r="DR569" s="223"/>
      <c r="DS569" s="223"/>
      <c r="DT569" s="223"/>
      <c r="DU569" s="200"/>
      <c r="DV569" s="200"/>
      <c r="DW569" s="522"/>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2"/>
      <c r="R570" s="200"/>
      <c r="S570" s="223"/>
      <c r="T570" s="223"/>
      <c r="U570" s="223"/>
      <c r="V570" s="223"/>
      <c r="W570" s="223"/>
      <c r="X570" s="223"/>
      <c r="Y570" s="200"/>
      <c r="Z570" s="200"/>
      <c r="AA570" s="522"/>
      <c r="AB570" s="200"/>
      <c r="AC570" s="223"/>
      <c r="AD570" s="223"/>
      <c r="AE570" s="223"/>
      <c r="AF570" s="223"/>
      <c r="AG570" s="223"/>
      <c r="AH570" s="223"/>
      <c r="AI570" s="200"/>
      <c r="AJ570" s="200"/>
      <c r="AK570" s="522"/>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2"/>
      <c r="BF570" s="200"/>
      <c r="BG570" s="223"/>
      <c r="BH570" s="223"/>
      <c r="BI570" s="223"/>
      <c r="BJ570" s="223"/>
      <c r="BK570" s="223"/>
      <c r="BL570" s="223"/>
      <c r="BM570" s="200"/>
      <c r="BN570" s="200"/>
      <c r="BO570" s="522"/>
      <c r="BP570" s="200"/>
      <c r="BQ570" s="223"/>
      <c r="BR570" s="223"/>
      <c r="BS570" s="223"/>
      <c r="BT570" s="223"/>
      <c r="BU570" s="223"/>
      <c r="BV570" s="223"/>
      <c r="BW570" s="223"/>
      <c r="BX570" s="200"/>
      <c r="BY570" s="522"/>
      <c r="BZ570" s="200"/>
      <c r="CA570" s="223"/>
      <c r="CB570" s="223"/>
      <c r="CC570" s="223"/>
      <c r="CD570" s="223"/>
      <c r="CE570" s="223"/>
      <c r="CF570" s="223"/>
      <c r="CG570" s="200"/>
      <c r="CH570" s="200"/>
      <c r="CI570" s="522"/>
      <c r="CJ570" s="200"/>
      <c r="CK570" s="223"/>
      <c r="CL570" s="223"/>
      <c r="CM570" s="223"/>
      <c r="CN570" s="223"/>
      <c r="CO570" s="223"/>
      <c r="CP570" s="223"/>
      <c r="CQ570" s="200"/>
      <c r="CR570" s="200"/>
      <c r="CS570" s="522"/>
      <c r="CT570" s="200"/>
      <c r="CU570" s="223"/>
      <c r="CV570" s="223"/>
      <c r="CW570" s="223"/>
      <c r="CX570" s="223"/>
      <c r="CY570" s="223"/>
      <c r="CZ570" s="223"/>
      <c r="DA570" s="223"/>
      <c r="DB570" s="200"/>
      <c r="DC570" s="522"/>
      <c r="DD570" s="200"/>
      <c r="DE570" s="223"/>
      <c r="DF570" s="223"/>
      <c r="DG570" s="223"/>
      <c r="DH570" s="223"/>
      <c r="DI570" s="223"/>
      <c r="DJ570" s="223"/>
      <c r="DK570" s="200"/>
      <c r="DL570" s="200"/>
      <c r="DM570" s="522"/>
      <c r="DN570" s="200"/>
      <c r="DO570" s="223"/>
      <c r="DP570" s="223"/>
      <c r="DQ570" s="223"/>
      <c r="DR570" s="223"/>
      <c r="DS570" s="223"/>
      <c r="DT570" s="223"/>
      <c r="DU570" s="200"/>
      <c r="DV570" s="200"/>
      <c r="DW570" s="522"/>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2"/>
      <c r="R571" s="200"/>
      <c r="S571" s="223"/>
      <c r="T571" s="223"/>
      <c r="U571" s="223"/>
      <c r="V571" s="223"/>
      <c r="W571" s="223"/>
      <c r="X571" s="223"/>
      <c r="Y571" s="200"/>
      <c r="Z571" s="200"/>
      <c r="AA571" s="522"/>
      <c r="AB571" s="200"/>
      <c r="AC571" s="223"/>
      <c r="AD571" s="223"/>
      <c r="AE571" s="223"/>
      <c r="AF571" s="223"/>
      <c r="AG571" s="223"/>
      <c r="AH571" s="223"/>
      <c r="AI571" s="200"/>
      <c r="AJ571" s="200"/>
      <c r="AK571" s="522"/>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2"/>
      <c r="BF571" s="200"/>
      <c r="BG571" s="223"/>
      <c r="BH571" s="223"/>
      <c r="BI571" s="223"/>
      <c r="BJ571" s="223"/>
      <c r="BK571" s="223"/>
      <c r="BL571" s="223"/>
      <c r="BM571" s="200"/>
      <c r="BN571" s="200"/>
      <c r="BO571" s="522"/>
      <c r="BP571" s="200"/>
      <c r="BQ571" s="223"/>
      <c r="BR571" s="223"/>
      <c r="BS571" s="223"/>
      <c r="BT571" s="223"/>
      <c r="BU571" s="223"/>
      <c r="BV571" s="223"/>
      <c r="BW571" s="223"/>
      <c r="BX571" s="200"/>
      <c r="BY571" s="522"/>
      <c r="BZ571" s="200"/>
      <c r="CA571" s="223"/>
      <c r="CB571" s="223"/>
      <c r="CC571" s="223"/>
      <c r="CD571" s="223"/>
      <c r="CE571" s="223"/>
      <c r="CF571" s="223"/>
      <c r="CG571" s="200"/>
      <c r="CH571" s="200"/>
      <c r="CI571" s="522"/>
      <c r="CJ571" s="200"/>
      <c r="CK571" s="223"/>
      <c r="CL571" s="223"/>
      <c r="CM571" s="223"/>
      <c r="CN571" s="223"/>
      <c r="CO571" s="223"/>
      <c r="CP571" s="223"/>
      <c r="CQ571" s="200"/>
      <c r="CR571" s="200"/>
      <c r="CS571" s="522"/>
      <c r="CT571" s="200"/>
      <c r="CU571" s="223"/>
      <c r="CV571" s="223"/>
      <c r="CW571" s="223"/>
      <c r="CX571" s="223"/>
      <c r="CY571" s="223"/>
      <c r="CZ571" s="223"/>
      <c r="DA571" s="223"/>
      <c r="DB571" s="200"/>
      <c r="DC571" s="522"/>
      <c r="DD571" s="200"/>
      <c r="DE571" s="223"/>
      <c r="DF571" s="223"/>
      <c r="DG571" s="223"/>
      <c r="DH571" s="223"/>
      <c r="DI571" s="223"/>
      <c r="DJ571" s="223"/>
      <c r="DK571" s="200"/>
      <c r="DL571" s="200"/>
      <c r="DM571" s="522"/>
      <c r="DN571" s="200"/>
      <c r="DO571" s="223"/>
      <c r="DP571" s="223"/>
      <c r="DQ571" s="223"/>
      <c r="DR571" s="223"/>
      <c r="DS571" s="223"/>
      <c r="DT571" s="223"/>
      <c r="DU571" s="200"/>
      <c r="DV571" s="200"/>
      <c r="DW571" s="522"/>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2"/>
      <c r="R572" s="200"/>
      <c r="S572" s="223"/>
      <c r="T572" s="223"/>
      <c r="U572" s="223"/>
      <c r="V572" s="223"/>
      <c r="W572" s="223"/>
      <c r="X572" s="223"/>
      <c r="Y572" s="200"/>
      <c r="Z572" s="200"/>
      <c r="AA572" s="522"/>
      <c r="AB572" s="200"/>
      <c r="AC572" s="223"/>
      <c r="AD572" s="223"/>
      <c r="AE572" s="223"/>
      <c r="AF572" s="223"/>
      <c r="AG572" s="223"/>
      <c r="AH572" s="223"/>
      <c r="AI572" s="200"/>
      <c r="AJ572" s="200"/>
      <c r="AK572" s="522"/>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2"/>
      <c r="BF572" s="200"/>
      <c r="BG572" s="223"/>
      <c r="BH572" s="223"/>
      <c r="BI572" s="223"/>
      <c r="BJ572" s="223"/>
      <c r="BK572" s="223"/>
      <c r="BL572" s="223"/>
      <c r="BM572" s="200"/>
      <c r="BN572" s="200"/>
      <c r="BO572" s="522"/>
      <c r="BP572" s="200"/>
      <c r="BQ572" s="223"/>
      <c r="BR572" s="223"/>
      <c r="BS572" s="223"/>
      <c r="BT572" s="223"/>
      <c r="BU572" s="223"/>
      <c r="BV572" s="223"/>
      <c r="BW572" s="223"/>
      <c r="BX572" s="200"/>
      <c r="BY572" s="522"/>
      <c r="BZ572" s="200"/>
      <c r="CA572" s="223"/>
      <c r="CB572" s="223"/>
      <c r="CC572" s="223"/>
      <c r="CD572" s="223"/>
      <c r="CE572" s="223"/>
      <c r="CF572" s="223"/>
      <c r="CG572" s="200"/>
      <c r="CH572" s="200"/>
      <c r="CI572" s="522"/>
      <c r="CJ572" s="200"/>
      <c r="CK572" s="223"/>
      <c r="CL572" s="223"/>
      <c r="CM572" s="223"/>
      <c r="CN572" s="223"/>
      <c r="CO572" s="223"/>
      <c r="CP572" s="223"/>
      <c r="CQ572" s="200"/>
      <c r="CR572" s="200"/>
      <c r="CS572" s="522"/>
      <c r="CT572" s="200"/>
      <c r="CU572" s="223"/>
      <c r="CV572" s="223"/>
      <c r="CW572" s="223"/>
      <c r="CX572" s="223"/>
      <c r="CY572" s="223"/>
      <c r="CZ572" s="223"/>
      <c r="DA572" s="223"/>
      <c r="DB572" s="200"/>
      <c r="DC572" s="522"/>
      <c r="DD572" s="200"/>
      <c r="DE572" s="223"/>
      <c r="DF572" s="223"/>
      <c r="DG572" s="223"/>
      <c r="DH572" s="223"/>
      <c r="DI572" s="223"/>
      <c r="DJ572" s="223"/>
      <c r="DK572" s="200"/>
      <c r="DL572" s="200"/>
      <c r="DM572" s="522"/>
      <c r="DN572" s="200"/>
      <c r="DO572" s="223"/>
      <c r="DP572" s="223"/>
      <c r="DQ572" s="223"/>
      <c r="DR572" s="223"/>
      <c r="DS572" s="223"/>
      <c r="DT572" s="223"/>
      <c r="DU572" s="200"/>
      <c r="DV572" s="200"/>
      <c r="DW572" s="522"/>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2"/>
      <c r="R573" s="200"/>
      <c r="S573" s="223"/>
      <c r="T573" s="223"/>
      <c r="U573" s="223"/>
      <c r="V573" s="223"/>
      <c r="W573" s="223"/>
      <c r="X573" s="223"/>
      <c r="Y573" s="200"/>
      <c r="Z573" s="200"/>
      <c r="AA573" s="522"/>
      <c r="AB573" s="200"/>
      <c r="AC573" s="223"/>
      <c r="AD573" s="223"/>
      <c r="AE573" s="223"/>
      <c r="AF573" s="223"/>
      <c r="AG573" s="223"/>
      <c r="AH573" s="223"/>
      <c r="AI573" s="200"/>
      <c r="AJ573" s="200"/>
      <c r="AK573" s="522"/>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2"/>
      <c r="BF573" s="200"/>
      <c r="BG573" s="223"/>
      <c r="BH573" s="223"/>
      <c r="BI573" s="223"/>
      <c r="BJ573" s="223"/>
      <c r="BK573" s="223"/>
      <c r="BL573" s="223"/>
      <c r="BM573" s="200"/>
      <c r="BN573" s="200"/>
      <c r="BO573" s="522"/>
      <c r="BP573" s="200"/>
      <c r="BQ573" s="223"/>
      <c r="BR573" s="223"/>
      <c r="BS573" s="223"/>
      <c r="BT573" s="223"/>
      <c r="BU573" s="223"/>
      <c r="BV573" s="223"/>
      <c r="BW573" s="223"/>
      <c r="BX573" s="200"/>
      <c r="BY573" s="522"/>
      <c r="BZ573" s="200"/>
      <c r="CA573" s="223"/>
      <c r="CB573" s="223"/>
      <c r="CC573" s="223"/>
      <c r="CD573" s="223"/>
      <c r="CE573" s="223"/>
      <c r="CF573" s="223"/>
      <c r="CG573" s="200"/>
      <c r="CH573" s="200"/>
      <c r="CI573" s="522"/>
      <c r="CJ573" s="200"/>
      <c r="CK573" s="223"/>
      <c r="CL573" s="223"/>
      <c r="CM573" s="223"/>
      <c r="CN573" s="223"/>
      <c r="CO573" s="223"/>
      <c r="CP573" s="223"/>
      <c r="CQ573" s="200"/>
      <c r="CR573" s="200"/>
      <c r="CS573" s="522"/>
      <c r="CT573" s="200"/>
      <c r="CU573" s="223"/>
      <c r="CV573" s="223"/>
      <c r="CW573" s="223"/>
      <c r="CX573" s="223"/>
      <c r="CY573" s="223"/>
      <c r="CZ573" s="223"/>
      <c r="DA573" s="223"/>
      <c r="DB573" s="200"/>
      <c r="DC573" s="522"/>
      <c r="DD573" s="200"/>
      <c r="DE573" s="223"/>
      <c r="DF573" s="223"/>
      <c r="DG573" s="223"/>
      <c r="DH573" s="223"/>
      <c r="DI573" s="223"/>
      <c r="DJ573" s="223"/>
      <c r="DK573" s="200"/>
      <c r="DL573" s="200"/>
      <c r="DM573" s="522"/>
      <c r="DN573" s="200"/>
      <c r="DO573" s="223"/>
      <c r="DP573" s="223"/>
      <c r="DQ573" s="223"/>
      <c r="DR573" s="223"/>
      <c r="DS573" s="223"/>
      <c r="DT573" s="223"/>
      <c r="DU573" s="200"/>
      <c r="DV573" s="200"/>
      <c r="DW573" s="522"/>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2"/>
      <c r="R574" s="200"/>
      <c r="S574" s="223"/>
      <c r="T574" s="223"/>
      <c r="U574" s="223"/>
      <c r="V574" s="223"/>
      <c r="W574" s="223"/>
      <c r="X574" s="223"/>
      <c r="Y574" s="200"/>
      <c r="Z574" s="200"/>
      <c r="AA574" s="522"/>
      <c r="AB574" s="200"/>
      <c r="AC574" s="223"/>
      <c r="AD574" s="223"/>
      <c r="AE574" s="223"/>
      <c r="AF574" s="223"/>
      <c r="AG574" s="223"/>
      <c r="AH574" s="223"/>
      <c r="AI574" s="200"/>
      <c r="AJ574" s="200"/>
      <c r="AK574" s="522"/>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2"/>
      <c r="BF574" s="200"/>
      <c r="BG574" s="223"/>
      <c r="BH574" s="223"/>
      <c r="BI574" s="223"/>
      <c r="BJ574" s="223"/>
      <c r="BK574" s="223"/>
      <c r="BL574" s="223"/>
      <c r="BM574" s="200"/>
      <c r="BN574" s="200"/>
      <c r="BO574" s="522"/>
      <c r="BP574" s="200"/>
      <c r="BQ574" s="223"/>
      <c r="BR574" s="223"/>
      <c r="BS574" s="223"/>
      <c r="BT574" s="223"/>
      <c r="BU574" s="223"/>
      <c r="BV574" s="223"/>
      <c r="BW574" s="223"/>
      <c r="BX574" s="200"/>
      <c r="BY574" s="522"/>
      <c r="BZ574" s="200"/>
      <c r="CA574" s="223"/>
      <c r="CB574" s="223"/>
      <c r="CC574" s="223"/>
      <c r="CD574" s="223"/>
      <c r="CE574" s="223"/>
      <c r="CF574" s="223"/>
      <c r="CG574" s="200"/>
      <c r="CH574" s="200"/>
      <c r="CI574" s="522"/>
      <c r="CJ574" s="200"/>
      <c r="CK574" s="223"/>
      <c r="CL574" s="223"/>
      <c r="CM574" s="223"/>
      <c r="CN574" s="223"/>
      <c r="CO574" s="223"/>
      <c r="CP574" s="223"/>
      <c r="CQ574" s="200"/>
      <c r="CR574" s="200"/>
      <c r="CS574" s="522"/>
      <c r="CT574" s="200"/>
      <c r="CU574" s="223"/>
      <c r="CV574" s="223"/>
      <c r="CW574" s="223"/>
      <c r="CX574" s="223"/>
      <c r="CY574" s="223"/>
      <c r="CZ574" s="223"/>
      <c r="DA574" s="223"/>
      <c r="DB574" s="200"/>
      <c r="DC574" s="522"/>
      <c r="DD574" s="200"/>
      <c r="DE574" s="223"/>
      <c r="DF574" s="223"/>
      <c r="DG574" s="223"/>
      <c r="DH574" s="223"/>
      <c r="DI574" s="223"/>
      <c r="DJ574" s="223"/>
      <c r="DK574" s="200"/>
      <c r="DL574" s="200"/>
      <c r="DM574" s="522"/>
      <c r="DN574" s="200"/>
      <c r="DO574" s="223"/>
      <c r="DP574" s="223"/>
      <c r="DQ574" s="223"/>
      <c r="DR574" s="223"/>
      <c r="DS574" s="223"/>
      <c r="DT574" s="223"/>
      <c r="DU574" s="200"/>
      <c r="DV574" s="200"/>
      <c r="DW574" s="522"/>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2"/>
      <c r="R575" s="200"/>
      <c r="S575" s="223"/>
      <c r="T575" s="223"/>
      <c r="U575" s="223"/>
      <c r="V575" s="223"/>
      <c r="W575" s="223"/>
      <c r="X575" s="223"/>
      <c r="Y575" s="200"/>
      <c r="Z575" s="200"/>
      <c r="AA575" s="522"/>
      <c r="AB575" s="200"/>
      <c r="AC575" s="223"/>
      <c r="AD575" s="223"/>
      <c r="AE575" s="223"/>
      <c r="AF575" s="223"/>
      <c r="AG575" s="223"/>
      <c r="AH575" s="223"/>
      <c r="AI575" s="200"/>
      <c r="AJ575" s="200"/>
      <c r="AK575" s="522"/>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2"/>
      <c r="BF575" s="200"/>
      <c r="BG575" s="223"/>
      <c r="BH575" s="223"/>
      <c r="BI575" s="223"/>
      <c r="BJ575" s="223"/>
      <c r="BK575" s="223"/>
      <c r="BL575" s="223"/>
      <c r="BM575" s="200"/>
      <c r="BN575" s="200"/>
      <c r="BO575" s="522"/>
      <c r="BP575" s="200"/>
      <c r="BQ575" s="223"/>
      <c r="BR575" s="223"/>
      <c r="BS575" s="223"/>
      <c r="BT575" s="223"/>
      <c r="BU575" s="223"/>
      <c r="BV575" s="223"/>
      <c r="BW575" s="223"/>
      <c r="BX575" s="200"/>
      <c r="BY575" s="522"/>
      <c r="BZ575" s="200"/>
      <c r="CA575" s="223"/>
      <c r="CB575" s="223"/>
      <c r="CC575" s="223"/>
      <c r="CD575" s="223"/>
      <c r="CE575" s="223"/>
      <c r="CF575" s="223"/>
      <c r="CG575" s="200"/>
      <c r="CH575" s="200"/>
      <c r="CI575" s="522"/>
      <c r="CJ575" s="200"/>
      <c r="CK575" s="223"/>
      <c r="CL575" s="223"/>
      <c r="CM575" s="223"/>
      <c r="CN575" s="223"/>
      <c r="CO575" s="223"/>
      <c r="CP575" s="223"/>
      <c r="CQ575" s="200"/>
      <c r="CR575" s="200"/>
      <c r="CS575" s="522"/>
      <c r="CT575" s="200"/>
      <c r="CU575" s="223"/>
      <c r="CV575" s="223"/>
      <c r="CW575" s="223"/>
      <c r="CX575" s="223"/>
      <c r="CY575" s="223"/>
      <c r="CZ575" s="223"/>
      <c r="DA575" s="223"/>
      <c r="DB575" s="200"/>
      <c r="DC575" s="522"/>
      <c r="DD575" s="200"/>
      <c r="DE575" s="223"/>
      <c r="DF575" s="223"/>
      <c r="DG575" s="223"/>
      <c r="DH575" s="223"/>
      <c r="DI575" s="223"/>
      <c r="DJ575" s="223"/>
      <c r="DK575" s="200"/>
      <c r="DL575" s="200"/>
      <c r="DM575" s="522"/>
      <c r="DN575" s="200"/>
      <c r="DO575" s="223"/>
      <c r="DP575" s="223"/>
      <c r="DQ575" s="223"/>
      <c r="DR575" s="223"/>
      <c r="DS575" s="223"/>
      <c r="DT575" s="223"/>
      <c r="DU575" s="200"/>
      <c r="DV575" s="200"/>
      <c r="DW575" s="522"/>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2"/>
      <c r="R576" s="200"/>
      <c r="S576" s="223"/>
      <c r="T576" s="223"/>
      <c r="U576" s="223"/>
      <c r="V576" s="223"/>
      <c r="W576" s="223"/>
      <c r="X576" s="223"/>
      <c r="Y576" s="200"/>
      <c r="Z576" s="200"/>
      <c r="AA576" s="522"/>
      <c r="AB576" s="200"/>
      <c r="AC576" s="223"/>
      <c r="AD576" s="223"/>
      <c r="AE576" s="223"/>
      <c r="AF576" s="223"/>
      <c r="AG576" s="223"/>
      <c r="AH576" s="223"/>
      <c r="AI576" s="200"/>
      <c r="AJ576" s="200"/>
      <c r="AK576" s="522"/>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2"/>
      <c r="BF576" s="200"/>
      <c r="BG576" s="223"/>
      <c r="BH576" s="223"/>
      <c r="BI576" s="223"/>
      <c r="BJ576" s="223"/>
      <c r="BK576" s="223"/>
      <c r="BL576" s="223"/>
      <c r="BM576" s="200"/>
      <c r="BN576" s="200"/>
      <c r="BO576" s="522"/>
      <c r="BP576" s="200"/>
      <c r="BQ576" s="223"/>
      <c r="BR576" s="223"/>
      <c r="BS576" s="223"/>
      <c r="BT576" s="223"/>
      <c r="BU576" s="223"/>
      <c r="BV576" s="223"/>
      <c r="BW576" s="223"/>
      <c r="BX576" s="200"/>
      <c r="BY576" s="522"/>
      <c r="BZ576" s="200"/>
      <c r="CA576" s="223"/>
      <c r="CB576" s="223"/>
      <c r="CC576" s="223"/>
      <c r="CD576" s="223"/>
      <c r="CE576" s="223"/>
      <c r="CF576" s="223"/>
      <c r="CG576" s="200"/>
      <c r="CH576" s="200"/>
      <c r="CI576" s="522"/>
      <c r="CJ576" s="200"/>
      <c r="CK576" s="223"/>
      <c r="CL576" s="223"/>
      <c r="CM576" s="223"/>
      <c r="CN576" s="223"/>
      <c r="CO576" s="223"/>
      <c r="CP576" s="223"/>
      <c r="CQ576" s="200"/>
      <c r="CR576" s="200"/>
      <c r="CS576" s="522"/>
      <c r="CT576" s="200"/>
      <c r="CU576" s="223"/>
      <c r="CV576" s="223"/>
      <c r="CW576" s="223"/>
      <c r="CX576" s="223"/>
      <c r="CY576" s="223"/>
      <c r="CZ576" s="223"/>
      <c r="DA576" s="223"/>
      <c r="DB576" s="200"/>
      <c r="DC576" s="522"/>
      <c r="DD576" s="200"/>
      <c r="DE576" s="223"/>
      <c r="DF576" s="223"/>
      <c r="DG576" s="223"/>
      <c r="DH576" s="223"/>
      <c r="DI576" s="223"/>
      <c r="DJ576" s="223"/>
      <c r="DK576" s="200"/>
      <c r="DL576" s="200"/>
      <c r="DM576" s="522"/>
      <c r="DN576" s="200"/>
      <c r="DO576" s="223"/>
      <c r="DP576" s="223"/>
      <c r="DQ576" s="223"/>
      <c r="DR576" s="223"/>
      <c r="DS576" s="223"/>
      <c r="DT576" s="223"/>
      <c r="DU576" s="200"/>
      <c r="DV576" s="200"/>
      <c r="DW576" s="522"/>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2"/>
      <c r="R577" s="200"/>
      <c r="S577" s="223"/>
      <c r="T577" s="223"/>
      <c r="U577" s="223"/>
      <c r="V577" s="223"/>
      <c r="W577" s="223"/>
      <c r="X577" s="223"/>
      <c r="Y577" s="200"/>
      <c r="Z577" s="200"/>
      <c r="AA577" s="522"/>
      <c r="AB577" s="200"/>
      <c r="AC577" s="223"/>
      <c r="AD577" s="223"/>
      <c r="AE577" s="223"/>
      <c r="AF577" s="223"/>
      <c r="AG577" s="223"/>
      <c r="AH577" s="223"/>
      <c r="AI577" s="200"/>
      <c r="AJ577" s="200"/>
      <c r="AK577" s="522"/>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2"/>
      <c r="BF577" s="200"/>
      <c r="BG577" s="223"/>
      <c r="BH577" s="223"/>
      <c r="BI577" s="223"/>
      <c r="BJ577" s="223"/>
      <c r="BK577" s="223"/>
      <c r="BL577" s="223"/>
      <c r="BM577" s="200"/>
      <c r="BN577" s="200"/>
      <c r="BO577" s="522"/>
      <c r="BP577" s="200"/>
      <c r="BQ577" s="223"/>
      <c r="BR577" s="223"/>
      <c r="BS577" s="223"/>
      <c r="BT577" s="223"/>
      <c r="BU577" s="223"/>
      <c r="BV577" s="223"/>
      <c r="BW577" s="223"/>
      <c r="BX577" s="200"/>
      <c r="BY577" s="522"/>
      <c r="BZ577" s="200"/>
      <c r="CA577" s="223"/>
      <c r="CB577" s="223"/>
      <c r="CC577" s="223"/>
      <c r="CD577" s="223"/>
      <c r="CE577" s="223"/>
      <c r="CF577" s="223"/>
      <c r="CG577" s="200"/>
      <c r="CH577" s="200"/>
      <c r="CI577" s="522"/>
      <c r="CJ577" s="200"/>
      <c r="CK577" s="223"/>
      <c r="CL577" s="223"/>
      <c r="CM577" s="223"/>
      <c r="CN577" s="223"/>
      <c r="CO577" s="223"/>
      <c r="CP577" s="223"/>
      <c r="CQ577" s="200"/>
      <c r="CR577" s="200"/>
      <c r="CS577" s="522"/>
      <c r="CT577" s="200"/>
      <c r="CU577" s="223"/>
      <c r="CV577" s="223"/>
      <c r="CW577" s="223"/>
      <c r="CX577" s="223"/>
      <c r="CY577" s="223"/>
      <c r="CZ577" s="223"/>
      <c r="DA577" s="223"/>
      <c r="DB577" s="200"/>
      <c r="DC577" s="522"/>
      <c r="DD577" s="200"/>
      <c r="DE577" s="223"/>
      <c r="DF577" s="223"/>
      <c r="DG577" s="223"/>
      <c r="DH577" s="223"/>
      <c r="DI577" s="223"/>
      <c r="DJ577" s="223"/>
      <c r="DK577" s="200"/>
      <c r="DL577" s="200"/>
      <c r="DM577" s="522"/>
      <c r="DN577" s="200"/>
      <c r="DO577" s="223"/>
      <c r="DP577" s="223"/>
      <c r="DQ577" s="223"/>
      <c r="DR577" s="223"/>
      <c r="DS577" s="223"/>
      <c r="DT577" s="223"/>
      <c r="DU577" s="200"/>
      <c r="DV577" s="200"/>
      <c r="DW577" s="522"/>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2"/>
      <c r="R578" s="200"/>
      <c r="S578" s="223"/>
      <c r="T578" s="223"/>
      <c r="U578" s="223"/>
      <c r="V578" s="223"/>
      <c r="W578" s="223"/>
      <c r="X578" s="223"/>
      <c r="Y578" s="200"/>
      <c r="Z578" s="200"/>
      <c r="AA578" s="522"/>
      <c r="AB578" s="200"/>
      <c r="AC578" s="223"/>
      <c r="AD578" s="223"/>
      <c r="AE578" s="223"/>
      <c r="AF578" s="223"/>
      <c r="AG578" s="223"/>
      <c r="AH578" s="223"/>
      <c r="AI578" s="200"/>
      <c r="AJ578" s="200"/>
      <c r="AK578" s="522"/>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2"/>
      <c r="BF578" s="200"/>
      <c r="BG578" s="223"/>
      <c r="BH578" s="223"/>
      <c r="BI578" s="223"/>
      <c r="BJ578" s="223"/>
      <c r="BK578" s="223"/>
      <c r="BL578" s="223"/>
      <c r="BM578" s="200"/>
      <c r="BN578" s="200"/>
      <c r="BO578" s="522"/>
      <c r="BP578" s="200"/>
      <c r="BQ578" s="223"/>
      <c r="BR578" s="223"/>
      <c r="BS578" s="223"/>
      <c r="BT578" s="223"/>
      <c r="BU578" s="223"/>
      <c r="BV578" s="223"/>
      <c r="BW578" s="223"/>
      <c r="BX578" s="200"/>
      <c r="BY578" s="522"/>
      <c r="BZ578" s="200"/>
      <c r="CA578" s="223"/>
      <c r="CB578" s="223"/>
      <c r="CC578" s="223"/>
      <c r="CD578" s="223"/>
      <c r="CE578" s="223"/>
      <c r="CF578" s="223"/>
      <c r="CG578" s="200"/>
      <c r="CH578" s="200"/>
      <c r="CI578" s="522"/>
      <c r="CJ578" s="200"/>
      <c r="CK578" s="223"/>
      <c r="CL578" s="223"/>
      <c r="CM578" s="223"/>
      <c r="CN578" s="223"/>
      <c r="CO578" s="223"/>
      <c r="CP578" s="223"/>
      <c r="CQ578" s="200"/>
      <c r="CR578" s="200"/>
      <c r="CS578" s="522"/>
      <c r="CT578" s="200"/>
      <c r="CU578" s="223"/>
      <c r="CV578" s="223"/>
      <c r="CW578" s="223"/>
      <c r="CX578" s="223"/>
      <c r="CY578" s="223"/>
      <c r="CZ578" s="223"/>
      <c r="DA578" s="223"/>
      <c r="DB578" s="200"/>
      <c r="DC578" s="522"/>
      <c r="DD578" s="200"/>
      <c r="DE578" s="223"/>
      <c r="DF578" s="223"/>
      <c r="DG578" s="223"/>
      <c r="DH578" s="223"/>
      <c r="DI578" s="223"/>
      <c r="DJ578" s="223"/>
      <c r="DK578" s="200"/>
      <c r="DL578" s="200"/>
      <c r="DM578" s="522"/>
      <c r="DN578" s="200"/>
      <c r="DO578" s="223"/>
      <c r="DP578" s="223"/>
      <c r="DQ578" s="223"/>
      <c r="DR578" s="223"/>
      <c r="DS578" s="223"/>
      <c r="DT578" s="223"/>
      <c r="DU578" s="200"/>
      <c r="DV578" s="200"/>
      <c r="DW578" s="522"/>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2"/>
      <c r="R579" s="200"/>
      <c r="S579" s="223"/>
      <c r="T579" s="223"/>
      <c r="U579" s="223"/>
      <c r="V579" s="223"/>
      <c r="W579" s="223"/>
      <c r="X579" s="223"/>
      <c r="Y579" s="200"/>
      <c r="Z579" s="200"/>
      <c r="AA579" s="522"/>
      <c r="AB579" s="200"/>
      <c r="AC579" s="223"/>
      <c r="AD579" s="223"/>
      <c r="AE579" s="223"/>
      <c r="AF579" s="223"/>
      <c r="AG579" s="223"/>
      <c r="AH579" s="223"/>
      <c r="AI579" s="200"/>
      <c r="AJ579" s="200"/>
      <c r="AK579" s="522"/>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2"/>
      <c r="BF579" s="200"/>
      <c r="BG579" s="223"/>
      <c r="BH579" s="223"/>
      <c r="BI579" s="223"/>
      <c r="BJ579" s="223"/>
      <c r="BK579" s="223"/>
      <c r="BL579" s="223"/>
      <c r="BM579" s="200"/>
      <c r="BN579" s="200"/>
      <c r="BO579" s="522"/>
      <c r="BP579" s="200"/>
      <c r="BQ579" s="223"/>
      <c r="BR579" s="223"/>
      <c r="BS579" s="223"/>
      <c r="BT579" s="223"/>
      <c r="BU579" s="223"/>
      <c r="BV579" s="223"/>
      <c r="BW579" s="223"/>
      <c r="BX579" s="200"/>
      <c r="BY579" s="522"/>
      <c r="BZ579" s="200"/>
      <c r="CA579" s="223"/>
      <c r="CB579" s="223"/>
      <c r="CC579" s="223"/>
      <c r="CD579" s="223"/>
      <c r="CE579" s="223"/>
      <c r="CF579" s="223"/>
      <c r="CG579" s="200"/>
      <c r="CH579" s="200"/>
      <c r="CI579" s="522"/>
      <c r="CJ579" s="200"/>
      <c r="CK579" s="223"/>
      <c r="CL579" s="223"/>
      <c r="CM579" s="223"/>
      <c r="CN579" s="223"/>
      <c r="CO579" s="223"/>
      <c r="CP579" s="223"/>
      <c r="CQ579" s="200"/>
      <c r="CR579" s="200"/>
      <c r="CS579" s="522"/>
      <c r="CT579" s="200"/>
      <c r="CU579" s="223"/>
      <c r="CV579" s="223"/>
      <c r="CW579" s="223"/>
      <c r="CX579" s="223"/>
      <c r="CY579" s="223"/>
      <c r="CZ579" s="223"/>
      <c r="DA579" s="223"/>
      <c r="DB579" s="200"/>
      <c r="DC579" s="522"/>
      <c r="DD579" s="200"/>
      <c r="DE579" s="223"/>
      <c r="DF579" s="223"/>
      <c r="DG579" s="223"/>
      <c r="DH579" s="223"/>
      <c r="DI579" s="223"/>
      <c r="DJ579" s="223"/>
      <c r="DK579" s="200"/>
      <c r="DL579" s="200"/>
      <c r="DM579" s="522"/>
      <c r="DN579" s="200"/>
      <c r="DO579" s="223"/>
      <c r="DP579" s="223"/>
      <c r="DQ579" s="223"/>
      <c r="DR579" s="223"/>
      <c r="DS579" s="223"/>
      <c r="DT579" s="223"/>
      <c r="DU579" s="200"/>
      <c r="DV579" s="200"/>
      <c r="DW579" s="522"/>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2"/>
      <c r="R580" s="200"/>
      <c r="S580" s="223"/>
      <c r="T580" s="223"/>
      <c r="U580" s="223"/>
      <c r="V580" s="223"/>
      <c r="W580" s="223"/>
      <c r="X580" s="223"/>
      <c r="Y580" s="200"/>
      <c r="Z580" s="200"/>
      <c r="AA580" s="522"/>
      <c r="AB580" s="200"/>
      <c r="AC580" s="223"/>
      <c r="AD580" s="223"/>
      <c r="AE580" s="223"/>
      <c r="AF580" s="223"/>
      <c r="AG580" s="223"/>
      <c r="AH580" s="223"/>
      <c r="AI580" s="200"/>
      <c r="AJ580" s="200"/>
      <c r="AK580" s="522"/>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2"/>
      <c r="BF580" s="200"/>
      <c r="BG580" s="223"/>
      <c r="BH580" s="223"/>
      <c r="BI580" s="223"/>
      <c r="BJ580" s="223"/>
      <c r="BK580" s="223"/>
      <c r="BL580" s="223"/>
      <c r="BM580" s="200"/>
      <c r="BN580" s="200"/>
      <c r="BO580" s="522"/>
      <c r="BP580" s="200"/>
      <c r="BQ580" s="223"/>
      <c r="BR580" s="223"/>
      <c r="BS580" s="223"/>
      <c r="BT580" s="223"/>
      <c r="BU580" s="223"/>
      <c r="BV580" s="223"/>
      <c r="BW580" s="223"/>
      <c r="BX580" s="200"/>
      <c r="BY580" s="522"/>
      <c r="BZ580" s="200"/>
      <c r="CA580" s="223"/>
      <c r="CB580" s="223"/>
      <c r="CC580" s="223"/>
      <c r="CD580" s="223"/>
      <c r="CE580" s="223"/>
      <c r="CF580" s="223"/>
      <c r="CG580" s="200"/>
      <c r="CH580" s="200"/>
      <c r="CI580" s="522"/>
      <c r="CJ580" s="200"/>
      <c r="CK580" s="223"/>
      <c r="CL580" s="223"/>
      <c r="CM580" s="223"/>
      <c r="CN580" s="223"/>
      <c r="CO580" s="223"/>
      <c r="CP580" s="223"/>
      <c r="CQ580" s="200"/>
      <c r="CR580" s="200"/>
      <c r="CS580" s="522"/>
      <c r="CT580" s="200"/>
      <c r="CU580" s="223"/>
      <c r="CV580" s="223"/>
      <c r="CW580" s="223"/>
      <c r="CX580" s="223"/>
      <c r="CY580" s="223"/>
      <c r="CZ580" s="223"/>
      <c r="DA580" s="223"/>
      <c r="DB580" s="200"/>
      <c r="DC580" s="522"/>
      <c r="DD580" s="200"/>
      <c r="DE580" s="223"/>
      <c r="DF580" s="223"/>
      <c r="DG580" s="223"/>
      <c r="DH580" s="223"/>
      <c r="DI580" s="223"/>
      <c r="DJ580" s="223"/>
      <c r="DK580" s="200"/>
      <c r="DL580" s="200"/>
      <c r="DM580" s="522"/>
      <c r="DN580" s="200"/>
      <c r="DO580" s="223"/>
      <c r="DP580" s="223"/>
      <c r="DQ580" s="223"/>
      <c r="DR580" s="223"/>
      <c r="DS580" s="223"/>
      <c r="DT580" s="223"/>
      <c r="DU580" s="200"/>
      <c r="DV580" s="200"/>
      <c r="DW580" s="522"/>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2"/>
      <c r="R581" s="200"/>
      <c r="S581" s="223"/>
      <c r="T581" s="223"/>
      <c r="U581" s="223"/>
      <c r="V581" s="223"/>
      <c r="W581" s="223"/>
      <c r="X581" s="223"/>
      <c r="Y581" s="200"/>
      <c r="Z581" s="200"/>
      <c r="AA581" s="522"/>
      <c r="AB581" s="200"/>
      <c r="AC581" s="223"/>
      <c r="AD581" s="223"/>
      <c r="AE581" s="223"/>
      <c r="AF581" s="223"/>
      <c r="AG581" s="223"/>
      <c r="AH581" s="223"/>
      <c r="AI581" s="200"/>
      <c r="AJ581" s="200"/>
      <c r="AK581" s="522"/>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2"/>
      <c r="BF581" s="200"/>
      <c r="BG581" s="223"/>
      <c r="BH581" s="223"/>
      <c r="BI581" s="223"/>
      <c r="BJ581" s="223"/>
      <c r="BK581" s="223"/>
      <c r="BL581" s="223"/>
      <c r="BM581" s="200"/>
      <c r="BN581" s="200"/>
      <c r="BO581" s="522"/>
      <c r="BP581" s="200"/>
      <c r="BQ581" s="223"/>
      <c r="BR581" s="223"/>
      <c r="BS581" s="223"/>
      <c r="BT581" s="223"/>
      <c r="BU581" s="223"/>
      <c r="BV581" s="223"/>
      <c r="BW581" s="223"/>
      <c r="BX581" s="200"/>
      <c r="BY581" s="522"/>
      <c r="BZ581" s="200"/>
      <c r="CA581" s="223"/>
      <c r="CB581" s="223"/>
      <c r="CC581" s="223"/>
      <c r="CD581" s="223"/>
      <c r="CE581" s="223"/>
      <c r="CF581" s="223"/>
      <c r="CG581" s="200"/>
      <c r="CH581" s="200"/>
      <c r="CI581" s="522"/>
      <c r="CJ581" s="200"/>
      <c r="CK581" s="223"/>
      <c r="CL581" s="223"/>
      <c r="CM581" s="223"/>
      <c r="CN581" s="223"/>
      <c r="CO581" s="223"/>
      <c r="CP581" s="223"/>
      <c r="CQ581" s="200"/>
      <c r="CR581" s="200"/>
      <c r="CS581" s="522"/>
      <c r="CT581" s="200"/>
      <c r="CU581" s="223"/>
      <c r="CV581" s="223"/>
      <c r="CW581" s="223"/>
      <c r="CX581" s="223"/>
      <c r="CY581" s="223"/>
      <c r="CZ581" s="223"/>
      <c r="DA581" s="223"/>
      <c r="DB581" s="200"/>
      <c r="DC581" s="522"/>
      <c r="DD581" s="200"/>
      <c r="DE581" s="223"/>
      <c r="DF581" s="223"/>
      <c r="DG581" s="223"/>
      <c r="DH581" s="223"/>
      <c r="DI581" s="223"/>
      <c r="DJ581" s="223"/>
      <c r="DK581" s="200"/>
      <c r="DL581" s="200"/>
      <c r="DM581" s="522"/>
      <c r="DN581" s="200"/>
      <c r="DO581" s="223"/>
      <c r="DP581" s="223"/>
      <c r="DQ581" s="223"/>
      <c r="DR581" s="223"/>
      <c r="DS581" s="223"/>
      <c r="DT581" s="223"/>
      <c r="DU581" s="200"/>
      <c r="DV581" s="200"/>
      <c r="DW581" s="522"/>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2"/>
      <c r="R582" s="200"/>
      <c r="S582" s="223"/>
      <c r="T582" s="223"/>
      <c r="U582" s="223"/>
      <c r="V582" s="223"/>
      <c r="W582" s="223"/>
      <c r="X582" s="223"/>
      <c r="Y582" s="200"/>
      <c r="Z582" s="200"/>
      <c r="AA582" s="522"/>
      <c r="AB582" s="200"/>
      <c r="AC582" s="223"/>
      <c r="AD582" s="223"/>
      <c r="AE582" s="223"/>
      <c r="AF582" s="223"/>
      <c r="AG582" s="223"/>
      <c r="AH582" s="223"/>
      <c r="AI582" s="200"/>
      <c r="AJ582" s="200"/>
      <c r="AK582" s="522"/>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2"/>
      <c r="BF582" s="200"/>
      <c r="BG582" s="223"/>
      <c r="BH582" s="223"/>
      <c r="BI582" s="223"/>
      <c r="BJ582" s="223"/>
      <c r="BK582" s="223"/>
      <c r="BL582" s="223"/>
      <c r="BM582" s="200"/>
      <c r="BN582" s="200"/>
      <c r="BO582" s="522"/>
      <c r="BP582" s="200"/>
      <c r="BQ582" s="223"/>
      <c r="BR582" s="223"/>
      <c r="BS582" s="223"/>
      <c r="BT582" s="223"/>
      <c r="BU582" s="223"/>
      <c r="BV582" s="223"/>
      <c r="BW582" s="223"/>
      <c r="BX582" s="200"/>
      <c r="BY582" s="522"/>
      <c r="BZ582" s="200"/>
      <c r="CA582" s="223"/>
      <c r="CB582" s="223"/>
      <c r="CC582" s="223"/>
      <c r="CD582" s="223"/>
      <c r="CE582" s="223"/>
      <c r="CF582" s="223"/>
      <c r="CG582" s="200"/>
      <c r="CH582" s="200"/>
      <c r="CI582" s="522"/>
      <c r="CJ582" s="200"/>
      <c r="CK582" s="223"/>
      <c r="CL582" s="223"/>
      <c r="CM582" s="223"/>
      <c r="CN582" s="223"/>
      <c r="CO582" s="223"/>
      <c r="CP582" s="223"/>
      <c r="CQ582" s="200"/>
      <c r="CR582" s="200"/>
      <c r="CS582" s="522"/>
      <c r="CT582" s="200"/>
      <c r="CU582" s="223"/>
      <c r="CV582" s="223"/>
      <c r="CW582" s="223"/>
      <c r="CX582" s="223"/>
      <c r="CY582" s="223"/>
      <c r="CZ582" s="223"/>
      <c r="DA582" s="223"/>
      <c r="DB582" s="200"/>
      <c r="DC582" s="522"/>
      <c r="DD582" s="200"/>
      <c r="DE582" s="223"/>
      <c r="DF582" s="223"/>
      <c r="DG582" s="223"/>
      <c r="DH582" s="223"/>
      <c r="DI582" s="223"/>
      <c r="DJ582" s="223"/>
      <c r="DK582" s="200"/>
      <c r="DL582" s="200"/>
      <c r="DM582" s="522"/>
      <c r="DN582" s="200"/>
      <c r="DO582" s="223"/>
      <c r="DP582" s="223"/>
      <c r="DQ582" s="223"/>
      <c r="DR582" s="223"/>
      <c r="DS582" s="223"/>
      <c r="DT582" s="223"/>
      <c r="DU582" s="200"/>
      <c r="DV582" s="200"/>
      <c r="DW582" s="522"/>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2"/>
      <c r="R583" s="200"/>
      <c r="S583" s="223"/>
      <c r="T583" s="223"/>
      <c r="U583" s="223"/>
      <c r="V583" s="223"/>
      <c r="W583" s="223"/>
      <c r="X583" s="223"/>
      <c r="Y583" s="200"/>
      <c r="Z583" s="200"/>
      <c r="AA583" s="522"/>
      <c r="AB583" s="200"/>
      <c r="AC583" s="223"/>
      <c r="AD583" s="223"/>
      <c r="AE583" s="223"/>
      <c r="AF583" s="223"/>
      <c r="AG583" s="223"/>
      <c r="AH583" s="223"/>
      <c r="AI583" s="200"/>
      <c r="AJ583" s="200"/>
      <c r="AK583" s="522"/>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2"/>
      <c r="BF583" s="200"/>
      <c r="BG583" s="223"/>
      <c r="BH583" s="223"/>
      <c r="BI583" s="223"/>
      <c r="BJ583" s="223"/>
      <c r="BK583" s="223"/>
      <c r="BL583" s="223"/>
      <c r="BM583" s="200"/>
      <c r="BN583" s="200"/>
      <c r="BO583" s="522"/>
      <c r="BP583" s="200"/>
      <c r="BQ583" s="223"/>
      <c r="BR583" s="223"/>
      <c r="BS583" s="223"/>
      <c r="BT583" s="223"/>
      <c r="BU583" s="223"/>
      <c r="BV583" s="223"/>
      <c r="BW583" s="223"/>
      <c r="BX583" s="200"/>
      <c r="BY583" s="522"/>
      <c r="BZ583" s="200"/>
      <c r="CA583" s="223"/>
      <c r="CB583" s="223"/>
      <c r="CC583" s="223"/>
      <c r="CD583" s="223"/>
      <c r="CE583" s="223"/>
      <c r="CF583" s="223"/>
      <c r="CG583" s="200"/>
      <c r="CH583" s="200"/>
      <c r="CI583" s="522"/>
      <c r="CJ583" s="200"/>
      <c r="CK583" s="223"/>
      <c r="CL583" s="223"/>
      <c r="CM583" s="223"/>
      <c r="CN583" s="223"/>
      <c r="CO583" s="223"/>
      <c r="CP583" s="223"/>
      <c r="CQ583" s="200"/>
      <c r="CR583" s="200"/>
      <c r="CS583" s="522"/>
      <c r="CT583" s="200"/>
      <c r="CU583" s="223"/>
      <c r="CV583" s="223"/>
      <c r="CW583" s="223"/>
      <c r="CX583" s="223"/>
      <c r="CY583" s="223"/>
      <c r="CZ583" s="223"/>
      <c r="DA583" s="223"/>
      <c r="DB583" s="200"/>
      <c r="DC583" s="522"/>
      <c r="DD583" s="200"/>
      <c r="DE583" s="223"/>
      <c r="DF583" s="223"/>
      <c r="DG583" s="223"/>
      <c r="DH583" s="223"/>
      <c r="DI583" s="223"/>
      <c r="DJ583" s="223"/>
      <c r="DK583" s="200"/>
      <c r="DL583" s="200"/>
      <c r="DM583" s="522"/>
      <c r="DN583" s="200"/>
      <c r="DO583" s="223"/>
      <c r="DP583" s="223"/>
      <c r="DQ583" s="223"/>
      <c r="DR583" s="223"/>
      <c r="DS583" s="223"/>
      <c r="DT583" s="223"/>
      <c r="DU583" s="200"/>
      <c r="DV583" s="200"/>
      <c r="DW583" s="522"/>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2"/>
      <c r="R584" s="200"/>
      <c r="S584" s="223"/>
      <c r="T584" s="223"/>
      <c r="U584" s="223"/>
      <c r="V584" s="223"/>
      <c r="W584" s="223"/>
      <c r="X584" s="223"/>
      <c r="Y584" s="200"/>
      <c r="Z584" s="200"/>
      <c r="AA584" s="522"/>
      <c r="AB584" s="200"/>
      <c r="AC584" s="223"/>
      <c r="AD584" s="223"/>
      <c r="AE584" s="223"/>
      <c r="AF584" s="223"/>
      <c r="AG584" s="223"/>
      <c r="AH584" s="223"/>
      <c r="AI584" s="200"/>
      <c r="AJ584" s="200"/>
      <c r="AK584" s="522"/>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2"/>
      <c r="BF584" s="200"/>
      <c r="BG584" s="223"/>
      <c r="BH584" s="223"/>
      <c r="BI584" s="223"/>
      <c r="BJ584" s="223"/>
      <c r="BK584" s="223"/>
      <c r="BL584" s="223"/>
      <c r="BM584" s="200"/>
      <c r="BN584" s="200"/>
      <c r="BO584" s="522"/>
      <c r="BP584" s="200"/>
      <c r="BQ584" s="223"/>
      <c r="BR584" s="223"/>
      <c r="BS584" s="223"/>
      <c r="BT584" s="223"/>
      <c r="BU584" s="223"/>
      <c r="BV584" s="223"/>
      <c r="BW584" s="223"/>
      <c r="BX584" s="200"/>
      <c r="BY584" s="522"/>
      <c r="BZ584" s="200"/>
      <c r="CA584" s="223"/>
      <c r="CB584" s="223"/>
      <c r="CC584" s="223"/>
      <c r="CD584" s="223"/>
      <c r="CE584" s="223"/>
      <c r="CF584" s="223"/>
      <c r="CG584" s="200"/>
      <c r="CH584" s="200"/>
      <c r="CI584" s="522"/>
      <c r="CJ584" s="200"/>
      <c r="CK584" s="223"/>
      <c r="CL584" s="223"/>
      <c r="CM584" s="223"/>
      <c r="CN584" s="223"/>
      <c r="CO584" s="223"/>
      <c r="CP584" s="223"/>
      <c r="CQ584" s="200"/>
      <c r="CR584" s="200"/>
      <c r="CS584" s="522"/>
      <c r="CT584" s="200"/>
      <c r="CU584" s="223"/>
      <c r="CV584" s="223"/>
      <c r="CW584" s="223"/>
      <c r="CX584" s="223"/>
      <c r="CY584" s="223"/>
      <c r="CZ584" s="223"/>
      <c r="DA584" s="223"/>
      <c r="DB584" s="200"/>
      <c r="DC584" s="522"/>
      <c r="DD584" s="200"/>
      <c r="DE584" s="223"/>
      <c r="DF584" s="223"/>
      <c r="DG584" s="223"/>
      <c r="DH584" s="223"/>
      <c r="DI584" s="223"/>
      <c r="DJ584" s="223"/>
      <c r="DK584" s="200"/>
      <c r="DL584" s="200"/>
      <c r="DM584" s="522"/>
      <c r="DN584" s="200"/>
      <c r="DO584" s="223"/>
      <c r="DP584" s="223"/>
      <c r="DQ584" s="223"/>
      <c r="DR584" s="223"/>
      <c r="DS584" s="223"/>
      <c r="DT584" s="223"/>
      <c r="DU584" s="200"/>
      <c r="DV584" s="200"/>
      <c r="DW584" s="522"/>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2"/>
      <c r="R585" s="200"/>
      <c r="S585" s="223"/>
      <c r="T585" s="223"/>
      <c r="U585" s="223"/>
      <c r="V585" s="223"/>
      <c r="W585" s="223"/>
      <c r="X585" s="223"/>
      <c r="Y585" s="200"/>
      <c r="Z585" s="200"/>
      <c r="AA585" s="522"/>
      <c r="AB585" s="200"/>
      <c r="AC585" s="223"/>
      <c r="AD585" s="223"/>
      <c r="AE585" s="223"/>
      <c r="AF585" s="223"/>
      <c r="AG585" s="223"/>
      <c r="AH585" s="223"/>
      <c r="AI585" s="200"/>
      <c r="AJ585" s="200"/>
      <c r="AK585" s="522"/>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2"/>
      <c r="BF585" s="200"/>
      <c r="BG585" s="223"/>
      <c r="BH585" s="223"/>
      <c r="BI585" s="223"/>
      <c r="BJ585" s="223"/>
      <c r="BK585" s="223"/>
      <c r="BL585" s="223"/>
      <c r="BM585" s="200"/>
      <c r="BN585" s="200"/>
      <c r="BO585" s="522"/>
      <c r="BP585" s="200"/>
      <c r="BQ585" s="223"/>
      <c r="BR585" s="223"/>
      <c r="BS585" s="223"/>
      <c r="BT585" s="223"/>
      <c r="BU585" s="223"/>
      <c r="BV585" s="223"/>
      <c r="BW585" s="223"/>
      <c r="BX585" s="200"/>
      <c r="BY585" s="522"/>
      <c r="BZ585" s="200"/>
      <c r="CA585" s="223"/>
      <c r="CB585" s="223"/>
      <c r="CC585" s="223"/>
      <c r="CD585" s="223"/>
      <c r="CE585" s="223"/>
      <c r="CF585" s="223"/>
      <c r="CG585" s="200"/>
      <c r="CH585" s="200"/>
      <c r="CI585" s="522"/>
      <c r="CJ585" s="200"/>
      <c r="CK585" s="223"/>
      <c r="CL585" s="223"/>
      <c r="CM585" s="223"/>
      <c r="CN585" s="223"/>
      <c r="CO585" s="223"/>
      <c r="CP585" s="223"/>
      <c r="CQ585" s="200"/>
      <c r="CR585" s="200"/>
      <c r="CS585" s="522"/>
      <c r="CT585" s="200"/>
      <c r="CU585" s="223"/>
      <c r="CV585" s="223"/>
      <c r="CW585" s="223"/>
      <c r="CX585" s="223"/>
      <c r="CY585" s="223"/>
      <c r="CZ585" s="223"/>
      <c r="DA585" s="223"/>
      <c r="DB585" s="200"/>
      <c r="DC585" s="522"/>
      <c r="DD585" s="200"/>
      <c r="DE585" s="223"/>
      <c r="DF585" s="223"/>
      <c r="DG585" s="223"/>
      <c r="DH585" s="223"/>
      <c r="DI585" s="223"/>
      <c r="DJ585" s="223"/>
      <c r="DK585" s="200"/>
      <c r="DL585" s="200"/>
      <c r="DM585" s="522"/>
      <c r="DN585" s="200"/>
      <c r="DO585" s="223"/>
      <c r="DP585" s="223"/>
      <c r="DQ585" s="223"/>
      <c r="DR585" s="223"/>
      <c r="DS585" s="223"/>
      <c r="DT585" s="223"/>
      <c r="DU585" s="200"/>
      <c r="DV585" s="200"/>
      <c r="DW585" s="522"/>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2"/>
      <c r="R586" s="200"/>
      <c r="S586" s="223"/>
      <c r="T586" s="223"/>
      <c r="U586" s="223"/>
      <c r="V586" s="223"/>
      <c r="W586" s="223"/>
      <c r="X586" s="223"/>
      <c r="Y586" s="200"/>
      <c r="Z586" s="200"/>
      <c r="AA586" s="522"/>
      <c r="AB586" s="200"/>
      <c r="AC586" s="223"/>
      <c r="AD586" s="223"/>
      <c r="AE586" s="223"/>
      <c r="AF586" s="223"/>
      <c r="AG586" s="223"/>
      <c r="AH586" s="223"/>
      <c r="AI586" s="200"/>
      <c r="AJ586" s="200"/>
      <c r="AK586" s="522"/>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2"/>
      <c r="BF586" s="200"/>
      <c r="BG586" s="223"/>
      <c r="BH586" s="223"/>
      <c r="BI586" s="223"/>
      <c r="BJ586" s="223"/>
      <c r="BK586" s="223"/>
      <c r="BL586" s="223"/>
      <c r="BM586" s="200"/>
      <c r="BN586" s="200"/>
      <c r="BO586" s="522"/>
      <c r="BP586" s="200"/>
      <c r="BQ586" s="223"/>
      <c r="BR586" s="223"/>
      <c r="BS586" s="223"/>
      <c r="BT586" s="223"/>
      <c r="BU586" s="223"/>
      <c r="BV586" s="223"/>
      <c r="BW586" s="223"/>
      <c r="BX586" s="200"/>
      <c r="BY586" s="522"/>
      <c r="BZ586" s="200"/>
      <c r="CA586" s="223"/>
      <c r="CB586" s="223"/>
      <c r="CC586" s="223"/>
      <c r="CD586" s="223"/>
      <c r="CE586" s="223"/>
      <c r="CF586" s="223"/>
      <c r="CG586" s="200"/>
      <c r="CH586" s="200"/>
      <c r="CI586" s="522"/>
      <c r="CJ586" s="200"/>
      <c r="CK586" s="223"/>
      <c r="CL586" s="223"/>
      <c r="CM586" s="223"/>
      <c r="CN586" s="223"/>
      <c r="CO586" s="223"/>
      <c r="CP586" s="223"/>
      <c r="CQ586" s="200"/>
      <c r="CR586" s="200"/>
      <c r="CS586" s="522"/>
      <c r="CT586" s="200"/>
      <c r="CU586" s="223"/>
      <c r="CV586" s="223"/>
      <c r="CW586" s="223"/>
      <c r="CX586" s="223"/>
      <c r="CY586" s="223"/>
      <c r="CZ586" s="223"/>
      <c r="DA586" s="223"/>
      <c r="DB586" s="200"/>
      <c r="DC586" s="522"/>
      <c r="DD586" s="200"/>
      <c r="DE586" s="223"/>
      <c r="DF586" s="223"/>
      <c r="DG586" s="223"/>
      <c r="DH586" s="223"/>
      <c r="DI586" s="223"/>
      <c r="DJ586" s="223"/>
      <c r="DK586" s="200"/>
      <c r="DL586" s="200"/>
      <c r="DM586" s="522"/>
      <c r="DN586" s="200"/>
      <c r="DO586" s="223"/>
      <c r="DP586" s="223"/>
      <c r="DQ586" s="223"/>
      <c r="DR586" s="223"/>
      <c r="DS586" s="223"/>
      <c r="DT586" s="223"/>
      <c r="DU586" s="200"/>
      <c r="DV586" s="200"/>
      <c r="DW586" s="522"/>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2"/>
      <c r="R587" s="200"/>
      <c r="S587" s="223"/>
      <c r="T587" s="223"/>
      <c r="U587" s="223"/>
      <c r="V587" s="223"/>
      <c r="W587" s="223"/>
      <c r="X587" s="223"/>
      <c r="Y587" s="200"/>
      <c r="Z587" s="200"/>
      <c r="AA587" s="522"/>
      <c r="AB587" s="200"/>
      <c r="AC587" s="223"/>
      <c r="AD587" s="223"/>
      <c r="AE587" s="223"/>
      <c r="AF587" s="223"/>
      <c r="AG587" s="223"/>
      <c r="AH587" s="223"/>
      <c r="AI587" s="200"/>
      <c r="AJ587" s="200"/>
      <c r="AK587" s="522"/>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2"/>
      <c r="BF587" s="200"/>
      <c r="BG587" s="223"/>
      <c r="BH587" s="223"/>
      <c r="BI587" s="223"/>
      <c r="BJ587" s="223"/>
      <c r="BK587" s="223"/>
      <c r="BL587" s="223"/>
      <c r="BM587" s="200"/>
      <c r="BN587" s="200"/>
      <c r="BO587" s="522"/>
      <c r="BP587" s="200"/>
      <c r="BQ587" s="223"/>
      <c r="BR587" s="223"/>
      <c r="BS587" s="223"/>
      <c r="BT587" s="223"/>
      <c r="BU587" s="223"/>
      <c r="BV587" s="223"/>
      <c r="BW587" s="223"/>
      <c r="BX587" s="200"/>
      <c r="BY587" s="522"/>
      <c r="BZ587" s="200"/>
      <c r="CA587" s="223"/>
      <c r="CB587" s="223"/>
      <c r="CC587" s="223"/>
      <c r="CD587" s="223"/>
      <c r="CE587" s="223"/>
      <c r="CF587" s="223"/>
      <c r="CG587" s="200"/>
      <c r="CH587" s="200"/>
      <c r="CI587" s="522"/>
      <c r="CJ587" s="200"/>
      <c r="CK587" s="223"/>
      <c r="CL587" s="223"/>
      <c r="CM587" s="223"/>
      <c r="CN587" s="223"/>
      <c r="CO587" s="223"/>
      <c r="CP587" s="223"/>
      <c r="CQ587" s="200"/>
      <c r="CR587" s="200"/>
      <c r="CS587" s="522"/>
      <c r="CT587" s="200"/>
      <c r="CU587" s="223"/>
      <c r="CV587" s="223"/>
      <c r="CW587" s="223"/>
      <c r="CX587" s="223"/>
      <c r="CY587" s="223"/>
      <c r="CZ587" s="223"/>
      <c r="DA587" s="223"/>
      <c r="DB587" s="200"/>
      <c r="DC587" s="522"/>
      <c r="DD587" s="200"/>
      <c r="DE587" s="223"/>
      <c r="DF587" s="223"/>
      <c r="DG587" s="223"/>
      <c r="DH587" s="223"/>
      <c r="DI587" s="223"/>
      <c r="DJ587" s="223"/>
      <c r="DK587" s="200"/>
      <c r="DL587" s="200"/>
      <c r="DM587" s="522"/>
      <c r="DN587" s="200"/>
      <c r="DO587" s="223"/>
      <c r="DP587" s="223"/>
      <c r="DQ587" s="223"/>
      <c r="DR587" s="223"/>
      <c r="DS587" s="223"/>
      <c r="DT587" s="223"/>
      <c r="DU587" s="200"/>
      <c r="DV587" s="200"/>
      <c r="DW587" s="522"/>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2"/>
      <c r="R588" s="200"/>
      <c r="S588" s="223"/>
      <c r="T588" s="223"/>
      <c r="U588" s="223"/>
      <c r="V588" s="223"/>
      <c r="W588" s="223"/>
      <c r="X588" s="223"/>
      <c r="Y588" s="200"/>
      <c r="Z588" s="200"/>
      <c r="AA588" s="522"/>
      <c r="AB588" s="200"/>
      <c r="AC588" s="223"/>
      <c r="AD588" s="223"/>
      <c r="AE588" s="223"/>
      <c r="AF588" s="223"/>
      <c r="AG588" s="223"/>
      <c r="AH588" s="223"/>
      <c r="AI588" s="200"/>
      <c r="AJ588" s="200"/>
      <c r="AK588" s="522"/>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2"/>
      <c r="BF588" s="200"/>
      <c r="BG588" s="223"/>
      <c r="BH588" s="223"/>
      <c r="BI588" s="223"/>
      <c r="BJ588" s="223"/>
      <c r="BK588" s="223"/>
      <c r="BL588" s="223"/>
      <c r="BM588" s="200"/>
      <c r="BN588" s="200"/>
      <c r="BO588" s="522"/>
      <c r="BP588" s="200"/>
      <c r="BQ588" s="223"/>
      <c r="BR588" s="223"/>
      <c r="BS588" s="223"/>
      <c r="BT588" s="223"/>
      <c r="BU588" s="223"/>
      <c r="BV588" s="223"/>
      <c r="BW588" s="223"/>
      <c r="BX588" s="200"/>
      <c r="BY588" s="522"/>
      <c r="BZ588" s="200"/>
      <c r="CA588" s="223"/>
      <c r="CB588" s="223"/>
      <c r="CC588" s="223"/>
      <c r="CD588" s="223"/>
      <c r="CE588" s="223"/>
      <c r="CF588" s="223"/>
      <c r="CG588" s="200"/>
      <c r="CH588" s="200"/>
      <c r="CI588" s="522"/>
      <c r="CJ588" s="200"/>
      <c r="CK588" s="223"/>
      <c r="CL588" s="223"/>
      <c r="CM588" s="223"/>
      <c r="CN588" s="223"/>
      <c r="CO588" s="223"/>
      <c r="CP588" s="223"/>
      <c r="CQ588" s="200"/>
      <c r="CR588" s="200"/>
      <c r="CS588" s="522"/>
      <c r="CT588" s="200"/>
      <c r="CU588" s="223"/>
      <c r="CV588" s="223"/>
      <c r="CW588" s="223"/>
      <c r="CX588" s="223"/>
      <c r="CY588" s="223"/>
      <c r="CZ588" s="223"/>
      <c r="DA588" s="223"/>
      <c r="DB588" s="200"/>
      <c r="DC588" s="522"/>
      <c r="DD588" s="200"/>
      <c r="DE588" s="223"/>
      <c r="DF588" s="223"/>
      <c r="DG588" s="223"/>
      <c r="DH588" s="223"/>
      <c r="DI588" s="223"/>
      <c r="DJ588" s="223"/>
      <c r="DK588" s="200"/>
      <c r="DL588" s="200"/>
      <c r="DM588" s="522"/>
      <c r="DN588" s="200"/>
      <c r="DO588" s="223"/>
      <c r="DP588" s="223"/>
      <c r="DQ588" s="223"/>
      <c r="DR588" s="223"/>
      <c r="DS588" s="223"/>
      <c r="DT588" s="223"/>
      <c r="DU588" s="200"/>
      <c r="DV588" s="200"/>
      <c r="DW588" s="522"/>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2"/>
      <c r="R589" s="200"/>
      <c r="S589" s="223"/>
      <c r="T589" s="223"/>
      <c r="U589" s="223"/>
      <c r="V589" s="223"/>
      <c r="W589" s="223"/>
      <c r="X589" s="223"/>
      <c r="Y589" s="200"/>
      <c r="Z589" s="200"/>
      <c r="AA589" s="522"/>
      <c r="AB589" s="200"/>
      <c r="AC589" s="223"/>
      <c r="AD589" s="223"/>
      <c r="AE589" s="223"/>
      <c r="AF589" s="223"/>
      <c r="AG589" s="223"/>
      <c r="AH589" s="223"/>
      <c r="AI589" s="200"/>
      <c r="AJ589" s="200"/>
      <c r="AK589" s="522"/>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2"/>
      <c r="BF589" s="200"/>
      <c r="BG589" s="223"/>
      <c r="BH589" s="223"/>
      <c r="BI589" s="223"/>
      <c r="BJ589" s="223"/>
      <c r="BK589" s="223"/>
      <c r="BL589" s="223"/>
      <c r="BM589" s="200"/>
      <c r="BN589" s="200"/>
      <c r="BO589" s="522"/>
      <c r="BP589" s="200"/>
      <c r="BQ589" s="223"/>
      <c r="BR589" s="223"/>
      <c r="BS589" s="223"/>
      <c r="BT589" s="223"/>
      <c r="BU589" s="223"/>
      <c r="BV589" s="223"/>
      <c r="BW589" s="223"/>
      <c r="BX589" s="200"/>
      <c r="BY589" s="522"/>
      <c r="BZ589" s="200"/>
      <c r="CA589" s="223"/>
      <c r="CB589" s="223"/>
      <c r="CC589" s="223"/>
      <c r="CD589" s="223"/>
      <c r="CE589" s="223"/>
      <c r="CF589" s="223"/>
      <c r="CG589" s="200"/>
      <c r="CH589" s="200"/>
      <c r="CI589" s="522"/>
      <c r="CJ589" s="200"/>
      <c r="CK589" s="223"/>
      <c r="CL589" s="223"/>
      <c r="CM589" s="223"/>
      <c r="CN589" s="223"/>
      <c r="CO589" s="223"/>
      <c r="CP589" s="223"/>
      <c r="CQ589" s="200"/>
      <c r="CR589" s="200"/>
      <c r="CS589" s="522"/>
      <c r="CT589" s="200"/>
      <c r="CU589" s="223"/>
      <c r="CV589" s="223"/>
      <c r="CW589" s="223"/>
      <c r="CX589" s="223"/>
      <c r="CY589" s="223"/>
      <c r="CZ589" s="223"/>
      <c r="DA589" s="223"/>
      <c r="DB589" s="200"/>
      <c r="DC589" s="522"/>
      <c r="DD589" s="200"/>
      <c r="DE589" s="223"/>
      <c r="DF589" s="223"/>
      <c r="DG589" s="223"/>
      <c r="DH589" s="223"/>
      <c r="DI589" s="223"/>
      <c r="DJ589" s="223"/>
      <c r="DK589" s="200"/>
      <c r="DL589" s="200"/>
      <c r="DM589" s="522"/>
      <c r="DN589" s="200"/>
      <c r="DO589" s="223"/>
      <c r="DP589" s="223"/>
      <c r="DQ589" s="223"/>
      <c r="DR589" s="223"/>
      <c r="DS589" s="223"/>
      <c r="DT589" s="223"/>
      <c r="DU589" s="200"/>
      <c r="DV589" s="200"/>
      <c r="DW589" s="522"/>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2"/>
      <c r="R590" s="200"/>
      <c r="S590" s="223"/>
      <c r="T590" s="223"/>
      <c r="U590" s="223"/>
      <c r="V590" s="223"/>
      <c r="W590" s="223"/>
      <c r="X590" s="223"/>
      <c r="Y590" s="200"/>
      <c r="Z590" s="200"/>
      <c r="AA590" s="522"/>
      <c r="AB590" s="200"/>
      <c r="AC590" s="223"/>
      <c r="AD590" s="223"/>
      <c r="AE590" s="223"/>
      <c r="AF590" s="223"/>
      <c r="AG590" s="223"/>
      <c r="AH590" s="223"/>
      <c r="AI590" s="200"/>
      <c r="AJ590" s="200"/>
      <c r="AK590" s="522"/>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2"/>
      <c r="BF590" s="200"/>
      <c r="BG590" s="223"/>
      <c r="BH590" s="223"/>
      <c r="BI590" s="223"/>
      <c r="BJ590" s="223"/>
      <c r="BK590" s="223"/>
      <c r="BL590" s="223"/>
      <c r="BM590" s="200"/>
      <c r="BN590" s="200"/>
      <c r="BO590" s="522"/>
      <c r="BP590" s="200"/>
      <c r="BQ590" s="223"/>
      <c r="BR590" s="223"/>
      <c r="BS590" s="223"/>
      <c r="BT590" s="223"/>
      <c r="BU590" s="223"/>
      <c r="BV590" s="223"/>
      <c r="BW590" s="223"/>
      <c r="BX590" s="200"/>
      <c r="BY590" s="522"/>
      <c r="BZ590" s="200"/>
      <c r="CA590" s="223"/>
      <c r="CB590" s="223"/>
      <c r="CC590" s="223"/>
      <c r="CD590" s="223"/>
      <c r="CE590" s="223"/>
      <c r="CF590" s="223"/>
      <c r="CG590" s="200"/>
      <c r="CH590" s="200"/>
      <c r="CI590" s="522"/>
      <c r="CJ590" s="200"/>
      <c r="CK590" s="223"/>
      <c r="CL590" s="223"/>
      <c r="CM590" s="223"/>
      <c r="CN590" s="223"/>
      <c r="CO590" s="223"/>
      <c r="CP590" s="223"/>
      <c r="CQ590" s="200"/>
      <c r="CR590" s="200"/>
      <c r="CS590" s="522"/>
      <c r="CT590" s="200"/>
      <c r="CU590" s="223"/>
      <c r="CV590" s="223"/>
      <c r="CW590" s="223"/>
      <c r="CX590" s="223"/>
      <c r="CY590" s="223"/>
      <c r="CZ590" s="223"/>
      <c r="DA590" s="223"/>
      <c r="DB590" s="200"/>
      <c r="DC590" s="522"/>
      <c r="DD590" s="200"/>
      <c r="DE590" s="223"/>
      <c r="DF590" s="223"/>
      <c r="DG590" s="223"/>
      <c r="DH590" s="223"/>
      <c r="DI590" s="223"/>
      <c r="DJ590" s="223"/>
      <c r="DK590" s="200"/>
      <c r="DL590" s="200"/>
      <c r="DM590" s="522"/>
      <c r="DN590" s="200"/>
      <c r="DO590" s="223"/>
      <c r="DP590" s="223"/>
      <c r="DQ590" s="223"/>
      <c r="DR590" s="223"/>
      <c r="DS590" s="223"/>
      <c r="DT590" s="223"/>
      <c r="DU590" s="200"/>
      <c r="DV590" s="200"/>
      <c r="DW590" s="522"/>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2"/>
      <c r="R591" s="200"/>
      <c r="S591" s="223"/>
      <c r="T591" s="223"/>
      <c r="U591" s="223"/>
      <c r="V591" s="223"/>
      <c r="W591" s="223"/>
      <c r="X591" s="223"/>
      <c r="Y591" s="200"/>
      <c r="Z591" s="200"/>
      <c r="AA591" s="522"/>
      <c r="AB591" s="200"/>
      <c r="AC591" s="223"/>
      <c r="AD591" s="223"/>
      <c r="AE591" s="223"/>
      <c r="AF591" s="223"/>
      <c r="AG591" s="223"/>
      <c r="AH591" s="223"/>
      <c r="AI591" s="200"/>
      <c r="AJ591" s="200"/>
      <c r="AK591" s="522"/>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2"/>
      <c r="BF591" s="200"/>
      <c r="BG591" s="223"/>
      <c r="BH591" s="223"/>
      <c r="BI591" s="223"/>
      <c r="BJ591" s="223"/>
      <c r="BK591" s="223"/>
      <c r="BL591" s="223"/>
      <c r="BM591" s="200"/>
      <c r="BN591" s="200"/>
      <c r="BO591" s="522"/>
      <c r="BP591" s="200"/>
      <c r="BQ591" s="223"/>
      <c r="BR591" s="223"/>
      <c r="BS591" s="223"/>
      <c r="BT591" s="223"/>
      <c r="BU591" s="223"/>
      <c r="BV591" s="223"/>
      <c r="BW591" s="223"/>
      <c r="BX591" s="200"/>
      <c r="BY591" s="522"/>
      <c r="BZ591" s="200"/>
      <c r="CA591" s="223"/>
      <c r="CB591" s="223"/>
      <c r="CC591" s="223"/>
      <c r="CD591" s="223"/>
      <c r="CE591" s="223"/>
      <c r="CF591" s="223"/>
      <c r="CG591" s="200"/>
      <c r="CH591" s="200"/>
      <c r="CI591" s="522"/>
      <c r="CJ591" s="200"/>
      <c r="CK591" s="223"/>
      <c r="CL591" s="223"/>
      <c r="CM591" s="223"/>
      <c r="CN591" s="223"/>
      <c r="CO591" s="223"/>
      <c r="CP591" s="223"/>
      <c r="CQ591" s="200"/>
      <c r="CR591" s="200"/>
      <c r="CS591" s="522"/>
      <c r="CT591" s="200"/>
      <c r="CU591" s="223"/>
      <c r="CV591" s="223"/>
      <c r="CW591" s="223"/>
      <c r="CX591" s="223"/>
      <c r="CY591" s="223"/>
      <c r="CZ591" s="223"/>
      <c r="DA591" s="223"/>
      <c r="DB591" s="200"/>
      <c r="DC591" s="522"/>
      <c r="DD591" s="200"/>
      <c r="DE591" s="223"/>
      <c r="DF591" s="223"/>
      <c r="DG591" s="223"/>
      <c r="DH591" s="223"/>
      <c r="DI591" s="223"/>
      <c r="DJ591" s="223"/>
      <c r="DK591" s="200"/>
      <c r="DL591" s="200"/>
      <c r="DM591" s="522"/>
      <c r="DN591" s="200"/>
      <c r="DO591" s="223"/>
      <c r="DP591" s="223"/>
      <c r="DQ591" s="223"/>
      <c r="DR591" s="223"/>
      <c r="DS591" s="223"/>
      <c r="DT591" s="223"/>
      <c r="DU591" s="200"/>
      <c r="DV591" s="200"/>
      <c r="DW591" s="522"/>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2"/>
      <c r="R592" s="200"/>
      <c r="S592" s="223"/>
      <c r="T592" s="223"/>
      <c r="U592" s="223"/>
      <c r="V592" s="223"/>
      <c r="W592" s="223"/>
      <c r="X592" s="223"/>
      <c r="Y592" s="200"/>
      <c r="Z592" s="200"/>
      <c r="AA592" s="522"/>
      <c r="AB592" s="200"/>
      <c r="AC592" s="223"/>
      <c r="AD592" s="223"/>
      <c r="AE592" s="223"/>
      <c r="AF592" s="223"/>
      <c r="AG592" s="223"/>
      <c r="AH592" s="223"/>
      <c r="AI592" s="200"/>
      <c r="AJ592" s="200"/>
      <c r="AK592" s="522"/>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2"/>
      <c r="BF592" s="200"/>
      <c r="BG592" s="223"/>
      <c r="BH592" s="223"/>
      <c r="BI592" s="223"/>
      <c r="BJ592" s="223"/>
      <c r="BK592" s="223"/>
      <c r="BL592" s="223"/>
      <c r="BM592" s="200"/>
      <c r="BN592" s="200"/>
      <c r="BO592" s="522"/>
      <c r="BP592" s="200"/>
      <c r="BQ592" s="223"/>
      <c r="BR592" s="223"/>
      <c r="BS592" s="223"/>
      <c r="BT592" s="223"/>
      <c r="BU592" s="223"/>
      <c r="BV592" s="223"/>
      <c r="BW592" s="223"/>
      <c r="BX592" s="200"/>
      <c r="BY592" s="522"/>
      <c r="BZ592" s="200"/>
      <c r="CA592" s="223"/>
      <c r="CB592" s="223"/>
      <c r="CC592" s="223"/>
      <c r="CD592" s="223"/>
      <c r="CE592" s="223"/>
      <c r="CF592" s="223"/>
      <c r="CG592" s="200"/>
      <c r="CH592" s="200"/>
      <c r="CI592" s="522"/>
      <c r="CJ592" s="200"/>
      <c r="CK592" s="223"/>
      <c r="CL592" s="223"/>
      <c r="CM592" s="223"/>
      <c r="CN592" s="223"/>
      <c r="CO592" s="223"/>
      <c r="CP592" s="223"/>
      <c r="CQ592" s="200"/>
      <c r="CR592" s="200"/>
      <c r="CS592" s="522"/>
      <c r="CT592" s="200"/>
      <c r="CU592" s="223"/>
      <c r="CV592" s="223"/>
      <c r="CW592" s="223"/>
      <c r="CX592" s="223"/>
      <c r="CY592" s="223"/>
      <c r="CZ592" s="223"/>
      <c r="DA592" s="223"/>
      <c r="DB592" s="200"/>
      <c r="DC592" s="522"/>
      <c r="DD592" s="200"/>
      <c r="DE592" s="223"/>
      <c r="DF592" s="223"/>
      <c r="DG592" s="223"/>
      <c r="DH592" s="223"/>
      <c r="DI592" s="223"/>
      <c r="DJ592" s="223"/>
      <c r="DK592" s="200"/>
      <c r="DL592" s="200"/>
      <c r="DM592" s="522"/>
      <c r="DN592" s="200"/>
      <c r="DO592" s="223"/>
      <c r="DP592" s="223"/>
      <c r="DQ592" s="223"/>
      <c r="DR592" s="223"/>
      <c r="DS592" s="223"/>
      <c r="DT592" s="223"/>
      <c r="DU592" s="200"/>
      <c r="DV592" s="200"/>
      <c r="DW592" s="522"/>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2"/>
      <c r="R593" s="200"/>
      <c r="S593" s="223"/>
      <c r="T593" s="223"/>
      <c r="U593" s="223"/>
      <c r="V593" s="223"/>
      <c r="W593" s="223"/>
      <c r="X593" s="223"/>
      <c r="Y593" s="200"/>
      <c r="Z593" s="200"/>
      <c r="AA593" s="522"/>
      <c r="AB593" s="200"/>
      <c r="AC593" s="223"/>
      <c r="AD593" s="223"/>
      <c r="AE593" s="223"/>
      <c r="AF593" s="223"/>
      <c r="AG593" s="223"/>
      <c r="AH593" s="223"/>
      <c r="AI593" s="200"/>
      <c r="AJ593" s="200"/>
      <c r="AK593" s="522"/>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2"/>
      <c r="BF593" s="200"/>
      <c r="BG593" s="223"/>
      <c r="BH593" s="223"/>
      <c r="BI593" s="223"/>
      <c r="BJ593" s="223"/>
      <c r="BK593" s="223"/>
      <c r="BL593" s="223"/>
      <c r="BM593" s="200"/>
      <c r="BN593" s="200"/>
      <c r="BO593" s="522"/>
      <c r="BP593" s="200"/>
      <c r="BQ593" s="223"/>
      <c r="BR593" s="223"/>
      <c r="BS593" s="223"/>
      <c r="BT593" s="223"/>
      <c r="BU593" s="223"/>
      <c r="BV593" s="223"/>
      <c r="BW593" s="223"/>
      <c r="BX593" s="200"/>
      <c r="BY593" s="522"/>
      <c r="BZ593" s="200"/>
      <c r="CA593" s="223"/>
      <c r="CB593" s="223"/>
      <c r="CC593" s="223"/>
      <c r="CD593" s="223"/>
      <c r="CE593" s="223"/>
      <c r="CF593" s="223"/>
      <c r="CG593" s="200"/>
      <c r="CH593" s="200"/>
      <c r="CI593" s="522"/>
      <c r="CJ593" s="200"/>
      <c r="CK593" s="223"/>
      <c r="CL593" s="223"/>
      <c r="CM593" s="223"/>
      <c r="CN593" s="223"/>
      <c r="CO593" s="223"/>
      <c r="CP593" s="223"/>
      <c r="CQ593" s="200"/>
      <c r="CR593" s="200"/>
      <c r="CS593" s="522"/>
      <c r="CT593" s="200"/>
      <c r="CU593" s="223"/>
      <c r="CV593" s="223"/>
      <c r="CW593" s="223"/>
      <c r="CX593" s="223"/>
      <c r="CY593" s="223"/>
      <c r="CZ593" s="223"/>
      <c r="DA593" s="223"/>
      <c r="DB593" s="200"/>
      <c r="DC593" s="522"/>
      <c r="DD593" s="200"/>
      <c r="DE593" s="223"/>
      <c r="DF593" s="223"/>
      <c r="DG593" s="223"/>
      <c r="DH593" s="223"/>
      <c r="DI593" s="223"/>
      <c r="DJ593" s="223"/>
      <c r="DK593" s="200"/>
      <c r="DL593" s="200"/>
      <c r="DM593" s="522"/>
      <c r="DN593" s="200"/>
      <c r="DO593" s="223"/>
      <c r="DP593" s="223"/>
      <c r="DQ593" s="223"/>
      <c r="DR593" s="223"/>
      <c r="DS593" s="223"/>
      <c r="DT593" s="223"/>
      <c r="DU593" s="200"/>
      <c r="DV593" s="200"/>
      <c r="DW593" s="522"/>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2"/>
      <c r="R594" s="200"/>
      <c r="S594" s="223"/>
      <c r="T594" s="223"/>
      <c r="U594" s="223"/>
      <c r="V594" s="223"/>
      <c r="W594" s="223"/>
      <c r="X594" s="223"/>
      <c r="Y594" s="200"/>
      <c r="Z594" s="200"/>
      <c r="AA594" s="522"/>
      <c r="AB594" s="200"/>
      <c r="AC594" s="223"/>
      <c r="AD594" s="223"/>
      <c r="AE594" s="223"/>
      <c r="AF594" s="223"/>
      <c r="AG594" s="223"/>
      <c r="AH594" s="223"/>
      <c r="AI594" s="200"/>
      <c r="AJ594" s="200"/>
      <c r="AK594" s="522"/>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2"/>
      <c r="BF594" s="200"/>
      <c r="BG594" s="223"/>
      <c r="BH594" s="223"/>
      <c r="BI594" s="223"/>
      <c r="BJ594" s="223"/>
      <c r="BK594" s="223"/>
      <c r="BL594" s="223"/>
      <c r="BM594" s="200"/>
      <c r="BN594" s="200"/>
      <c r="BO594" s="522"/>
      <c r="BP594" s="200"/>
      <c r="BQ594" s="223"/>
      <c r="BR594" s="223"/>
      <c r="BS594" s="223"/>
      <c r="BT594" s="223"/>
      <c r="BU594" s="223"/>
      <c r="BV594" s="223"/>
      <c r="BW594" s="223"/>
      <c r="BX594" s="200"/>
      <c r="BY594" s="522"/>
      <c r="BZ594" s="200"/>
      <c r="CA594" s="223"/>
      <c r="CB594" s="223"/>
      <c r="CC594" s="223"/>
      <c r="CD594" s="223"/>
      <c r="CE594" s="223"/>
      <c r="CF594" s="223"/>
      <c r="CG594" s="200"/>
      <c r="CH594" s="200"/>
      <c r="CI594" s="522"/>
      <c r="CJ594" s="200"/>
      <c r="CK594" s="223"/>
      <c r="CL594" s="223"/>
      <c r="CM594" s="223"/>
      <c r="CN594" s="223"/>
      <c r="CO594" s="223"/>
      <c r="CP594" s="223"/>
      <c r="CQ594" s="200"/>
      <c r="CR594" s="200"/>
      <c r="CS594" s="522"/>
      <c r="CT594" s="200"/>
      <c r="CU594" s="223"/>
      <c r="CV594" s="223"/>
      <c r="CW594" s="223"/>
      <c r="CX594" s="223"/>
      <c r="CY594" s="223"/>
      <c r="CZ594" s="223"/>
      <c r="DA594" s="223"/>
      <c r="DB594" s="200"/>
      <c r="DC594" s="522"/>
      <c r="DD594" s="200"/>
      <c r="DE594" s="223"/>
      <c r="DF594" s="223"/>
      <c r="DG594" s="223"/>
      <c r="DH594" s="223"/>
      <c r="DI594" s="223"/>
      <c r="DJ594" s="223"/>
      <c r="DK594" s="200"/>
      <c r="DL594" s="200"/>
      <c r="DM594" s="522"/>
      <c r="DN594" s="200"/>
      <c r="DO594" s="223"/>
      <c r="DP594" s="223"/>
      <c r="DQ594" s="223"/>
      <c r="DR594" s="223"/>
      <c r="DS594" s="223"/>
      <c r="DT594" s="223"/>
      <c r="DU594" s="200"/>
      <c r="DV594" s="200"/>
      <c r="DW594" s="522"/>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2"/>
      <c r="R595" s="200"/>
      <c r="S595" s="223"/>
      <c r="T595" s="223"/>
      <c r="U595" s="223"/>
      <c r="V595" s="223"/>
      <c r="W595" s="223"/>
      <c r="X595" s="223"/>
      <c r="Y595" s="200"/>
      <c r="Z595" s="200"/>
      <c r="AA595" s="522"/>
      <c r="AB595" s="200"/>
      <c r="AC595" s="223"/>
      <c r="AD595" s="223"/>
      <c r="AE595" s="223"/>
      <c r="AF595" s="223"/>
      <c r="AG595" s="223"/>
      <c r="AH595" s="223"/>
      <c r="AI595" s="200"/>
      <c r="AJ595" s="200"/>
      <c r="AK595" s="522"/>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2"/>
      <c r="BF595" s="200"/>
      <c r="BG595" s="223"/>
      <c r="BH595" s="223"/>
      <c r="BI595" s="223"/>
      <c r="BJ595" s="223"/>
      <c r="BK595" s="223"/>
      <c r="BL595" s="223"/>
      <c r="BM595" s="200"/>
      <c r="BN595" s="200"/>
      <c r="BO595" s="522"/>
      <c r="BP595" s="200"/>
      <c r="BQ595" s="223"/>
      <c r="BR595" s="223"/>
      <c r="BS595" s="223"/>
      <c r="BT595" s="223"/>
      <c r="BU595" s="223"/>
      <c r="BV595" s="223"/>
      <c r="BW595" s="223"/>
      <c r="BX595" s="200"/>
      <c r="BY595" s="522"/>
      <c r="BZ595" s="200"/>
      <c r="CA595" s="223"/>
      <c r="CB595" s="223"/>
      <c r="CC595" s="223"/>
      <c r="CD595" s="223"/>
      <c r="CE595" s="223"/>
      <c r="CF595" s="223"/>
      <c r="CG595" s="200"/>
      <c r="CH595" s="200"/>
      <c r="CI595" s="522"/>
      <c r="CJ595" s="200"/>
      <c r="CK595" s="223"/>
      <c r="CL595" s="223"/>
      <c r="CM595" s="223"/>
      <c r="CN595" s="223"/>
      <c r="CO595" s="223"/>
      <c r="CP595" s="223"/>
      <c r="CQ595" s="200"/>
      <c r="CR595" s="200"/>
      <c r="CS595" s="522"/>
      <c r="CT595" s="200"/>
      <c r="CU595" s="223"/>
      <c r="CV595" s="223"/>
      <c r="CW595" s="223"/>
      <c r="CX595" s="223"/>
      <c r="CY595" s="223"/>
      <c r="CZ595" s="223"/>
      <c r="DA595" s="223"/>
      <c r="DB595" s="200"/>
      <c r="DC595" s="522"/>
      <c r="DD595" s="200"/>
      <c r="DE595" s="223"/>
      <c r="DF595" s="223"/>
      <c r="DG595" s="223"/>
      <c r="DH595" s="223"/>
      <c r="DI595" s="223"/>
      <c r="DJ595" s="223"/>
      <c r="DK595" s="200"/>
      <c r="DL595" s="200"/>
      <c r="DM595" s="522"/>
      <c r="DN595" s="200"/>
      <c r="DO595" s="223"/>
      <c r="DP595" s="223"/>
      <c r="DQ595" s="223"/>
      <c r="DR595" s="223"/>
      <c r="DS595" s="223"/>
      <c r="DT595" s="223"/>
      <c r="DU595" s="200"/>
      <c r="DV595" s="200"/>
      <c r="DW595" s="522"/>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2"/>
      <c r="R596" s="200"/>
      <c r="S596" s="223"/>
      <c r="T596" s="223"/>
      <c r="U596" s="223"/>
      <c r="V596" s="223"/>
      <c r="W596" s="223"/>
      <c r="X596" s="223"/>
      <c r="Y596" s="200"/>
      <c r="Z596" s="200"/>
      <c r="AA596" s="522"/>
      <c r="AB596" s="200"/>
      <c r="AC596" s="223"/>
      <c r="AD596" s="223"/>
      <c r="AE596" s="223"/>
      <c r="AF596" s="223"/>
      <c r="AG596" s="223"/>
      <c r="AH596" s="223"/>
      <c r="AI596" s="200"/>
      <c r="AJ596" s="200"/>
      <c r="AK596" s="522"/>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2"/>
      <c r="BF596" s="200"/>
      <c r="BG596" s="223"/>
      <c r="BH596" s="223"/>
      <c r="BI596" s="223"/>
      <c r="BJ596" s="223"/>
      <c r="BK596" s="223"/>
      <c r="BL596" s="223"/>
      <c r="BM596" s="200"/>
      <c r="BN596" s="200"/>
      <c r="BO596" s="522"/>
      <c r="BP596" s="200"/>
      <c r="BQ596" s="223"/>
      <c r="BR596" s="223"/>
      <c r="BS596" s="223"/>
      <c r="BT596" s="223"/>
      <c r="BU596" s="223"/>
      <c r="BV596" s="223"/>
      <c r="BW596" s="223"/>
      <c r="BX596" s="200"/>
      <c r="BY596" s="522"/>
      <c r="BZ596" s="200"/>
      <c r="CA596" s="223"/>
      <c r="CB596" s="223"/>
      <c r="CC596" s="223"/>
      <c r="CD596" s="223"/>
      <c r="CE596" s="223"/>
      <c r="CF596" s="223"/>
      <c r="CG596" s="200"/>
      <c r="CH596" s="200"/>
      <c r="CI596" s="522"/>
      <c r="CJ596" s="200"/>
      <c r="CK596" s="223"/>
      <c r="CL596" s="223"/>
      <c r="CM596" s="223"/>
      <c r="CN596" s="223"/>
      <c r="CO596" s="223"/>
      <c r="CP596" s="223"/>
      <c r="CQ596" s="200"/>
      <c r="CR596" s="200"/>
      <c r="CS596" s="522"/>
      <c r="CT596" s="200"/>
      <c r="CU596" s="223"/>
      <c r="CV596" s="223"/>
      <c r="CW596" s="223"/>
      <c r="CX596" s="223"/>
      <c r="CY596" s="223"/>
      <c r="CZ596" s="223"/>
      <c r="DA596" s="223"/>
      <c r="DB596" s="200"/>
      <c r="DC596" s="522"/>
      <c r="DD596" s="200"/>
      <c r="DE596" s="223"/>
      <c r="DF596" s="223"/>
      <c r="DG596" s="223"/>
      <c r="DH596" s="223"/>
      <c r="DI596" s="223"/>
      <c r="DJ596" s="223"/>
      <c r="DK596" s="200"/>
      <c r="DL596" s="200"/>
      <c r="DM596" s="522"/>
      <c r="DN596" s="200"/>
      <c r="DO596" s="223"/>
      <c r="DP596" s="223"/>
      <c r="DQ596" s="223"/>
      <c r="DR596" s="223"/>
      <c r="DS596" s="223"/>
      <c r="DT596" s="223"/>
      <c r="DU596" s="200"/>
      <c r="DV596" s="200"/>
      <c r="DW596" s="522"/>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2"/>
      <c r="R597" s="200"/>
      <c r="S597" s="223"/>
      <c r="T597" s="223"/>
      <c r="U597" s="223"/>
      <c r="V597" s="223"/>
      <c r="W597" s="223"/>
      <c r="X597" s="223"/>
      <c r="Y597" s="200"/>
      <c r="Z597" s="200"/>
      <c r="AA597" s="522"/>
      <c r="AB597" s="200"/>
      <c r="AC597" s="223"/>
      <c r="AD597" s="223"/>
      <c r="AE597" s="223"/>
      <c r="AF597" s="223"/>
      <c r="AG597" s="223"/>
      <c r="AH597" s="223"/>
      <c r="AI597" s="200"/>
      <c r="AJ597" s="200"/>
      <c r="AK597" s="522"/>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2"/>
      <c r="BF597" s="200"/>
      <c r="BG597" s="223"/>
      <c r="BH597" s="223"/>
      <c r="BI597" s="223"/>
      <c r="BJ597" s="223"/>
      <c r="BK597" s="223"/>
      <c r="BL597" s="223"/>
      <c r="BM597" s="200"/>
      <c r="BN597" s="200"/>
      <c r="BO597" s="522"/>
      <c r="BP597" s="200"/>
      <c r="BQ597" s="223"/>
      <c r="BR597" s="223"/>
      <c r="BS597" s="223"/>
      <c r="BT597" s="223"/>
      <c r="BU597" s="223"/>
      <c r="BV597" s="223"/>
      <c r="BW597" s="223"/>
      <c r="BX597" s="200"/>
      <c r="BY597" s="522"/>
      <c r="BZ597" s="200"/>
      <c r="CA597" s="223"/>
      <c r="CB597" s="223"/>
      <c r="CC597" s="223"/>
      <c r="CD597" s="223"/>
      <c r="CE597" s="223"/>
      <c r="CF597" s="223"/>
      <c r="CG597" s="200"/>
      <c r="CH597" s="200"/>
      <c r="CI597" s="522"/>
      <c r="CJ597" s="200"/>
      <c r="CK597" s="223"/>
      <c r="CL597" s="223"/>
      <c r="CM597" s="223"/>
      <c r="CN597" s="223"/>
      <c r="CO597" s="223"/>
      <c r="CP597" s="223"/>
      <c r="CQ597" s="200"/>
      <c r="CR597" s="200"/>
      <c r="CS597" s="522"/>
      <c r="CT597" s="200"/>
      <c r="CU597" s="223"/>
      <c r="CV597" s="223"/>
      <c r="CW597" s="223"/>
      <c r="CX597" s="223"/>
      <c r="CY597" s="223"/>
      <c r="CZ597" s="223"/>
      <c r="DA597" s="223"/>
      <c r="DB597" s="200"/>
      <c r="DC597" s="522"/>
      <c r="DD597" s="200"/>
      <c r="DE597" s="223"/>
      <c r="DF597" s="223"/>
      <c r="DG597" s="223"/>
      <c r="DH597" s="223"/>
      <c r="DI597" s="223"/>
      <c r="DJ597" s="223"/>
      <c r="DK597" s="200"/>
      <c r="DL597" s="200"/>
      <c r="DM597" s="522"/>
      <c r="DN597" s="200"/>
      <c r="DO597" s="223"/>
      <c r="DP597" s="223"/>
      <c r="DQ597" s="223"/>
      <c r="DR597" s="223"/>
      <c r="DS597" s="223"/>
      <c r="DT597" s="223"/>
      <c r="DU597" s="200"/>
      <c r="DV597" s="200"/>
      <c r="DW597" s="522"/>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2"/>
      <c r="R598" s="200"/>
      <c r="S598" s="223"/>
      <c r="T598" s="223"/>
      <c r="U598" s="223"/>
      <c r="V598" s="223"/>
      <c r="W598" s="223"/>
      <c r="X598" s="223"/>
      <c r="Y598" s="200"/>
      <c r="Z598" s="200"/>
      <c r="AA598" s="522"/>
      <c r="AB598" s="200"/>
      <c r="AC598" s="223"/>
      <c r="AD598" s="223"/>
      <c r="AE598" s="223"/>
      <c r="AF598" s="223"/>
      <c r="AG598" s="223"/>
      <c r="AH598" s="223"/>
      <c r="AI598" s="200"/>
      <c r="AJ598" s="200"/>
      <c r="AK598" s="522"/>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2"/>
      <c r="BF598" s="200"/>
      <c r="BG598" s="223"/>
      <c r="BH598" s="223"/>
      <c r="BI598" s="223"/>
      <c r="BJ598" s="223"/>
      <c r="BK598" s="223"/>
      <c r="BL598" s="223"/>
      <c r="BM598" s="200"/>
      <c r="BN598" s="200"/>
      <c r="BO598" s="522"/>
      <c r="BP598" s="200"/>
      <c r="BQ598" s="223"/>
      <c r="BR598" s="223"/>
      <c r="BS598" s="223"/>
      <c r="BT598" s="223"/>
      <c r="BU598" s="223"/>
      <c r="BV598" s="223"/>
      <c r="BW598" s="223"/>
      <c r="BX598" s="200"/>
      <c r="BY598" s="522"/>
      <c r="BZ598" s="200"/>
      <c r="CA598" s="223"/>
      <c r="CB598" s="223"/>
      <c r="CC598" s="223"/>
      <c r="CD598" s="223"/>
      <c r="CE598" s="223"/>
      <c r="CF598" s="223"/>
      <c r="CG598" s="200"/>
      <c r="CH598" s="200"/>
      <c r="CI598" s="522"/>
      <c r="CJ598" s="200"/>
      <c r="CK598" s="223"/>
      <c r="CL598" s="223"/>
      <c r="CM598" s="223"/>
      <c r="CN598" s="223"/>
      <c r="CO598" s="223"/>
      <c r="CP598" s="223"/>
      <c r="CQ598" s="200"/>
      <c r="CR598" s="200"/>
      <c r="CS598" s="522"/>
      <c r="CT598" s="200"/>
      <c r="CU598" s="223"/>
      <c r="CV598" s="223"/>
      <c r="CW598" s="223"/>
      <c r="CX598" s="223"/>
      <c r="CY598" s="223"/>
      <c r="CZ598" s="223"/>
      <c r="DA598" s="223"/>
      <c r="DB598" s="200"/>
      <c r="DC598" s="522"/>
      <c r="DD598" s="200"/>
      <c r="DE598" s="223"/>
      <c r="DF598" s="223"/>
      <c r="DG598" s="223"/>
      <c r="DH598" s="223"/>
      <c r="DI598" s="223"/>
      <c r="DJ598" s="223"/>
      <c r="DK598" s="200"/>
      <c r="DL598" s="200"/>
      <c r="DM598" s="522"/>
      <c r="DN598" s="200"/>
      <c r="DO598" s="223"/>
      <c r="DP598" s="223"/>
      <c r="DQ598" s="223"/>
      <c r="DR598" s="223"/>
      <c r="DS598" s="223"/>
      <c r="DT598" s="223"/>
      <c r="DU598" s="200"/>
      <c r="DV598" s="200"/>
      <c r="DW598" s="522"/>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2"/>
      <c r="R599" s="200"/>
      <c r="S599" s="223"/>
      <c r="T599" s="223"/>
      <c r="U599" s="223"/>
      <c r="V599" s="223"/>
      <c r="W599" s="223"/>
      <c r="X599" s="223"/>
      <c r="Y599" s="200"/>
      <c r="Z599" s="200"/>
      <c r="AA599" s="522"/>
      <c r="AB599" s="200"/>
      <c r="AC599" s="223"/>
      <c r="AD599" s="223"/>
      <c r="AE599" s="223"/>
      <c r="AF599" s="223"/>
      <c r="AG599" s="223"/>
      <c r="AH599" s="223"/>
      <c r="AI599" s="200"/>
      <c r="AJ599" s="200"/>
      <c r="AK599" s="522"/>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2"/>
      <c r="BF599" s="200"/>
      <c r="BG599" s="223"/>
      <c r="BH599" s="223"/>
      <c r="BI599" s="223"/>
      <c r="BJ599" s="223"/>
      <c r="BK599" s="223"/>
      <c r="BL599" s="223"/>
      <c r="BM599" s="200"/>
      <c r="BN599" s="200"/>
      <c r="BO599" s="522"/>
      <c r="BP599" s="200"/>
      <c r="BQ599" s="223"/>
      <c r="BR599" s="223"/>
      <c r="BS599" s="223"/>
      <c r="BT599" s="223"/>
      <c r="BU599" s="223"/>
      <c r="BV599" s="223"/>
      <c r="BW599" s="223"/>
      <c r="BX599" s="200"/>
      <c r="BY599" s="522"/>
      <c r="BZ599" s="200"/>
      <c r="CA599" s="223"/>
      <c r="CB599" s="223"/>
      <c r="CC599" s="223"/>
      <c r="CD599" s="223"/>
      <c r="CE599" s="223"/>
      <c r="CF599" s="223"/>
      <c r="CG599" s="200"/>
      <c r="CH599" s="200"/>
      <c r="CI599" s="522"/>
      <c r="CJ599" s="200"/>
      <c r="CK599" s="223"/>
      <c r="CL599" s="223"/>
      <c r="CM599" s="223"/>
      <c r="CN599" s="223"/>
      <c r="CO599" s="223"/>
      <c r="CP599" s="223"/>
      <c r="CQ599" s="200"/>
      <c r="CR599" s="200"/>
      <c r="CS599" s="522"/>
      <c r="CT599" s="200"/>
      <c r="CU599" s="223"/>
      <c r="CV599" s="223"/>
      <c r="CW599" s="223"/>
      <c r="CX599" s="223"/>
      <c r="CY599" s="223"/>
      <c r="CZ599" s="223"/>
      <c r="DA599" s="223"/>
      <c r="DB599" s="200"/>
      <c r="DC599" s="522"/>
      <c r="DD599" s="200"/>
      <c r="DE599" s="223"/>
      <c r="DF599" s="223"/>
      <c r="DG599" s="223"/>
      <c r="DH599" s="223"/>
      <c r="DI599" s="223"/>
      <c r="DJ599" s="223"/>
      <c r="DK599" s="200"/>
      <c r="DL599" s="200"/>
      <c r="DM599" s="522"/>
      <c r="DN599" s="200"/>
      <c r="DO599" s="223"/>
      <c r="DP599" s="223"/>
      <c r="DQ599" s="223"/>
      <c r="DR599" s="223"/>
      <c r="DS599" s="223"/>
      <c r="DT599" s="223"/>
      <c r="DU599" s="200"/>
      <c r="DV599" s="200"/>
      <c r="DW599" s="522"/>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2"/>
      <c r="R600" s="200"/>
      <c r="S600" s="223"/>
      <c r="T600" s="223"/>
      <c r="U600" s="223"/>
      <c r="V600" s="223"/>
      <c r="W600" s="223"/>
      <c r="X600" s="223"/>
      <c r="Y600" s="200"/>
      <c r="Z600" s="200"/>
      <c r="AA600" s="522"/>
      <c r="AB600" s="200"/>
      <c r="AC600" s="223"/>
      <c r="AD600" s="223"/>
      <c r="AE600" s="223"/>
      <c r="AF600" s="223"/>
      <c r="AG600" s="223"/>
      <c r="AH600" s="223"/>
      <c r="AI600" s="200"/>
      <c r="AJ600" s="200"/>
      <c r="AK600" s="522"/>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2"/>
      <c r="BF600" s="200"/>
      <c r="BG600" s="223"/>
      <c r="BH600" s="223"/>
      <c r="BI600" s="223"/>
      <c r="BJ600" s="223"/>
      <c r="BK600" s="223"/>
      <c r="BL600" s="223"/>
      <c r="BM600" s="200"/>
      <c r="BN600" s="200"/>
      <c r="BO600" s="522"/>
      <c r="BP600" s="200"/>
      <c r="BQ600" s="223"/>
      <c r="BR600" s="223"/>
      <c r="BS600" s="223"/>
      <c r="BT600" s="223"/>
      <c r="BU600" s="223"/>
      <c r="BV600" s="223"/>
      <c r="BW600" s="223"/>
      <c r="BX600" s="200"/>
      <c r="BY600" s="522"/>
      <c r="BZ600" s="200"/>
      <c r="CA600" s="223"/>
      <c r="CB600" s="223"/>
      <c r="CC600" s="223"/>
      <c r="CD600" s="223"/>
      <c r="CE600" s="223"/>
      <c r="CF600" s="223"/>
      <c r="CG600" s="200"/>
      <c r="CH600" s="200"/>
      <c r="CI600" s="522"/>
      <c r="CJ600" s="200"/>
      <c r="CK600" s="223"/>
      <c r="CL600" s="223"/>
      <c r="CM600" s="223"/>
      <c r="CN600" s="223"/>
      <c r="CO600" s="223"/>
      <c r="CP600" s="223"/>
      <c r="CQ600" s="200"/>
      <c r="CR600" s="200"/>
      <c r="CS600" s="522"/>
      <c r="CT600" s="200"/>
      <c r="CU600" s="223"/>
      <c r="CV600" s="223"/>
      <c r="CW600" s="223"/>
      <c r="CX600" s="223"/>
      <c r="CY600" s="223"/>
      <c r="CZ600" s="223"/>
      <c r="DA600" s="223"/>
      <c r="DB600" s="200"/>
      <c r="DC600" s="522"/>
      <c r="DD600" s="200"/>
      <c r="DE600" s="223"/>
      <c r="DF600" s="223"/>
      <c r="DG600" s="223"/>
      <c r="DH600" s="223"/>
      <c r="DI600" s="223"/>
      <c r="DJ600" s="223"/>
      <c r="DK600" s="200"/>
      <c r="DL600" s="200"/>
      <c r="DM600" s="522"/>
      <c r="DN600" s="200"/>
      <c r="DO600" s="223"/>
      <c r="DP600" s="223"/>
      <c r="DQ600" s="223"/>
      <c r="DR600" s="223"/>
      <c r="DS600" s="223"/>
      <c r="DT600" s="223"/>
      <c r="DU600" s="200"/>
      <c r="DV600" s="200"/>
      <c r="DW600" s="522"/>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2"/>
      <c r="R601" s="200"/>
      <c r="S601" s="223"/>
      <c r="T601" s="223"/>
      <c r="U601" s="223"/>
      <c r="V601" s="223"/>
      <c r="W601" s="223"/>
      <c r="X601" s="223"/>
      <c r="Y601" s="200"/>
      <c r="Z601" s="200"/>
      <c r="AA601" s="522"/>
      <c r="AB601" s="200"/>
      <c r="AC601" s="223"/>
      <c r="AD601" s="223"/>
      <c r="AE601" s="223"/>
      <c r="AF601" s="223"/>
      <c r="AG601" s="223"/>
      <c r="AH601" s="223"/>
      <c r="AI601" s="200"/>
      <c r="AJ601" s="200"/>
      <c r="AK601" s="522"/>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2"/>
      <c r="BF601" s="200"/>
      <c r="BG601" s="223"/>
      <c r="BH601" s="223"/>
      <c r="BI601" s="223"/>
      <c r="BJ601" s="223"/>
      <c r="BK601" s="223"/>
      <c r="BL601" s="223"/>
      <c r="BM601" s="200"/>
      <c r="BN601" s="200"/>
      <c r="BO601" s="522"/>
      <c r="BP601" s="200"/>
      <c r="BQ601" s="223"/>
      <c r="BR601" s="223"/>
      <c r="BS601" s="223"/>
      <c r="BT601" s="223"/>
      <c r="BU601" s="223"/>
      <c r="BV601" s="223"/>
      <c r="BW601" s="223"/>
      <c r="BX601" s="200"/>
      <c r="BY601" s="522"/>
      <c r="BZ601" s="200"/>
      <c r="CA601" s="223"/>
      <c r="CB601" s="223"/>
      <c r="CC601" s="223"/>
      <c r="CD601" s="223"/>
      <c r="CE601" s="223"/>
      <c r="CF601" s="223"/>
      <c r="CG601" s="200"/>
      <c r="CH601" s="200"/>
      <c r="CI601" s="522"/>
      <c r="CJ601" s="200"/>
      <c r="CK601" s="223"/>
      <c r="CL601" s="223"/>
      <c r="CM601" s="223"/>
      <c r="CN601" s="223"/>
      <c r="CO601" s="223"/>
      <c r="CP601" s="223"/>
      <c r="CQ601" s="200"/>
      <c r="CR601" s="200"/>
      <c r="CS601" s="522"/>
      <c r="CT601" s="200"/>
      <c r="CU601" s="223"/>
      <c r="CV601" s="223"/>
      <c r="CW601" s="223"/>
      <c r="CX601" s="223"/>
      <c r="CY601" s="223"/>
      <c r="CZ601" s="223"/>
      <c r="DA601" s="223"/>
      <c r="DB601" s="200"/>
      <c r="DC601" s="522"/>
      <c r="DD601" s="200"/>
      <c r="DE601" s="223"/>
      <c r="DF601" s="223"/>
      <c r="DG601" s="223"/>
      <c r="DH601" s="223"/>
      <c r="DI601" s="223"/>
      <c r="DJ601" s="223"/>
      <c r="DK601" s="200"/>
      <c r="DL601" s="200"/>
      <c r="DM601" s="522"/>
      <c r="DN601" s="200"/>
      <c r="DO601" s="223"/>
      <c r="DP601" s="223"/>
      <c r="DQ601" s="223"/>
      <c r="DR601" s="223"/>
      <c r="DS601" s="223"/>
      <c r="DT601" s="223"/>
      <c r="DU601" s="200"/>
      <c r="DV601" s="200"/>
      <c r="DW601" s="522"/>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2"/>
      <c r="R602" s="200"/>
      <c r="S602" s="223"/>
      <c r="T602" s="223"/>
      <c r="U602" s="223"/>
      <c r="V602" s="223"/>
      <c r="W602" s="223"/>
      <c r="X602" s="223"/>
      <c r="Y602" s="200"/>
      <c r="Z602" s="200"/>
      <c r="AA602" s="522"/>
      <c r="AB602" s="200"/>
      <c r="AC602" s="223"/>
      <c r="AD602" s="223"/>
      <c r="AE602" s="223"/>
      <c r="AF602" s="223"/>
      <c r="AG602" s="223"/>
      <c r="AH602" s="223"/>
      <c r="AI602" s="200"/>
      <c r="AJ602" s="200"/>
      <c r="AK602" s="522"/>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2"/>
      <c r="BF602" s="200"/>
      <c r="BG602" s="223"/>
      <c r="BH602" s="223"/>
      <c r="BI602" s="223"/>
      <c r="BJ602" s="223"/>
      <c r="BK602" s="223"/>
      <c r="BL602" s="223"/>
      <c r="BM602" s="200"/>
      <c r="BN602" s="200"/>
      <c r="BO602" s="522"/>
      <c r="BP602" s="200"/>
      <c r="BQ602" s="223"/>
      <c r="BR602" s="223"/>
      <c r="BS602" s="223"/>
      <c r="BT602" s="223"/>
      <c r="BU602" s="223"/>
      <c r="BV602" s="223"/>
      <c r="BW602" s="223"/>
      <c r="BX602" s="200"/>
      <c r="BY602" s="522"/>
      <c r="BZ602" s="200"/>
      <c r="CA602" s="223"/>
      <c r="CB602" s="223"/>
      <c r="CC602" s="223"/>
      <c r="CD602" s="223"/>
      <c r="CE602" s="223"/>
      <c r="CF602" s="223"/>
      <c r="CG602" s="200"/>
      <c r="CH602" s="200"/>
      <c r="CI602" s="522"/>
      <c r="CJ602" s="200"/>
      <c r="CK602" s="223"/>
      <c r="CL602" s="223"/>
      <c r="CM602" s="223"/>
      <c r="CN602" s="223"/>
      <c r="CO602" s="223"/>
      <c r="CP602" s="223"/>
      <c r="CQ602" s="200"/>
      <c r="CR602" s="200"/>
      <c r="CS602" s="522"/>
      <c r="CT602" s="200"/>
      <c r="CU602" s="223"/>
      <c r="CV602" s="223"/>
      <c r="CW602" s="223"/>
      <c r="CX602" s="223"/>
      <c r="CY602" s="223"/>
      <c r="CZ602" s="223"/>
      <c r="DA602" s="223"/>
      <c r="DB602" s="200"/>
      <c r="DC602" s="522"/>
      <c r="DD602" s="200"/>
      <c r="DE602" s="223"/>
      <c r="DF602" s="223"/>
      <c r="DG602" s="223"/>
      <c r="DH602" s="223"/>
      <c r="DI602" s="223"/>
      <c r="DJ602" s="223"/>
      <c r="DK602" s="200"/>
      <c r="DL602" s="200"/>
      <c r="DM602" s="522"/>
      <c r="DN602" s="200"/>
      <c r="DO602" s="223"/>
      <c r="DP602" s="223"/>
      <c r="DQ602" s="223"/>
      <c r="DR602" s="223"/>
      <c r="DS602" s="223"/>
      <c r="DT602" s="223"/>
      <c r="DU602" s="200"/>
      <c r="DV602" s="200"/>
      <c r="DW602" s="522"/>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2"/>
      <c r="R603" s="200"/>
      <c r="S603" s="223"/>
      <c r="T603" s="223"/>
      <c r="U603" s="223"/>
      <c r="V603" s="223"/>
      <c r="W603" s="223"/>
      <c r="X603" s="223"/>
      <c r="Y603" s="200"/>
      <c r="Z603" s="200"/>
      <c r="AA603" s="522"/>
      <c r="AB603" s="200"/>
      <c r="AC603" s="223"/>
      <c r="AD603" s="223"/>
      <c r="AE603" s="223"/>
      <c r="AF603" s="223"/>
      <c r="AG603" s="223"/>
      <c r="AH603" s="223"/>
      <c r="AI603" s="200"/>
      <c r="AJ603" s="200"/>
      <c r="AK603" s="522"/>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2"/>
      <c r="BF603" s="200"/>
      <c r="BG603" s="223"/>
      <c r="BH603" s="223"/>
      <c r="BI603" s="223"/>
      <c r="BJ603" s="223"/>
      <c r="BK603" s="223"/>
      <c r="BL603" s="223"/>
      <c r="BM603" s="200"/>
      <c r="BN603" s="200"/>
      <c r="BO603" s="522"/>
      <c r="BP603" s="200"/>
      <c r="BQ603" s="223"/>
      <c r="BR603" s="223"/>
      <c r="BS603" s="223"/>
      <c r="BT603" s="223"/>
      <c r="BU603" s="223"/>
      <c r="BV603" s="223"/>
      <c r="BW603" s="223"/>
      <c r="BX603" s="200"/>
      <c r="BY603" s="522"/>
      <c r="BZ603" s="200"/>
      <c r="CA603" s="223"/>
      <c r="CB603" s="223"/>
      <c r="CC603" s="223"/>
      <c r="CD603" s="223"/>
      <c r="CE603" s="223"/>
      <c r="CF603" s="223"/>
      <c r="CG603" s="200"/>
      <c r="CH603" s="200"/>
      <c r="CI603" s="522"/>
      <c r="CJ603" s="200"/>
      <c r="CK603" s="223"/>
      <c r="CL603" s="223"/>
      <c r="CM603" s="223"/>
      <c r="CN603" s="223"/>
      <c r="CO603" s="223"/>
      <c r="CP603" s="223"/>
      <c r="CQ603" s="200"/>
      <c r="CR603" s="200"/>
      <c r="CS603" s="522"/>
      <c r="CT603" s="200"/>
      <c r="CU603" s="223"/>
      <c r="CV603" s="223"/>
      <c r="CW603" s="223"/>
      <c r="CX603" s="223"/>
      <c r="CY603" s="223"/>
      <c r="CZ603" s="223"/>
      <c r="DA603" s="223"/>
      <c r="DB603" s="200"/>
      <c r="DC603" s="522"/>
      <c r="DD603" s="200"/>
      <c r="DE603" s="223"/>
      <c r="DF603" s="223"/>
      <c r="DG603" s="223"/>
      <c r="DH603" s="223"/>
      <c r="DI603" s="223"/>
      <c r="DJ603" s="223"/>
      <c r="DK603" s="200"/>
      <c r="DL603" s="200"/>
      <c r="DM603" s="522"/>
      <c r="DN603" s="200"/>
      <c r="DO603" s="223"/>
      <c r="DP603" s="223"/>
      <c r="DQ603" s="223"/>
      <c r="DR603" s="223"/>
      <c r="DS603" s="223"/>
      <c r="DT603" s="223"/>
      <c r="DU603" s="200"/>
      <c r="DV603" s="200"/>
      <c r="DW603" s="522"/>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2"/>
      <c r="R604" s="200"/>
      <c r="S604" s="223"/>
      <c r="T604" s="223"/>
      <c r="U604" s="223"/>
      <c r="V604" s="223"/>
      <c r="W604" s="223"/>
      <c r="X604" s="223"/>
      <c r="Y604" s="200"/>
      <c r="Z604" s="200"/>
      <c r="AA604" s="522"/>
      <c r="AB604" s="200"/>
      <c r="AC604" s="223"/>
      <c r="AD604" s="223"/>
      <c r="AE604" s="223"/>
      <c r="AF604" s="223"/>
      <c r="AG604" s="223"/>
      <c r="AH604" s="223"/>
      <c r="AI604" s="200"/>
      <c r="AJ604" s="200"/>
      <c r="AK604" s="522"/>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2"/>
      <c r="BF604" s="200"/>
      <c r="BG604" s="223"/>
      <c r="BH604" s="223"/>
      <c r="BI604" s="223"/>
      <c r="BJ604" s="223"/>
      <c r="BK604" s="223"/>
      <c r="BL604" s="223"/>
      <c r="BM604" s="200"/>
      <c r="BN604" s="200"/>
      <c r="BO604" s="522"/>
      <c r="BP604" s="200"/>
      <c r="BQ604" s="223"/>
      <c r="BR604" s="223"/>
      <c r="BS604" s="223"/>
      <c r="BT604" s="223"/>
      <c r="BU604" s="223"/>
      <c r="BV604" s="223"/>
      <c r="BW604" s="223"/>
      <c r="BX604" s="200"/>
      <c r="BY604" s="522"/>
      <c r="BZ604" s="200"/>
      <c r="CA604" s="223"/>
      <c r="CB604" s="223"/>
      <c r="CC604" s="223"/>
      <c r="CD604" s="223"/>
      <c r="CE604" s="223"/>
      <c r="CF604" s="223"/>
      <c r="CG604" s="200"/>
      <c r="CH604" s="200"/>
      <c r="CI604" s="522"/>
      <c r="CJ604" s="200"/>
      <c r="CK604" s="223"/>
      <c r="CL604" s="223"/>
      <c r="CM604" s="223"/>
      <c r="CN604" s="223"/>
      <c r="CO604" s="223"/>
      <c r="CP604" s="223"/>
      <c r="CQ604" s="200"/>
      <c r="CR604" s="200"/>
      <c r="CS604" s="522"/>
      <c r="CT604" s="200"/>
      <c r="CU604" s="223"/>
      <c r="CV604" s="223"/>
      <c r="CW604" s="223"/>
      <c r="CX604" s="223"/>
      <c r="CY604" s="223"/>
      <c r="CZ604" s="223"/>
      <c r="DA604" s="223"/>
      <c r="DB604" s="200"/>
      <c r="DC604" s="522"/>
      <c r="DD604" s="200"/>
      <c r="DE604" s="223"/>
      <c r="DF604" s="223"/>
      <c r="DG604" s="223"/>
      <c r="DH604" s="223"/>
      <c r="DI604" s="223"/>
      <c r="DJ604" s="223"/>
      <c r="DK604" s="200"/>
      <c r="DL604" s="200"/>
      <c r="DM604" s="522"/>
      <c r="DN604" s="200"/>
      <c r="DO604" s="223"/>
      <c r="DP604" s="223"/>
      <c r="DQ604" s="223"/>
      <c r="DR604" s="223"/>
      <c r="DS604" s="223"/>
      <c r="DT604" s="223"/>
      <c r="DU604" s="200"/>
      <c r="DV604" s="200"/>
      <c r="DW604" s="522"/>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2"/>
      <c r="R605" s="200"/>
      <c r="S605" s="223"/>
      <c r="T605" s="223"/>
      <c r="U605" s="223"/>
      <c r="V605" s="223"/>
      <c r="W605" s="223"/>
      <c r="X605" s="223"/>
      <c r="Y605" s="200"/>
      <c r="Z605" s="200"/>
      <c r="AA605" s="522"/>
      <c r="AB605" s="200"/>
      <c r="AC605" s="223"/>
      <c r="AD605" s="223"/>
      <c r="AE605" s="223"/>
      <c r="AF605" s="223"/>
      <c r="AG605" s="223"/>
      <c r="AH605" s="223"/>
      <c r="AI605" s="200"/>
      <c r="AJ605" s="200"/>
      <c r="AK605" s="522"/>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2"/>
      <c r="BF605" s="200"/>
      <c r="BG605" s="223"/>
      <c r="BH605" s="223"/>
      <c r="BI605" s="223"/>
      <c r="BJ605" s="223"/>
      <c r="BK605" s="223"/>
      <c r="BL605" s="223"/>
      <c r="BM605" s="200"/>
      <c r="BN605" s="200"/>
      <c r="BO605" s="522"/>
      <c r="BP605" s="200"/>
      <c r="BQ605" s="223"/>
      <c r="BR605" s="223"/>
      <c r="BS605" s="223"/>
      <c r="BT605" s="223"/>
      <c r="BU605" s="223"/>
      <c r="BV605" s="223"/>
      <c r="BW605" s="223"/>
      <c r="BX605" s="200"/>
      <c r="BY605" s="522"/>
      <c r="BZ605" s="200"/>
      <c r="CA605" s="223"/>
      <c r="CB605" s="223"/>
      <c r="CC605" s="223"/>
      <c r="CD605" s="223"/>
      <c r="CE605" s="223"/>
      <c r="CF605" s="223"/>
      <c r="CG605" s="200"/>
      <c r="CH605" s="200"/>
      <c r="CI605" s="522"/>
      <c r="CJ605" s="200"/>
      <c r="CK605" s="223"/>
      <c r="CL605" s="223"/>
      <c r="CM605" s="223"/>
      <c r="CN605" s="223"/>
      <c r="CO605" s="223"/>
      <c r="CP605" s="223"/>
      <c r="CQ605" s="200"/>
      <c r="CR605" s="200"/>
      <c r="CS605" s="522"/>
      <c r="CT605" s="200"/>
      <c r="CU605" s="223"/>
      <c r="CV605" s="223"/>
      <c r="CW605" s="223"/>
      <c r="CX605" s="223"/>
      <c r="CY605" s="223"/>
      <c r="CZ605" s="223"/>
      <c r="DA605" s="223"/>
      <c r="DB605" s="200"/>
      <c r="DC605" s="522"/>
      <c r="DD605" s="200"/>
      <c r="DE605" s="223"/>
      <c r="DF605" s="223"/>
      <c r="DG605" s="223"/>
      <c r="DH605" s="223"/>
      <c r="DI605" s="223"/>
      <c r="DJ605" s="223"/>
      <c r="DK605" s="200"/>
      <c r="DL605" s="200"/>
      <c r="DM605" s="522"/>
      <c r="DN605" s="200"/>
      <c r="DO605" s="223"/>
      <c r="DP605" s="223"/>
      <c r="DQ605" s="223"/>
      <c r="DR605" s="223"/>
      <c r="DS605" s="223"/>
      <c r="DT605" s="223"/>
      <c r="DU605" s="200"/>
      <c r="DV605" s="200"/>
      <c r="DW605" s="522"/>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2"/>
      <c r="R606" s="200"/>
      <c r="S606" s="223"/>
      <c r="T606" s="223"/>
      <c r="U606" s="223"/>
      <c r="V606" s="223"/>
      <c r="W606" s="223"/>
      <c r="X606" s="223"/>
      <c r="Y606" s="200"/>
      <c r="Z606" s="200"/>
      <c r="AA606" s="522"/>
      <c r="AB606" s="200"/>
      <c r="AC606" s="223"/>
      <c r="AD606" s="223"/>
      <c r="AE606" s="223"/>
      <c r="AF606" s="223"/>
      <c r="AG606" s="223"/>
      <c r="AH606" s="223"/>
      <c r="AI606" s="200"/>
      <c r="AJ606" s="200"/>
      <c r="AK606" s="522"/>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2"/>
      <c r="BF606" s="200"/>
      <c r="BG606" s="223"/>
      <c r="BH606" s="223"/>
      <c r="BI606" s="223"/>
      <c r="BJ606" s="223"/>
      <c r="BK606" s="223"/>
      <c r="BL606" s="223"/>
      <c r="BM606" s="200"/>
      <c r="BN606" s="200"/>
      <c r="BO606" s="522"/>
      <c r="BP606" s="200"/>
      <c r="BQ606" s="223"/>
      <c r="BR606" s="223"/>
      <c r="BS606" s="223"/>
      <c r="BT606" s="223"/>
      <c r="BU606" s="223"/>
      <c r="BV606" s="223"/>
      <c r="BW606" s="223"/>
      <c r="BX606" s="200"/>
      <c r="BY606" s="522"/>
      <c r="BZ606" s="200"/>
      <c r="CA606" s="223"/>
      <c r="CB606" s="223"/>
      <c r="CC606" s="223"/>
      <c r="CD606" s="223"/>
      <c r="CE606" s="223"/>
      <c r="CF606" s="223"/>
      <c r="CG606" s="200"/>
      <c r="CH606" s="200"/>
      <c r="CI606" s="522"/>
      <c r="CJ606" s="200"/>
      <c r="CK606" s="223"/>
      <c r="CL606" s="223"/>
      <c r="CM606" s="223"/>
      <c r="CN606" s="223"/>
      <c r="CO606" s="223"/>
      <c r="CP606" s="223"/>
      <c r="CQ606" s="200"/>
      <c r="CR606" s="200"/>
      <c r="CS606" s="522"/>
      <c r="CT606" s="200"/>
      <c r="CU606" s="223"/>
      <c r="CV606" s="223"/>
      <c r="CW606" s="223"/>
      <c r="CX606" s="223"/>
      <c r="CY606" s="223"/>
      <c r="CZ606" s="223"/>
      <c r="DA606" s="223"/>
      <c r="DB606" s="200"/>
      <c r="DC606" s="522"/>
      <c r="DD606" s="200"/>
      <c r="DE606" s="223"/>
      <c r="DF606" s="223"/>
      <c r="DG606" s="223"/>
      <c r="DH606" s="223"/>
      <c r="DI606" s="223"/>
      <c r="DJ606" s="223"/>
      <c r="DK606" s="200"/>
      <c r="DL606" s="200"/>
      <c r="DM606" s="522"/>
      <c r="DN606" s="200"/>
      <c r="DO606" s="223"/>
      <c r="DP606" s="223"/>
      <c r="DQ606" s="223"/>
      <c r="DR606" s="223"/>
      <c r="DS606" s="223"/>
      <c r="DT606" s="223"/>
      <c r="DU606" s="200"/>
      <c r="DV606" s="200"/>
      <c r="DW606" s="522"/>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2"/>
      <c r="R607" s="200"/>
      <c r="S607" s="223"/>
      <c r="T607" s="223"/>
      <c r="U607" s="223"/>
      <c r="V607" s="223"/>
      <c r="W607" s="223"/>
      <c r="X607" s="223"/>
      <c r="Y607" s="200"/>
      <c r="Z607" s="200"/>
      <c r="AA607" s="522"/>
      <c r="AB607" s="200"/>
      <c r="AC607" s="223"/>
      <c r="AD607" s="223"/>
      <c r="AE607" s="223"/>
      <c r="AF607" s="223"/>
      <c r="AG607" s="223"/>
      <c r="AH607" s="223"/>
      <c r="AI607" s="200"/>
      <c r="AJ607" s="200"/>
      <c r="AK607" s="522"/>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2"/>
      <c r="BF607" s="200"/>
      <c r="BG607" s="223"/>
      <c r="BH607" s="223"/>
      <c r="BI607" s="223"/>
      <c r="BJ607" s="223"/>
      <c r="BK607" s="223"/>
      <c r="BL607" s="223"/>
      <c r="BM607" s="200"/>
      <c r="BN607" s="200"/>
      <c r="BO607" s="522"/>
      <c r="BP607" s="200"/>
      <c r="BQ607" s="223"/>
      <c r="BR607" s="223"/>
      <c r="BS607" s="223"/>
      <c r="BT607" s="223"/>
      <c r="BU607" s="223"/>
      <c r="BV607" s="223"/>
      <c r="BW607" s="223"/>
      <c r="BX607" s="200"/>
      <c r="BY607" s="522"/>
      <c r="BZ607" s="200"/>
      <c r="CA607" s="223"/>
      <c r="CB607" s="223"/>
      <c r="CC607" s="223"/>
      <c r="CD607" s="223"/>
      <c r="CE607" s="223"/>
      <c r="CF607" s="223"/>
      <c r="CG607" s="200"/>
      <c r="CH607" s="200"/>
      <c r="CI607" s="522"/>
      <c r="CJ607" s="200"/>
      <c r="CK607" s="223"/>
      <c r="CL607" s="223"/>
      <c r="CM607" s="223"/>
      <c r="CN607" s="223"/>
      <c r="CO607" s="223"/>
      <c r="CP607" s="223"/>
      <c r="CQ607" s="200"/>
      <c r="CR607" s="200"/>
      <c r="CS607" s="522"/>
      <c r="CT607" s="200"/>
      <c r="CU607" s="223"/>
      <c r="CV607" s="223"/>
      <c r="CW607" s="223"/>
      <c r="CX607" s="223"/>
      <c r="CY607" s="223"/>
      <c r="CZ607" s="223"/>
      <c r="DA607" s="223"/>
      <c r="DB607" s="200"/>
      <c r="DC607" s="522"/>
      <c r="DD607" s="200"/>
      <c r="DE607" s="223"/>
      <c r="DF607" s="223"/>
      <c r="DG607" s="223"/>
      <c r="DH607" s="223"/>
      <c r="DI607" s="223"/>
      <c r="DJ607" s="223"/>
      <c r="DK607" s="200"/>
      <c r="DL607" s="200"/>
      <c r="DM607" s="522"/>
      <c r="DN607" s="200"/>
      <c r="DO607" s="223"/>
      <c r="DP607" s="223"/>
      <c r="DQ607" s="223"/>
      <c r="DR607" s="223"/>
      <c r="DS607" s="223"/>
      <c r="DT607" s="223"/>
      <c r="DU607" s="200"/>
      <c r="DV607" s="200"/>
      <c r="DW607" s="522"/>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2"/>
      <c r="R608" s="200"/>
      <c r="S608" s="223"/>
      <c r="T608" s="223"/>
      <c r="U608" s="223"/>
      <c r="V608" s="223"/>
      <c r="W608" s="223"/>
      <c r="X608" s="223"/>
      <c r="Y608" s="200"/>
      <c r="Z608" s="200"/>
      <c r="AA608" s="522"/>
      <c r="AB608" s="200"/>
      <c r="AC608" s="223"/>
      <c r="AD608" s="223"/>
      <c r="AE608" s="223"/>
      <c r="AF608" s="223"/>
      <c r="AG608" s="223"/>
      <c r="AH608" s="223"/>
      <c r="AI608" s="200"/>
      <c r="AJ608" s="200"/>
      <c r="AK608" s="522"/>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2"/>
      <c r="BF608" s="200"/>
      <c r="BG608" s="223"/>
      <c r="BH608" s="223"/>
      <c r="BI608" s="223"/>
      <c r="BJ608" s="223"/>
      <c r="BK608" s="223"/>
      <c r="BL608" s="223"/>
      <c r="BM608" s="200"/>
      <c r="BN608" s="200"/>
      <c r="BO608" s="522"/>
      <c r="BP608" s="200"/>
      <c r="BQ608" s="223"/>
      <c r="BR608" s="223"/>
      <c r="BS608" s="223"/>
      <c r="BT608" s="223"/>
      <c r="BU608" s="223"/>
      <c r="BV608" s="223"/>
      <c r="BW608" s="223"/>
      <c r="BX608" s="200"/>
      <c r="BY608" s="522"/>
      <c r="BZ608" s="200"/>
      <c r="CA608" s="223"/>
      <c r="CB608" s="223"/>
      <c r="CC608" s="223"/>
      <c r="CD608" s="223"/>
      <c r="CE608" s="223"/>
      <c r="CF608" s="223"/>
      <c r="CG608" s="200"/>
      <c r="CH608" s="200"/>
      <c r="CI608" s="522"/>
      <c r="CJ608" s="200"/>
      <c r="CK608" s="223"/>
      <c r="CL608" s="223"/>
      <c r="CM608" s="223"/>
      <c r="CN608" s="223"/>
      <c r="CO608" s="223"/>
      <c r="CP608" s="223"/>
      <c r="CQ608" s="200"/>
      <c r="CR608" s="200"/>
      <c r="CS608" s="522"/>
      <c r="CT608" s="200"/>
      <c r="CU608" s="223"/>
      <c r="CV608" s="223"/>
      <c r="CW608" s="223"/>
      <c r="CX608" s="223"/>
      <c r="CY608" s="223"/>
      <c r="CZ608" s="223"/>
      <c r="DA608" s="223"/>
      <c r="DB608" s="200"/>
      <c r="DC608" s="522"/>
      <c r="DD608" s="200"/>
      <c r="DE608" s="223"/>
      <c r="DF608" s="223"/>
      <c r="DG608" s="223"/>
      <c r="DH608" s="223"/>
      <c r="DI608" s="223"/>
      <c r="DJ608" s="223"/>
      <c r="DK608" s="200"/>
      <c r="DL608" s="200"/>
      <c r="DM608" s="522"/>
      <c r="DN608" s="200"/>
      <c r="DO608" s="223"/>
      <c r="DP608" s="223"/>
      <c r="DQ608" s="223"/>
      <c r="DR608" s="223"/>
      <c r="DS608" s="223"/>
      <c r="DT608" s="223"/>
      <c r="DU608" s="200"/>
      <c r="DV608" s="200"/>
      <c r="DW608" s="522"/>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2"/>
      <c r="R609" s="200"/>
      <c r="S609" s="223"/>
      <c r="T609" s="223"/>
      <c r="U609" s="223"/>
      <c r="V609" s="223"/>
      <c r="W609" s="223"/>
      <c r="X609" s="223"/>
      <c r="Y609" s="200"/>
      <c r="Z609" s="200"/>
      <c r="AA609" s="522"/>
      <c r="AB609" s="200"/>
      <c r="AC609" s="223"/>
      <c r="AD609" s="223"/>
      <c r="AE609" s="223"/>
      <c r="AF609" s="223"/>
      <c r="AG609" s="223"/>
      <c r="AH609" s="223"/>
      <c r="AI609" s="200"/>
      <c r="AJ609" s="200"/>
      <c r="AK609" s="522"/>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2"/>
      <c r="BF609" s="200"/>
      <c r="BG609" s="223"/>
      <c r="BH609" s="223"/>
      <c r="BI609" s="223"/>
      <c r="BJ609" s="223"/>
      <c r="BK609" s="223"/>
      <c r="BL609" s="223"/>
      <c r="BM609" s="200"/>
      <c r="BN609" s="200"/>
      <c r="BO609" s="522"/>
      <c r="BP609" s="200"/>
      <c r="BQ609" s="223"/>
      <c r="BR609" s="223"/>
      <c r="BS609" s="223"/>
      <c r="BT609" s="223"/>
      <c r="BU609" s="223"/>
      <c r="BV609" s="223"/>
      <c r="BW609" s="223"/>
      <c r="BX609" s="200"/>
      <c r="BY609" s="522"/>
      <c r="BZ609" s="200"/>
      <c r="CA609" s="223"/>
      <c r="CB609" s="223"/>
      <c r="CC609" s="223"/>
      <c r="CD609" s="223"/>
      <c r="CE609" s="223"/>
      <c r="CF609" s="223"/>
      <c r="CG609" s="200"/>
      <c r="CH609" s="200"/>
      <c r="CI609" s="522"/>
      <c r="CJ609" s="200"/>
      <c r="CK609" s="223"/>
      <c r="CL609" s="223"/>
      <c r="CM609" s="223"/>
      <c r="CN609" s="223"/>
      <c r="CO609" s="223"/>
      <c r="CP609" s="223"/>
      <c r="CQ609" s="200"/>
      <c r="CR609" s="200"/>
      <c r="CS609" s="522"/>
      <c r="CT609" s="200"/>
      <c r="CU609" s="223"/>
      <c r="CV609" s="223"/>
      <c r="CW609" s="223"/>
      <c r="CX609" s="223"/>
      <c r="CY609" s="223"/>
      <c r="CZ609" s="223"/>
      <c r="DA609" s="223"/>
      <c r="DB609" s="200"/>
      <c r="DC609" s="522"/>
      <c r="DD609" s="200"/>
      <c r="DE609" s="223"/>
      <c r="DF609" s="223"/>
      <c r="DG609" s="223"/>
      <c r="DH609" s="223"/>
      <c r="DI609" s="223"/>
      <c r="DJ609" s="223"/>
      <c r="DK609" s="200"/>
      <c r="DL609" s="200"/>
      <c r="DM609" s="522"/>
      <c r="DN609" s="200"/>
      <c r="DO609" s="223"/>
      <c r="DP609" s="223"/>
      <c r="DQ609" s="223"/>
      <c r="DR609" s="223"/>
      <c r="DS609" s="223"/>
      <c r="DT609" s="223"/>
      <c r="DU609" s="200"/>
      <c r="DV609" s="200"/>
      <c r="DW609" s="522"/>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2"/>
      <c r="R610" s="200"/>
      <c r="S610" s="223"/>
      <c r="T610" s="223"/>
      <c r="U610" s="223"/>
      <c r="V610" s="223"/>
      <c r="W610" s="223"/>
      <c r="X610" s="223"/>
      <c r="Y610" s="200"/>
      <c r="Z610" s="200"/>
      <c r="AA610" s="522"/>
      <c r="AB610" s="200"/>
      <c r="AC610" s="223"/>
      <c r="AD610" s="223"/>
      <c r="AE610" s="223"/>
      <c r="AF610" s="223"/>
      <c r="AG610" s="223"/>
      <c r="AH610" s="223"/>
      <c r="AI610" s="200"/>
      <c r="AJ610" s="200"/>
      <c r="AK610" s="522"/>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2"/>
      <c r="BF610" s="200"/>
      <c r="BG610" s="223"/>
      <c r="BH610" s="223"/>
      <c r="BI610" s="223"/>
      <c r="BJ610" s="223"/>
      <c r="BK610" s="223"/>
      <c r="BL610" s="223"/>
      <c r="BM610" s="200"/>
      <c r="BN610" s="200"/>
      <c r="BO610" s="522"/>
      <c r="BP610" s="200"/>
      <c r="BQ610" s="223"/>
      <c r="BR610" s="223"/>
      <c r="BS610" s="223"/>
      <c r="BT610" s="223"/>
      <c r="BU610" s="223"/>
      <c r="BV610" s="223"/>
      <c r="BW610" s="223"/>
      <c r="BX610" s="200"/>
      <c r="BY610" s="522"/>
      <c r="BZ610" s="200"/>
      <c r="CA610" s="223"/>
      <c r="CB610" s="223"/>
      <c r="CC610" s="223"/>
      <c r="CD610" s="223"/>
      <c r="CE610" s="223"/>
      <c r="CF610" s="223"/>
      <c r="CG610" s="200"/>
      <c r="CH610" s="200"/>
      <c r="CI610" s="522"/>
      <c r="CJ610" s="200"/>
      <c r="CK610" s="223"/>
      <c r="CL610" s="223"/>
      <c r="CM610" s="223"/>
      <c r="CN610" s="223"/>
      <c r="CO610" s="223"/>
      <c r="CP610" s="223"/>
      <c r="CQ610" s="200"/>
      <c r="CR610" s="200"/>
      <c r="CS610" s="522"/>
      <c r="CT610" s="200"/>
      <c r="CU610" s="223"/>
      <c r="CV610" s="223"/>
      <c r="CW610" s="223"/>
      <c r="CX610" s="223"/>
      <c r="CY610" s="223"/>
      <c r="CZ610" s="223"/>
      <c r="DA610" s="223"/>
      <c r="DB610" s="200"/>
      <c r="DC610" s="522"/>
      <c r="DD610" s="200"/>
      <c r="DE610" s="223"/>
      <c r="DF610" s="223"/>
      <c r="DG610" s="223"/>
      <c r="DH610" s="223"/>
      <c r="DI610" s="223"/>
      <c r="DJ610" s="223"/>
      <c r="DK610" s="200"/>
      <c r="DL610" s="200"/>
      <c r="DM610" s="522"/>
      <c r="DN610" s="200"/>
      <c r="DO610" s="223"/>
      <c r="DP610" s="223"/>
      <c r="DQ610" s="223"/>
      <c r="DR610" s="223"/>
      <c r="DS610" s="223"/>
      <c r="DT610" s="223"/>
      <c r="DU610" s="200"/>
      <c r="DV610" s="200"/>
      <c r="DW610" s="522"/>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2"/>
      <c r="R611" s="200"/>
      <c r="S611" s="223"/>
      <c r="T611" s="223"/>
      <c r="U611" s="223"/>
      <c r="V611" s="223"/>
      <c r="W611" s="223"/>
      <c r="X611" s="223"/>
      <c r="Y611" s="200"/>
      <c r="Z611" s="200"/>
      <c r="AA611" s="522"/>
      <c r="AB611" s="200"/>
      <c r="AC611" s="223"/>
      <c r="AD611" s="223"/>
      <c r="AE611" s="223"/>
      <c r="AF611" s="223"/>
      <c r="AG611" s="223"/>
      <c r="AH611" s="223"/>
      <c r="AI611" s="200"/>
      <c r="AJ611" s="200"/>
      <c r="AK611" s="522"/>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2"/>
      <c r="BF611" s="200"/>
      <c r="BG611" s="223"/>
      <c r="BH611" s="223"/>
      <c r="BI611" s="223"/>
      <c r="BJ611" s="223"/>
      <c r="BK611" s="223"/>
      <c r="BL611" s="223"/>
      <c r="BM611" s="200"/>
      <c r="BN611" s="200"/>
      <c r="BO611" s="522"/>
      <c r="BP611" s="200"/>
      <c r="BQ611" s="223"/>
      <c r="BR611" s="223"/>
      <c r="BS611" s="223"/>
      <c r="BT611" s="223"/>
      <c r="BU611" s="223"/>
      <c r="BV611" s="223"/>
      <c r="BW611" s="223"/>
      <c r="BX611" s="200"/>
      <c r="BY611" s="522"/>
      <c r="BZ611" s="200"/>
      <c r="CA611" s="223"/>
      <c r="CB611" s="223"/>
      <c r="CC611" s="223"/>
      <c r="CD611" s="223"/>
      <c r="CE611" s="223"/>
      <c r="CF611" s="223"/>
      <c r="CG611" s="200"/>
      <c r="CH611" s="200"/>
      <c r="CI611" s="522"/>
      <c r="CJ611" s="200"/>
      <c r="CK611" s="223"/>
      <c r="CL611" s="223"/>
      <c r="CM611" s="223"/>
      <c r="CN611" s="223"/>
      <c r="CO611" s="223"/>
      <c r="CP611" s="223"/>
      <c r="CQ611" s="200"/>
      <c r="CR611" s="200"/>
      <c r="CS611" s="522"/>
      <c r="CT611" s="200"/>
      <c r="CU611" s="223"/>
      <c r="CV611" s="223"/>
      <c r="CW611" s="223"/>
      <c r="CX611" s="223"/>
      <c r="CY611" s="223"/>
      <c r="CZ611" s="223"/>
      <c r="DA611" s="223"/>
      <c r="DB611" s="200"/>
      <c r="DC611" s="522"/>
      <c r="DD611" s="200"/>
      <c r="DE611" s="223"/>
      <c r="DF611" s="223"/>
      <c r="DG611" s="223"/>
      <c r="DH611" s="223"/>
      <c r="DI611" s="223"/>
      <c r="DJ611" s="223"/>
      <c r="DK611" s="200"/>
      <c r="DL611" s="200"/>
      <c r="DM611" s="522"/>
      <c r="DN611" s="200"/>
      <c r="DO611" s="223"/>
      <c r="DP611" s="223"/>
      <c r="DQ611" s="223"/>
      <c r="DR611" s="223"/>
      <c r="DS611" s="223"/>
      <c r="DT611" s="223"/>
      <c r="DU611" s="200"/>
      <c r="DV611" s="200"/>
      <c r="DW611" s="522"/>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2"/>
      <c r="R612" s="200"/>
      <c r="S612" s="223"/>
      <c r="T612" s="223"/>
      <c r="U612" s="223"/>
      <c r="V612" s="223"/>
      <c r="W612" s="223"/>
      <c r="X612" s="223"/>
      <c r="Y612" s="200"/>
      <c r="Z612" s="200"/>
      <c r="AA612" s="522"/>
      <c r="AB612" s="200"/>
      <c r="AC612" s="223"/>
      <c r="AD612" s="223"/>
      <c r="AE612" s="223"/>
      <c r="AF612" s="223"/>
      <c r="AG612" s="223"/>
      <c r="AH612" s="223"/>
      <c r="AI612" s="200"/>
      <c r="AJ612" s="200"/>
      <c r="AK612" s="522"/>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2"/>
      <c r="BF612" s="200"/>
      <c r="BG612" s="223"/>
      <c r="BH612" s="223"/>
      <c r="BI612" s="223"/>
      <c r="BJ612" s="223"/>
      <c r="BK612" s="223"/>
      <c r="BL612" s="223"/>
      <c r="BM612" s="200"/>
      <c r="BN612" s="200"/>
      <c r="BO612" s="522"/>
      <c r="BP612" s="200"/>
      <c r="BQ612" s="223"/>
      <c r="BR612" s="223"/>
      <c r="BS612" s="223"/>
      <c r="BT612" s="223"/>
      <c r="BU612" s="223"/>
      <c r="BV612" s="223"/>
      <c r="BW612" s="223"/>
      <c r="BX612" s="200"/>
      <c r="BY612" s="522"/>
      <c r="BZ612" s="200"/>
      <c r="CA612" s="223"/>
      <c r="CB612" s="223"/>
      <c r="CC612" s="223"/>
      <c r="CD612" s="223"/>
      <c r="CE612" s="223"/>
      <c r="CF612" s="223"/>
      <c r="CG612" s="200"/>
      <c r="CH612" s="200"/>
      <c r="CI612" s="522"/>
      <c r="CJ612" s="200"/>
      <c r="CK612" s="223"/>
      <c r="CL612" s="223"/>
      <c r="CM612" s="223"/>
      <c r="CN612" s="223"/>
      <c r="CO612" s="223"/>
      <c r="CP612" s="223"/>
      <c r="CQ612" s="200"/>
      <c r="CR612" s="200"/>
      <c r="CS612" s="522"/>
      <c r="CT612" s="200"/>
      <c r="CU612" s="223"/>
      <c r="CV612" s="223"/>
      <c r="CW612" s="223"/>
      <c r="CX612" s="223"/>
      <c r="CY612" s="223"/>
      <c r="CZ612" s="223"/>
      <c r="DA612" s="223"/>
      <c r="DB612" s="200"/>
      <c r="DC612" s="522"/>
      <c r="DD612" s="200"/>
      <c r="DE612" s="223"/>
      <c r="DF612" s="223"/>
      <c r="DG612" s="223"/>
      <c r="DH612" s="223"/>
      <c r="DI612" s="223"/>
      <c r="DJ612" s="223"/>
      <c r="DK612" s="200"/>
      <c r="DL612" s="200"/>
      <c r="DM612" s="522"/>
      <c r="DN612" s="200"/>
      <c r="DO612" s="223"/>
      <c r="DP612" s="223"/>
      <c r="DQ612" s="223"/>
      <c r="DR612" s="223"/>
      <c r="DS612" s="223"/>
      <c r="DT612" s="223"/>
      <c r="DU612" s="200"/>
      <c r="DV612" s="200"/>
      <c r="DW612" s="522"/>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2"/>
      <c r="R613" s="200"/>
      <c r="S613" s="223"/>
      <c r="T613" s="223"/>
      <c r="U613" s="223"/>
      <c r="V613" s="223"/>
      <c r="W613" s="223"/>
      <c r="X613" s="223"/>
      <c r="Y613" s="200"/>
      <c r="Z613" s="200"/>
      <c r="AA613" s="522"/>
      <c r="AB613" s="200"/>
      <c r="AC613" s="223"/>
      <c r="AD613" s="223"/>
      <c r="AE613" s="223"/>
      <c r="AF613" s="223"/>
      <c r="AG613" s="223"/>
      <c r="AH613" s="223"/>
      <c r="AI613" s="200"/>
      <c r="AJ613" s="200"/>
      <c r="AK613" s="522"/>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2"/>
      <c r="BF613" s="200"/>
      <c r="BG613" s="223"/>
      <c r="BH613" s="223"/>
      <c r="BI613" s="223"/>
      <c r="BJ613" s="223"/>
      <c r="BK613" s="223"/>
      <c r="BL613" s="223"/>
      <c r="BM613" s="200"/>
      <c r="BN613" s="200"/>
      <c r="BO613" s="522"/>
      <c r="BP613" s="200"/>
      <c r="BQ613" s="223"/>
      <c r="BR613" s="223"/>
      <c r="BS613" s="223"/>
      <c r="BT613" s="223"/>
      <c r="BU613" s="223"/>
      <c r="BV613" s="223"/>
      <c r="BW613" s="223"/>
      <c r="BX613" s="200"/>
      <c r="BY613" s="522"/>
      <c r="BZ613" s="200"/>
      <c r="CA613" s="223"/>
      <c r="CB613" s="223"/>
      <c r="CC613" s="223"/>
      <c r="CD613" s="223"/>
      <c r="CE613" s="223"/>
      <c r="CF613" s="223"/>
      <c r="CG613" s="200"/>
      <c r="CH613" s="200"/>
      <c r="CI613" s="522"/>
      <c r="CJ613" s="200"/>
      <c r="CK613" s="223"/>
      <c r="CL613" s="223"/>
      <c r="CM613" s="223"/>
      <c r="CN613" s="223"/>
      <c r="CO613" s="223"/>
      <c r="CP613" s="223"/>
      <c r="CQ613" s="200"/>
      <c r="CR613" s="200"/>
      <c r="CS613" s="522"/>
      <c r="CT613" s="200"/>
      <c r="CU613" s="223"/>
      <c r="CV613" s="223"/>
      <c r="CW613" s="223"/>
      <c r="CX613" s="223"/>
      <c r="CY613" s="223"/>
      <c r="CZ613" s="223"/>
      <c r="DA613" s="223"/>
      <c r="DB613" s="200"/>
      <c r="DC613" s="522"/>
      <c r="DD613" s="200"/>
      <c r="DE613" s="223"/>
      <c r="DF613" s="223"/>
      <c r="DG613" s="223"/>
      <c r="DH613" s="223"/>
      <c r="DI613" s="223"/>
      <c r="DJ613" s="223"/>
      <c r="DK613" s="200"/>
      <c r="DL613" s="200"/>
      <c r="DM613" s="522"/>
      <c r="DN613" s="200"/>
      <c r="DO613" s="223"/>
      <c r="DP613" s="223"/>
      <c r="DQ613" s="223"/>
      <c r="DR613" s="223"/>
      <c r="DS613" s="223"/>
      <c r="DT613" s="223"/>
      <c r="DU613" s="200"/>
      <c r="DV613" s="200"/>
      <c r="DW613" s="522"/>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2"/>
      <c r="R614" s="200"/>
      <c r="S614" s="223"/>
      <c r="T614" s="223"/>
      <c r="U614" s="223"/>
      <c r="V614" s="223"/>
      <c r="W614" s="223"/>
      <c r="X614" s="223"/>
      <c r="Y614" s="200"/>
      <c r="Z614" s="200"/>
      <c r="AA614" s="522"/>
      <c r="AB614" s="200"/>
      <c r="AC614" s="223"/>
      <c r="AD614" s="223"/>
      <c r="AE614" s="223"/>
      <c r="AF614" s="223"/>
      <c r="AG614" s="223"/>
      <c r="AH614" s="223"/>
      <c r="AI614" s="200"/>
      <c r="AJ614" s="200"/>
      <c r="AK614" s="522"/>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2"/>
      <c r="BF614" s="200"/>
      <c r="BG614" s="223"/>
      <c r="BH614" s="223"/>
      <c r="BI614" s="223"/>
      <c r="BJ614" s="223"/>
      <c r="BK614" s="223"/>
      <c r="BL614" s="223"/>
      <c r="BM614" s="200"/>
      <c r="BN614" s="200"/>
      <c r="BO614" s="522"/>
      <c r="BP614" s="200"/>
      <c r="BQ614" s="223"/>
      <c r="BR614" s="223"/>
      <c r="BS614" s="223"/>
      <c r="BT614" s="223"/>
      <c r="BU614" s="223"/>
      <c r="BV614" s="223"/>
      <c r="BW614" s="223"/>
      <c r="BX614" s="200"/>
      <c r="BY614" s="522"/>
      <c r="BZ614" s="200"/>
      <c r="CA614" s="223"/>
      <c r="CB614" s="223"/>
      <c r="CC614" s="223"/>
      <c r="CD614" s="223"/>
      <c r="CE614" s="223"/>
      <c r="CF614" s="223"/>
      <c r="CG614" s="200"/>
      <c r="CH614" s="200"/>
      <c r="CI614" s="522"/>
      <c r="CJ614" s="200"/>
      <c r="CK614" s="223"/>
      <c r="CL614" s="223"/>
      <c r="CM614" s="223"/>
      <c r="CN614" s="223"/>
      <c r="CO614" s="223"/>
      <c r="CP614" s="223"/>
      <c r="CQ614" s="200"/>
      <c r="CR614" s="200"/>
      <c r="CS614" s="522"/>
      <c r="CT614" s="200"/>
      <c r="CU614" s="223"/>
      <c r="CV614" s="223"/>
      <c r="CW614" s="223"/>
      <c r="CX614" s="223"/>
      <c r="CY614" s="223"/>
      <c r="CZ614" s="223"/>
      <c r="DA614" s="223"/>
      <c r="DB614" s="200"/>
      <c r="DC614" s="522"/>
      <c r="DD614" s="200"/>
      <c r="DE614" s="223"/>
      <c r="DF614" s="223"/>
      <c r="DG614" s="223"/>
      <c r="DH614" s="223"/>
      <c r="DI614" s="223"/>
      <c r="DJ614" s="223"/>
      <c r="DK614" s="200"/>
      <c r="DL614" s="200"/>
      <c r="DM614" s="522"/>
      <c r="DN614" s="200"/>
      <c r="DO614" s="223"/>
      <c r="DP614" s="223"/>
      <c r="DQ614" s="223"/>
      <c r="DR614" s="223"/>
      <c r="DS614" s="223"/>
      <c r="DT614" s="223"/>
      <c r="DU614" s="200"/>
      <c r="DV614" s="200"/>
      <c r="DW614" s="522"/>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2"/>
      <c r="R615" s="200"/>
      <c r="S615" s="223"/>
      <c r="T615" s="223"/>
      <c r="U615" s="223"/>
      <c r="V615" s="223"/>
      <c r="W615" s="223"/>
      <c r="X615" s="223"/>
      <c r="Y615" s="200"/>
      <c r="Z615" s="200"/>
      <c r="AA615" s="522"/>
      <c r="AB615" s="200"/>
      <c r="AC615" s="223"/>
      <c r="AD615" s="223"/>
      <c r="AE615" s="223"/>
      <c r="AF615" s="223"/>
      <c r="AG615" s="223"/>
      <c r="AH615" s="223"/>
      <c r="AI615" s="200"/>
      <c r="AJ615" s="200"/>
      <c r="AK615" s="522"/>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2"/>
      <c r="BF615" s="200"/>
      <c r="BG615" s="223"/>
      <c r="BH615" s="223"/>
      <c r="BI615" s="223"/>
      <c r="BJ615" s="223"/>
      <c r="BK615" s="223"/>
      <c r="BL615" s="223"/>
      <c r="BM615" s="200"/>
      <c r="BN615" s="200"/>
      <c r="BO615" s="522"/>
      <c r="BP615" s="200"/>
      <c r="BQ615" s="223"/>
      <c r="BR615" s="223"/>
      <c r="BS615" s="223"/>
      <c r="BT615" s="223"/>
      <c r="BU615" s="223"/>
      <c r="BV615" s="223"/>
      <c r="BW615" s="223"/>
      <c r="BX615" s="200"/>
      <c r="BY615" s="522"/>
      <c r="BZ615" s="200"/>
      <c r="CA615" s="223"/>
      <c r="CB615" s="223"/>
      <c r="CC615" s="223"/>
      <c r="CD615" s="223"/>
      <c r="CE615" s="223"/>
      <c r="CF615" s="223"/>
      <c r="CG615" s="200"/>
      <c r="CH615" s="200"/>
      <c r="CI615" s="522"/>
      <c r="CJ615" s="200"/>
      <c r="CK615" s="223"/>
      <c r="CL615" s="223"/>
      <c r="CM615" s="223"/>
      <c r="CN615" s="223"/>
      <c r="CO615" s="223"/>
      <c r="CP615" s="223"/>
      <c r="CQ615" s="200"/>
      <c r="CR615" s="200"/>
      <c r="CS615" s="522"/>
      <c r="CT615" s="200"/>
      <c r="CU615" s="223"/>
      <c r="CV615" s="223"/>
      <c r="CW615" s="223"/>
      <c r="CX615" s="223"/>
      <c r="CY615" s="223"/>
      <c r="CZ615" s="223"/>
      <c r="DA615" s="223"/>
      <c r="DB615" s="200"/>
      <c r="DC615" s="522"/>
      <c r="DD615" s="200"/>
      <c r="DE615" s="223"/>
      <c r="DF615" s="223"/>
      <c r="DG615" s="223"/>
      <c r="DH615" s="223"/>
      <c r="DI615" s="223"/>
      <c r="DJ615" s="223"/>
      <c r="DK615" s="200"/>
      <c r="DL615" s="200"/>
      <c r="DM615" s="522"/>
      <c r="DN615" s="200"/>
      <c r="DO615" s="223"/>
      <c r="DP615" s="223"/>
      <c r="DQ615" s="223"/>
      <c r="DR615" s="223"/>
      <c r="DS615" s="223"/>
      <c r="DT615" s="223"/>
      <c r="DU615" s="200"/>
      <c r="DV615" s="200"/>
      <c r="DW615" s="522"/>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2"/>
      <c r="R616" s="200"/>
      <c r="S616" s="223"/>
      <c r="T616" s="223"/>
      <c r="U616" s="223"/>
      <c r="V616" s="223"/>
      <c r="W616" s="223"/>
      <c r="X616" s="223"/>
      <c r="Y616" s="200"/>
      <c r="Z616" s="200"/>
      <c r="AA616" s="522"/>
      <c r="AB616" s="200"/>
      <c r="AC616" s="223"/>
      <c r="AD616" s="223"/>
      <c r="AE616" s="223"/>
      <c r="AF616" s="223"/>
      <c r="AG616" s="223"/>
      <c r="AH616" s="223"/>
      <c r="AI616" s="200"/>
      <c r="AJ616" s="200"/>
      <c r="AK616" s="522"/>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2"/>
      <c r="BF616" s="200"/>
      <c r="BG616" s="223"/>
      <c r="BH616" s="223"/>
      <c r="BI616" s="223"/>
      <c r="BJ616" s="223"/>
      <c r="BK616" s="223"/>
      <c r="BL616" s="223"/>
      <c r="BM616" s="200"/>
      <c r="BN616" s="200"/>
      <c r="BO616" s="522"/>
      <c r="BP616" s="200"/>
      <c r="BQ616" s="223"/>
      <c r="BR616" s="223"/>
      <c r="BS616" s="223"/>
      <c r="BT616" s="223"/>
      <c r="BU616" s="223"/>
      <c r="BV616" s="223"/>
      <c r="BW616" s="223"/>
      <c r="BX616" s="200"/>
      <c r="BY616" s="522"/>
      <c r="BZ616" s="200"/>
      <c r="CA616" s="223"/>
      <c r="CB616" s="223"/>
      <c r="CC616" s="223"/>
      <c r="CD616" s="223"/>
      <c r="CE616" s="223"/>
      <c r="CF616" s="223"/>
      <c r="CG616" s="200"/>
      <c r="CH616" s="200"/>
      <c r="CI616" s="522"/>
      <c r="CJ616" s="200"/>
      <c r="CK616" s="223"/>
      <c r="CL616" s="223"/>
      <c r="CM616" s="223"/>
      <c r="CN616" s="223"/>
      <c r="CO616" s="223"/>
      <c r="CP616" s="223"/>
      <c r="CQ616" s="200"/>
      <c r="CR616" s="200"/>
      <c r="CS616" s="522"/>
      <c r="CT616" s="200"/>
      <c r="CU616" s="223"/>
      <c r="CV616" s="223"/>
      <c r="CW616" s="223"/>
      <c r="CX616" s="223"/>
      <c r="CY616" s="223"/>
      <c r="CZ616" s="223"/>
      <c r="DA616" s="223"/>
      <c r="DB616" s="200"/>
      <c r="DC616" s="522"/>
      <c r="DD616" s="200"/>
      <c r="DE616" s="223"/>
      <c r="DF616" s="223"/>
      <c r="DG616" s="223"/>
      <c r="DH616" s="223"/>
      <c r="DI616" s="223"/>
      <c r="DJ616" s="223"/>
      <c r="DK616" s="200"/>
      <c r="DL616" s="200"/>
      <c r="DM616" s="522"/>
      <c r="DN616" s="200"/>
      <c r="DO616" s="223"/>
      <c r="DP616" s="223"/>
      <c r="DQ616" s="223"/>
      <c r="DR616" s="223"/>
      <c r="DS616" s="223"/>
      <c r="DT616" s="223"/>
      <c r="DU616" s="200"/>
      <c r="DV616" s="200"/>
      <c r="DW616" s="522"/>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2"/>
      <c r="R617" s="200"/>
      <c r="S617" s="223"/>
      <c r="T617" s="223"/>
      <c r="U617" s="223"/>
      <c r="V617" s="223"/>
      <c r="W617" s="223"/>
      <c r="X617" s="223"/>
      <c r="Y617" s="200"/>
      <c r="Z617" s="200"/>
      <c r="AA617" s="522"/>
      <c r="AB617" s="200"/>
      <c r="AC617" s="223"/>
      <c r="AD617" s="223"/>
      <c r="AE617" s="223"/>
      <c r="AF617" s="223"/>
      <c r="AG617" s="223"/>
      <c r="AH617" s="223"/>
      <c r="AI617" s="200"/>
      <c r="AJ617" s="200"/>
      <c r="AK617" s="522"/>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2"/>
      <c r="BF617" s="200"/>
      <c r="BG617" s="223"/>
      <c r="BH617" s="223"/>
      <c r="BI617" s="223"/>
      <c r="BJ617" s="223"/>
      <c r="BK617" s="223"/>
      <c r="BL617" s="223"/>
      <c r="BM617" s="200"/>
      <c r="BN617" s="200"/>
      <c r="BO617" s="522"/>
      <c r="BP617" s="200"/>
      <c r="BQ617" s="223"/>
      <c r="BR617" s="223"/>
      <c r="BS617" s="223"/>
      <c r="BT617" s="223"/>
      <c r="BU617" s="223"/>
      <c r="BV617" s="223"/>
      <c r="BW617" s="223"/>
      <c r="BX617" s="200"/>
      <c r="BY617" s="522"/>
      <c r="BZ617" s="200"/>
      <c r="CA617" s="223"/>
      <c r="CB617" s="223"/>
      <c r="CC617" s="223"/>
      <c r="CD617" s="223"/>
      <c r="CE617" s="223"/>
      <c r="CF617" s="223"/>
      <c r="CG617" s="200"/>
      <c r="CH617" s="200"/>
      <c r="CI617" s="522"/>
      <c r="CJ617" s="200"/>
      <c r="CK617" s="223"/>
      <c r="CL617" s="223"/>
      <c r="CM617" s="223"/>
      <c r="CN617" s="223"/>
      <c r="CO617" s="223"/>
      <c r="CP617" s="223"/>
      <c r="CQ617" s="200"/>
      <c r="CR617" s="200"/>
      <c r="CS617" s="522"/>
      <c r="CT617" s="200"/>
      <c r="CU617" s="223"/>
      <c r="CV617" s="223"/>
      <c r="CW617" s="223"/>
      <c r="CX617" s="223"/>
      <c r="CY617" s="223"/>
      <c r="CZ617" s="223"/>
      <c r="DA617" s="223"/>
      <c r="DB617" s="200"/>
      <c r="DC617" s="522"/>
      <c r="DD617" s="200"/>
      <c r="DE617" s="223"/>
      <c r="DF617" s="223"/>
      <c r="DG617" s="223"/>
      <c r="DH617" s="223"/>
      <c r="DI617" s="223"/>
      <c r="DJ617" s="223"/>
      <c r="DK617" s="200"/>
      <c r="DL617" s="200"/>
      <c r="DM617" s="522"/>
      <c r="DN617" s="200"/>
      <c r="DO617" s="223"/>
      <c r="DP617" s="223"/>
      <c r="DQ617" s="223"/>
      <c r="DR617" s="223"/>
      <c r="DS617" s="223"/>
      <c r="DT617" s="223"/>
      <c r="DU617" s="200"/>
      <c r="DV617" s="200"/>
      <c r="DW617" s="522"/>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2"/>
      <c r="R618" s="200"/>
      <c r="S618" s="223"/>
      <c r="T618" s="223"/>
      <c r="U618" s="223"/>
      <c r="V618" s="223"/>
      <c r="W618" s="223"/>
      <c r="X618" s="223"/>
      <c r="Y618" s="200"/>
      <c r="Z618" s="200"/>
      <c r="AA618" s="522"/>
      <c r="AB618" s="200"/>
      <c r="AC618" s="223"/>
      <c r="AD618" s="223"/>
      <c r="AE618" s="223"/>
      <c r="AF618" s="223"/>
      <c r="AG618" s="223"/>
      <c r="AH618" s="223"/>
      <c r="AI618" s="200"/>
      <c r="AJ618" s="200"/>
      <c r="AK618" s="522"/>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2"/>
      <c r="BF618" s="200"/>
      <c r="BG618" s="223"/>
      <c r="BH618" s="223"/>
      <c r="BI618" s="223"/>
      <c r="BJ618" s="223"/>
      <c r="BK618" s="223"/>
      <c r="BL618" s="223"/>
      <c r="BM618" s="200"/>
      <c r="BN618" s="200"/>
      <c r="BO618" s="522"/>
      <c r="BP618" s="200"/>
      <c r="BQ618" s="223"/>
      <c r="BR618" s="223"/>
      <c r="BS618" s="223"/>
      <c r="BT618" s="223"/>
      <c r="BU618" s="223"/>
      <c r="BV618" s="223"/>
      <c r="BW618" s="223"/>
      <c r="BX618" s="200"/>
      <c r="BY618" s="522"/>
      <c r="BZ618" s="200"/>
      <c r="CA618" s="223"/>
      <c r="CB618" s="223"/>
      <c r="CC618" s="223"/>
      <c r="CD618" s="223"/>
      <c r="CE618" s="223"/>
      <c r="CF618" s="223"/>
      <c r="CG618" s="200"/>
      <c r="CH618" s="200"/>
      <c r="CI618" s="522"/>
      <c r="CJ618" s="200"/>
      <c r="CK618" s="223"/>
      <c r="CL618" s="223"/>
      <c r="CM618" s="223"/>
      <c r="CN618" s="223"/>
      <c r="CO618" s="223"/>
      <c r="CP618" s="223"/>
      <c r="CQ618" s="200"/>
      <c r="CR618" s="200"/>
      <c r="CS618" s="522"/>
      <c r="CT618" s="200"/>
      <c r="CU618" s="223"/>
      <c r="CV618" s="223"/>
      <c r="CW618" s="223"/>
      <c r="CX618" s="223"/>
      <c r="CY618" s="223"/>
      <c r="CZ618" s="223"/>
      <c r="DA618" s="223"/>
      <c r="DB618" s="200"/>
      <c r="DC618" s="522"/>
      <c r="DD618" s="200"/>
      <c r="DE618" s="223"/>
      <c r="DF618" s="223"/>
      <c r="DG618" s="223"/>
      <c r="DH618" s="223"/>
      <c r="DI618" s="223"/>
      <c r="DJ618" s="223"/>
      <c r="DK618" s="200"/>
      <c r="DL618" s="200"/>
      <c r="DM618" s="522"/>
      <c r="DN618" s="200"/>
      <c r="DO618" s="223"/>
      <c r="DP618" s="223"/>
      <c r="DQ618" s="223"/>
      <c r="DR618" s="223"/>
      <c r="DS618" s="223"/>
      <c r="DT618" s="223"/>
      <c r="DU618" s="200"/>
      <c r="DV618" s="200"/>
      <c r="DW618" s="522"/>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2"/>
      <c r="R619" s="200"/>
      <c r="S619" s="223"/>
      <c r="T619" s="223"/>
      <c r="U619" s="223"/>
      <c r="V619" s="223"/>
      <c r="W619" s="223"/>
      <c r="X619" s="223"/>
      <c r="Y619" s="200"/>
      <c r="Z619" s="200"/>
      <c r="AA619" s="522"/>
      <c r="AB619" s="200"/>
      <c r="AC619" s="223"/>
      <c r="AD619" s="223"/>
      <c r="AE619" s="223"/>
      <c r="AF619" s="223"/>
      <c r="AG619" s="223"/>
      <c r="AH619" s="223"/>
      <c r="AI619" s="200"/>
      <c r="AJ619" s="200"/>
      <c r="AK619" s="522"/>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2"/>
      <c r="BF619" s="200"/>
      <c r="BG619" s="223"/>
      <c r="BH619" s="223"/>
      <c r="BI619" s="223"/>
      <c r="BJ619" s="223"/>
      <c r="BK619" s="223"/>
      <c r="BL619" s="223"/>
      <c r="BM619" s="200"/>
      <c r="BN619" s="200"/>
      <c r="BO619" s="522"/>
      <c r="BP619" s="200"/>
      <c r="BQ619" s="223"/>
      <c r="BR619" s="223"/>
      <c r="BS619" s="223"/>
      <c r="BT619" s="223"/>
      <c r="BU619" s="223"/>
      <c r="BV619" s="223"/>
      <c r="BW619" s="223"/>
      <c r="BX619" s="200"/>
      <c r="BY619" s="522"/>
      <c r="BZ619" s="200"/>
      <c r="CA619" s="223"/>
      <c r="CB619" s="223"/>
      <c r="CC619" s="223"/>
      <c r="CD619" s="223"/>
      <c r="CE619" s="223"/>
      <c r="CF619" s="223"/>
      <c r="CG619" s="200"/>
      <c r="CH619" s="200"/>
      <c r="CI619" s="522"/>
      <c r="CJ619" s="200"/>
      <c r="CK619" s="223"/>
      <c r="CL619" s="223"/>
      <c r="CM619" s="223"/>
      <c r="CN619" s="223"/>
      <c r="CO619" s="223"/>
      <c r="CP619" s="223"/>
      <c r="CQ619" s="200"/>
      <c r="CR619" s="200"/>
      <c r="CS619" s="522"/>
      <c r="CT619" s="200"/>
      <c r="CU619" s="223"/>
      <c r="CV619" s="223"/>
      <c r="CW619" s="223"/>
      <c r="CX619" s="223"/>
      <c r="CY619" s="223"/>
      <c r="CZ619" s="223"/>
      <c r="DA619" s="223"/>
      <c r="DB619" s="200"/>
      <c r="DC619" s="522"/>
      <c r="DD619" s="200"/>
      <c r="DE619" s="223"/>
      <c r="DF619" s="223"/>
      <c r="DG619" s="223"/>
      <c r="DH619" s="223"/>
      <c r="DI619" s="223"/>
      <c r="DJ619" s="223"/>
      <c r="DK619" s="200"/>
      <c r="DL619" s="200"/>
      <c r="DM619" s="522"/>
      <c r="DN619" s="200"/>
      <c r="DO619" s="223"/>
      <c r="DP619" s="223"/>
      <c r="DQ619" s="223"/>
      <c r="DR619" s="223"/>
      <c r="DS619" s="223"/>
      <c r="DT619" s="223"/>
      <c r="DU619" s="200"/>
      <c r="DV619" s="200"/>
      <c r="DW619" s="522"/>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2"/>
      <c r="R620" s="200"/>
      <c r="S620" s="223"/>
      <c r="T620" s="223"/>
      <c r="U620" s="223"/>
      <c r="V620" s="223"/>
      <c r="W620" s="223"/>
      <c r="X620" s="223"/>
      <c r="Y620" s="200"/>
      <c r="Z620" s="200"/>
      <c r="AA620" s="522"/>
      <c r="AB620" s="200"/>
      <c r="AC620" s="223"/>
      <c r="AD620" s="223"/>
      <c r="AE620" s="223"/>
      <c r="AF620" s="223"/>
      <c r="AG620" s="223"/>
      <c r="AH620" s="223"/>
      <c r="AI620" s="200"/>
      <c r="AJ620" s="200"/>
      <c r="AK620" s="522"/>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2"/>
      <c r="BF620" s="200"/>
      <c r="BG620" s="223"/>
      <c r="BH620" s="223"/>
      <c r="BI620" s="223"/>
      <c r="BJ620" s="223"/>
      <c r="BK620" s="223"/>
      <c r="BL620" s="223"/>
      <c r="BM620" s="200"/>
      <c r="BN620" s="200"/>
      <c r="BO620" s="522"/>
      <c r="BP620" s="200"/>
      <c r="BQ620" s="223"/>
      <c r="BR620" s="223"/>
      <c r="BS620" s="223"/>
      <c r="BT620" s="223"/>
      <c r="BU620" s="223"/>
      <c r="BV620" s="223"/>
      <c r="BW620" s="223"/>
      <c r="BX620" s="200"/>
      <c r="BY620" s="522"/>
      <c r="BZ620" s="200"/>
      <c r="CA620" s="223"/>
      <c r="CB620" s="223"/>
      <c r="CC620" s="223"/>
      <c r="CD620" s="223"/>
      <c r="CE620" s="223"/>
      <c r="CF620" s="223"/>
      <c r="CG620" s="200"/>
      <c r="CH620" s="200"/>
      <c r="CI620" s="522"/>
      <c r="CJ620" s="200"/>
      <c r="CK620" s="223"/>
      <c r="CL620" s="223"/>
      <c r="CM620" s="223"/>
      <c r="CN620" s="223"/>
      <c r="CO620" s="223"/>
      <c r="CP620" s="223"/>
      <c r="CQ620" s="200"/>
      <c r="CR620" s="200"/>
      <c r="CS620" s="522"/>
      <c r="CT620" s="200"/>
      <c r="CU620" s="223"/>
      <c r="CV620" s="223"/>
      <c r="CW620" s="223"/>
      <c r="CX620" s="223"/>
      <c r="CY620" s="223"/>
      <c r="CZ620" s="223"/>
      <c r="DA620" s="223"/>
      <c r="DB620" s="200"/>
      <c r="DC620" s="522"/>
      <c r="DD620" s="200"/>
      <c r="DE620" s="223"/>
      <c r="DF620" s="223"/>
      <c r="DG620" s="223"/>
      <c r="DH620" s="223"/>
      <c r="DI620" s="223"/>
      <c r="DJ620" s="223"/>
      <c r="DK620" s="200"/>
      <c r="DL620" s="200"/>
      <c r="DM620" s="522"/>
      <c r="DN620" s="200"/>
      <c r="DO620" s="223"/>
      <c r="DP620" s="223"/>
      <c r="DQ620" s="223"/>
      <c r="DR620" s="223"/>
      <c r="DS620" s="223"/>
      <c r="DT620" s="223"/>
      <c r="DU620" s="200"/>
      <c r="DV620" s="200"/>
      <c r="DW620" s="522"/>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2"/>
      <c r="R621" s="200"/>
      <c r="S621" s="223"/>
      <c r="T621" s="223"/>
      <c r="U621" s="223"/>
      <c r="V621" s="223"/>
      <c r="W621" s="223"/>
      <c r="X621" s="223"/>
      <c r="Y621" s="200"/>
      <c r="Z621" s="200"/>
      <c r="AA621" s="522"/>
      <c r="AB621" s="200"/>
      <c r="AC621" s="223"/>
      <c r="AD621" s="223"/>
      <c r="AE621" s="223"/>
      <c r="AF621" s="223"/>
      <c r="AG621" s="223"/>
      <c r="AH621" s="223"/>
      <c r="AI621" s="200"/>
      <c r="AJ621" s="200"/>
      <c r="AK621" s="522"/>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2"/>
      <c r="BF621" s="200"/>
      <c r="BG621" s="223"/>
      <c r="BH621" s="223"/>
      <c r="BI621" s="223"/>
      <c r="BJ621" s="223"/>
      <c r="BK621" s="223"/>
      <c r="BL621" s="223"/>
      <c r="BM621" s="200"/>
      <c r="BN621" s="200"/>
      <c r="BO621" s="522"/>
      <c r="BP621" s="200"/>
      <c r="BQ621" s="223"/>
      <c r="BR621" s="223"/>
      <c r="BS621" s="223"/>
      <c r="BT621" s="223"/>
      <c r="BU621" s="223"/>
      <c r="BV621" s="223"/>
      <c r="BW621" s="223"/>
      <c r="BX621" s="200"/>
      <c r="BY621" s="522"/>
      <c r="BZ621" s="200"/>
      <c r="CA621" s="223"/>
      <c r="CB621" s="223"/>
      <c r="CC621" s="223"/>
      <c r="CD621" s="223"/>
      <c r="CE621" s="223"/>
      <c r="CF621" s="223"/>
      <c r="CG621" s="200"/>
      <c r="CH621" s="200"/>
      <c r="CI621" s="522"/>
      <c r="CJ621" s="200"/>
      <c r="CK621" s="223"/>
      <c r="CL621" s="223"/>
      <c r="CM621" s="223"/>
      <c r="CN621" s="223"/>
      <c r="CO621" s="223"/>
      <c r="CP621" s="223"/>
      <c r="CQ621" s="200"/>
      <c r="CR621" s="200"/>
      <c r="CS621" s="522"/>
      <c r="CT621" s="200"/>
      <c r="CU621" s="223"/>
      <c r="CV621" s="223"/>
      <c r="CW621" s="223"/>
      <c r="CX621" s="223"/>
      <c r="CY621" s="223"/>
      <c r="CZ621" s="223"/>
      <c r="DA621" s="223"/>
      <c r="DB621" s="200"/>
      <c r="DC621" s="522"/>
      <c r="DD621" s="200"/>
      <c r="DE621" s="223"/>
      <c r="DF621" s="223"/>
      <c r="DG621" s="223"/>
      <c r="DH621" s="223"/>
      <c r="DI621" s="223"/>
      <c r="DJ621" s="223"/>
      <c r="DK621" s="200"/>
      <c r="DL621" s="200"/>
      <c r="DM621" s="522"/>
      <c r="DN621" s="200"/>
      <c r="DO621" s="223"/>
      <c r="DP621" s="223"/>
      <c r="DQ621" s="223"/>
      <c r="DR621" s="223"/>
      <c r="DS621" s="223"/>
      <c r="DT621" s="223"/>
      <c r="DU621" s="200"/>
      <c r="DV621" s="200"/>
      <c r="DW621" s="522"/>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2"/>
      <c r="R622" s="200"/>
      <c r="S622" s="223"/>
      <c r="T622" s="223"/>
      <c r="U622" s="223"/>
      <c r="V622" s="223"/>
      <c r="W622" s="223"/>
      <c r="X622" s="223"/>
      <c r="Y622" s="200"/>
      <c r="Z622" s="200"/>
      <c r="AA622" s="522"/>
      <c r="AB622" s="200"/>
      <c r="AC622" s="223"/>
      <c r="AD622" s="223"/>
      <c r="AE622" s="223"/>
      <c r="AF622" s="223"/>
      <c r="AG622" s="223"/>
      <c r="AH622" s="223"/>
      <c r="AI622" s="200"/>
      <c r="AJ622" s="200"/>
      <c r="AK622" s="522"/>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2"/>
      <c r="BF622" s="200"/>
      <c r="BG622" s="223"/>
      <c r="BH622" s="223"/>
      <c r="BI622" s="223"/>
      <c r="BJ622" s="223"/>
      <c r="BK622" s="223"/>
      <c r="BL622" s="223"/>
      <c r="BM622" s="200"/>
      <c r="BN622" s="200"/>
      <c r="BO622" s="522"/>
      <c r="BP622" s="200"/>
      <c r="BQ622" s="223"/>
      <c r="BR622" s="223"/>
      <c r="BS622" s="223"/>
      <c r="BT622" s="223"/>
      <c r="BU622" s="223"/>
      <c r="BV622" s="223"/>
      <c r="BW622" s="223"/>
      <c r="BX622" s="200"/>
      <c r="BY622" s="522"/>
      <c r="BZ622" s="200"/>
      <c r="CA622" s="223"/>
      <c r="CB622" s="223"/>
      <c r="CC622" s="223"/>
      <c r="CD622" s="223"/>
      <c r="CE622" s="223"/>
      <c r="CF622" s="223"/>
      <c r="CG622" s="200"/>
      <c r="CH622" s="200"/>
      <c r="CI622" s="522"/>
      <c r="CJ622" s="200"/>
      <c r="CK622" s="223"/>
      <c r="CL622" s="223"/>
      <c r="CM622" s="223"/>
      <c r="CN622" s="223"/>
      <c r="CO622" s="223"/>
      <c r="CP622" s="223"/>
      <c r="CQ622" s="200"/>
      <c r="CR622" s="200"/>
      <c r="CS622" s="522"/>
      <c r="CT622" s="200"/>
      <c r="CU622" s="223"/>
      <c r="CV622" s="223"/>
      <c r="CW622" s="223"/>
      <c r="CX622" s="223"/>
      <c r="CY622" s="223"/>
      <c r="CZ622" s="223"/>
      <c r="DA622" s="223"/>
      <c r="DB622" s="200"/>
      <c r="DC622" s="522"/>
      <c r="DD622" s="200"/>
      <c r="DE622" s="223"/>
      <c r="DF622" s="223"/>
      <c r="DG622" s="223"/>
      <c r="DH622" s="223"/>
      <c r="DI622" s="223"/>
      <c r="DJ622" s="223"/>
      <c r="DK622" s="200"/>
      <c r="DL622" s="200"/>
      <c r="DM622" s="522"/>
      <c r="DN622" s="200"/>
      <c r="DO622" s="223"/>
      <c r="DP622" s="223"/>
      <c r="DQ622" s="223"/>
      <c r="DR622" s="223"/>
      <c r="DS622" s="223"/>
      <c r="DT622" s="223"/>
      <c r="DU622" s="200"/>
      <c r="DV622" s="200"/>
      <c r="DW622" s="522"/>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2"/>
      <c r="R623" s="200"/>
      <c r="S623" s="223"/>
      <c r="T623" s="223"/>
      <c r="U623" s="223"/>
      <c r="V623" s="223"/>
      <c r="W623" s="223"/>
      <c r="X623" s="223"/>
      <c r="Y623" s="200"/>
      <c r="Z623" s="200"/>
      <c r="AA623" s="522"/>
      <c r="AB623" s="200"/>
      <c r="AC623" s="223"/>
      <c r="AD623" s="223"/>
      <c r="AE623" s="223"/>
      <c r="AF623" s="223"/>
      <c r="AG623" s="223"/>
      <c r="AH623" s="223"/>
      <c r="AI623" s="200"/>
      <c r="AJ623" s="200"/>
      <c r="AK623" s="522"/>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2"/>
      <c r="BF623" s="200"/>
      <c r="BG623" s="223"/>
      <c r="BH623" s="223"/>
      <c r="BI623" s="223"/>
      <c r="BJ623" s="223"/>
      <c r="BK623" s="223"/>
      <c r="BL623" s="223"/>
      <c r="BM623" s="200"/>
      <c r="BN623" s="200"/>
      <c r="BO623" s="522"/>
      <c r="BP623" s="200"/>
      <c r="BQ623" s="223"/>
      <c r="BR623" s="223"/>
      <c r="BS623" s="223"/>
      <c r="BT623" s="223"/>
      <c r="BU623" s="223"/>
      <c r="BV623" s="223"/>
      <c r="BW623" s="223"/>
      <c r="BX623" s="200"/>
      <c r="BY623" s="522"/>
      <c r="BZ623" s="200"/>
      <c r="CA623" s="223"/>
      <c r="CB623" s="223"/>
      <c r="CC623" s="223"/>
      <c r="CD623" s="223"/>
      <c r="CE623" s="223"/>
      <c r="CF623" s="223"/>
      <c r="CG623" s="200"/>
      <c r="CH623" s="200"/>
      <c r="CI623" s="522"/>
      <c r="CJ623" s="200"/>
      <c r="CK623" s="223"/>
      <c r="CL623" s="223"/>
      <c r="CM623" s="223"/>
      <c r="CN623" s="223"/>
      <c r="CO623" s="223"/>
      <c r="CP623" s="223"/>
      <c r="CQ623" s="200"/>
      <c r="CR623" s="200"/>
      <c r="CS623" s="522"/>
      <c r="CT623" s="200"/>
      <c r="CU623" s="223"/>
      <c r="CV623" s="223"/>
      <c r="CW623" s="223"/>
      <c r="CX623" s="223"/>
      <c r="CY623" s="223"/>
      <c r="CZ623" s="223"/>
      <c r="DA623" s="223"/>
      <c r="DB623" s="200"/>
      <c r="DC623" s="522"/>
      <c r="DD623" s="200"/>
      <c r="DE623" s="223"/>
      <c r="DF623" s="223"/>
      <c r="DG623" s="223"/>
      <c r="DH623" s="223"/>
      <c r="DI623" s="223"/>
      <c r="DJ623" s="223"/>
      <c r="DK623" s="200"/>
      <c r="DL623" s="200"/>
      <c r="DM623" s="522"/>
      <c r="DN623" s="200"/>
      <c r="DO623" s="223"/>
      <c r="DP623" s="223"/>
      <c r="DQ623" s="223"/>
      <c r="DR623" s="223"/>
      <c r="DS623" s="223"/>
      <c r="DT623" s="223"/>
      <c r="DU623" s="200"/>
      <c r="DV623" s="200"/>
      <c r="DW623" s="522"/>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2"/>
      <c r="R624" s="200"/>
      <c r="S624" s="223"/>
      <c r="T624" s="223"/>
      <c r="U624" s="223"/>
      <c r="V624" s="223"/>
      <c r="W624" s="223"/>
      <c r="X624" s="223"/>
      <c r="Y624" s="200"/>
      <c r="Z624" s="200"/>
      <c r="AA624" s="522"/>
      <c r="AB624" s="200"/>
      <c r="AC624" s="223"/>
      <c r="AD624" s="223"/>
      <c r="AE624" s="223"/>
      <c r="AF624" s="223"/>
      <c r="AG624" s="223"/>
      <c r="AH624" s="223"/>
      <c r="AI624" s="200"/>
      <c r="AJ624" s="200"/>
      <c r="AK624" s="522"/>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2"/>
      <c r="BF624" s="200"/>
      <c r="BG624" s="223"/>
      <c r="BH624" s="223"/>
      <c r="BI624" s="223"/>
      <c r="BJ624" s="223"/>
      <c r="BK624" s="223"/>
      <c r="BL624" s="223"/>
      <c r="BM624" s="200"/>
      <c r="BN624" s="200"/>
      <c r="BO624" s="522"/>
      <c r="BP624" s="200"/>
      <c r="BQ624" s="223"/>
      <c r="BR624" s="223"/>
      <c r="BS624" s="223"/>
      <c r="BT624" s="223"/>
      <c r="BU624" s="223"/>
      <c r="BV624" s="223"/>
      <c r="BW624" s="223"/>
      <c r="BX624" s="200"/>
      <c r="BY624" s="522"/>
      <c r="BZ624" s="200"/>
      <c r="CA624" s="223"/>
      <c r="CB624" s="223"/>
      <c r="CC624" s="223"/>
      <c r="CD624" s="223"/>
      <c r="CE624" s="223"/>
      <c r="CF624" s="223"/>
      <c r="CG624" s="200"/>
      <c r="CH624" s="200"/>
      <c r="CI624" s="522"/>
      <c r="CJ624" s="200"/>
      <c r="CK624" s="223"/>
      <c r="CL624" s="223"/>
      <c r="CM624" s="223"/>
      <c r="CN624" s="223"/>
      <c r="CO624" s="223"/>
      <c r="CP624" s="223"/>
      <c r="CQ624" s="200"/>
      <c r="CR624" s="200"/>
      <c r="CS624" s="522"/>
      <c r="CT624" s="200"/>
      <c r="CU624" s="223"/>
      <c r="CV624" s="223"/>
      <c r="CW624" s="223"/>
      <c r="CX624" s="223"/>
      <c r="CY624" s="223"/>
      <c r="CZ624" s="223"/>
      <c r="DA624" s="223"/>
      <c r="DB624" s="200"/>
      <c r="DC624" s="522"/>
      <c r="DD624" s="200"/>
      <c r="DE624" s="223"/>
      <c r="DF624" s="223"/>
      <c r="DG624" s="223"/>
      <c r="DH624" s="223"/>
      <c r="DI624" s="223"/>
      <c r="DJ624" s="223"/>
      <c r="DK624" s="200"/>
      <c r="DL624" s="200"/>
      <c r="DM624" s="522"/>
      <c r="DN624" s="200"/>
      <c r="DO624" s="223"/>
      <c r="DP624" s="223"/>
      <c r="DQ624" s="223"/>
      <c r="DR624" s="223"/>
      <c r="DS624" s="223"/>
      <c r="DT624" s="223"/>
      <c r="DU624" s="200"/>
      <c r="DV624" s="200"/>
      <c r="DW624" s="522"/>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2"/>
      <c r="R625" s="200"/>
      <c r="S625" s="223"/>
      <c r="T625" s="223"/>
      <c r="U625" s="223"/>
      <c r="V625" s="223"/>
      <c r="W625" s="223"/>
      <c r="X625" s="223"/>
      <c r="Y625" s="200"/>
      <c r="Z625" s="200"/>
      <c r="AA625" s="522"/>
      <c r="AB625" s="200"/>
      <c r="AC625" s="223"/>
      <c r="AD625" s="223"/>
      <c r="AE625" s="223"/>
      <c r="AF625" s="223"/>
      <c r="AG625" s="223"/>
      <c r="AH625" s="223"/>
      <c r="AI625" s="200"/>
      <c r="AJ625" s="200"/>
      <c r="AK625" s="522"/>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2"/>
      <c r="BF625" s="200"/>
      <c r="BG625" s="223"/>
      <c r="BH625" s="223"/>
      <c r="BI625" s="223"/>
      <c r="BJ625" s="223"/>
      <c r="BK625" s="223"/>
      <c r="BL625" s="223"/>
      <c r="BM625" s="200"/>
      <c r="BN625" s="200"/>
      <c r="BO625" s="522"/>
      <c r="BP625" s="200"/>
      <c r="BQ625" s="223"/>
      <c r="BR625" s="223"/>
      <c r="BS625" s="223"/>
      <c r="BT625" s="223"/>
      <c r="BU625" s="223"/>
      <c r="BV625" s="223"/>
      <c r="BW625" s="223"/>
      <c r="BX625" s="200"/>
      <c r="BY625" s="522"/>
      <c r="BZ625" s="200"/>
      <c r="CA625" s="223"/>
      <c r="CB625" s="223"/>
      <c r="CC625" s="223"/>
      <c r="CD625" s="223"/>
      <c r="CE625" s="223"/>
      <c r="CF625" s="223"/>
      <c r="CG625" s="200"/>
      <c r="CH625" s="200"/>
      <c r="CI625" s="522"/>
      <c r="CJ625" s="200"/>
      <c r="CK625" s="223"/>
      <c r="CL625" s="223"/>
      <c r="CM625" s="223"/>
      <c r="CN625" s="223"/>
      <c r="CO625" s="223"/>
      <c r="CP625" s="223"/>
      <c r="CQ625" s="200"/>
      <c r="CR625" s="200"/>
      <c r="CS625" s="522"/>
      <c r="CT625" s="200"/>
      <c r="CU625" s="223"/>
      <c r="CV625" s="223"/>
      <c r="CW625" s="223"/>
      <c r="CX625" s="223"/>
      <c r="CY625" s="223"/>
      <c r="CZ625" s="223"/>
      <c r="DA625" s="223"/>
      <c r="DB625" s="200"/>
      <c r="DC625" s="522"/>
      <c r="DD625" s="200"/>
      <c r="DE625" s="223"/>
      <c r="DF625" s="223"/>
      <c r="DG625" s="223"/>
      <c r="DH625" s="223"/>
      <c r="DI625" s="223"/>
      <c r="DJ625" s="223"/>
      <c r="DK625" s="200"/>
      <c r="DL625" s="200"/>
      <c r="DM625" s="522"/>
      <c r="DN625" s="200"/>
      <c r="DO625" s="223"/>
      <c r="DP625" s="223"/>
      <c r="DQ625" s="223"/>
      <c r="DR625" s="223"/>
      <c r="DS625" s="223"/>
      <c r="DT625" s="223"/>
      <c r="DU625" s="200"/>
      <c r="DV625" s="200"/>
      <c r="DW625" s="522"/>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2"/>
      <c r="R626" s="200"/>
      <c r="S626" s="223"/>
      <c r="T626" s="223"/>
      <c r="U626" s="223"/>
      <c r="V626" s="223"/>
      <c r="W626" s="223"/>
      <c r="X626" s="223"/>
      <c r="Y626" s="200"/>
      <c r="Z626" s="200"/>
      <c r="AA626" s="522"/>
      <c r="AB626" s="200"/>
      <c r="AC626" s="223"/>
      <c r="AD626" s="223"/>
      <c r="AE626" s="223"/>
      <c r="AF626" s="223"/>
      <c r="AG626" s="223"/>
      <c r="AH626" s="223"/>
      <c r="AI626" s="200"/>
      <c r="AJ626" s="200"/>
      <c r="AK626" s="522"/>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2"/>
      <c r="BF626" s="200"/>
      <c r="BG626" s="223"/>
      <c r="BH626" s="223"/>
      <c r="BI626" s="223"/>
      <c r="BJ626" s="223"/>
      <c r="BK626" s="223"/>
      <c r="BL626" s="223"/>
      <c r="BM626" s="200"/>
      <c r="BN626" s="200"/>
      <c r="BO626" s="522"/>
      <c r="BP626" s="200"/>
      <c r="BQ626" s="223"/>
      <c r="BR626" s="223"/>
      <c r="BS626" s="223"/>
      <c r="BT626" s="223"/>
      <c r="BU626" s="223"/>
      <c r="BV626" s="223"/>
      <c r="BW626" s="223"/>
      <c r="BX626" s="200"/>
      <c r="BY626" s="522"/>
      <c r="BZ626" s="200"/>
      <c r="CA626" s="223"/>
      <c r="CB626" s="223"/>
      <c r="CC626" s="223"/>
      <c r="CD626" s="223"/>
      <c r="CE626" s="223"/>
      <c r="CF626" s="223"/>
      <c r="CG626" s="200"/>
      <c r="CH626" s="200"/>
      <c r="CI626" s="522"/>
      <c r="CJ626" s="200"/>
      <c r="CK626" s="223"/>
      <c r="CL626" s="223"/>
      <c r="CM626" s="223"/>
      <c r="CN626" s="223"/>
      <c r="CO626" s="223"/>
      <c r="CP626" s="223"/>
      <c r="CQ626" s="200"/>
      <c r="CR626" s="200"/>
      <c r="CS626" s="522"/>
      <c r="CT626" s="200"/>
      <c r="CU626" s="223"/>
      <c r="CV626" s="223"/>
      <c r="CW626" s="223"/>
      <c r="CX626" s="223"/>
      <c r="CY626" s="223"/>
      <c r="CZ626" s="223"/>
      <c r="DA626" s="223"/>
      <c r="DB626" s="200"/>
      <c r="DC626" s="522"/>
      <c r="DD626" s="200"/>
      <c r="DE626" s="223"/>
      <c r="DF626" s="223"/>
      <c r="DG626" s="223"/>
      <c r="DH626" s="223"/>
      <c r="DI626" s="223"/>
      <c r="DJ626" s="223"/>
      <c r="DK626" s="200"/>
      <c r="DL626" s="200"/>
      <c r="DM626" s="522"/>
      <c r="DN626" s="200"/>
      <c r="DO626" s="223"/>
      <c r="DP626" s="223"/>
      <c r="DQ626" s="223"/>
      <c r="DR626" s="223"/>
      <c r="DS626" s="223"/>
      <c r="DT626" s="223"/>
      <c r="DU626" s="200"/>
      <c r="DV626" s="200"/>
      <c r="DW626" s="522"/>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2"/>
      <c r="R627" s="200"/>
      <c r="S627" s="223"/>
      <c r="T627" s="223"/>
      <c r="U627" s="223"/>
      <c r="V627" s="223"/>
      <c r="W627" s="223"/>
      <c r="X627" s="223"/>
      <c r="Y627" s="200"/>
      <c r="Z627" s="200"/>
      <c r="AA627" s="522"/>
      <c r="AB627" s="200"/>
      <c r="AC627" s="223"/>
      <c r="AD627" s="223"/>
      <c r="AE627" s="223"/>
      <c r="AF627" s="223"/>
      <c r="AG627" s="223"/>
      <c r="AH627" s="223"/>
      <c r="AI627" s="200"/>
      <c r="AJ627" s="200"/>
      <c r="AK627" s="522"/>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2"/>
      <c r="BF627" s="200"/>
      <c r="BG627" s="223"/>
      <c r="BH627" s="223"/>
      <c r="BI627" s="223"/>
      <c r="BJ627" s="223"/>
      <c r="BK627" s="223"/>
      <c r="BL627" s="223"/>
      <c r="BM627" s="200"/>
      <c r="BN627" s="200"/>
      <c r="BO627" s="522"/>
      <c r="BP627" s="200"/>
      <c r="BQ627" s="223"/>
      <c r="BR627" s="223"/>
      <c r="BS627" s="223"/>
      <c r="BT627" s="223"/>
      <c r="BU627" s="223"/>
      <c r="BV627" s="223"/>
      <c r="BW627" s="223"/>
      <c r="BX627" s="200"/>
      <c r="BY627" s="522"/>
      <c r="BZ627" s="200"/>
      <c r="CA627" s="223"/>
      <c r="CB627" s="223"/>
      <c r="CC627" s="223"/>
      <c r="CD627" s="223"/>
      <c r="CE627" s="223"/>
      <c r="CF627" s="223"/>
      <c r="CG627" s="200"/>
      <c r="CH627" s="200"/>
      <c r="CI627" s="522"/>
      <c r="CJ627" s="200"/>
      <c r="CK627" s="223"/>
      <c r="CL627" s="223"/>
      <c r="CM627" s="223"/>
      <c r="CN627" s="223"/>
      <c r="CO627" s="223"/>
      <c r="CP627" s="223"/>
      <c r="CQ627" s="200"/>
      <c r="CR627" s="200"/>
      <c r="CS627" s="522"/>
      <c r="CT627" s="200"/>
      <c r="CU627" s="223"/>
      <c r="CV627" s="223"/>
      <c r="CW627" s="223"/>
      <c r="CX627" s="223"/>
      <c r="CY627" s="223"/>
      <c r="CZ627" s="223"/>
      <c r="DA627" s="223"/>
      <c r="DB627" s="200"/>
      <c r="DC627" s="522"/>
      <c r="DD627" s="200"/>
      <c r="DE627" s="223"/>
      <c r="DF627" s="223"/>
      <c r="DG627" s="223"/>
      <c r="DH627" s="223"/>
      <c r="DI627" s="223"/>
      <c r="DJ627" s="223"/>
      <c r="DK627" s="200"/>
      <c r="DL627" s="200"/>
      <c r="DM627" s="522"/>
      <c r="DN627" s="200"/>
      <c r="DO627" s="223"/>
      <c r="DP627" s="223"/>
      <c r="DQ627" s="223"/>
      <c r="DR627" s="223"/>
      <c r="DS627" s="223"/>
      <c r="DT627" s="223"/>
      <c r="DU627" s="200"/>
      <c r="DV627" s="200"/>
      <c r="DW627" s="522"/>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2"/>
      <c r="R628" s="200"/>
      <c r="S628" s="223"/>
      <c r="T628" s="223"/>
      <c r="U628" s="223"/>
      <c r="V628" s="223"/>
      <c r="W628" s="223"/>
      <c r="X628" s="223"/>
      <c r="Y628" s="200"/>
      <c r="Z628" s="200"/>
      <c r="AA628" s="522"/>
      <c r="AB628" s="200"/>
      <c r="AC628" s="223"/>
      <c r="AD628" s="223"/>
      <c r="AE628" s="223"/>
      <c r="AF628" s="223"/>
      <c r="AG628" s="223"/>
      <c r="AH628" s="223"/>
      <c r="AI628" s="200"/>
      <c r="AJ628" s="200"/>
      <c r="AK628" s="522"/>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2"/>
      <c r="BF628" s="200"/>
      <c r="BG628" s="223"/>
      <c r="BH628" s="223"/>
      <c r="BI628" s="223"/>
      <c r="BJ628" s="223"/>
      <c r="BK628" s="223"/>
      <c r="BL628" s="223"/>
      <c r="BM628" s="200"/>
      <c r="BN628" s="200"/>
      <c r="BO628" s="522"/>
      <c r="BP628" s="200"/>
      <c r="BQ628" s="223"/>
      <c r="BR628" s="223"/>
      <c r="BS628" s="223"/>
      <c r="BT628" s="223"/>
      <c r="BU628" s="223"/>
      <c r="BV628" s="223"/>
      <c r="BW628" s="223"/>
      <c r="BX628" s="200"/>
      <c r="BY628" s="522"/>
      <c r="BZ628" s="200"/>
      <c r="CA628" s="223"/>
      <c r="CB628" s="223"/>
      <c r="CC628" s="223"/>
      <c r="CD628" s="223"/>
      <c r="CE628" s="223"/>
      <c r="CF628" s="223"/>
      <c r="CG628" s="200"/>
      <c r="CH628" s="200"/>
      <c r="CI628" s="522"/>
      <c r="CJ628" s="200"/>
      <c r="CK628" s="223"/>
      <c r="CL628" s="223"/>
      <c r="CM628" s="223"/>
      <c r="CN628" s="223"/>
      <c r="CO628" s="223"/>
      <c r="CP628" s="223"/>
      <c r="CQ628" s="200"/>
      <c r="CR628" s="200"/>
      <c r="CS628" s="522"/>
      <c r="CT628" s="200"/>
      <c r="CU628" s="223"/>
      <c r="CV628" s="223"/>
      <c r="CW628" s="223"/>
      <c r="CX628" s="223"/>
      <c r="CY628" s="223"/>
      <c r="CZ628" s="223"/>
      <c r="DA628" s="223"/>
      <c r="DB628" s="200"/>
      <c r="DC628" s="522"/>
      <c r="DD628" s="200"/>
      <c r="DE628" s="223"/>
      <c r="DF628" s="223"/>
      <c r="DG628" s="223"/>
      <c r="DH628" s="223"/>
      <c r="DI628" s="223"/>
      <c r="DJ628" s="223"/>
      <c r="DK628" s="200"/>
      <c r="DL628" s="200"/>
      <c r="DM628" s="522"/>
      <c r="DN628" s="200"/>
      <c r="DO628" s="223"/>
      <c r="DP628" s="223"/>
      <c r="DQ628" s="223"/>
      <c r="DR628" s="223"/>
      <c r="DS628" s="223"/>
      <c r="DT628" s="223"/>
      <c r="DU628" s="200"/>
      <c r="DV628" s="200"/>
      <c r="DW628" s="522"/>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2"/>
      <c r="R629" s="200"/>
      <c r="S629" s="223"/>
      <c r="T629" s="223"/>
      <c r="U629" s="223"/>
      <c r="V629" s="223"/>
      <c r="W629" s="223"/>
      <c r="X629" s="223"/>
      <c r="Y629" s="200"/>
      <c r="Z629" s="200"/>
      <c r="AA629" s="522"/>
      <c r="AB629" s="200"/>
      <c r="AC629" s="223"/>
      <c r="AD629" s="223"/>
      <c r="AE629" s="223"/>
      <c r="AF629" s="223"/>
      <c r="AG629" s="223"/>
      <c r="AH629" s="223"/>
      <c r="AI629" s="200"/>
      <c r="AJ629" s="200"/>
      <c r="AK629" s="522"/>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2"/>
      <c r="BF629" s="200"/>
      <c r="BG629" s="223"/>
      <c r="BH629" s="223"/>
      <c r="BI629" s="223"/>
      <c r="BJ629" s="223"/>
      <c r="BK629" s="223"/>
      <c r="BL629" s="223"/>
      <c r="BM629" s="200"/>
      <c r="BN629" s="200"/>
      <c r="BO629" s="522"/>
      <c r="BP629" s="200"/>
      <c r="BQ629" s="223"/>
      <c r="BR629" s="223"/>
      <c r="BS629" s="223"/>
      <c r="BT629" s="223"/>
      <c r="BU629" s="223"/>
      <c r="BV629" s="223"/>
      <c r="BW629" s="223"/>
      <c r="BX629" s="200"/>
      <c r="BY629" s="522"/>
      <c r="BZ629" s="200"/>
      <c r="CA629" s="223"/>
      <c r="CB629" s="223"/>
      <c r="CC629" s="223"/>
      <c r="CD629" s="223"/>
      <c r="CE629" s="223"/>
      <c r="CF629" s="223"/>
      <c r="CG629" s="200"/>
      <c r="CH629" s="200"/>
      <c r="CI629" s="522"/>
      <c r="CJ629" s="200"/>
      <c r="CK629" s="223"/>
      <c r="CL629" s="223"/>
      <c r="CM629" s="223"/>
      <c r="CN629" s="223"/>
      <c r="CO629" s="223"/>
      <c r="CP629" s="223"/>
      <c r="CQ629" s="200"/>
      <c r="CR629" s="200"/>
      <c r="CS629" s="522"/>
      <c r="CT629" s="200"/>
      <c r="CU629" s="223"/>
      <c r="CV629" s="223"/>
      <c r="CW629" s="223"/>
      <c r="CX629" s="223"/>
      <c r="CY629" s="223"/>
      <c r="CZ629" s="223"/>
      <c r="DA629" s="223"/>
      <c r="DB629" s="200"/>
      <c r="DC629" s="522"/>
      <c r="DD629" s="200"/>
      <c r="DE629" s="223"/>
      <c r="DF629" s="223"/>
      <c r="DG629" s="223"/>
      <c r="DH629" s="223"/>
      <c r="DI629" s="223"/>
      <c r="DJ629" s="223"/>
      <c r="DK629" s="200"/>
      <c r="DL629" s="200"/>
      <c r="DM629" s="522"/>
      <c r="DN629" s="200"/>
      <c r="DO629" s="223"/>
      <c r="DP629" s="223"/>
      <c r="DQ629" s="223"/>
      <c r="DR629" s="223"/>
      <c r="DS629" s="223"/>
      <c r="DT629" s="223"/>
      <c r="DU629" s="200"/>
      <c r="DV629" s="200"/>
      <c r="DW629" s="522"/>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2"/>
      <c r="R630" s="200"/>
      <c r="S630" s="223"/>
      <c r="T630" s="223"/>
      <c r="U630" s="223"/>
      <c r="V630" s="223"/>
      <c r="W630" s="223"/>
      <c r="X630" s="223"/>
      <c r="Y630" s="200"/>
      <c r="Z630" s="200"/>
      <c r="AA630" s="522"/>
      <c r="AB630" s="200"/>
      <c r="AC630" s="223"/>
      <c r="AD630" s="223"/>
      <c r="AE630" s="223"/>
      <c r="AF630" s="223"/>
      <c r="AG630" s="223"/>
      <c r="AH630" s="223"/>
      <c r="AI630" s="200"/>
      <c r="AJ630" s="200"/>
      <c r="AK630" s="522"/>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2"/>
      <c r="BF630" s="200"/>
      <c r="BG630" s="223"/>
      <c r="BH630" s="223"/>
      <c r="BI630" s="223"/>
      <c r="BJ630" s="223"/>
      <c r="BK630" s="223"/>
      <c r="BL630" s="223"/>
      <c r="BM630" s="200"/>
      <c r="BN630" s="200"/>
      <c r="BO630" s="522"/>
      <c r="BP630" s="200"/>
      <c r="BQ630" s="223"/>
      <c r="BR630" s="223"/>
      <c r="BS630" s="223"/>
      <c r="BT630" s="223"/>
      <c r="BU630" s="223"/>
      <c r="BV630" s="223"/>
      <c r="BW630" s="223"/>
      <c r="BX630" s="200"/>
      <c r="BY630" s="522"/>
      <c r="BZ630" s="200"/>
      <c r="CA630" s="223"/>
      <c r="CB630" s="223"/>
      <c r="CC630" s="223"/>
      <c r="CD630" s="223"/>
      <c r="CE630" s="223"/>
      <c r="CF630" s="223"/>
      <c r="CG630" s="200"/>
      <c r="CH630" s="200"/>
      <c r="CI630" s="522"/>
      <c r="CJ630" s="200"/>
      <c r="CK630" s="223"/>
      <c r="CL630" s="223"/>
      <c r="CM630" s="223"/>
      <c r="CN630" s="223"/>
      <c r="CO630" s="223"/>
      <c r="CP630" s="223"/>
      <c r="CQ630" s="200"/>
      <c r="CR630" s="200"/>
      <c r="CS630" s="522"/>
      <c r="CT630" s="200"/>
      <c r="CU630" s="223"/>
      <c r="CV630" s="223"/>
      <c r="CW630" s="223"/>
      <c r="CX630" s="223"/>
      <c r="CY630" s="223"/>
      <c r="CZ630" s="223"/>
      <c r="DA630" s="223"/>
      <c r="DB630" s="200"/>
      <c r="DC630" s="522"/>
      <c r="DD630" s="200"/>
      <c r="DE630" s="223"/>
      <c r="DF630" s="223"/>
      <c r="DG630" s="223"/>
      <c r="DH630" s="223"/>
      <c r="DI630" s="223"/>
      <c r="DJ630" s="223"/>
      <c r="DK630" s="200"/>
      <c r="DL630" s="200"/>
      <c r="DM630" s="522"/>
      <c r="DN630" s="200"/>
      <c r="DO630" s="223"/>
      <c r="DP630" s="223"/>
      <c r="DQ630" s="223"/>
      <c r="DR630" s="223"/>
      <c r="DS630" s="223"/>
      <c r="DT630" s="223"/>
      <c r="DU630" s="200"/>
      <c r="DV630" s="200"/>
      <c r="DW630" s="522"/>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2"/>
      <c r="R631" s="200"/>
      <c r="S631" s="223"/>
      <c r="T631" s="223"/>
      <c r="U631" s="223"/>
      <c r="V631" s="223"/>
      <c r="W631" s="223"/>
      <c r="X631" s="223"/>
      <c r="Y631" s="200"/>
      <c r="Z631" s="200"/>
      <c r="AA631" s="522"/>
      <c r="AB631" s="200"/>
      <c r="AC631" s="223"/>
      <c r="AD631" s="223"/>
      <c r="AE631" s="223"/>
      <c r="AF631" s="223"/>
      <c r="AG631" s="223"/>
      <c r="AH631" s="223"/>
      <c r="AI631" s="200"/>
      <c r="AJ631" s="200"/>
      <c r="AK631" s="522"/>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2"/>
      <c r="BF631" s="200"/>
      <c r="BG631" s="223"/>
      <c r="BH631" s="223"/>
      <c r="BI631" s="223"/>
      <c r="BJ631" s="223"/>
      <c r="BK631" s="223"/>
      <c r="BL631" s="223"/>
      <c r="BM631" s="200"/>
      <c r="BN631" s="200"/>
      <c r="BO631" s="522"/>
      <c r="BP631" s="200"/>
      <c r="BQ631" s="223"/>
      <c r="BR631" s="223"/>
      <c r="BS631" s="223"/>
      <c r="BT631" s="223"/>
      <c r="BU631" s="223"/>
      <c r="BV631" s="223"/>
      <c r="BW631" s="223"/>
      <c r="BX631" s="200"/>
      <c r="BY631" s="522"/>
      <c r="BZ631" s="200"/>
      <c r="CA631" s="223"/>
      <c r="CB631" s="223"/>
      <c r="CC631" s="223"/>
      <c r="CD631" s="223"/>
      <c r="CE631" s="223"/>
      <c r="CF631" s="223"/>
      <c r="CG631" s="200"/>
      <c r="CH631" s="200"/>
      <c r="CI631" s="522"/>
      <c r="CJ631" s="200"/>
      <c r="CK631" s="223"/>
      <c r="CL631" s="223"/>
      <c r="CM631" s="223"/>
      <c r="CN631" s="223"/>
      <c r="CO631" s="223"/>
      <c r="CP631" s="223"/>
      <c r="CQ631" s="200"/>
      <c r="CR631" s="200"/>
      <c r="CS631" s="522"/>
      <c r="CT631" s="200"/>
      <c r="CU631" s="223"/>
      <c r="CV631" s="223"/>
      <c r="CW631" s="223"/>
      <c r="CX631" s="223"/>
      <c r="CY631" s="223"/>
      <c r="CZ631" s="223"/>
      <c r="DA631" s="223"/>
      <c r="DB631" s="200"/>
      <c r="DC631" s="522"/>
      <c r="DD631" s="200"/>
      <c r="DE631" s="223"/>
      <c r="DF631" s="223"/>
      <c r="DG631" s="223"/>
      <c r="DH631" s="223"/>
      <c r="DI631" s="223"/>
      <c r="DJ631" s="223"/>
      <c r="DK631" s="200"/>
      <c r="DL631" s="200"/>
      <c r="DM631" s="522"/>
      <c r="DN631" s="200"/>
      <c r="DO631" s="223"/>
      <c r="DP631" s="223"/>
      <c r="DQ631" s="223"/>
      <c r="DR631" s="223"/>
      <c r="DS631" s="223"/>
      <c r="DT631" s="223"/>
      <c r="DU631" s="200"/>
      <c r="DV631" s="200"/>
      <c r="DW631" s="522"/>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2"/>
      <c r="R632" s="200"/>
      <c r="S632" s="223"/>
      <c r="T632" s="223"/>
      <c r="U632" s="223"/>
      <c r="V632" s="223"/>
      <c r="W632" s="223"/>
      <c r="X632" s="223"/>
      <c r="Y632" s="200"/>
      <c r="Z632" s="200"/>
      <c r="AA632" s="522"/>
      <c r="AB632" s="200"/>
      <c r="AC632" s="223"/>
      <c r="AD632" s="223"/>
      <c r="AE632" s="223"/>
      <c r="AF632" s="223"/>
      <c r="AG632" s="223"/>
      <c r="AH632" s="223"/>
      <c r="AI632" s="200"/>
      <c r="AJ632" s="200"/>
      <c r="AK632" s="522"/>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2"/>
      <c r="BF632" s="200"/>
      <c r="BG632" s="223"/>
      <c r="BH632" s="223"/>
      <c r="BI632" s="223"/>
      <c r="BJ632" s="223"/>
      <c r="BK632" s="223"/>
      <c r="BL632" s="223"/>
      <c r="BM632" s="200"/>
      <c r="BN632" s="200"/>
      <c r="BO632" s="522"/>
      <c r="BP632" s="200"/>
      <c r="BQ632" s="223"/>
      <c r="BR632" s="223"/>
      <c r="BS632" s="223"/>
      <c r="BT632" s="223"/>
      <c r="BU632" s="223"/>
      <c r="BV632" s="223"/>
      <c r="BW632" s="223"/>
      <c r="BX632" s="200"/>
      <c r="BY632" s="522"/>
      <c r="BZ632" s="200"/>
      <c r="CA632" s="223"/>
      <c r="CB632" s="223"/>
      <c r="CC632" s="223"/>
      <c r="CD632" s="223"/>
      <c r="CE632" s="223"/>
      <c r="CF632" s="223"/>
      <c r="CG632" s="200"/>
      <c r="CH632" s="200"/>
      <c r="CI632" s="522"/>
      <c r="CJ632" s="200"/>
      <c r="CK632" s="223"/>
      <c r="CL632" s="223"/>
      <c r="CM632" s="223"/>
      <c r="CN632" s="223"/>
      <c r="CO632" s="223"/>
      <c r="CP632" s="223"/>
      <c r="CQ632" s="200"/>
      <c r="CR632" s="200"/>
      <c r="CS632" s="522"/>
      <c r="CT632" s="200"/>
      <c r="CU632" s="223"/>
      <c r="CV632" s="223"/>
      <c r="CW632" s="223"/>
      <c r="CX632" s="223"/>
      <c r="CY632" s="223"/>
      <c r="CZ632" s="223"/>
      <c r="DA632" s="223"/>
      <c r="DB632" s="200"/>
      <c r="DC632" s="522"/>
      <c r="DD632" s="200"/>
      <c r="DE632" s="223"/>
      <c r="DF632" s="223"/>
      <c r="DG632" s="223"/>
      <c r="DH632" s="223"/>
      <c r="DI632" s="223"/>
      <c r="DJ632" s="223"/>
      <c r="DK632" s="200"/>
      <c r="DL632" s="200"/>
      <c r="DM632" s="522"/>
      <c r="DN632" s="200"/>
      <c r="DO632" s="223"/>
      <c r="DP632" s="223"/>
      <c r="DQ632" s="223"/>
      <c r="DR632" s="223"/>
      <c r="DS632" s="223"/>
      <c r="DT632" s="223"/>
      <c r="DU632" s="200"/>
      <c r="DV632" s="200"/>
      <c r="DW632" s="522"/>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2"/>
      <c r="R633" s="200"/>
      <c r="S633" s="223"/>
      <c r="T633" s="223"/>
      <c r="U633" s="223"/>
      <c r="V633" s="223"/>
      <c r="W633" s="223"/>
      <c r="X633" s="223"/>
      <c r="Y633" s="200"/>
      <c r="Z633" s="200"/>
      <c r="AA633" s="522"/>
      <c r="AB633" s="200"/>
      <c r="AC633" s="223"/>
      <c r="AD633" s="223"/>
      <c r="AE633" s="223"/>
      <c r="AF633" s="223"/>
      <c r="AG633" s="223"/>
      <c r="AH633" s="223"/>
      <c r="AI633" s="200"/>
      <c r="AJ633" s="200"/>
      <c r="AK633" s="522"/>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2"/>
      <c r="BF633" s="200"/>
      <c r="BG633" s="223"/>
      <c r="BH633" s="223"/>
      <c r="BI633" s="223"/>
      <c r="BJ633" s="223"/>
      <c r="BK633" s="223"/>
      <c r="BL633" s="223"/>
      <c r="BM633" s="200"/>
      <c r="BN633" s="200"/>
      <c r="BO633" s="522"/>
      <c r="BP633" s="200"/>
      <c r="BQ633" s="223"/>
      <c r="BR633" s="223"/>
      <c r="BS633" s="223"/>
      <c r="BT633" s="223"/>
      <c r="BU633" s="223"/>
      <c r="BV633" s="223"/>
      <c r="BW633" s="223"/>
      <c r="BX633" s="200"/>
      <c r="BY633" s="522"/>
      <c r="BZ633" s="200"/>
      <c r="CA633" s="223"/>
      <c r="CB633" s="223"/>
      <c r="CC633" s="223"/>
      <c r="CD633" s="223"/>
      <c r="CE633" s="223"/>
      <c r="CF633" s="223"/>
      <c r="CG633" s="200"/>
      <c r="CH633" s="200"/>
      <c r="CI633" s="522"/>
      <c r="CJ633" s="200"/>
      <c r="CK633" s="223"/>
      <c r="CL633" s="223"/>
      <c r="CM633" s="223"/>
      <c r="CN633" s="223"/>
      <c r="CO633" s="223"/>
      <c r="CP633" s="223"/>
      <c r="CQ633" s="200"/>
      <c r="CR633" s="200"/>
      <c r="CS633" s="522"/>
      <c r="CT633" s="200"/>
      <c r="CU633" s="223"/>
      <c r="CV633" s="223"/>
      <c r="CW633" s="223"/>
      <c r="CX633" s="223"/>
      <c r="CY633" s="223"/>
      <c r="CZ633" s="223"/>
      <c r="DA633" s="223"/>
      <c r="DB633" s="200"/>
      <c r="DC633" s="522"/>
      <c r="DD633" s="200"/>
      <c r="DE633" s="223"/>
      <c r="DF633" s="223"/>
      <c r="DG633" s="223"/>
      <c r="DH633" s="223"/>
      <c r="DI633" s="223"/>
      <c r="DJ633" s="223"/>
      <c r="DK633" s="200"/>
      <c r="DL633" s="200"/>
      <c r="DM633" s="522"/>
      <c r="DN633" s="200"/>
      <c r="DO633" s="223"/>
      <c r="DP633" s="223"/>
      <c r="DQ633" s="223"/>
      <c r="DR633" s="223"/>
      <c r="DS633" s="223"/>
      <c r="DT633" s="223"/>
      <c r="DU633" s="200"/>
      <c r="DV633" s="200"/>
      <c r="DW633" s="522"/>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2"/>
      <c r="R634" s="200"/>
      <c r="S634" s="223"/>
      <c r="T634" s="223"/>
      <c r="U634" s="223"/>
      <c r="V634" s="223"/>
      <c r="W634" s="223"/>
      <c r="X634" s="223"/>
      <c r="Y634" s="200"/>
      <c r="Z634" s="200"/>
      <c r="AA634" s="522"/>
      <c r="AB634" s="200"/>
      <c r="AC634" s="223"/>
      <c r="AD634" s="223"/>
      <c r="AE634" s="223"/>
      <c r="AF634" s="223"/>
      <c r="AG634" s="223"/>
      <c r="AH634" s="223"/>
      <c r="AI634" s="200"/>
      <c r="AJ634" s="200"/>
      <c r="AK634" s="522"/>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2"/>
      <c r="BF634" s="200"/>
      <c r="BG634" s="223"/>
      <c r="BH634" s="223"/>
      <c r="BI634" s="223"/>
      <c r="BJ634" s="223"/>
      <c r="BK634" s="223"/>
      <c r="BL634" s="223"/>
      <c r="BM634" s="200"/>
      <c r="BN634" s="200"/>
      <c r="BO634" s="522"/>
      <c r="BP634" s="200"/>
      <c r="BQ634" s="223"/>
      <c r="BR634" s="223"/>
      <c r="BS634" s="223"/>
      <c r="BT634" s="223"/>
      <c r="BU634" s="223"/>
      <c r="BV634" s="223"/>
      <c r="BW634" s="223"/>
      <c r="BX634" s="200"/>
      <c r="BY634" s="522"/>
      <c r="BZ634" s="200"/>
      <c r="CA634" s="223"/>
      <c r="CB634" s="223"/>
      <c r="CC634" s="223"/>
      <c r="CD634" s="223"/>
      <c r="CE634" s="223"/>
      <c r="CF634" s="223"/>
      <c r="CG634" s="200"/>
      <c r="CH634" s="200"/>
      <c r="CI634" s="522"/>
      <c r="CJ634" s="200"/>
      <c r="CK634" s="223"/>
      <c r="CL634" s="223"/>
      <c r="CM634" s="223"/>
      <c r="CN634" s="223"/>
      <c r="CO634" s="223"/>
      <c r="CP634" s="223"/>
      <c r="CQ634" s="200"/>
      <c r="CR634" s="200"/>
      <c r="CS634" s="522"/>
      <c r="CT634" s="200"/>
      <c r="CU634" s="223"/>
      <c r="CV634" s="223"/>
      <c r="CW634" s="223"/>
      <c r="CX634" s="223"/>
      <c r="CY634" s="223"/>
      <c r="CZ634" s="223"/>
      <c r="DA634" s="223"/>
      <c r="DB634" s="200"/>
      <c r="DC634" s="522"/>
      <c r="DD634" s="200"/>
      <c r="DE634" s="223"/>
      <c r="DF634" s="223"/>
      <c r="DG634" s="223"/>
      <c r="DH634" s="223"/>
      <c r="DI634" s="223"/>
      <c r="DJ634" s="223"/>
      <c r="DK634" s="200"/>
      <c r="DL634" s="200"/>
      <c r="DM634" s="522"/>
      <c r="DN634" s="200"/>
      <c r="DO634" s="223"/>
      <c r="DP634" s="223"/>
      <c r="DQ634" s="223"/>
      <c r="DR634" s="223"/>
      <c r="DS634" s="223"/>
      <c r="DT634" s="223"/>
      <c r="DU634" s="200"/>
      <c r="DV634" s="200"/>
      <c r="DW634" s="522"/>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2"/>
      <c r="R635" s="200"/>
      <c r="S635" s="223"/>
      <c r="T635" s="223"/>
      <c r="U635" s="223"/>
      <c r="V635" s="223"/>
      <c r="W635" s="223"/>
      <c r="X635" s="223"/>
      <c r="Y635" s="200"/>
      <c r="Z635" s="200"/>
      <c r="AA635" s="522"/>
      <c r="AB635" s="200"/>
      <c r="AC635" s="223"/>
      <c r="AD635" s="223"/>
      <c r="AE635" s="223"/>
      <c r="AF635" s="223"/>
      <c r="AG635" s="223"/>
      <c r="AH635" s="223"/>
      <c r="AI635" s="200"/>
      <c r="AJ635" s="200"/>
      <c r="AK635" s="522"/>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2"/>
      <c r="BF635" s="200"/>
      <c r="BG635" s="223"/>
      <c r="BH635" s="223"/>
      <c r="BI635" s="223"/>
      <c r="BJ635" s="223"/>
      <c r="BK635" s="223"/>
      <c r="BL635" s="223"/>
      <c r="BM635" s="200"/>
      <c r="BN635" s="200"/>
      <c r="BO635" s="522"/>
      <c r="BP635" s="200"/>
      <c r="BQ635" s="223"/>
      <c r="BR635" s="223"/>
      <c r="BS635" s="223"/>
      <c r="BT635" s="223"/>
      <c r="BU635" s="223"/>
      <c r="BV635" s="223"/>
      <c r="BW635" s="223"/>
      <c r="BX635" s="200"/>
      <c r="BY635" s="522"/>
      <c r="BZ635" s="200"/>
      <c r="CA635" s="223"/>
      <c r="CB635" s="223"/>
      <c r="CC635" s="223"/>
      <c r="CD635" s="223"/>
      <c r="CE635" s="223"/>
      <c r="CF635" s="223"/>
      <c r="CG635" s="200"/>
      <c r="CH635" s="200"/>
      <c r="CI635" s="522"/>
      <c r="CJ635" s="200"/>
      <c r="CK635" s="223"/>
      <c r="CL635" s="223"/>
      <c r="CM635" s="223"/>
      <c r="CN635" s="223"/>
      <c r="CO635" s="223"/>
      <c r="CP635" s="223"/>
      <c r="CQ635" s="200"/>
      <c r="CR635" s="200"/>
      <c r="CS635" s="522"/>
      <c r="CT635" s="200"/>
      <c r="CU635" s="223"/>
      <c r="CV635" s="223"/>
      <c r="CW635" s="223"/>
      <c r="CX635" s="223"/>
      <c r="CY635" s="223"/>
      <c r="CZ635" s="223"/>
      <c r="DA635" s="223"/>
      <c r="DB635" s="200"/>
      <c r="DC635" s="522"/>
      <c r="DD635" s="200"/>
      <c r="DE635" s="223"/>
      <c r="DF635" s="223"/>
      <c r="DG635" s="223"/>
      <c r="DH635" s="223"/>
      <c r="DI635" s="223"/>
      <c r="DJ635" s="223"/>
      <c r="DK635" s="200"/>
      <c r="DL635" s="200"/>
      <c r="DM635" s="522"/>
      <c r="DN635" s="200"/>
      <c r="DO635" s="223"/>
      <c r="DP635" s="223"/>
      <c r="DQ635" s="223"/>
      <c r="DR635" s="223"/>
      <c r="DS635" s="223"/>
      <c r="DT635" s="223"/>
      <c r="DU635" s="200"/>
      <c r="DV635" s="200"/>
      <c r="DW635" s="522"/>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2"/>
      <c r="R636" s="200"/>
      <c r="S636" s="223"/>
      <c r="T636" s="223"/>
      <c r="U636" s="223"/>
      <c r="V636" s="223"/>
      <c r="W636" s="223"/>
      <c r="X636" s="223"/>
      <c r="Y636" s="200"/>
      <c r="Z636" s="200"/>
      <c r="AA636" s="522"/>
      <c r="AB636" s="200"/>
      <c r="AC636" s="223"/>
      <c r="AD636" s="223"/>
      <c r="AE636" s="223"/>
      <c r="AF636" s="223"/>
      <c r="AG636" s="223"/>
      <c r="AH636" s="223"/>
      <c r="AI636" s="200"/>
      <c r="AJ636" s="200"/>
      <c r="AK636" s="522"/>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2"/>
      <c r="BF636" s="200"/>
      <c r="BG636" s="223"/>
      <c r="BH636" s="223"/>
      <c r="BI636" s="223"/>
      <c r="BJ636" s="223"/>
      <c r="BK636" s="223"/>
      <c r="BL636" s="223"/>
      <c r="BM636" s="200"/>
      <c r="BN636" s="200"/>
      <c r="BO636" s="522"/>
      <c r="BP636" s="200"/>
      <c r="BQ636" s="223"/>
      <c r="BR636" s="223"/>
      <c r="BS636" s="223"/>
      <c r="BT636" s="223"/>
      <c r="BU636" s="223"/>
      <c r="BV636" s="223"/>
      <c r="BW636" s="223"/>
      <c r="BX636" s="200"/>
      <c r="BY636" s="522"/>
      <c r="BZ636" s="200"/>
      <c r="CA636" s="223"/>
      <c r="CB636" s="223"/>
      <c r="CC636" s="223"/>
      <c r="CD636" s="223"/>
      <c r="CE636" s="223"/>
      <c r="CF636" s="223"/>
      <c r="CG636" s="200"/>
      <c r="CH636" s="200"/>
      <c r="CI636" s="522"/>
      <c r="CJ636" s="200"/>
      <c r="CK636" s="223"/>
      <c r="CL636" s="223"/>
      <c r="CM636" s="223"/>
      <c r="CN636" s="223"/>
      <c r="CO636" s="223"/>
      <c r="CP636" s="223"/>
      <c r="CQ636" s="200"/>
      <c r="CR636" s="200"/>
      <c r="CS636" s="522"/>
      <c r="CT636" s="200"/>
      <c r="CU636" s="223"/>
      <c r="CV636" s="223"/>
      <c r="CW636" s="223"/>
      <c r="CX636" s="223"/>
      <c r="CY636" s="223"/>
      <c r="CZ636" s="223"/>
      <c r="DA636" s="223"/>
      <c r="DB636" s="200"/>
      <c r="DC636" s="522"/>
      <c r="DD636" s="200"/>
      <c r="DE636" s="223"/>
      <c r="DF636" s="223"/>
      <c r="DG636" s="223"/>
      <c r="DH636" s="223"/>
      <c r="DI636" s="223"/>
      <c r="DJ636" s="223"/>
      <c r="DK636" s="200"/>
      <c r="DL636" s="200"/>
      <c r="DM636" s="522"/>
      <c r="DN636" s="200"/>
      <c r="DO636" s="223"/>
      <c r="DP636" s="223"/>
      <c r="DQ636" s="223"/>
      <c r="DR636" s="223"/>
      <c r="DS636" s="223"/>
      <c r="DT636" s="223"/>
      <c r="DU636" s="200"/>
      <c r="DV636" s="200"/>
      <c r="DW636" s="522"/>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2"/>
      <c r="R637" s="200"/>
      <c r="S637" s="223"/>
      <c r="T637" s="223"/>
      <c r="U637" s="223"/>
      <c r="V637" s="223"/>
      <c r="W637" s="223"/>
      <c r="X637" s="223"/>
      <c r="Y637" s="200"/>
      <c r="Z637" s="200"/>
      <c r="AA637" s="522"/>
      <c r="AB637" s="200"/>
      <c r="AC637" s="223"/>
      <c r="AD637" s="223"/>
      <c r="AE637" s="223"/>
      <c r="AF637" s="223"/>
      <c r="AG637" s="223"/>
      <c r="AH637" s="223"/>
      <c r="AI637" s="200"/>
      <c r="AJ637" s="200"/>
      <c r="AK637" s="522"/>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2"/>
      <c r="BF637" s="200"/>
      <c r="BG637" s="223"/>
      <c r="BH637" s="223"/>
      <c r="BI637" s="223"/>
      <c r="BJ637" s="223"/>
      <c r="BK637" s="223"/>
      <c r="BL637" s="223"/>
      <c r="BM637" s="200"/>
      <c r="BN637" s="200"/>
      <c r="BO637" s="522"/>
      <c r="BP637" s="200"/>
      <c r="BQ637" s="223"/>
      <c r="BR637" s="223"/>
      <c r="BS637" s="223"/>
      <c r="BT637" s="223"/>
      <c r="BU637" s="223"/>
      <c r="BV637" s="223"/>
      <c r="BW637" s="223"/>
      <c r="BX637" s="200"/>
      <c r="BY637" s="522"/>
      <c r="BZ637" s="200"/>
      <c r="CA637" s="223"/>
      <c r="CB637" s="223"/>
      <c r="CC637" s="223"/>
      <c r="CD637" s="223"/>
      <c r="CE637" s="223"/>
      <c r="CF637" s="223"/>
      <c r="CG637" s="200"/>
      <c r="CH637" s="200"/>
      <c r="CI637" s="522"/>
      <c r="CJ637" s="200"/>
      <c r="CK637" s="223"/>
      <c r="CL637" s="223"/>
      <c r="CM637" s="223"/>
      <c r="CN637" s="223"/>
      <c r="CO637" s="223"/>
      <c r="CP637" s="223"/>
      <c r="CQ637" s="200"/>
      <c r="CR637" s="200"/>
      <c r="CS637" s="522"/>
      <c r="CT637" s="200"/>
      <c r="CU637" s="223"/>
      <c r="CV637" s="223"/>
      <c r="CW637" s="223"/>
      <c r="CX637" s="223"/>
      <c r="CY637" s="223"/>
      <c r="CZ637" s="223"/>
      <c r="DA637" s="223"/>
      <c r="DB637" s="200"/>
      <c r="DC637" s="522"/>
      <c r="DD637" s="200"/>
      <c r="DE637" s="223"/>
      <c r="DF637" s="223"/>
      <c r="DG637" s="223"/>
      <c r="DH637" s="223"/>
      <c r="DI637" s="223"/>
      <c r="DJ637" s="223"/>
      <c r="DK637" s="200"/>
      <c r="DL637" s="200"/>
      <c r="DM637" s="522"/>
      <c r="DN637" s="200"/>
      <c r="DO637" s="223"/>
      <c r="DP637" s="223"/>
      <c r="DQ637" s="223"/>
      <c r="DR637" s="223"/>
      <c r="DS637" s="223"/>
      <c r="DT637" s="223"/>
      <c r="DU637" s="200"/>
      <c r="DV637" s="200"/>
      <c r="DW637" s="522"/>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2"/>
      <c r="R638" s="200"/>
      <c r="S638" s="223"/>
      <c r="T638" s="223"/>
      <c r="U638" s="223"/>
      <c r="V638" s="223"/>
      <c r="W638" s="223"/>
      <c r="X638" s="223"/>
      <c r="Y638" s="200"/>
      <c r="Z638" s="200"/>
      <c r="AA638" s="522"/>
      <c r="AB638" s="200"/>
      <c r="AC638" s="223"/>
      <c r="AD638" s="223"/>
      <c r="AE638" s="223"/>
      <c r="AF638" s="223"/>
      <c r="AG638" s="223"/>
      <c r="AH638" s="223"/>
      <c r="AI638" s="200"/>
      <c r="AJ638" s="200"/>
      <c r="AK638" s="522"/>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2"/>
      <c r="BF638" s="200"/>
      <c r="BG638" s="223"/>
      <c r="BH638" s="223"/>
      <c r="BI638" s="223"/>
      <c r="BJ638" s="223"/>
      <c r="BK638" s="223"/>
      <c r="BL638" s="223"/>
      <c r="BM638" s="200"/>
      <c r="BN638" s="200"/>
      <c r="BO638" s="522"/>
      <c r="BP638" s="200"/>
      <c r="BQ638" s="223"/>
      <c r="BR638" s="223"/>
      <c r="BS638" s="223"/>
      <c r="BT638" s="223"/>
      <c r="BU638" s="223"/>
      <c r="BV638" s="223"/>
      <c r="BW638" s="223"/>
      <c r="BX638" s="200"/>
      <c r="BY638" s="522"/>
      <c r="BZ638" s="200"/>
      <c r="CA638" s="223"/>
      <c r="CB638" s="223"/>
      <c r="CC638" s="223"/>
      <c r="CD638" s="223"/>
      <c r="CE638" s="223"/>
      <c r="CF638" s="223"/>
      <c r="CG638" s="200"/>
      <c r="CH638" s="200"/>
      <c r="CI638" s="522"/>
      <c r="CJ638" s="200"/>
      <c r="CK638" s="223"/>
      <c r="CL638" s="223"/>
      <c r="CM638" s="223"/>
      <c r="CN638" s="223"/>
      <c r="CO638" s="223"/>
      <c r="CP638" s="223"/>
      <c r="CQ638" s="200"/>
      <c r="CR638" s="200"/>
      <c r="CS638" s="522"/>
      <c r="CT638" s="200"/>
      <c r="CU638" s="223"/>
      <c r="CV638" s="223"/>
      <c r="CW638" s="223"/>
      <c r="CX638" s="223"/>
      <c r="CY638" s="223"/>
      <c r="CZ638" s="223"/>
      <c r="DA638" s="223"/>
      <c r="DB638" s="200"/>
      <c r="DC638" s="522"/>
      <c r="DD638" s="200"/>
      <c r="DE638" s="223"/>
      <c r="DF638" s="223"/>
      <c r="DG638" s="223"/>
      <c r="DH638" s="223"/>
      <c r="DI638" s="223"/>
      <c r="DJ638" s="223"/>
      <c r="DK638" s="200"/>
      <c r="DL638" s="200"/>
      <c r="DM638" s="522"/>
      <c r="DN638" s="200"/>
      <c r="DO638" s="223"/>
      <c r="DP638" s="223"/>
      <c r="DQ638" s="223"/>
      <c r="DR638" s="223"/>
      <c r="DS638" s="223"/>
      <c r="DT638" s="223"/>
      <c r="DU638" s="200"/>
      <c r="DV638" s="200"/>
      <c r="DW638" s="522"/>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2"/>
      <c r="R639" s="200"/>
      <c r="S639" s="223"/>
      <c r="T639" s="223"/>
      <c r="U639" s="223"/>
      <c r="V639" s="223"/>
      <c r="W639" s="223"/>
      <c r="X639" s="223"/>
      <c r="Y639" s="200"/>
      <c r="Z639" s="200"/>
      <c r="AA639" s="522"/>
      <c r="AB639" s="200"/>
      <c r="AC639" s="223"/>
      <c r="AD639" s="223"/>
      <c r="AE639" s="223"/>
      <c r="AF639" s="223"/>
      <c r="AG639" s="223"/>
      <c r="AH639" s="223"/>
      <c r="AI639" s="200"/>
      <c r="AJ639" s="200"/>
      <c r="AK639" s="522"/>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2"/>
      <c r="BF639" s="200"/>
      <c r="BG639" s="223"/>
      <c r="BH639" s="223"/>
      <c r="BI639" s="223"/>
      <c r="BJ639" s="223"/>
      <c r="BK639" s="223"/>
      <c r="BL639" s="223"/>
      <c r="BM639" s="200"/>
      <c r="BN639" s="200"/>
      <c r="BO639" s="522"/>
      <c r="BP639" s="200"/>
      <c r="BQ639" s="223"/>
      <c r="BR639" s="223"/>
      <c r="BS639" s="223"/>
      <c r="BT639" s="223"/>
      <c r="BU639" s="223"/>
      <c r="BV639" s="223"/>
      <c r="BW639" s="223"/>
      <c r="BX639" s="200"/>
      <c r="BY639" s="522"/>
      <c r="BZ639" s="200"/>
      <c r="CA639" s="223"/>
      <c r="CB639" s="223"/>
      <c r="CC639" s="223"/>
      <c r="CD639" s="223"/>
      <c r="CE639" s="223"/>
      <c r="CF639" s="223"/>
      <c r="CG639" s="200"/>
      <c r="CH639" s="200"/>
      <c r="CI639" s="522"/>
      <c r="CJ639" s="200"/>
      <c r="CK639" s="223"/>
      <c r="CL639" s="223"/>
      <c r="CM639" s="223"/>
      <c r="CN639" s="223"/>
      <c r="CO639" s="223"/>
      <c r="CP639" s="223"/>
      <c r="CQ639" s="200"/>
      <c r="CR639" s="200"/>
      <c r="CS639" s="522"/>
      <c r="CT639" s="200"/>
      <c r="CU639" s="223"/>
      <c r="CV639" s="223"/>
      <c r="CW639" s="223"/>
      <c r="CX639" s="223"/>
      <c r="CY639" s="223"/>
      <c r="CZ639" s="223"/>
      <c r="DA639" s="223"/>
      <c r="DB639" s="200"/>
      <c r="DC639" s="522"/>
      <c r="DD639" s="200"/>
      <c r="DE639" s="223"/>
      <c r="DF639" s="223"/>
      <c r="DG639" s="223"/>
      <c r="DH639" s="223"/>
      <c r="DI639" s="223"/>
      <c r="DJ639" s="223"/>
      <c r="DK639" s="200"/>
      <c r="DL639" s="200"/>
      <c r="DM639" s="522"/>
      <c r="DN639" s="200"/>
      <c r="DO639" s="223"/>
      <c r="DP639" s="223"/>
      <c r="DQ639" s="223"/>
      <c r="DR639" s="223"/>
      <c r="DS639" s="223"/>
      <c r="DT639" s="223"/>
      <c r="DU639" s="200"/>
      <c r="DV639" s="200"/>
      <c r="DW639" s="522"/>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2"/>
      <c r="R640" s="200"/>
      <c r="S640" s="223"/>
      <c r="T640" s="223"/>
      <c r="U640" s="223"/>
      <c r="V640" s="223"/>
      <c r="W640" s="223"/>
      <c r="X640" s="223"/>
      <c r="Y640" s="200"/>
      <c r="Z640" s="200"/>
      <c r="AA640" s="522"/>
      <c r="AB640" s="200"/>
      <c r="AC640" s="223"/>
      <c r="AD640" s="223"/>
      <c r="AE640" s="223"/>
      <c r="AF640" s="223"/>
      <c r="AG640" s="223"/>
      <c r="AH640" s="223"/>
      <c r="AI640" s="200"/>
      <c r="AJ640" s="200"/>
      <c r="AK640" s="522"/>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2"/>
      <c r="BF640" s="200"/>
      <c r="BG640" s="223"/>
      <c r="BH640" s="223"/>
      <c r="BI640" s="223"/>
      <c r="BJ640" s="223"/>
      <c r="BK640" s="223"/>
      <c r="BL640" s="223"/>
      <c r="BM640" s="200"/>
      <c r="BN640" s="200"/>
      <c r="BO640" s="522"/>
      <c r="BP640" s="200"/>
      <c r="BQ640" s="223"/>
      <c r="BR640" s="223"/>
      <c r="BS640" s="223"/>
      <c r="BT640" s="223"/>
      <c r="BU640" s="223"/>
      <c r="BV640" s="223"/>
      <c r="BW640" s="223"/>
      <c r="BX640" s="200"/>
      <c r="BY640" s="522"/>
      <c r="BZ640" s="200"/>
      <c r="CA640" s="223"/>
      <c r="CB640" s="223"/>
      <c r="CC640" s="223"/>
      <c r="CD640" s="223"/>
      <c r="CE640" s="223"/>
      <c r="CF640" s="223"/>
      <c r="CG640" s="200"/>
      <c r="CH640" s="200"/>
      <c r="CI640" s="522"/>
      <c r="CJ640" s="200"/>
      <c r="CK640" s="223"/>
      <c r="CL640" s="223"/>
      <c r="CM640" s="223"/>
      <c r="CN640" s="223"/>
      <c r="CO640" s="223"/>
      <c r="CP640" s="223"/>
      <c r="CQ640" s="200"/>
      <c r="CR640" s="200"/>
      <c r="CS640" s="522"/>
      <c r="CT640" s="200"/>
      <c r="CU640" s="223"/>
      <c r="CV640" s="223"/>
      <c r="CW640" s="223"/>
      <c r="CX640" s="223"/>
      <c r="CY640" s="223"/>
      <c r="CZ640" s="223"/>
      <c r="DA640" s="223"/>
      <c r="DB640" s="200"/>
      <c r="DC640" s="522"/>
      <c r="DD640" s="200"/>
      <c r="DE640" s="223"/>
      <c r="DF640" s="223"/>
      <c r="DG640" s="223"/>
      <c r="DH640" s="223"/>
      <c r="DI640" s="223"/>
      <c r="DJ640" s="223"/>
      <c r="DK640" s="200"/>
      <c r="DL640" s="200"/>
      <c r="DM640" s="522"/>
      <c r="DN640" s="200"/>
      <c r="DO640" s="223"/>
      <c r="DP640" s="223"/>
      <c r="DQ640" s="223"/>
      <c r="DR640" s="223"/>
      <c r="DS640" s="223"/>
      <c r="DT640" s="223"/>
      <c r="DU640" s="200"/>
      <c r="DV640" s="200"/>
      <c r="DW640" s="522"/>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2"/>
      <c r="R641" s="200"/>
      <c r="S641" s="223"/>
      <c r="T641" s="223"/>
      <c r="U641" s="223"/>
      <c r="V641" s="223"/>
      <c r="W641" s="223"/>
      <c r="X641" s="223"/>
      <c r="Y641" s="200"/>
      <c r="Z641" s="200"/>
      <c r="AA641" s="522"/>
      <c r="AB641" s="200"/>
      <c r="AC641" s="223"/>
      <c r="AD641" s="223"/>
      <c r="AE641" s="223"/>
      <c r="AF641" s="223"/>
      <c r="AG641" s="223"/>
      <c r="AH641" s="223"/>
      <c r="AI641" s="200"/>
      <c r="AJ641" s="200"/>
      <c r="AK641" s="522"/>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2"/>
      <c r="BF641" s="200"/>
      <c r="BG641" s="223"/>
      <c r="BH641" s="223"/>
      <c r="BI641" s="223"/>
      <c r="BJ641" s="223"/>
      <c r="BK641" s="223"/>
      <c r="BL641" s="223"/>
      <c r="BM641" s="200"/>
      <c r="BN641" s="200"/>
      <c r="BO641" s="522"/>
      <c r="BP641" s="200"/>
      <c r="BQ641" s="223"/>
      <c r="BR641" s="223"/>
      <c r="BS641" s="223"/>
      <c r="BT641" s="223"/>
      <c r="BU641" s="223"/>
      <c r="BV641" s="223"/>
      <c r="BW641" s="223"/>
      <c r="BX641" s="200"/>
      <c r="BY641" s="522"/>
      <c r="BZ641" s="200"/>
      <c r="CA641" s="223"/>
      <c r="CB641" s="223"/>
      <c r="CC641" s="223"/>
      <c r="CD641" s="223"/>
      <c r="CE641" s="223"/>
      <c r="CF641" s="223"/>
      <c r="CG641" s="200"/>
      <c r="CH641" s="200"/>
      <c r="CI641" s="522"/>
      <c r="CJ641" s="200"/>
      <c r="CK641" s="223"/>
      <c r="CL641" s="223"/>
      <c r="CM641" s="223"/>
      <c r="CN641" s="223"/>
      <c r="CO641" s="223"/>
      <c r="CP641" s="223"/>
      <c r="CQ641" s="200"/>
      <c r="CR641" s="200"/>
      <c r="CS641" s="522"/>
      <c r="CT641" s="200"/>
      <c r="CU641" s="223"/>
      <c r="CV641" s="223"/>
      <c r="CW641" s="223"/>
      <c r="CX641" s="223"/>
      <c r="CY641" s="223"/>
      <c r="CZ641" s="223"/>
      <c r="DA641" s="223"/>
      <c r="DB641" s="200"/>
      <c r="DC641" s="522"/>
      <c r="DD641" s="200"/>
      <c r="DE641" s="223"/>
      <c r="DF641" s="223"/>
      <c r="DG641" s="223"/>
      <c r="DH641" s="223"/>
      <c r="DI641" s="223"/>
      <c r="DJ641" s="223"/>
      <c r="DK641" s="200"/>
      <c r="DL641" s="200"/>
      <c r="DM641" s="522"/>
      <c r="DN641" s="200"/>
      <c r="DO641" s="223"/>
      <c r="DP641" s="223"/>
      <c r="DQ641" s="223"/>
      <c r="DR641" s="223"/>
      <c r="DS641" s="223"/>
      <c r="DT641" s="223"/>
      <c r="DU641" s="200"/>
      <c r="DV641" s="200"/>
      <c r="DW641" s="522"/>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2"/>
      <c r="R642" s="200"/>
      <c r="S642" s="223"/>
      <c r="T642" s="223"/>
      <c r="U642" s="223"/>
      <c r="V642" s="223"/>
      <c r="W642" s="223"/>
      <c r="X642" s="223"/>
      <c r="Y642" s="200"/>
      <c r="Z642" s="200"/>
      <c r="AA642" s="522"/>
      <c r="AB642" s="200"/>
      <c r="AC642" s="223"/>
      <c r="AD642" s="223"/>
      <c r="AE642" s="223"/>
      <c r="AF642" s="223"/>
      <c r="AG642" s="223"/>
      <c r="AH642" s="223"/>
      <c r="AI642" s="200"/>
      <c r="AJ642" s="200"/>
      <c r="AK642" s="522"/>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2"/>
      <c r="BF642" s="200"/>
      <c r="BG642" s="223"/>
      <c r="BH642" s="223"/>
      <c r="BI642" s="223"/>
      <c r="BJ642" s="223"/>
      <c r="BK642" s="223"/>
      <c r="BL642" s="223"/>
      <c r="BM642" s="200"/>
      <c r="BN642" s="200"/>
      <c r="BO642" s="522"/>
      <c r="BP642" s="200"/>
      <c r="BQ642" s="223"/>
      <c r="BR642" s="223"/>
      <c r="BS642" s="223"/>
      <c r="BT642" s="223"/>
      <c r="BU642" s="223"/>
      <c r="BV642" s="223"/>
      <c r="BW642" s="223"/>
      <c r="BX642" s="200"/>
      <c r="BY642" s="522"/>
      <c r="BZ642" s="200"/>
      <c r="CA642" s="223"/>
      <c r="CB642" s="223"/>
      <c r="CC642" s="223"/>
      <c r="CD642" s="223"/>
      <c r="CE642" s="223"/>
      <c r="CF642" s="223"/>
      <c r="CG642" s="200"/>
      <c r="CH642" s="200"/>
      <c r="CI642" s="522"/>
      <c r="CJ642" s="200"/>
      <c r="CK642" s="223"/>
      <c r="CL642" s="223"/>
      <c r="CM642" s="223"/>
      <c r="CN642" s="223"/>
      <c r="CO642" s="223"/>
      <c r="CP642" s="223"/>
      <c r="CQ642" s="200"/>
      <c r="CR642" s="200"/>
      <c r="CS642" s="522"/>
      <c r="CT642" s="200"/>
      <c r="CU642" s="223"/>
      <c r="CV642" s="223"/>
      <c r="CW642" s="223"/>
      <c r="CX642" s="223"/>
      <c r="CY642" s="223"/>
      <c r="CZ642" s="223"/>
      <c r="DA642" s="223"/>
      <c r="DB642" s="200"/>
      <c r="DC642" s="522"/>
      <c r="DD642" s="200"/>
      <c r="DE642" s="223"/>
      <c r="DF642" s="223"/>
      <c r="DG642" s="223"/>
      <c r="DH642" s="223"/>
      <c r="DI642" s="223"/>
      <c r="DJ642" s="223"/>
      <c r="DK642" s="200"/>
      <c r="DL642" s="200"/>
      <c r="DM642" s="522"/>
      <c r="DN642" s="200"/>
      <c r="DO642" s="223"/>
      <c r="DP642" s="223"/>
      <c r="DQ642" s="223"/>
      <c r="DR642" s="223"/>
      <c r="DS642" s="223"/>
      <c r="DT642" s="223"/>
      <c r="DU642" s="200"/>
      <c r="DV642" s="200"/>
      <c r="DW642" s="522"/>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2"/>
      <c r="R643" s="200"/>
      <c r="S643" s="223"/>
      <c r="T643" s="223"/>
      <c r="U643" s="223"/>
      <c r="V643" s="223"/>
      <c r="W643" s="223"/>
      <c r="X643" s="223"/>
      <c r="Y643" s="200"/>
      <c r="Z643" s="200"/>
      <c r="AA643" s="522"/>
      <c r="AB643" s="200"/>
      <c r="AC643" s="223"/>
      <c r="AD643" s="223"/>
      <c r="AE643" s="223"/>
      <c r="AF643" s="223"/>
      <c r="AG643" s="223"/>
      <c r="AH643" s="223"/>
      <c r="AI643" s="200"/>
      <c r="AJ643" s="200"/>
      <c r="AK643" s="522"/>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2"/>
      <c r="BF643" s="200"/>
      <c r="BG643" s="223"/>
      <c r="BH643" s="223"/>
      <c r="BI643" s="223"/>
      <c r="BJ643" s="223"/>
      <c r="BK643" s="223"/>
      <c r="BL643" s="223"/>
      <c r="BM643" s="200"/>
      <c r="BN643" s="200"/>
      <c r="BO643" s="522"/>
      <c r="BP643" s="200"/>
      <c r="BQ643" s="223"/>
      <c r="BR643" s="223"/>
      <c r="BS643" s="223"/>
      <c r="BT643" s="223"/>
      <c r="BU643" s="223"/>
      <c r="BV643" s="223"/>
      <c r="BW643" s="223"/>
      <c r="BX643" s="200"/>
      <c r="BY643" s="522"/>
      <c r="BZ643" s="200"/>
      <c r="CA643" s="223"/>
      <c r="CB643" s="223"/>
      <c r="CC643" s="223"/>
      <c r="CD643" s="223"/>
      <c r="CE643" s="223"/>
      <c r="CF643" s="223"/>
      <c r="CG643" s="200"/>
      <c r="CH643" s="200"/>
      <c r="CI643" s="522"/>
      <c r="CJ643" s="200"/>
      <c r="CK643" s="223"/>
      <c r="CL643" s="223"/>
      <c r="CM643" s="223"/>
      <c r="CN643" s="223"/>
      <c r="CO643" s="223"/>
      <c r="CP643" s="223"/>
      <c r="CQ643" s="200"/>
      <c r="CR643" s="200"/>
      <c r="CS643" s="522"/>
      <c r="CT643" s="200"/>
      <c r="CU643" s="223"/>
      <c r="CV643" s="223"/>
      <c r="CW643" s="223"/>
      <c r="CX643" s="223"/>
      <c r="CY643" s="223"/>
      <c r="CZ643" s="223"/>
      <c r="DA643" s="223"/>
      <c r="DB643" s="200"/>
      <c r="DC643" s="522"/>
      <c r="DD643" s="200"/>
      <c r="DE643" s="223"/>
      <c r="DF643" s="223"/>
      <c r="DG643" s="223"/>
      <c r="DH643" s="223"/>
      <c r="DI643" s="223"/>
      <c r="DJ643" s="223"/>
      <c r="DK643" s="200"/>
      <c r="DL643" s="200"/>
      <c r="DM643" s="522"/>
      <c r="DN643" s="200"/>
      <c r="DO643" s="223"/>
      <c r="DP643" s="223"/>
      <c r="DQ643" s="223"/>
      <c r="DR643" s="223"/>
      <c r="DS643" s="223"/>
      <c r="DT643" s="223"/>
      <c r="DU643" s="200"/>
      <c r="DV643" s="200"/>
      <c r="DW643" s="522"/>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2"/>
      <c r="R644" s="200"/>
      <c r="S644" s="223"/>
      <c r="T644" s="223"/>
      <c r="U644" s="223"/>
      <c r="V644" s="223"/>
      <c r="W644" s="223"/>
      <c r="X644" s="223"/>
      <c r="Y644" s="200"/>
      <c r="Z644" s="200"/>
      <c r="AA644" s="522"/>
      <c r="AB644" s="200"/>
      <c r="AC644" s="223"/>
      <c r="AD644" s="223"/>
      <c r="AE644" s="223"/>
      <c r="AF644" s="223"/>
      <c r="AG644" s="223"/>
      <c r="AH644" s="223"/>
      <c r="AI644" s="200"/>
      <c r="AJ644" s="200"/>
      <c r="AK644" s="522"/>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2"/>
      <c r="BF644" s="200"/>
      <c r="BG644" s="223"/>
      <c r="BH644" s="223"/>
      <c r="BI644" s="223"/>
      <c r="BJ644" s="223"/>
      <c r="BK644" s="223"/>
      <c r="BL644" s="223"/>
      <c r="BM644" s="200"/>
      <c r="BN644" s="200"/>
      <c r="BO644" s="522"/>
      <c r="BP644" s="200"/>
      <c r="BQ644" s="223"/>
      <c r="BR644" s="223"/>
      <c r="BS644" s="223"/>
      <c r="BT644" s="223"/>
      <c r="BU644" s="223"/>
      <c r="BV644" s="223"/>
      <c r="BW644" s="223"/>
      <c r="BX644" s="200"/>
      <c r="BY644" s="522"/>
      <c r="BZ644" s="200"/>
      <c r="CA644" s="223"/>
      <c r="CB644" s="223"/>
      <c r="CC644" s="223"/>
      <c r="CD644" s="223"/>
      <c r="CE644" s="223"/>
      <c r="CF644" s="223"/>
      <c r="CG644" s="200"/>
      <c r="CH644" s="200"/>
      <c r="CI644" s="522"/>
      <c r="CJ644" s="200"/>
      <c r="CK644" s="223"/>
      <c r="CL644" s="223"/>
      <c r="CM644" s="223"/>
      <c r="CN644" s="223"/>
      <c r="CO644" s="223"/>
      <c r="CP644" s="223"/>
      <c r="CQ644" s="200"/>
      <c r="CR644" s="200"/>
      <c r="CS644" s="522"/>
      <c r="CT644" s="200"/>
      <c r="CU644" s="223"/>
      <c r="CV644" s="223"/>
      <c r="CW644" s="223"/>
      <c r="CX644" s="223"/>
      <c r="CY644" s="223"/>
      <c r="CZ644" s="223"/>
      <c r="DA644" s="223"/>
      <c r="DB644" s="200"/>
      <c r="DC644" s="522"/>
      <c r="DD644" s="200"/>
      <c r="DE644" s="223"/>
      <c r="DF644" s="223"/>
      <c r="DG644" s="223"/>
      <c r="DH644" s="223"/>
      <c r="DI644" s="223"/>
      <c r="DJ644" s="223"/>
      <c r="DK644" s="200"/>
      <c r="DL644" s="200"/>
      <c r="DM644" s="522"/>
      <c r="DN644" s="200"/>
      <c r="DO644" s="223"/>
      <c r="DP644" s="223"/>
      <c r="DQ644" s="223"/>
      <c r="DR644" s="223"/>
      <c r="DS644" s="223"/>
      <c r="DT644" s="223"/>
      <c r="DU644" s="200"/>
      <c r="DV644" s="200"/>
      <c r="DW644" s="522"/>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2"/>
      <c r="R645" s="200"/>
      <c r="S645" s="223"/>
      <c r="T645" s="223"/>
      <c r="U645" s="223"/>
      <c r="V645" s="223"/>
      <c r="W645" s="223"/>
      <c r="X645" s="223"/>
      <c r="Y645" s="200"/>
      <c r="Z645" s="200"/>
      <c r="AA645" s="522"/>
      <c r="AB645" s="200"/>
      <c r="AC645" s="223"/>
      <c r="AD645" s="223"/>
      <c r="AE645" s="223"/>
      <c r="AF645" s="223"/>
      <c r="AG645" s="223"/>
      <c r="AH645" s="223"/>
      <c r="AI645" s="200"/>
      <c r="AJ645" s="200"/>
      <c r="AK645" s="522"/>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2"/>
      <c r="BF645" s="200"/>
      <c r="BG645" s="223"/>
      <c r="BH645" s="223"/>
      <c r="BI645" s="223"/>
      <c r="BJ645" s="223"/>
      <c r="BK645" s="223"/>
      <c r="BL645" s="223"/>
      <c r="BM645" s="200"/>
      <c r="BN645" s="200"/>
      <c r="BO645" s="522"/>
      <c r="BP645" s="200"/>
      <c r="BQ645" s="223"/>
      <c r="BR645" s="223"/>
      <c r="BS645" s="223"/>
      <c r="BT645" s="223"/>
      <c r="BU645" s="223"/>
      <c r="BV645" s="223"/>
      <c r="BW645" s="223"/>
      <c r="BX645" s="200"/>
      <c r="BY645" s="522"/>
      <c r="BZ645" s="200"/>
      <c r="CA645" s="223"/>
      <c r="CB645" s="223"/>
      <c r="CC645" s="223"/>
      <c r="CD645" s="223"/>
      <c r="CE645" s="223"/>
      <c r="CF645" s="223"/>
      <c r="CG645" s="200"/>
      <c r="CH645" s="200"/>
      <c r="CI645" s="522"/>
      <c r="CJ645" s="200"/>
      <c r="CK645" s="223"/>
      <c r="CL645" s="223"/>
      <c r="CM645" s="223"/>
      <c r="CN645" s="223"/>
      <c r="CO645" s="223"/>
      <c r="CP645" s="223"/>
      <c r="CQ645" s="200"/>
      <c r="CR645" s="200"/>
      <c r="CS645" s="522"/>
      <c r="CT645" s="200"/>
      <c r="CU645" s="223"/>
      <c r="CV645" s="223"/>
      <c r="CW645" s="223"/>
      <c r="CX645" s="223"/>
      <c r="CY645" s="223"/>
      <c r="CZ645" s="223"/>
      <c r="DA645" s="223"/>
      <c r="DB645" s="200"/>
      <c r="DC645" s="522"/>
      <c r="DD645" s="200"/>
      <c r="DE645" s="223"/>
      <c r="DF645" s="223"/>
      <c r="DG645" s="223"/>
      <c r="DH645" s="223"/>
      <c r="DI645" s="223"/>
      <c r="DJ645" s="223"/>
      <c r="DK645" s="200"/>
      <c r="DL645" s="200"/>
      <c r="DM645" s="522"/>
      <c r="DN645" s="200"/>
      <c r="DO645" s="223"/>
      <c r="DP645" s="223"/>
      <c r="DQ645" s="223"/>
      <c r="DR645" s="223"/>
      <c r="DS645" s="223"/>
      <c r="DT645" s="223"/>
      <c r="DU645" s="200"/>
      <c r="DV645" s="200"/>
      <c r="DW645" s="522"/>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2"/>
      <c r="R646" s="200"/>
      <c r="S646" s="223"/>
      <c r="T646" s="223"/>
      <c r="U646" s="223"/>
      <c r="V646" s="223"/>
      <c r="W646" s="223"/>
      <c r="X646" s="223"/>
      <c r="Y646" s="200"/>
      <c r="Z646" s="200"/>
      <c r="AA646" s="522"/>
      <c r="AB646" s="200"/>
      <c r="AC646" s="223"/>
      <c r="AD646" s="223"/>
      <c r="AE646" s="223"/>
      <c r="AF646" s="223"/>
      <c r="AG646" s="223"/>
      <c r="AH646" s="223"/>
      <c r="AI646" s="200"/>
      <c r="AJ646" s="200"/>
      <c r="AK646" s="522"/>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2"/>
      <c r="BF646" s="200"/>
      <c r="BG646" s="223"/>
      <c r="BH646" s="223"/>
      <c r="BI646" s="223"/>
      <c r="BJ646" s="223"/>
      <c r="BK646" s="223"/>
      <c r="BL646" s="223"/>
      <c r="BM646" s="200"/>
      <c r="BN646" s="200"/>
      <c r="BO646" s="522"/>
      <c r="BP646" s="200"/>
      <c r="BQ646" s="223"/>
      <c r="BR646" s="223"/>
      <c r="BS646" s="223"/>
      <c r="BT646" s="223"/>
      <c r="BU646" s="223"/>
      <c r="BV646" s="223"/>
      <c r="BW646" s="223"/>
      <c r="BX646" s="200"/>
      <c r="BY646" s="522"/>
      <c r="BZ646" s="200"/>
      <c r="CA646" s="223"/>
      <c r="CB646" s="223"/>
      <c r="CC646" s="223"/>
      <c r="CD646" s="223"/>
      <c r="CE646" s="223"/>
      <c r="CF646" s="223"/>
      <c r="CG646" s="200"/>
      <c r="CH646" s="200"/>
      <c r="CI646" s="522"/>
      <c r="CJ646" s="200"/>
      <c r="CK646" s="223"/>
      <c r="CL646" s="223"/>
      <c r="CM646" s="223"/>
      <c r="CN646" s="223"/>
      <c r="CO646" s="223"/>
      <c r="CP646" s="223"/>
      <c r="CQ646" s="200"/>
      <c r="CR646" s="200"/>
      <c r="CS646" s="522"/>
      <c r="CT646" s="200"/>
      <c r="CU646" s="223"/>
      <c r="CV646" s="223"/>
      <c r="CW646" s="223"/>
      <c r="CX646" s="223"/>
      <c r="CY646" s="223"/>
      <c r="CZ646" s="223"/>
      <c r="DA646" s="223"/>
      <c r="DB646" s="200"/>
      <c r="DC646" s="522"/>
      <c r="DD646" s="200"/>
      <c r="DE646" s="223"/>
      <c r="DF646" s="223"/>
      <c r="DG646" s="223"/>
      <c r="DH646" s="223"/>
      <c r="DI646" s="223"/>
      <c r="DJ646" s="223"/>
      <c r="DK646" s="200"/>
      <c r="DL646" s="200"/>
      <c r="DM646" s="522"/>
      <c r="DN646" s="200"/>
      <c r="DO646" s="223"/>
      <c r="DP646" s="223"/>
      <c r="DQ646" s="223"/>
      <c r="DR646" s="223"/>
      <c r="DS646" s="223"/>
      <c r="DT646" s="223"/>
      <c r="DU646" s="200"/>
      <c r="DV646" s="200"/>
      <c r="DW646" s="522"/>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2"/>
      <c r="R647" s="200"/>
      <c r="S647" s="223"/>
      <c r="T647" s="223"/>
      <c r="U647" s="223"/>
      <c r="V647" s="223"/>
      <c r="W647" s="223"/>
      <c r="X647" s="223"/>
      <c r="Y647" s="200"/>
      <c r="Z647" s="200"/>
      <c r="AA647" s="522"/>
      <c r="AB647" s="200"/>
      <c r="AC647" s="223"/>
      <c r="AD647" s="223"/>
      <c r="AE647" s="223"/>
      <c r="AF647" s="223"/>
      <c r="AG647" s="223"/>
      <c r="AH647" s="223"/>
      <c r="AI647" s="200"/>
      <c r="AJ647" s="200"/>
      <c r="AK647" s="522"/>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2"/>
      <c r="BF647" s="200"/>
      <c r="BG647" s="223"/>
      <c r="BH647" s="223"/>
      <c r="BI647" s="223"/>
      <c r="BJ647" s="223"/>
      <c r="BK647" s="223"/>
      <c r="BL647" s="223"/>
      <c r="BM647" s="200"/>
      <c r="BN647" s="200"/>
      <c r="BO647" s="522"/>
      <c r="BP647" s="200"/>
      <c r="BQ647" s="223"/>
      <c r="BR647" s="223"/>
      <c r="BS647" s="223"/>
      <c r="BT647" s="223"/>
      <c r="BU647" s="223"/>
      <c r="BV647" s="223"/>
      <c r="BW647" s="223"/>
      <c r="BX647" s="200"/>
      <c r="BY647" s="522"/>
      <c r="BZ647" s="200"/>
      <c r="CA647" s="223"/>
      <c r="CB647" s="223"/>
      <c r="CC647" s="223"/>
      <c r="CD647" s="223"/>
      <c r="CE647" s="223"/>
      <c r="CF647" s="223"/>
      <c r="CG647" s="200"/>
      <c r="CH647" s="200"/>
      <c r="CI647" s="522"/>
      <c r="CJ647" s="200"/>
      <c r="CK647" s="223"/>
      <c r="CL647" s="223"/>
      <c r="CM647" s="223"/>
      <c r="CN647" s="223"/>
      <c r="CO647" s="223"/>
      <c r="CP647" s="223"/>
      <c r="CQ647" s="200"/>
      <c r="CR647" s="200"/>
      <c r="CS647" s="522"/>
      <c r="CT647" s="200"/>
      <c r="CU647" s="223"/>
      <c r="CV647" s="223"/>
      <c r="CW647" s="223"/>
      <c r="CX647" s="223"/>
      <c r="CY647" s="223"/>
      <c r="CZ647" s="223"/>
      <c r="DA647" s="223"/>
      <c r="DB647" s="200"/>
      <c r="DC647" s="522"/>
      <c r="DD647" s="200"/>
      <c r="DE647" s="223"/>
      <c r="DF647" s="223"/>
      <c r="DG647" s="223"/>
      <c r="DH647" s="223"/>
      <c r="DI647" s="223"/>
      <c r="DJ647" s="223"/>
      <c r="DK647" s="200"/>
      <c r="DL647" s="200"/>
      <c r="DM647" s="522"/>
      <c r="DN647" s="200"/>
      <c r="DO647" s="223"/>
      <c r="DP647" s="223"/>
      <c r="DQ647" s="223"/>
      <c r="DR647" s="223"/>
      <c r="DS647" s="223"/>
      <c r="DT647" s="223"/>
      <c r="DU647" s="200"/>
      <c r="DV647" s="200"/>
      <c r="DW647" s="522"/>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2"/>
      <c r="R648" s="200"/>
      <c r="S648" s="223"/>
      <c r="T648" s="223"/>
      <c r="U648" s="223"/>
      <c r="V648" s="223"/>
      <c r="W648" s="223"/>
      <c r="X648" s="223"/>
      <c r="Y648" s="200"/>
      <c r="Z648" s="200"/>
      <c r="AA648" s="522"/>
      <c r="AB648" s="200"/>
      <c r="AC648" s="223"/>
      <c r="AD648" s="223"/>
      <c r="AE648" s="223"/>
      <c r="AF648" s="223"/>
      <c r="AG648" s="223"/>
      <c r="AH648" s="223"/>
      <c r="AI648" s="200"/>
      <c r="AJ648" s="200"/>
      <c r="AK648" s="522"/>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2"/>
      <c r="BF648" s="200"/>
      <c r="BG648" s="223"/>
      <c r="BH648" s="223"/>
      <c r="BI648" s="223"/>
      <c r="BJ648" s="223"/>
      <c r="BK648" s="223"/>
      <c r="BL648" s="223"/>
      <c r="BM648" s="200"/>
      <c r="BN648" s="200"/>
      <c r="BO648" s="522"/>
      <c r="BP648" s="200"/>
      <c r="BQ648" s="223"/>
      <c r="BR648" s="223"/>
      <c r="BS648" s="223"/>
      <c r="BT648" s="223"/>
      <c r="BU648" s="223"/>
      <c r="BV648" s="223"/>
      <c r="BW648" s="223"/>
      <c r="BX648" s="200"/>
      <c r="BY648" s="522"/>
      <c r="BZ648" s="200"/>
      <c r="CA648" s="223"/>
      <c r="CB648" s="223"/>
      <c r="CC648" s="223"/>
      <c r="CD648" s="223"/>
      <c r="CE648" s="223"/>
      <c r="CF648" s="223"/>
      <c r="CG648" s="200"/>
      <c r="CH648" s="200"/>
      <c r="CI648" s="522"/>
      <c r="CJ648" s="200"/>
      <c r="CK648" s="223"/>
      <c r="CL648" s="223"/>
      <c r="CM648" s="223"/>
      <c r="CN648" s="223"/>
      <c r="CO648" s="223"/>
      <c r="CP648" s="223"/>
      <c r="CQ648" s="200"/>
      <c r="CR648" s="200"/>
      <c r="CS648" s="522"/>
      <c r="CT648" s="200"/>
      <c r="CU648" s="223"/>
      <c r="CV648" s="223"/>
      <c r="CW648" s="223"/>
      <c r="CX648" s="223"/>
      <c r="CY648" s="223"/>
      <c r="CZ648" s="223"/>
      <c r="DA648" s="223"/>
      <c r="DB648" s="200"/>
      <c r="DC648" s="522"/>
      <c r="DD648" s="200"/>
      <c r="DE648" s="223"/>
      <c r="DF648" s="223"/>
      <c r="DG648" s="223"/>
      <c r="DH648" s="223"/>
      <c r="DI648" s="223"/>
      <c r="DJ648" s="223"/>
      <c r="DK648" s="200"/>
      <c r="DL648" s="200"/>
      <c r="DM648" s="522"/>
      <c r="DN648" s="200"/>
      <c r="DO648" s="223"/>
      <c r="DP648" s="223"/>
      <c r="DQ648" s="223"/>
      <c r="DR648" s="223"/>
      <c r="DS648" s="223"/>
      <c r="DT648" s="223"/>
      <c r="DU648" s="200"/>
      <c r="DV648" s="200"/>
      <c r="DW648" s="522"/>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2"/>
      <c r="R649" s="200"/>
      <c r="S649" s="223"/>
      <c r="T649" s="223"/>
      <c r="U649" s="223"/>
      <c r="V649" s="223"/>
      <c r="W649" s="223"/>
      <c r="X649" s="223"/>
      <c r="Y649" s="200"/>
      <c r="Z649" s="200"/>
      <c r="AA649" s="522"/>
      <c r="AB649" s="200"/>
      <c r="AC649" s="223"/>
      <c r="AD649" s="223"/>
      <c r="AE649" s="223"/>
      <c r="AF649" s="223"/>
      <c r="AG649" s="223"/>
      <c r="AH649" s="223"/>
      <c r="AI649" s="200"/>
      <c r="AJ649" s="200"/>
      <c r="AK649" s="522"/>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2"/>
      <c r="BF649" s="200"/>
      <c r="BG649" s="223"/>
      <c r="BH649" s="223"/>
      <c r="BI649" s="223"/>
      <c r="BJ649" s="223"/>
      <c r="BK649" s="223"/>
      <c r="BL649" s="223"/>
      <c r="BM649" s="200"/>
      <c r="BN649" s="200"/>
      <c r="BO649" s="522"/>
      <c r="BP649" s="200"/>
      <c r="BQ649" s="223"/>
      <c r="BR649" s="223"/>
      <c r="BS649" s="223"/>
      <c r="BT649" s="223"/>
      <c r="BU649" s="223"/>
      <c r="BV649" s="223"/>
      <c r="BW649" s="223"/>
      <c r="BX649" s="200"/>
      <c r="BY649" s="522"/>
      <c r="BZ649" s="200"/>
      <c r="CA649" s="223"/>
      <c r="CB649" s="223"/>
      <c r="CC649" s="223"/>
      <c r="CD649" s="223"/>
      <c r="CE649" s="223"/>
      <c r="CF649" s="223"/>
      <c r="CG649" s="200"/>
      <c r="CH649" s="200"/>
      <c r="CI649" s="522"/>
      <c r="CJ649" s="200"/>
      <c r="CK649" s="223"/>
      <c r="CL649" s="223"/>
      <c r="CM649" s="223"/>
      <c r="CN649" s="223"/>
      <c r="CO649" s="223"/>
      <c r="CP649" s="223"/>
      <c r="CQ649" s="200"/>
      <c r="CR649" s="200"/>
      <c r="CS649" s="522"/>
      <c r="CT649" s="200"/>
      <c r="CU649" s="223"/>
      <c r="CV649" s="223"/>
      <c r="CW649" s="223"/>
      <c r="CX649" s="223"/>
      <c r="CY649" s="223"/>
      <c r="CZ649" s="223"/>
      <c r="DA649" s="223"/>
      <c r="DB649" s="200"/>
      <c r="DC649" s="522"/>
      <c r="DD649" s="200"/>
      <c r="DE649" s="223"/>
      <c r="DF649" s="223"/>
      <c r="DG649" s="223"/>
      <c r="DH649" s="223"/>
      <c r="DI649" s="223"/>
      <c r="DJ649" s="223"/>
      <c r="DK649" s="200"/>
      <c r="DL649" s="200"/>
      <c r="DM649" s="522"/>
      <c r="DN649" s="200"/>
      <c r="DO649" s="223"/>
      <c r="DP649" s="223"/>
      <c r="DQ649" s="223"/>
      <c r="DR649" s="223"/>
      <c r="DS649" s="223"/>
      <c r="DT649" s="223"/>
      <c r="DU649" s="200"/>
      <c r="DV649" s="200"/>
      <c r="DW649" s="522"/>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2"/>
      <c r="R650" s="200"/>
      <c r="S650" s="223"/>
      <c r="T650" s="223"/>
      <c r="U650" s="223"/>
      <c r="V650" s="223"/>
      <c r="W650" s="223"/>
      <c r="X650" s="223"/>
      <c r="Y650" s="200"/>
      <c r="Z650" s="200"/>
      <c r="AA650" s="522"/>
      <c r="AB650" s="200"/>
      <c r="AC650" s="223"/>
      <c r="AD650" s="223"/>
      <c r="AE650" s="223"/>
      <c r="AF650" s="223"/>
      <c r="AG650" s="223"/>
      <c r="AH650" s="223"/>
      <c r="AI650" s="200"/>
      <c r="AJ650" s="200"/>
      <c r="AK650" s="522"/>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2"/>
      <c r="BF650" s="200"/>
      <c r="BG650" s="223"/>
      <c r="BH650" s="223"/>
      <c r="BI650" s="223"/>
      <c r="BJ650" s="223"/>
      <c r="BK650" s="223"/>
      <c r="BL650" s="223"/>
      <c r="BM650" s="200"/>
      <c r="BN650" s="200"/>
      <c r="BO650" s="522"/>
      <c r="BP650" s="200"/>
      <c r="BQ650" s="223"/>
      <c r="BR650" s="223"/>
      <c r="BS650" s="223"/>
      <c r="BT650" s="223"/>
      <c r="BU650" s="223"/>
      <c r="BV650" s="223"/>
      <c r="BW650" s="223"/>
      <c r="BX650" s="200"/>
      <c r="BY650" s="522"/>
      <c r="BZ650" s="200"/>
      <c r="CA650" s="223"/>
      <c r="CB650" s="223"/>
      <c r="CC650" s="223"/>
      <c r="CD650" s="223"/>
      <c r="CE650" s="223"/>
      <c r="CF650" s="223"/>
      <c r="CG650" s="200"/>
      <c r="CH650" s="200"/>
      <c r="CI650" s="522"/>
      <c r="CJ650" s="200"/>
      <c r="CK650" s="223"/>
      <c r="CL650" s="223"/>
      <c r="CM650" s="223"/>
      <c r="CN650" s="223"/>
      <c r="CO650" s="223"/>
      <c r="CP650" s="223"/>
      <c r="CQ650" s="200"/>
      <c r="CR650" s="200"/>
      <c r="CS650" s="522"/>
      <c r="CT650" s="200"/>
      <c r="CU650" s="223"/>
      <c r="CV650" s="223"/>
      <c r="CW650" s="223"/>
      <c r="CX650" s="223"/>
      <c r="CY650" s="223"/>
      <c r="CZ650" s="223"/>
      <c r="DA650" s="223"/>
      <c r="DB650" s="200"/>
      <c r="DC650" s="522"/>
      <c r="DD650" s="200"/>
      <c r="DE650" s="223"/>
      <c r="DF650" s="223"/>
      <c r="DG650" s="223"/>
      <c r="DH650" s="223"/>
      <c r="DI650" s="223"/>
      <c r="DJ650" s="223"/>
      <c r="DK650" s="200"/>
      <c r="DL650" s="200"/>
      <c r="DM650" s="522"/>
      <c r="DN650" s="200"/>
      <c r="DO650" s="223"/>
      <c r="DP650" s="223"/>
      <c r="DQ650" s="223"/>
      <c r="DR650" s="223"/>
      <c r="DS650" s="223"/>
      <c r="DT650" s="223"/>
      <c r="DU650" s="200"/>
      <c r="DV650" s="200"/>
      <c r="DW650" s="522"/>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2"/>
      <c r="R651" s="200"/>
      <c r="S651" s="223"/>
      <c r="T651" s="223"/>
      <c r="U651" s="223"/>
      <c r="V651" s="223"/>
      <c r="W651" s="223"/>
      <c r="X651" s="223"/>
      <c r="Y651" s="200"/>
      <c r="Z651" s="200"/>
      <c r="AA651" s="522"/>
      <c r="AB651" s="200"/>
      <c r="AC651" s="223"/>
      <c r="AD651" s="223"/>
      <c r="AE651" s="223"/>
      <c r="AF651" s="223"/>
      <c r="AG651" s="223"/>
      <c r="AH651" s="223"/>
      <c r="AI651" s="200"/>
      <c r="AJ651" s="200"/>
      <c r="AK651" s="522"/>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2"/>
      <c r="BF651" s="200"/>
      <c r="BG651" s="223"/>
      <c r="BH651" s="223"/>
      <c r="BI651" s="223"/>
      <c r="BJ651" s="223"/>
      <c r="BK651" s="223"/>
      <c r="BL651" s="223"/>
      <c r="BM651" s="200"/>
      <c r="BN651" s="200"/>
      <c r="BO651" s="522"/>
      <c r="BP651" s="200"/>
      <c r="BQ651" s="223"/>
      <c r="BR651" s="223"/>
      <c r="BS651" s="223"/>
      <c r="BT651" s="223"/>
      <c r="BU651" s="223"/>
      <c r="BV651" s="223"/>
      <c r="BW651" s="223"/>
      <c r="BX651" s="200"/>
      <c r="BY651" s="522"/>
      <c r="BZ651" s="200"/>
      <c r="CA651" s="223"/>
      <c r="CB651" s="223"/>
      <c r="CC651" s="223"/>
      <c r="CD651" s="223"/>
      <c r="CE651" s="223"/>
      <c r="CF651" s="223"/>
      <c r="CG651" s="200"/>
      <c r="CH651" s="200"/>
      <c r="CI651" s="522"/>
      <c r="CJ651" s="200"/>
      <c r="CK651" s="223"/>
      <c r="CL651" s="223"/>
      <c r="CM651" s="223"/>
      <c r="CN651" s="223"/>
      <c r="CO651" s="223"/>
      <c r="CP651" s="223"/>
      <c r="CQ651" s="200"/>
      <c r="CR651" s="200"/>
      <c r="CS651" s="522"/>
      <c r="CT651" s="200"/>
      <c r="CU651" s="223"/>
      <c r="CV651" s="223"/>
      <c r="CW651" s="223"/>
      <c r="CX651" s="223"/>
      <c r="CY651" s="223"/>
      <c r="CZ651" s="223"/>
      <c r="DA651" s="223"/>
      <c r="DB651" s="200"/>
      <c r="DC651" s="522"/>
      <c r="DD651" s="200"/>
      <c r="DE651" s="223"/>
      <c r="DF651" s="223"/>
      <c r="DG651" s="223"/>
      <c r="DH651" s="223"/>
      <c r="DI651" s="223"/>
      <c r="DJ651" s="223"/>
      <c r="DK651" s="200"/>
      <c r="DL651" s="200"/>
      <c r="DM651" s="522"/>
      <c r="DN651" s="200"/>
      <c r="DO651" s="223"/>
      <c r="DP651" s="223"/>
      <c r="DQ651" s="223"/>
      <c r="DR651" s="223"/>
      <c r="DS651" s="223"/>
      <c r="DT651" s="223"/>
      <c r="DU651" s="200"/>
      <c r="DV651" s="200"/>
      <c r="DW651" s="522"/>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2"/>
      <c r="R652" s="200"/>
      <c r="S652" s="223"/>
      <c r="T652" s="223"/>
      <c r="U652" s="223"/>
      <c r="V652" s="223"/>
      <c r="W652" s="223"/>
      <c r="X652" s="223"/>
      <c r="Y652" s="200"/>
      <c r="Z652" s="200"/>
      <c r="AA652" s="522"/>
      <c r="AB652" s="200"/>
      <c r="AC652" s="223"/>
      <c r="AD652" s="223"/>
      <c r="AE652" s="223"/>
      <c r="AF652" s="223"/>
      <c r="AG652" s="223"/>
      <c r="AH652" s="223"/>
      <c r="AI652" s="200"/>
      <c r="AJ652" s="200"/>
      <c r="AK652" s="522"/>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2"/>
      <c r="BF652" s="200"/>
      <c r="BG652" s="223"/>
      <c r="BH652" s="223"/>
      <c r="BI652" s="223"/>
      <c r="BJ652" s="223"/>
      <c r="BK652" s="223"/>
      <c r="BL652" s="223"/>
      <c r="BM652" s="200"/>
      <c r="BN652" s="200"/>
      <c r="BO652" s="522"/>
      <c r="BP652" s="200"/>
      <c r="BQ652" s="223"/>
      <c r="BR652" s="223"/>
      <c r="BS652" s="223"/>
      <c r="BT652" s="223"/>
      <c r="BU652" s="223"/>
      <c r="BV652" s="223"/>
      <c r="BW652" s="223"/>
      <c r="BX652" s="200"/>
      <c r="BY652" s="522"/>
      <c r="BZ652" s="200"/>
      <c r="CA652" s="223"/>
      <c r="CB652" s="223"/>
      <c r="CC652" s="223"/>
      <c r="CD652" s="223"/>
      <c r="CE652" s="223"/>
      <c r="CF652" s="223"/>
      <c r="CG652" s="200"/>
      <c r="CH652" s="200"/>
      <c r="CI652" s="522"/>
      <c r="CJ652" s="200"/>
      <c r="CK652" s="223"/>
      <c r="CL652" s="223"/>
      <c r="CM652" s="223"/>
      <c r="CN652" s="223"/>
      <c r="CO652" s="223"/>
      <c r="CP652" s="223"/>
      <c r="CQ652" s="200"/>
      <c r="CR652" s="200"/>
      <c r="CS652" s="522"/>
      <c r="CT652" s="200"/>
      <c r="CU652" s="223"/>
      <c r="CV652" s="223"/>
      <c r="CW652" s="223"/>
      <c r="CX652" s="223"/>
      <c r="CY652" s="223"/>
      <c r="CZ652" s="223"/>
      <c r="DA652" s="223"/>
      <c r="DB652" s="200"/>
      <c r="DC652" s="522"/>
      <c r="DD652" s="200"/>
      <c r="DE652" s="223"/>
      <c r="DF652" s="223"/>
      <c r="DG652" s="223"/>
      <c r="DH652" s="223"/>
      <c r="DI652" s="223"/>
      <c r="DJ652" s="223"/>
      <c r="DK652" s="200"/>
      <c r="DL652" s="200"/>
      <c r="DM652" s="522"/>
      <c r="DN652" s="200"/>
      <c r="DO652" s="223"/>
      <c r="DP652" s="223"/>
      <c r="DQ652" s="223"/>
      <c r="DR652" s="223"/>
      <c r="DS652" s="223"/>
      <c r="DT652" s="223"/>
      <c r="DU652" s="200"/>
      <c r="DV652" s="200"/>
      <c r="DW652" s="522"/>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2"/>
      <c r="R653" s="200"/>
      <c r="S653" s="223"/>
      <c r="T653" s="223"/>
      <c r="U653" s="223"/>
      <c r="V653" s="223"/>
      <c r="W653" s="223"/>
      <c r="X653" s="223"/>
      <c r="Y653" s="200"/>
      <c r="Z653" s="200"/>
      <c r="AA653" s="522"/>
      <c r="AB653" s="200"/>
      <c r="AC653" s="223"/>
      <c r="AD653" s="223"/>
      <c r="AE653" s="223"/>
      <c r="AF653" s="223"/>
      <c r="AG653" s="223"/>
      <c r="AH653" s="223"/>
      <c r="AI653" s="200"/>
      <c r="AJ653" s="200"/>
      <c r="AK653" s="522"/>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2"/>
      <c r="BF653" s="200"/>
      <c r="BG653" s="223"/>
      <c r="BH653" s="223"/>
      <c r="BI653" s="223"/>
      <c r="BJ653" s="223"/>
      <c r="BK653" s="223"/>
      <c r="BL653" s="223"/>
      <c r="BM653" s="200"/>
      <c r="BN653" s="200"/>
      <c r="BO653" s="522"/>
      <c r="BP653" s="200"/>
      <c r="BQ653" s="223"/>
      <c r="BR653" s="223"/>
      <c r="BS653" s="223"/>
      <c r="BT653" s="223"/>
      <c r="BU653" s="223"/>
      <c r="BV653" s="223"/>
      <c r="BW653" s="223"/>
      <c r="BX653" s="200"/>
      <c r="BY653" s="522"/>
      <c r="BZ653" s="200"/>
      <c r="CA653" s="223"/>
      <c r="CB653" s="223"/>
      <c r="CC653" s="223"/>
      <c r="CD653" s="223"/>
      <c r="CE653" s="223"/>
      <c r="CF653" s="223"/>
      <c r="CG653" s="200"/>
      <c r="CH653" s="200"/>
      <c r="CI653" s="522"/>
      <c r="CJ653" s="200"/>
      <c r="CK653" s="223"/>
      <c r="CL653" s="223"/>
      <c r="CM653" s="223"/>
      <c r="CN653" s="223"/>
      <c r="CO653" s="223"/>
      <c r="CP653" s="223"/>
      <c r="CQ653" s="200"/>
      <c r="CR653" s="200"/>
      <c r="CS653" s="522"/>
      <c r="CT653" s="200"/>
      <c r="CU653" s="223"/>
      <c r="CV653" s="223"/>
      <c r="CW653" s="223"/>
      <c r="CX653" s="223"/>
      <c r="CY653" s="223"/>
      <c r="CZ653" s="223"/>
      <c r="DA653" s="223"/>
      <c r="DB653" s="200"/>
      <c r="DC653" s="522"/>
      <c r="DD653" s="200"/>
      <c r="DE653" s="223"/>
      <c r="DF653" s="223"/>
      <c r="DG653" s="223"/>
      <c r="DH653" s="223"/>
      <c r="DI653" s="223"/>
      <c r="DJ653" s="223"/>
      <c r="DK653" s="200"/>
      <c r="DL653" s="200"/>
      <c r="DM653" s="522"/>
      <c r="DN653" s="200"/>
      <c r="DO653" s="223"/>
      <c r="DP653" s="223"/>
      <c r="DQ653" s="223"/>
      <c r="DR653" s="223"/>
      <c r="DS653" s="223"/>
      <c r="DT653" s="223"/>
      <c r="DU653" s="200"/>
      <c r="DV653" s="200"/>
      <c r="DW653" s="522"/>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2"/>
      <c r="R654" s="200"/>
      <c r="S654" s="223"/>
      <c r="T654" s="223"/>
      <c r="U654" s="223"/>
      <c r="V654" s="223"/>
      <c r="W654" s="223"/>
      <c r="X654" s="223"/>
      <c r="Y654" s="200"/>
      <c r="Z654" s="200"/>
      <c r="AA654" s="522"/>
      <c r="AB654" s="200"/>
      <c r="AC654" s="223"/>
      <c r="AD654" s="223"/>
      <c r="AE654" s="223"/>
      <c r="AF654" s="223"/>
      <c r="AG654" s="223"/>
      <c r="AH654" s="223"/>
      <c r="AI654" s="200"/>
      <c r="AJ654" s="200"/>
      <c r="AK654" s="522"/>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2"/>
      <c r="BF654" s="200"/>
      <c r="BG654" s="223"/>
      <c r="BH654" s="223"/>
      <c r="BI654" s="223"/>
      <c r="BJ654" s="223"/>
      <c r="BK654" s="223"/>
      <c r="BL654" s="223"/>
      <c r="BM654" s="200"/>
      <c r="BN654" s="200"/>
      <c r="BO654" s="522"/>
      <c r="BP654" s="200"/>
      <c r="BQ654" s="223"/>
      <c r="BR654" s="223"/>
      <c r="BS654" s="223"/>
      <c r="BT654" s="223"/>
      <c r="BU654" s="223"/>
      <c r="BV654" s="223"/>
      <c r="BW654" s="223"/>
      <c r="BX654" s="200"/>
      <c r="BY654" s="522"/>
      <c r="BZ654" s="200"/>
      <c r="CA654" s="223"/>
      <c r="CB654" s="223"/>
      <c r="CC654" s="223"/>
      <c r="CD654" s="223"/>
      <c r="CE654" s="223"/>
      <c r="CF654" s="223"/>
      <c r="CG654" s="200"/>
      <c r="CH654" s="200"/>
      <c r="CI654" s="522"/>
      <c r="CJ654" s="200"/>
      <c r="CK654" s="223"/>
      <c r="CL654" s="223"/>
      <c r="CM654" s="223"/>
      <c r="CN654" s="223"/>
      <c r="CO654" s="223"/>
      <c r="CP654" s="223"/>
      <c r="CQ654" s="200"/>
      <c r="CR654" s="200"/>
      <c r="CS654" s="522"/>
      <c r="CT654" s="200"/>
      <c r="CU654" s="223"/>
      <c r="CV654" s="223"/>
      <c r="CW654" s="223"/>
      <c r="CX654" s="223"/>
      <c r="CY654" s="223"/>
      <c r="CZ654" s="223"/>
      <c r="DA654" s="223"/>
      <c r="DB654" s="200"/>
      <c r="DC654" s="522"/>
      <c r="DD654" s="200"/>
      <c r="DE654" s="223"/>
      <c r="DF654" s="223"/>
      <c r="DG654" s="223"/>
      <c r="DH654" s="223"/>
      <c r="DI654" s="223"/>
      <c r="DJ654" s="223"/>
      <c r="DK654" s="200"/>
      <c r="DL654" s="200"/>
      <c r="DM654" s="522"/>
      <c r="DN654" s="200"/>
      <c r="DO654" s="223"/>
      <c r="DP654" s="223"/>
      <c r="DQ654" s="223"/>
      <c r="DR654" s="223"/>
      <c r="DS654" s="223"/>
      <c r="DT654" s="223"/>
      <c r="DU654" s="200"/>
      <c r="DV654" s="200"/>
      <c r="DW654" s="522"/>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2"/>
      <c r="R655" s="200"/>
      <c r="S655" s="223"/>
      <c r="T655" s="223"/>
      <c r="U655" s="223"/>
      <c r="V655" s="223"/>
      <c r="W655" s="223"/>
      <c r="X655" s="223"/>
      <c r="Y655" s="200"/>
      <c r="Z655" s="200"/>
      <c r="AA655" s="522"/>
      <c r="AB655" s="200"/>
      <c r="AC655" s="223"/>
      <c r="AD655" s="223"/>
      <c r="AE655" s="223"/>
      <c r="AF655" s="223"/>
      <c r="AG655" s="223"/>
      <c r="AH655" s="223"/>
      <c r="AI655" s="200"/>
      <c r="AJ655" s="200"/>
      <c r="AK655" s="522"/>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2"/>
      <c r="BF655" s="200"/>
      <c r="BG655" s="223"/>
      <c r="BH655" s="223"/>
      <c r="BI655" s="223"/>
      <c r="BJ655" s="223"/>
      <c r="BK655" s="223"/>
      <c r="BL655" s="223"/>
      <c r="BM655" s="200"/>
      <c r="BN655" s="200"/>
      <c r="BO655" s="522"/>
      <c r="BP655" s="200"/>
      <c r="BQ655" s="223"/>
      <c r="BR655" s="223"/>
      <c r="BS655" s="223"/>
      <c r="BT655" s="223"/>
      <c r="BU655" s="223"/>
      <c r="BV655" s="223"/>
      <c r="BW655" s="223"/>
      <c r="BX655" s="200"/>
      <c r="BY655" s="522"/>
      <c r="BZ655" s="200"/>
      <c r="CA655" s="223"/>
      <c r="CB655" s="223"/>
      <c r="CC655" s="223"/>
      <c r="CD655" s="223"/>
      <c r="CE655" s="223"/>
      <c r="CF655" s="223"/>
      <c r="CG655" s="200"/>
      <c r="CH655" s="200"/>
      <c r="CI655" s="522"/>
      <c r="CJ655" s="200"/>
      <c r="CK655" s="223"/>
      <c r="CL655" s="223"/>
      <c r="CM655" s="223"/>
      <c r="CN655" s="223"/>
      <c r="CO655" s="223"/>
      <c r="CP655" s="223"/>
      <c r="CQ655" s="200"/>
      <c r="CR655" s="200"/>
      <c r="CS655" s="522"/>
      <c r="CT655" s="200"/>
      <c r="CU655" s="223"/>
      <c r="CV655" s="223"/>
      <c r="CW655" s="223"/>
      <c r="CX655" s="223"/>
      <c r="CY655" s="223"/>
      <c r="CZ655" s="223"/>
      <c r="DA655" s="223"/>
      <c r="DB655" s="200"/>
      <c r="DC655" s="522"/>
      <c r="DD655" s="200"/>
      <c r="DE655" s="223"/>
      <c r="DF655" s="223"/>
      <c r="DG655" s="223"/>
      <c r="DH655" s="223"/>
      <c r="DI655" s="223"/>
      <c r="DJ655" s="223"/>
      <c r="DK655" s="200"/>
      <c r="DL655" s="200"/>
      <c r="DM655" s="522"/>
      <c r="DN655" s="200"/>
      <c r="DO655" s="223"/>
      <c r="DP655" s="223"/>
      <c r="DQ655" s="223"/>
      <c r="DR655" s="223"/>
      <c r="DS655" s="223"/>
      <c r="DT655" s="223"/>
      <c r="DU655" s="200"/>
      <c r="DV655" s="200"/>
      <c r="DW655" s="522"/>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2"/>
      <c r="R656" s="200"/>
      <c r="S656" s="223"/>
      <c r="T656" s="223"/>
      <c r="U656" s="223"/>
      <c r="V656" s="223"/>
      <c r="W656" s="223"/>
      <c r="X656" s="223"/>
      <c r="Y656" s="200"/>
      <c r="Z656" s="200"/>
      <c r="AA656" s="522"/>
      <c r="AB656" s="200"/>
      <c r="AC656" s="223"/>
      <c r="AD656" s="223"/>
      <c r="AE656" s="223"/>
      <c r="AF656" s="223"/>
      <c r="AG656" s="223"/>
      <c r="AH656" s="223"/>
      <c r="AI656" s="200"/>
      <c r="AJ656" s="200"/>
      <c r="AK656" s="522"/>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2"/>
      <c r="BF656" s="200"/>
      <c r="BG656" s="223"/>
      <c r="BH656" s="223"/>
      <c r="BI656" s="223"/>
      <c r="BJ656" s="223"/>
      <c r="BK656" s="223"/>
      <c r="BL656" s="223"/>
      <c r="BM656" s="200"/>
      <c r="BN656" s="200"/>
      <c r="BO656" s="522"/>
      <c r="BP656" s="200"/>
      <c r="BQ656" s="223"/>
      <c r="BR656" s="223"/>
      <c r="BS656" s="223"/>
      <c r="BT656" s="223"/>
      <c r="BU656" s="223"/>
      <c r="BV656" s="223"/>
      <c r="BW656" s="223"/>
      <c r="BX656" s="200"/>
      <c r="BY656" s="522"/>
      <c r="BZ656" s="200"/>
      <c r="CA656" s="223"/>
      <c r="CB656" s="223"/>
      <c r="CC656" s="223"/>
      <c r="CD656" s="223"/>
      <c r="CE656" s="223"/>
      <c r="CF656" s="223"/>
      <c r="CG656" s="200"/>
      <c r="CH656" s="200"/>
      <c r="CI656" s="522"/>
      <c r="CJ656" s="200"/>
      <c r="CK656" s="223"/>
      <c r="CL656" s="223"/>
      <c r="CM656" s="223"/>
      <c r="CN656" s="223"/>
      <c r="CO656" s="223"/>
      <c r="CP656" s="223"/>
      <c r="CQ656" s="200"/>
      <c r="CR656" s="200"/>
      <c r="CS656" s="522"/>
      <c r="CT656" s="200"/>
      <c r="CU656" s="223"/>
      <c r="CV656" s="223"/>
      <c r="CW656" s="223"/>
      <c r="CX656" s="223"/>
      <c r="CY656" s="223"/>
      <c r="CZ656" s="223"/>
      <c r="DA656" s="223"/>
      <c r="DB656" s="200"/>
      <c r="DC656" s="522"/>
      <c r="DD656" s="200"/>
      <c r="DE656" s="223"/>
      <c r="DF656" s="223"/>
      <c r="DG656" s="223"/>
      <c r="DH656" s="223"/>
      <c r="DI656" s="223"/>
      <c r="DJ656" s="223"/>
      <c r="DK656" s="200"/>
      <c r="DL656" s="200"/>
      <c r="DM656" s="522"/>
      <c r="DN656" s="200"/>
      <c r="DO656" s="223"/>
      <c r="DP656" s="223"/>
      <c r="DQ656" s="223"/>
      <c r="DR656" s="223"/>
      <c r="DS656" s="223"/>
      <c r="DT656" s="223"/>
      <c r="DU656" s="200"/>
      <c r="DV656" s="200"/>
      <c r="DW656" s="522"/>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2"/>
      <c r="R657" s="200"/>
      <c r="S657" s="223"/>
      <c r="T657" s="223"/>
      <c r="U657" s="223"/>
      <c r="V657" s="223"/>
      <c r="W657" s="223"/>
      <c r="X657" s="223"/>
      <c r="Y657" s="200"/>
      <c r="Z657" s="200"/>
      <c r="AA657" s="522"/>
      <c r="AB657" s="200"/>
      <c r="AC657" s="223"/>
      <c r="AD657" s="223"/>
      <c r="AE657" s="223"/>
      <c r="AF657" s="223"/>
      <c r="AG657" s="223"/>
      <c r="AH657" s="223"/>
      <c r="AI657" s="200"/>
      <c r="AJ657" s="200"/>
      <c r="AK657" s="522"/>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2"/>
      <c r="BF657" s="200"/>
      <c r="BG657" s="223"/>
      <c r="BH657" s="223"/>
      <c r="BI657" s="223"/>
      <c r="BJ657" s="223"/>
      <c r="BK657" s="223"/>
      <c r="BL657" s="223"/>
      <c r="BM657" s="200"/>
      <c r="BN657" s="200"/>
      <c r="BO657" s="522"/>
      <c r="BP657" s="200"/>
      <c r="BQ657" s="223"/>
      <c r="BR657" s="223"/>
      <c r="BS657" s="223"/>
      <c r="BT657" s="223"/>
      <c r="BU657" s="223"/>
      <c r="BV657" s="223"/>
      <c r="BW657" s="223"/>
      <c r="BX657" s="200"/>
      <c r="BY657" s="522"/>
      <c r="BZ657" s="200"/>
      <c r="CA657" s="223"/>
      <c r="CB657" s="223"/>
      <c r="CC657" s="223"/>
      <c r="CD657" s="223"/>
      <c r="CE657" s="223"/>
      <c r="CF657" s="223"/>
      <c r="CG657" s="200"/>
      <c r="CH657" s="200"/>
      <c r="CI657" s="522"/>
      <c r="CJ657" s="200"/>
      <c r="CK657" s="223"/>
      <c r="CL657" s="223"/>
      <c r="CM657" s="223"/>
      <c r="CN657" s="223"/>
      <c r="CO657" s="223"/>
      <c r="CP657" s="223"/>
      <c r="CQ657" s="200"/>
      <c r="CR657" s="200"/>
      <c r="CS657" s="522"/>
      <c r="CT657" s="200"/>
      <c r="CU657" s="223"/>
      <c r="CV657" s="223"/>
      <c r="CW657" s="223"/>
      <c r="CX657" s="223"/>
      <c r="CY657" s="223"/>
      <c r="CZ657" s="223"/>
      <c r="DA657" s="223"/>
      <c r="DB657" s="200"/>
      <c r="DC657" s="522"/>
      <c r="DD657" s="200"/>
      <c r="DE657" s="223"/>
      <c r="DF657" s="223"/>
      <c r="DG657" s="223"/>
      <c r="DH657" s="223"/>
      <c r="DI657" s="223"/>
      <c r="DJ657" s="223"/>
      <c r="DK657" s="200"/>
      <c r="DL657" s="200"/>
      <c r="DM657" s="522"/>
      <c r="DN657" s="200"/>
      <c r="DO657" s="223"/>
      <c r="DP657" s="223"/>
      <c r="DQ657" s="223"/>
      <c r="DR657" s="223"/>
      <c r="DS657" s="223"/>
      <c r="DT657" s="223"/>
      <c r="DU657" s="200"/>
      <c r="DV657" s="200"/>
      <c r="DW657" s="522"/>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2"/>
      <c r="R658" s="200"/>
      <c r="S658" s="223"/>
      <c r="T658" s="223"/>
      <c r="U658" s="223"/>
      <c r="V658" s="223"/>
      <c r="W658" s="223"/>
      <c r="X658" s="223"/>
      <c r="Y658" s="200"/>
      <c r="Z658" s="200"/>
      <c r="AA658" s="522"/>
      <c r="AB658" s="200"/>
      <c r="AC658" s="223"/>
      <c r="AD658" s="223"/>
      <c r="AE658" s="223"/>
      <c r="AF658" s="223"/>
      <c r="AG658" s="223"/>
      <c r="AH658" s="223"/>
      <c r="AI658" s="200"/>
      <c r="AJ658" s="200"/>
      <c r="AK658" s="522"/>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2"/>
      <c r="BF658" s="200"/>
      <c r="BG658" s="223"/>
      <c r="BH658" s="223"/>
      <c r="BI658" s="223"/>
      <c r="BJ658" s="223"/>
      <c r="BK658" s="223"/>
      <c r="BL658" s="223"/>
      <c r="BM658" s="200"/>
      <c r="BN658" s="200"/>
      <c r="BO658" s="522"/>
      <c r="BP658" s="200"/>
      <c r="BQ658" s="223"/>
      <c r="BR658" s="223"/>
      <c r="BS658" s="223"/>
      <c r="BT658" s="223"/>
      <c r="BU658" s="223"/>
      <c r="BV658" s="223"/>
      <c r="BW658" s="223"/>
      <c r="BX658" s="200"/>
      <c r="BY658" s="522"/>
      <c r="BZ658" s="200"/>
      <c r="CA658" s="223"/>
      <c r="CB658" s="223"/>
      <c r="CC658" s="223"/>
      <c r="CD658" s="223"/>
      <c r="CE658" s="223"/>
      <c r="CF658" s="223"/>
      <c r="CG658" s="200"/>
      <c r="CH658" s="200"/>
      <c r="CI658" s="522"/>
      <c r="CJ658" s="200"/>
      <c r="CK658" s="223"/>
      <c r="CL658" s="223"/>
      <c r="CM658" s="223"/>
      <c r="CN658" s="223"/>
      <c r="CO658" s="223"/>
      <c r="CP658" s="223"/>
      <c r="CQ658" s="200"/>
      <c r="CR658" s="200"/>
      <c r="CS658" s="522"/>
      <c r="CT658" s="200"/>
      <c r="CU658" s="223"/>
      <c r="CV658" s="223"/>
      <c r="CW658" s="223"/>
      <c r="CX658" s="223"/>
      <c r="CY658" s="223"/>
      <c r="CZ658" s="223"/>
      <c r="DA658" s="223"/>
      <c r="DB658" s="200"/>
      <c r="DC658" s="522"/>
      <c r="DD658" s="200"/>
      <c r="DE658" s="223"/>
      <c r="DF658" s="223"/>
      <c r="DG658" s="223"/>
      <c r="DH658" s="223"/>
      <c r="DI658" s="223"/>
      <c r="DJ658" s="223"/>
      <c r="DK658" s="200"/>
      <c r="DL658" s="200"/>
      <c r="DM658" s="522"/>
      <c r="DN658" s="200"/>
      <c r="DO658" s="223"/>
      <c r="DP658" s="223"/>
      <c r="DQ658" s="223"/>
      <c r="DR658" s="223"/>
      <c r="DS658" s="223"/>
      <c r="DT658" s="223"/>
      <c r="DU658" s="200"/>
      <c r="DV658" s="200"/>
      <c r="DW658" s="522"/>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2"/>
      <c r="R659" s="200"/>
      <c r="S659" s="223"/>
      <c r="T659" s="223"/>
      <c r="U659" s="223"/>
      <c r="V659" s="223"/>
      <c r="W659" s="223"/>
      <c r="X659" s="223"/>
      <c r="Y659" s="200"/>
      <c r="Z659" s="200"/>
      <c r="AA659" s="522"/>
      <c r="AB659" s="200"/>
      <c r="AC659" s="223"/>
      <c r="AD659" s="223"/>
      <c r="AE659" s="223"/>
      <c r="AF659" s="223"/>
      <c r="AG659" s="223"/>
      <c r="AH659" s="223"/>
      <c r="AI659" s="200"/>
      <c r="AJ659" s="200"/>
      <c r="AK659" s="522"/>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2"/>
      <c r="BF659" s="200"/>
      <c r="BG659" s="223"/>
      <c r="BH659" s="223"/>
      <c r="BI659" s="223"/>
      <c r="BJ659" s="223"/>
      <c r="BK659" s="223"/>
      <c r="BL659" s="223"/>
      <c r="BM659" s="200"/>
      <c r="BN659" s="200"/>
      <c r="BO659" s="522"/>
      <c r="BP659" s="200"/>
      <c r="BQ659" s="223"/>
      <c r="BR659" s="223"/>
      <c r="BS659" s="223"/>
      <c r="BT659" s="223"/>
      <c r="BU659" s="223"/>
      <c r="BV659" s="223"/>
      <c r="BW659" s="223"/>
      <c r="BX659" s="200"/>
      <c r="BY659" s="522"/>
      <c r="BZ659" s="200"/>
      <c r="CA659" s="223"/>
      <c r="CB659" s="223"/>
      <c r="CC659" s="223"/>
      <c r="CD659" s="223"/>
      <c r="CE659" s="223"/>
      <c r="CF659" s="223"/>
      <c r="CG659" s="200"/>
      <c r="CH659" s="200"/>
      <c r="CI659" s="522"/>
      <c r="CJ659" s="200"/>
      <c r="CK659" s="223"/>
      <c r="CL659" s="223"/>
      <c r="CM659" s="223"/>
      <c r="CN659" s="223"/>
      <c r="CO659" s="223"/>
      <c r="CP659" s="223"/>
      <c r="CQ659" s="200"/>
      <c r="CR659" s="200"/>
      <c r="CS659" s="522"/>
      <c r="CT659" s="200"/>
      <c r="CU659" s="223"/>
      <c r="CV659" s="223"/>
      <c r="CW659" s="223"/>
      <c r="CX659" s="223"/>
      <c r="CY659" s="223"/>
      <c r="CZ659" s="223"/>
      <c r="DA659" s="223"/>
      <c r="DB659" s="200"/>
      <c r="DC659" s="522"/>
      <c r="DD659" s="200"/>
      <c r="DE659" s="223"/>
      <c r="DF659" s="223"/>
      <c r="DG659" s="223"/>
      <c r="DH659" s="223"/>
      <c r="DI659" s="223"/>
      <c r="DJ659" s="223"/>
      <c r="DK659" s="200"/>
      <c r="DL659" s="200"/>
      <c r="DM659" s="522"/>
      <c r="DN659" s="200"/>
      <c r="DO659" s="223"/>
      <c r="DP659" s="223"/>
      <c r="DQ659" s="223"/>
      <c r="DR659" s="223"/>
      <c r="DS659" s="223"/>
      <c r="DT659" s="223"/>
      <c r="DU659" s="200"/>
      <c r="DV659" s="200"/>
      <c r="DW659" s="522"/>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2"/>
      <c r="R660" s="200"/>
      <c r="S660" s="223"/>
      <c r="T660" s="223"/>
      <c r="U660" s="223"/>
      <c r="V660" s="223"/>
      <c r="W660" s="223"/>
      <c r="X660" s="223"/>
      <c r="Y660" s="200"/>
      <c r="Z660" s="200"/>
      <c r="AA660" s="522"/>
      <c r="AB660" s="200"/>
      <c r="AC660" s="223"/>
      <c r="AD660" s="223"/>
      <c r="AE660" s="223"/>
      <c r="AF660" s="223"/>
      <c r="AG660" s="223"/>
      <c r="AH660" s="223"/>
      <c r="AI660" s="200"/>
      <c r="AJ660" s="200"/>
      <c r="AK660" s="522"/>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2"/>
      <c r="BF660" s="200"/>
      <c r="BG660" s="223"/>
      <c r="BH660" s="223"/>
      <c r="BI660" s="223"/>
      <c r="BJ660" s="223"/>
      <c r="BK660" s="223"/>
      <c r="BL660" s="223"/>
      <c r="BM660" s="200"/>
      <c r="BN660" s="200"/>
      <c r="BO660" s="522"/>
      <c r="BP660" s="200"/>
      <c r="BQ660" s="223"/>
      <c r="BR660" s="223"/>
      <c r="BS660" s="223"/>
      <c r="BT660" s="223"/>
      <c r="BU660" s="223"/>
      <c r="BV660" s="223"/>
      <c r="BW660" s="223"/>
      <c r="BX660" s="200"/>
      <c r="BY660" s="522"/>
      <c r="BZ660" s="200"/>
      <c r="CA660" s="223"/>
      <c r="CB660" s="223"/>
      <c r="CC660" s="223"/>
      <c r="CD660" s="223"/>
      <c r="CE660" s="223"/>
      <c r="CF660" s="223"/>
      <c r="CG660" s="200"/>
      <c r="CH660" s="200"/>
      <c r="CI660" s="522"/>
      <c r="CJ660" s="200"/>
      <c r="CK660" s="223"/>
      <c r="CL660" s="223"/>
      <c r="CM660" s="223"/>
      <c r="CN660" s="223"/>
      <c r="CO660" s="223"/>
      <c r="CP660" s="223"/>
      <c r="CQ660" s="200"/>
      <c r="CR660" s="200"/>
      <c r="CS660" s="522"/>
      <c r="CT660" s="200"/>
      <c r="CU660" s="223"/>
      <c r="CV660" s="223"/>
      <c r="CW660" s="223"/>
      <c r="CX660" s="223"/>
      <c r="CY660" s="223"/>
      <c r="CZ660" s="223"/>
      <c r="DA660" s="223"/>
      <c r="DB660" s="200"/>
      <c r="DC660" s="522"/>
      <c r="DD660" s="200"/>
      <c r="DE660" s="223"/>
      <c r="DF660" s="223"/>
      <c r="DG660" s="223"/>
      <c r="DH660" s="223"/>
      <c r="DI660" s="223"/>
      <c r="DJ660" s="223"/>
      <c r="DK660" s="200"/>
      <c r="DL660" s="200"/>
      <c r="DM660" s="522"/>
      <c r="DN660" s="200"/>
      <c r="DO660" s="223"/>
      <c r="DP660" s="223"/>
      <c r="DQ660" s="223"/>
      <c r="DR660" s="223"/>
      <c r="DS660" s="223"/>
      <c r="DT660" s="223"/>
      <c r="DU660" s="200"/>
      <c r="DV660" s="200"/>
      <c r="DW660" s="522"/>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2"/>
      <c r="R661" s="200"/>
      <c r="S661" s="223"/>
      <c r="T661" s="223"/>
      <c r="U661" s="223"/>
      <c r="V661" s="223"/>
      <c r="W661" s="223"/>
      <c r="X661" s="223"/>
      <c r="Y661" s="200"/>
      <c r="Z661" s="200"/>
      <c r="AA661" s="522"/>
      <c r="AB661" s="200"/>
      <c r="AC661" s="223"/>
      <c r="AD661" s="223"/>
      <c r="AE661" s="223"/>
      <c r="AF661" s="223"/>
      <c r="AG661" s="223"/>
      <c r="AH661" s="223"/>
      <c r="AI661" s="200"/>
      <c r="AJ661" s="200"/>
      <c r="AK661" s="522"/>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2"/>
      <c r="BF661" s="200"/>
      <c r="BG661" s="223"/>
      <c r="BH661" s="223"/>
      <c r="BI661" s="223"/>
      <c r="BJ661" s="223"/>
      <c r="BK661" s="223"/>
      <c r="BL661" s="223"/>
      <c r="BM661" s="200"/>
      <c r="BN661" s="200"/>
      <c r="BO661" s="522"/>
      <c r="BP661" s="200"/>
      <c r="BQ661" s="223"/>
      <c r="BR661" s="223"/>
      <c r="BS661" s="223"/>
      <c r="BT661" s="223"/>
      <c r="BU661" s="223"/>
      <c r="BV661" s="223"/>
      <c r="BW661" s="223"/>
      <c r="BX661" s="200"/>
      <c r="BY661" s="522"/>
      <c r="BZ661" s="200"/>
      <c r="CA661" s="223"/>
      <c r="CB661" s="223"/>
      <c r="CC661" s="223"/>
      <c r="CD661" s="223"/>
      <c r="CE661" s="223"/>
      <c r="CF661" s="223"/>
      <c r="CG661" s="200"/>
      <c r="CH661" s="200"/>
      <c r="CI661" s="522"/>
      <c r="CJ661" s="200"/>
      <c r="CK661" s="223"/>
      <c r="CL661" s="223"/>
      <c r="CM661" s="223"/>
      <c r="CN661" s="223"/>
      <c r="CO661" s="223"/>
      <c r="CP661" s="223"/>
      <c r="CQ661" s="200"/>
      <c r="CR661" s="200"/>
      <c r="CS661" s="522"/>
      <c r="CT661" s="200"/>
      <c r="CU661" s="223"/>
      <c r="CV661" s="223"/>
      <c r="CW661" s="223"/>
      <c r="CX661" s="223"/>
      <c r="CY661" s="223"/>
      <c r="CZ661" s="223"/>
      <c r="DA661" s="223"/>
      <c r="DB661" s="200"/>
      <c r="DC661" s="522"/>
      <c r="DD661" s="200"/>
      <c r="DE661" s="223"/>
      <c r="DF661" s="223"/>
      <c r="DG661" s="223"/>
      <c r="DH661" s="223"/>
      <c r="DI661" s="223"/>
      <c r="DJ661" s="223"/>
      <c r="DK661" s="200"/>
      <c r="DL661" s="200"/>
      <c r="DM661" s="522"/>
      <c r="DN661" s="200"/>
      <c r="DO661" s="223"/>
      <c r="DP661" s="223"/>
      <c r="DQ661" s="223"/>
      <c r="DR661" s="223"/>
      <c r="DS661" s="223"/>
      <c r="DT661" s="223"/>
      <c r="DU661" s="200"/>
      <c r="DV661" s="200"/>
      <c r="DW661" s="522"/>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2"/>
      <c r="R662" s="200"/>
      <c r="S662" s="223"/>
      <c r="T662" s="223"/>
      <c r="U662" s="223"/>
      <c r="V662" s="223"/>
      <c r="W662" s="223"/>
      <c r="X662" s="223"/>
      <c r="Y662" s="200"/>
      <c r="Z662" s="200"/>
      <c r="AA662" s="522"/>
      <c r="AB662" s="200"/>
      <c r="AC662" s="223"/>
      <c r="AD662" s="223"/>
      <c r="AE662" s="223"/>
      <c r="AF662" s="223"/>
      <c r="AG662" s="223"/>
      <c r="AH662" s="223"/>
      <c r="AI662" s="200"/>
      <c r="AJ662" s="200"/>
      <c r="AK662" s="522"/>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2"/>
      <c r="BF662" s="200"/>
      <c r="BG662" s="223"/>
      <c r="BH662" s="223"/>
      <c r="BI662" s="223"/>
      <c r="BJ662" s="223"/>
      <c r="BK662" s="223"/>
      <c r="BL662" s="223"/>
      <c r="BM662" s="200"/>
      <c r="BN662" s="200"/>
      <c r="BO662" s="522"/>
      <c r="BP662" s="200"/>
      <c r="BQ662" s="223"/>
      <c r="BR662" s="223"/>
      <c r="BS662" s="223"/>
      <c r="BT662" s="223"/>
      <c r="BU662" s="223"/>
      <c r="BV662" s="223"/>
      <c r="BW662" s="223"/>
      <c r="BX662" s="200"/>
      <c r="BY662" s="522"/>
      <c r="BZ662" s="200"/>
      <c r="CA662" s="223"/>
      <c r="CB662" s="223"/>
      <c r="CC662" s="223"/>
      <c r="CD662" s="223"/>
      <c r="CE662" s="223"/>
      <c r="CF662" s="223"/>
      <c r="CG662" s="200"/>
      <c r="CH662" s="200"/>
      <c r="CI662" s="522"/>
      <c r="CJ662" s="200"/>
      <c r="CK662" s="223"/>
      <c r="CL662" s="223"/>
      <c r="CM662" s="223"/>
      <c r="CN662" s="223"/>
      <c r="CO662" s="223"/>
      <c r="CP662" s="223"/>
      <c r="CQ662" s="200"/>
      <c r="CR662" s="200"/>
      <c r="CS662" s="522"/>
      <c r="CT662" s="200"/>
      <c r="CU662" s="223"/>
      <c r="CV662" s="223"/>
      <c r="CW662" s="223"/>
      <c r="CX662" s="223"/>
      <c r="CY662" s="223"/>
      <c r="CZ662" s="223"/>
      <c r="DA662" s="223"/>
      <c r="DB662" s="200"/>
      <c r="DC662" s="522"/>
      <c r="DD662" s="200"/>
      <c r="DE662" s="223"/>
      <c r="DF662" s="223"/>
      <c r="DG662" s="223"/>
      <c r="DH662" s="223"/>
      <c r="DI662" s="223"/>
      <c r="DJ662" s="223"/>
      <c r="DK662" s="200"/>
      <c r="DL662" s="200"/>
      <c r="DM662" s="522"/>
      <c r="DN662" s="200"/>
      <c r="DO662" s="223"/>
      <c r="DP662" s="223"/>
      <c r="DQ662" s="223"/>
      <c r="DR662" s="223"/>
      <c r="DS662" s="223"/>
      <c r="DT662" s="223"/>
      <c r="DU662" s="200"/>
      <c r="DV662" s="200"/>
      <c r="DW662" s="522"/>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2"/>
      <c r="R663" s="200"/>
      <c r="S663" s="223"/>
      <c r="T663" s="223"/>
      <c r="U663" s="223"/>
      <c r="V663" s="223"/>
      <c r="W663" s="223"/>
      <c r="X663" s="223"/>
      <c r="Y663" s="200"/>
      <c r="Z663" s="200"/>
      <c r="AA663" s="522"/>
      <c r="AB663" s="200"/>
      <c r="AC663" s="223"/>
      <c r="AD663" s="223"/>
      <c r="AE663" s="223"/>
      <c r="AF663" s="223"/>
      <c r="AG663" s="223"/>
      <c r="AH663" s="223"/>
      <c r="AI663" s="200"/>
      <c r="AJ663" s="200"/>
      <c r="AK663" s="522"/>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2"/>
      <c r="BF663" s="200"/>
      <c r="BG663" s="223"/>
      <c r="BH663" s="223"/>
      <c r="BI663" s="223"/>
      <c r="BJ663" s="223"/>
      <c r="BK663" s="223"/>
      <c r="BL663" s="223"/>
      <c r="BM663" s="200"/>
      <c r="BN663" s="200"/>
      <c r="BO663" s="522"/>
      <c r="BP663" s="200"/>
      <c r="BQ663" s="223"/>
      <c r="BR663" s="223"/>
      <c r="BS663" s="223"/>
      <c r="BT663" s="223"/>
      <c r="BU663" s="223"/>
      <c r="BV663" s="223"/>
      <c r="BW663" s="223"/>
      <c r="BX663" s="200"/>
      <c r="BY663" s="522"/>
      <c r="BZ663" s="200"/>
      <c r="CA663" s="223"/>
      <c r="CB663" s="223"/>
      <c r="CC663" s="223"/>
      <c r="CD663" s="223"/>
      <c r="CE663" s="223"/>
      <c r="CF663" s="223"/>
      <c r="CG663" s="200"/>
      <c r="CH663" s="200"/>
      <c r="CI663" s="522"/>
      <c r="CJ663" s="200"/>
      <c r="CK663" s="223"/>
      <c r="CL663" s="223"/>
      <c r="CM663" s="223"/>
      <c r="CN663" s="223"/>
      <c r="CO663" s="223"/>
      <c r="CP663" s="223"/>
      <c r="CQ663" s="200"/>
      <c r="CR663" s="200"/>
      <c r="CS663" s="522"/>
      <c r="CT663" s="200"/>
      <c r="CU663" s="223"/>
      <c r="CV663" s="223"/>
      <c r="CW663" s="223"/>
      <c r="CX663" s="223"/>
      <c r="CY663" s="223"/>
      <c r="CZ663" s="223"/>
      <c r="DA663" s="223"/>
      <c r="DB663" s="200"/>
      <c r="DC663" s="522"/>
      <c r="DD663" s="200"/>
      <c r="DE663" s="223"/>
      <c r="DF663" s="223"/>
      <c r="DG663" s="223"/>
      <c r="DH663" s="223"/>
      <c r="DI663" s="223"/>
      <c r="DJ663" s="223"/>
      <c r="DK663" s="200"/>
      <c r="DL663" s="200"/>
      <c r="DM663" s="522"/>
      <c r="DN663" s="200"/>
      <c r="DO663" s="223"/>
      <c r="DP663" s="223"/>
      <c r="DQ663" s="223"/>
      <c r="DR663" s="223"/>
      <c r="DS663" s="223"/>
      <c r="DT663" s="223"/>
      <c r="DU663" s="200"/>
      <c r="DV663" s="200"/>
      <c r="DW663" s="522"/>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2"/>
      <c r="R664" s="200"/>
      <c r="S664" s="223"/>
      <c r="T664" s="223"/>
      <c r="U664" s="223"/>
      <c r="V664" s="223"/>
      <c r="W664" s="223"/>
      <c r="X664" s="223"/>
      <c r="Y664" s="200"/>
      <c r="Z664" s="200"/>
      <c r="AA664" s="522"/>
      <c r="AB664" s="200"/>
      <c r="AC664" s="223"/>
      <c r="AD664" s="223"/>
      <c r="AE664" s="223"/>
      <c r="AF664" s="223"/>
      <c r="AG664" s="223"/>
      <c r="AH664" s="223"/>
      <c r="AI664" s="200"/>
      <c r="AJ664" s="200"/>
      <c r="AK664" s="522"/>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2"/>
      <c r="BF664" s="200"/>
      <c r="BG664" s="223"/>
      <c r="BH664" s="223"/>
      <c r="BI664" s="223"/>
      <c r="BJ664" s="223"/>
      <c r="BK664" s="223"/>
      <c r="BL664" s="223"/>
      <c r="BM664" s="200"/>
      <c r="BN664" s="200"/>
      <c r="BO664" s="522"/>
      <c r="BP664" s="200"/>
      <c r="BQ664" s="223"/>
      <c r="BR664" s="223"/>
      <c r="BS664" s="223"/>
      <c r="BT664" s="223"/>
      <c r="BU664" s="223"/>
      <c r="BV664" s="223"/>
      <c r="BW664" s="223"/>
      <c r="BX664" s="200"/>
      <c r="BY664" s="522"/>
      <c r="BZ664" s="200"/>
      <c r="CA664" s="223"/>
      <c r="CB664" s="223"/>
      <c r="CC664" s="223"/>
      <c r="CD664" s="223"/>
      <c r="CE664" s="223"/>
      <c r="CF664" s="223"/>
      <c r="CG664" s="200"/>
      <c r="CH664" s="200"/>
      <c r="CI664" s="522"/>
      <c r="CJ664" s="200"/>
      <c r="CK664" s="223"/>
      <c r="CL664" s="223"/>
      <c r="CM664" s="223"/>
      <c r="CN664" s="223"/>
      <c r="CO664" s="223"/>
      <c r="CP664" s="223"/>
      <c r="CQ664" s="200"/>
      <c r="CR664" s="200"/>
      <c r="CS664" s="522"/>
      <c r="CT664" s="200"/>
      <c r="CU664" s="223"/>
      <c r="CV664" s="223"/>
      <c r="CW664" s="223"/>
      <c r="CX664" s="223"/>
      <c r="CY664" s="223"/>
      <c r="CZ664" s="223"/>
      <c r="DA664" s="223"/>
      <c r="DB664" s="200"/>
      <c r="DC664" s="522"/>
      <c r="DD664" s="200"/>
      <c r="DE664" s="223"/>
      <c r="DF664" s="223"/>
      <c r="DG664" s="223"/>
      <c r="DH664" s="223"/>
      <c r="DI664" s="223"/>
      <c r="DJ664" s="223"/>
      <c r="DK664" s="200"/>
      <c r="DL664" s="200"/>
      <c r="DM664" s="522"/>
      <c r="DN664" s="200"/>
      <c r="DO664" s="223"/>
      <c r="DP664" s="223"/>
      <c r="DQ664" s="223"/>
      <c r="DR664" s="223"/>
      <c r="DS664" s="223"/>
      <c r="DT664" s="223"/>
      <c r="DU664" s="200"/>
      <c r="DV664" s="200"/>
      <c r="DW664" s="522"/>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2"/>
      <c r="R665" s="200"/>
      <c r="S665" s="223"/>
      <c r="T665" s="223"/>
      <c r="U665" s="223"/>
      <c r="V665" s="223"/>
      <c r="W665" s="223"/>
      <c r="X665" s="223"/>
      <c r="Y665" s="200"/>
      <c r="Z665" s="200"/>
      <c r="AA665" s="522"/>
      <c r="AB665" s="200"/>
      <c r="AC665" s="223"/>
      <c r="AD665" s="223"/>
      <c r="AE665" s="223"/>
      <c r="AF665" s="223"/>
      <c r="AG665" s="223"/>
      <c r="AH665" s="223"/>
      <c r="AI665" s="200"/>
      <c r="AJ665" s="200"/>
      <c r="AK665" s="522"/>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2"/>
      <c r="BF665" s="200"/>
      <c r="BG665" s="223"/>
      <c r="BH665" s="223"/>
      <c r="BI665" s="223"/>
      <c r="BJ665" s="223"/>
      <c r="BK665" s="223"/>
      <c r="BL665" s="223"/>
      <c r="BM665" s="200"/>
      <c r="BN665" s="200"/>
      <c r="BO665" s="522"/>
      <c r="BP665" s="200"/>
      <c r="BQ665" s="223"/>
      <c r="BR665" s="223"/>
      <c r="BS665" s="223"/>
      <c r="BT665" s="223"/>
      <c r="BU665" s="223"/>
      <c r="BV665" s="223"/>
      <c r="BW665" s="223"/>
      <c r="BX665" s="200"/>
      <c r="BY665" s="522"/>
      <c r="BZ665" s="200"/>
      <c r="CA665" s="223"/>
      <c r="CB665" s="223"/>
      <c r="CC665" s="223"/>
      <c r="CD665" s="223"/>
      <c r="CE665" s="223"/>
      <c r="CF665" s="223"/>
      <c r="CG665" s="200"/>
      <c r="CH665" s="200"/>
      <c r="CI665" s="522"/>
      <c r="CJ665" s="200"/>
      <c r="CK665" s="223"/>
      <c r="CL665" s="223"/>
      <c r="CM665" s="223"/>
      <c r="CN665" s="223"/>
      <c r="CO665" s="223"/>
      <c r="CP665" s="223"/>
      <c r="CQ665" s="200"/>
      <c r="CR665" s="200"/>
      <c r="CS665" s="522"/>
      <c r="CT665" s="200"/>
      <c r="CU665" s="223"/>
      <c r="CV665" s="223"/>
      <c r="CW665" s="223"/>
      <c r="CX665" s="223"/>
      <c r="CY665" s="223"/>
      <c r="CZ665" s="223"/>
      <c r="DA665" s="223"/>
      <c r="DB665" s="200"/>
      <c r="DC665" s="522"/>
      <c r="DD665" s="200"/>
      <c r="DE665" s="223"/>
      <c r="DF665" s="223"/>
      <c r="DG665" s="223"/>
      <c r="DH665" s="223"/>
      <c r="DI665" s="223"/>
      <c r="DJ665" s="223"/>
      <c r="DK665" s="200"/>
      <c r="DL665" s="200"/>
      <c r="DM665" s="522"/>
      <c r="DN665" s="200"/>
      <c r="DO665" s="223"/>
      <c r="DP665" s="223"/>
      <c r="DQ665" s="223"/>
      <c r="DR665" s="223"/>
      <c r="DS665" s="223"/>
      <c r="DT665" s="223"/>
      <c r="DU665" s="200"/>
      <c r="DV665" s="200"/>
      <c r="DW665" s="522"/>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2"/>
      <c r="R666" s="200"/>
      <c r="S666" s="223"/>
      <c r="T666" s="223"/>
      <c r="U666" s="223"/>
      <c r="V666" s="223"/>
      <c r="W666" s="223"/>
      <c r="X666" s="223"/>
      <c r="Y666" s="200"/>
      <c r="Z666" s="200"/>
      <c r="AA666" s="522"/>
      <c r="AB666" s="200"/>
      <c r="AC666" s="223"/>
      <c r="AD666" s="223"/>
      <c r="AE666" s="223"/>
      <c r="AF666" s="223"/>
      <c r="AG666" s="223"/>
      <c r="AH666" s="223"/>
      <c r="AI666" s="200"/>
      <c r="AJ666" s="200"/>
      <c r="AK666" s="522"/>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2"/>
      <c r="BF666" s="200"/>
      <c r="BG666" s="223"/>
      <c r="BH666" s="223"/>
      <c r="BI666" s="223"/>
      <c r="BJ666" s="223"/>
      <c r="BK666" s="223"/>
      <c r="BL666" s="223"/>
      <c r="BM666" s="200"/>
      <c r="BN666" s="200"/>
      <c r="BO666" s="522"/>
      <c r="BP666" s="200"/>
      <c r="BQ666" s="223"/>
      <c r="BR666" s="223"/>
      <c r="BS666" s="223"/>
      <c r="BT666" s="223"/>
      <c r="BU666" s="223"/>
      <c r="BV666" s="223"/>
      <c r="BW666" s="223"/>
      <c r="BX666" s="200"/>
      <c r="BY666" s="522"/>
      <c r="BZ666" s="200"/>
      <c r="CA666" s="223"/>
      <c r="CB666" s="223"/>
      <c r="CC666" s="223"/>
      <c r="CD666" s="223"/>
      <c r="CE666" s="223"/>
      <c r="CF666" s="223"/>
      <c r="CG666" s="200"/>
      <c r="CH666" s="200"/>
      <c r="CI666" s="522"/>
      <c r="CJ666" s="200"/>
      <c r="CK666" s="223"/>
      <c r="CL666" s="223"/>
      <c r="CM666" s="223"/>
      <c r="CN666" s="223"/>
      <c r="CO666" s="223"/>
      <c r="CP666" s="223"/>
      <c r="CQ666" s="200"/>
      <c r="CR666" s="200"/>
      <c r="CS666" s="522"/>
      <c r="CT666" s="200"/>
      <c r="CU666" s="223"/>
      <c r="CV666" s="223"/>
      <c r="CW666" s="223"/>
      <c r="CX666" s="223"/>
      <c r="CY666" s="223"/>
      <c r="CZ666" s="223"/>
      <c r="DA666" s="223"/>
      <c r="DB666" s="200"/>
      <c r="DC666" s="522"/>
      <c r="DD666" s="200"/>
      <c r="DE666" s="223"/>
      <c r="DF666" s="223"/>
      <c r="DG666" s="223"/>
      <c r="DH666" s="223"/>
      <c r="DI666" s="223"/>
      <c r="DJ666" s="223"/>
      <c r="DK666" s="200"/>
      <c r="DL666" s="200"/>
      <c r="DM666" s="522"/>
      <c r="DN666" s="200"/>
      <c r="DO666" s="223"/>
      <c r="DP666" s="223"/>
      <c r="DQ666" s="223"/>
      <c r="DR666" s="223"/>
      <c r="DS666" s="223"/>
      <c r="DT666" s="223"/>
      <c r="DU666" s="200"/>
      <c r="DV666" s="200"/>
      <c r="DW666" s="522"/>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2"/>
      <c r="R667" s="200"/>
      <c r="S667" s="223"/>
      <c r="T667" s="223"/>
      <c r="U667" s="223"/>
      <c r="V667" s="223"/>
      <c r="W667" s="223"/>
      <c r="X667" s="223"/>
      <c r="Y667" s="200"/>
      <c r="Z667" s="200"/>
      <c r="AA667" s="522"/>
      <c r="AB667" s="200"/>
      <c r="AC667" s="223"/>
      <c r="AD667" s="223"/>
      <c r="AE667" s="223"/>
      <c r="AF667" s="223"/>
      <c r="AG667" s="223"/>
      <c r="AH667" s="223"/>
      <c r="AI667" s="200"/>
      <c r="AJ667" s="200"/>
      <c r="AK667" s="522"/>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2"/>
      <c r="BF667" s="200"/>
      <c r="BG667" s="223"/>
      <c r="BH667" s="223"/>
      <c r="BI667" s="223"/>
      <c r="BJ667" s="223"/>
      <c r="BK667" s="223"/>
      <c r="BL667" s="223"/>
      <c r="BM667" s="200"/>
      <c r="BN667" s="200"/>
      <c r="BO667" s="522"/>
      <c r="BP667" s="200"/>
      <c r="BQ667" s="223"/>
      <c r="BR667" s="223"/>
      <c r="BS667" s="223"/>
      <c r="BT667" s="223"/>
      <c r="BU667" s="223"/>
      <c r="BV667" s="223"/>
      <c r="BW667" s="223"/>
      <c r="BX667" s="200"/>
      <c r="BY667" s="522"/>
      <c r="BZ667" s="200"/>
      <c r="CA667" s="223"/>
      <c r="CB667" s="223"/>
      <c r="CC667" s="223"/>
      <c r="CD667" s="223"/>
      <c r="CE667" s="223"/>
      <c r="CF667" s="223"/>
      <c r="CG667" s="200"/>
      <c r="CH667" s="200"/>
      <c r="CI667" s="522"/>
      <c r="CJ667" s="200"/>
      <c r="CK667" s="223"/>
      <c r="CL667" s="223"/>
      <c r="CM667" s="223"/>
      <c r="CN667" s="223"/>
      <c r="CO667" s="223"/>
      <c r="CP667" s="223"/>
      <c r="CQ667" s="200"/>
      <c r="CR667" s="200"/>
      <c r="CS667" s="522"/>
      <c r="CT667" s="200"/>
      <c r="CU667" s="223"/>
      <c r="CV667" s="223"/>
      <c r="CW667" s="223"/>
      <c r="CX667" s="223"/>
      <c r="CY667" s="223"/>
      <c r="CZ667" s="223"/>
      <c r="DA667" s="223"/>
      <c r="DB667" s="200"/>
      <c r="DC667" s="522"/>
      <c r="DD667" s="200"/>
      <c r="DE667" s="223"/>
      <c r="DF667" s="223"/>
      <c r="DG667" s="223"/>
      <c r="DH667" s="223"/>
      <c r="DI667" s="223"/>
      <c r="DJ667" s="223"/>
      <c r="DK667" s="200"/>
      <c r="DL667" s="200"/>
      <c r="DM667" s="522"/>
      <c r="DN667" s="200"/>
      <c r="DO667" s="223"/>
      <c r="DP667" s="223"/>
      <c r="DQ667" s="223"/>
      <c r="DR667" s="223"/>
      <c r="DS667" s="223"/>
      <c r="DT667" s="223"/>
      <c r="DU667" s="200"/>
      <c r="DV667" s="200"/>
      <c r="DW667" s="522"/>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2"/>
      <c r="R668" s="200"/>
      <c r="S668" s="223"/>
      <c r="T668" s="223"/>
      <c r="U668" s="223"/>
      <c r="V668" s="223"/>
      <c r="W668" s="223"/>
      <c r="X668" s="223"/>
      <c r="Y668" s="200"/>
      <c r="Z668" s="200"/>
      <c r="AA668" s="522"/>
      <c r="AB668" s="200"/>
      <c r="AC668" s="223"/>
      <c r="AD668" s="223"/>
      <c r="AE668" s="223"/>
      <c r="AF668" s="223"/>
      <c r="AG668" s="223"/>
      <c r="AH668" s="223"/>
      <c r="AI668" s="200"/>
      <c r="AJ668" s="200"/>
      <c r="AK668" s="522"/>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2"/>
      <c r="BF668" s="200"/>
      <c r="BG668" s="223"/>
      <c r="BH668" s="223"/>
      <c r="BI668" s="223"/>
      <c r="BJ668" s="223"/>
      <c r="BK668" s="223"/>
      <c r="BL668" s="223"/>
      <c r="BM668" s="200"/>
      <c r="BN668" s="200"/>
      <c r="BO668" s="522"/>
      <c r="BP668" s="200"/>
      <c r="BQ668" s="223"/>
      <c r="BR668" s="223"/>
      <c r="BS668" s="223"/>
      <c r="BT668" s="223"/>
      <c r="BU668" s="223"/>
      <c r="BV668" s="223"/>
      <c r="BW668" s="223"/>
      <c r="BX668" s="200"/>
      <c r="BY668" s="522"/>
      <c r="BZ668" s="200"/>
      <c r="CA668" s="223"/>
      <c r="CB668" s="223"/>
      <c r="CC668" s="223"/>
      <c r="CD668" s="223"/>
      <c r="CE668" s="223"/>
      <c r="CF668" s="223"/>
      <c r="CG668" s="200"/>
      <c r="CH668" s="200"/>
      <c r="CI668" s="522"/>
      <c r="CJ668" s="200"/>
      <c r="CK668" s="223"/>
      <c r="CL668" s="223"/>
      <c r="CM668" s="223"/>
      <c r="CN668" s="223"/>
      <c r="CO668" s="223"/>
      <c r="CP668" s="223"/>
      <c r="CQ668" s="200"/>
      <c r="CR668" s="200"/>
      <c r="CS668" s="522"/>
      <c r="CT668" s="200"/>
      <c r="CU668" s="223"/>
      <c r="CV668" s="223"/>
      <c r="CW668" s="223"/>
      <c r="CX668" s="223"/>
      <c r="CY668" s="223"/>
      <c r="CZ668" s="223"/>
      <c r="DA668" s="223"/>
      <c r="DB668" s="200"/>
      <c r="DC668" s="522"/>
      <c r="DD668" s="200"/>
      <c r="DE668" s="223"/>
      <c r="DF668" s="223"/>
      <c r="DG668" s="223"/>
      <c r="DH668" s="223"/>
      <c r="DI668" s="223"/>
      <c r="DJ668" s="223"/>
      <c r="DK668" s="200"/>
      <c r="DL668" s="200"/>
      <c r="DM668" s="522"/>
      <c r="DN668" s="200"/>
      <c r="DO668" s="223"/>
      <c r="DP668" s="223"/>
      <c r="DQ668" s="223"/>
      <c r="DR668" s="223"/>
      <c r="DS668" s="223"/>
      <c r="DT668" s="223"/>
      <c r="DU668" s="200"/>
      <c r="DV668" s="200"/>
      <c r="DW668" s="522"/>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2"/>
      <c r="R669" s="200"/>
      <c r="S669" s="223"/>
      <c r="T669" s="223"/>
      <c r="U669" s="223"/>
      <c r="V669" s="223"/>
      <c r="W669" s="223"/>
      <c r="X669" s="223"/>
      <c r="Y669" s="200"/>
      <c r="Z669" s="200"/>
      <c r="AA669" s="522"/>
      <c r="AB669" s="200"/>
      <c r="AC669" s="223"/>
      <c r="AD669" s="223"/>
      <c r="AE669" s="223"/>
      <c r="AF669" s="223"/>
      <c r="AG669" s="223"/>
      <c r="AH669" s="223"/>
      <c r="AI669" s="200"/>
      <c r="AJ669" s="200"/>
      <c r="AK669" s="522"/>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2"/>
      <c r="BF669" s="200"/>
      <c r="BG669" s="223"/>
      <c r="BH669" s="223"/>
      <c r="BI669" s="223"/>
      <c r="BJ669" s="223"/>
      <c r="BK669" s="223"/>
      <c r="BL669" s="223"/>
      <c r="BM669" s="200"/>
      <c r="BN669" s="200"/>
      <c r="BO669" s="522"/>
      <c r="BP669" s="200"/>
      <c r="BQ669" s="223"/>
      <c r="BR669" s="223"/>
      <c r="BS669" s="223"/>
      <c r="BT669" s="223"/>
      <c r="BU669" s="223"/>
      <c r="BV669" s="223"/>
      <c r="BW669" s="223"/>
      <c r="BX669" s="200"/>
      <c r="BY669" s="522"/>
      <c r="BZ669" s="200"/>
      <c r="CA669" s="223"/>
      <c r="CB669" s="223"/>
      <c r="CC669" s="223"/>
      <c r="CD669" s="223"/>
      <c r="CE669" s="223"/>
      <c r="CF669" s="223"/>
      <c r="CG669" s="200"/>
      <c r="CH669" s="200"/>
      <c r="CI669" s="522"/>
      <c r="CJ669" s="200"/>
      <c r="CK669" s="223"/>
      <c r="CL669" s="223"/>
      <c r="CM669" s="223"/>
      <c r="CN669" s="223"/>
      <c r="CO669" s="223"/>
      <c r="CP669" s="223"/>
      <c r="CQ669" s="200"/>
      <c r="CR669" s="200"/>
      <c r="CS669" s="522"/>
      <c r="CT669" s="200"/>
      <c r="CU669" s="223"/>
      <c r="CV669" s="223"/>
      <c r="CW669" s="223"/>
      <c r="CX669" s="223"/>
      <c r="CY669" s="223"/>
      <c r="CZ669" s="223"/>
      <c r="DA669" s="223"/>
      <c r="DB669" s="200"/>
      <c r="DC669" s="522"/>
      <c r="DD669" s="200"/>
      <c r="DE669" s="223"/>
      <c r="DF669" s="223"/>
      <c r="DG669" s="223"/>
      <c r="DH669" s="223"/>
      <c r="DI669" s="223"/>
      <c r="DJ669" s="223"/>
      <c r="DK669" s="200"/>
      <c r="DL669" s="200"/>
      <c r="DM669" s="522"/>
      <c r="DN669" s="200"/>
      <c r="DO669" s="223"/>
      <c r="DP669" s="223"/>
      <c r="DQ669" s="223"/>
      <c r="DR669" s="223"/>
      <c r="DS669" s="223"/>
      <c r="DT669" s="223"/>
      <c r="DU669" s="200"/>
      <c r="DV669" s="200"/>
      <c r="DW669" s="522"/>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2"/>
      <c r="R670" s="200"/>
      <c r="S670" s="223"/>
      <c r="T670" s="223"/>
      <c r="U670" s="223"/>
      <c r="V670" s="223"/>
      <c r="W670" s="223"/>
      <c r="X670" s="223"/>
      <c r="Y670" s="200"/>
      <c r="Z670" s="200"/>
      <c r="AA670" s="522"/>
      <c r="AB670" s="200"/>
      <c r="AC670" s="223"/>
      <c r="AD670" s="223"/>
      <c r="AE670" s="223"/>
      <c r="AF670" s="223"/>
      <c r="AG670" s="223"/>
      <c r="AH670" s="223"/>
      <c r="AI670" s="200"/>
      <c r="AJ670" s="200"/>
      <c r="AK670" s="522"/>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2"/>
      <c r="BF670" s="200"/>
      <c r="BG670" s="223"/>
      <c r="BH670" s="223"/>
      <c r="BI670" s="223"/>
      <c r="BJ670" s="223"/>
      <c r="BK670" s="223"/>
      <c r="BL670" s="223"/>
      <c r="BM670" s="200"/>
      <c r="BN670" s="200"/>
      <c r="BO670" s="522"/>
      <c r="BP670" s="200"/>
      <c r="BQ670" s="223"/>
      <c r="BR670" s="223"/>
      <c r="BS670" s="223"/>
      <c r="BT670" s="223"/>
      <c r="BU670" s="223"/>
      <c r="BV670" s="223"/>
      <c r="BW670" s="223"/>
      <c r="BX670" s="200"/>
      <c r="BY670" s="522"/>
      <c r="BZ670" s="200"/>
      <c r="CA670" s="223"/>
      <c r="CB670" s="223"/>
      <c r="CC670" s="223"/>
      <c r="CD670" s="223"/>
      <c r="CE670" s="223"/>
      <c r="CF670" s="223"/>
      <c r="CG670" s="200"/>
      <c r="CH670" s="200"/>
      <c r="CI670" s="522"/>
      <c r="CJ670" s="200"/>
      <c r="CK670" s="223"/>
      <c r="CL670" s="223"/>
      <c r="CM670" s="223"/>
      <c r="CN670" s="223"/>
      <c r="CO670" s="223"/>
      <c r="CP670" s="223"/>
      <c r="CQ670" s="200"/>
      <c r="CR670" s="200"/>
      <c r="CS670" s="522"/>
      <c r="CT670" s="200"/>
      <c r="CU670" s="223"/>
      <c r="CV670" s="223"/>
      <c r="CW670" s="223"/>
      <c r="CX670" s="223"/>
      <c r="CY670" s="223"/>
      <c r="CZ670" s="223"/>
      <c r="DA670" s="223"/>
      <c r="DB670" s="200"/>
      <c r="DC670" s="522"/>
      <c r="DD670" s="200"/>
      <c r="DE670" s="223"/>
      <c r="DF670" s="223"/>
      <c r="DG670" s="223"/>
      <c r="DH670" s="223"/>
      <c r="DI670" s="223"/>
      <c r="DJ670" s="223"/>
      <c r="DK670" s="200"/>
      <c r="DL670" s="200"/>
      <c r="DM670" s="522"/>
      <c r="DN670" s="200"/>
      <c r="DO670" s="223"/>
      <c r="DP670" s="223"/>
      <c r="DQ670" s="223"/>
      <c r="DR670" s="223"/>
      <c r="DS670" s="223"/>
      <c r="DT670" s="223"/>
      <c r="DU670" s="200"/>
      <c r="DV670" s="200"/>
      <c r="DW670" s="522"/>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2"/>
      <c r="R671" s="200"/>
      <c r="S671" s="223"/>
      <c r="T671" s="223"/>
      <c r="U671" s="223"/>
      <c r="V671" s="223"/>
      <c r="W671" s="223"/>
      <c r="X671" s="223"/>
      <c r="Y671" s="200"/>
      <c r="Z671" s="200"/>
      <c r="AA671" s="522"/>
      <c r="AB671" s="200"/>
      <c r="AC671" s="223"/>
      <c r="AD671" s="223"/>
      <c r="AE671" s="223"/>
      <c r="AF671" s="223"/>
      <c r="AG671" s="223"/>
      <c r="AH671" s="223"/>
      <c r="AI671" s="200"/>
      <c r="AJ671" s="200"/>
      <c r="AK671" s="522"/>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2"/>
      <c r="BF671" s="200"/>
      <c r="BG671" s="223"/>
      <c r="BH671" s="223"/>
      <c r="BI671" s="223"/>
      <c r="BJ671" s="223"/>
      <c r="BK671" s="223"/>
      <c r="BL671" s="223"/>
      <c r="BM671" s="200"/>
      <c r="BN671" s="200"/>
      <c r="BO671" s="522"/>
      <c r="BP671" s="200"/>
      <c r="BQ671" s="223"/>
      <c r="BR671" s="223"/>
      <c r="BS671" s="223"/>
      <c r="BT671" s="223"/>
      <c r="BU671" s="223"/>
      <c r="BV671" s="223"/>
      <c r="BW671" s="223"/>
      <c r="BX671" s="200"/>
      <c r="BY671" s="522"/>
      <c r="BZ671" s="200"/>
      <c r="CA671" s="223"/>
      <c r="CB671" s="223"/>
      <c r="CC671" s="223"/>
      <c r="CD671" s="223"/>
      <c r="CE671" s="223"/>
      <c r="CF671" s="223"/>
      <c r="CG671" s="200"/>
      <c r="CH671" s="200"/>
      <c r="CI671" s="522"/>
      <c r="CJ671" s="200"/>
      <c r="CK671" s="223"/>
      <c r="CL671" s="223"/>
      <c r="CM671" s="223"/>
      <c r="CN671" s="223"/>
      <c r="CO671" s="223"/>
      <c r="CP671" s="223"/>
      <c r="CQ671" s="200"/>
      <c r="CR671" s="200"/>
      <c r="CS671" s="522"/>
      <c r="CT671" s="200"/>
      <c r="CU671" s="223"/>
      <c r="CV671" s="223"/>
      <c r="CW671" s="223"/>
      <c r="CX671" s="223"/>
      <c r="CY671" s="223"/>
      <c r="CZ671" s="223"/>
      <c r="DA671" s="223"/>
      <c r="DB671" s="200"/>
      <c r="DC671" s="522"/>
      <c r="DD671" s="200"/>
      <c r="DE671" s="223"/>
      <c r="DF671" s="223"/>
      <c r="DG671" s="223"/>
      <c r="DH671" s="223"/>
      <c r="DI671" s="223"/>
      <c r="DJ671" s="223"/>
      <c r="DK671" s="200"/>
      <c r="DL671" s="200"/>
      <c r="DM671" s="522"/>
      <c r="DN671" s="200"/>
      <c r="DO671" s="223"/>
      <c r="DP671" s="223"/>
      <c r="DQ671" s="223"/>
      <c r="DR671" s="223"/>
      <c r="DS671" s="223"/>
      <c r="DT671" s="223"/>
      <c r="DU671" s="200"/>
      <c r="DV671" s="200"/>
      <c r="DW671" s="522"/>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2"/>
      <c r="R672" s="200"/>
      <c r="S672" s="223"/>
      <c r="T672" s="223"/>
      <c r="U672" s="223"/>
      <c r="V672" s="223"/>
      <c r="W672" s="223"/>
      <c r="X672" s="223"/>
      <c r="Y672" s="200"/>
      <c r="Z672" s="200"/>
      <c r="AA672" s="522"/>
      <c r="AB672" s="200"/>
      <c r="AC672" s="223"/>
      <c r="AD672" s="223"/>
      <c r="AE672" s="223"/>
      <c r="AF672" s="223"/>
      <c r="AG672" s="223"/>
      <c r="AH672" s="223"/>
      <c r="AI672" s="200"/>
      <c r="AJ672" s="200"/>
      <c r="AK672" s="522"/>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2"/>
      <c r="BF672" s="200"/>
      <c r="BG672" s="223"/>
      <c r="BH672" s="223"/>
      <c r="BI672" s="223"/>
      <c r="BJ672" s="223"/>
      <c r="BK672" s="223"/>
      <c r="BL672" s="223"/>
      <c r="BM672" s="200"/>
      <c r="BN672" s="200"/>
      <c r="BO672" s="522"/>
      <c r="BP672" s="200"/>
      <c r="BQ672" s="223"/>
      <c r="BR672" s="223"/>
      <c r="BS672" s="223"/>
      <c r="BT672" s="223"/>
      <c r="BU672" s="223"/>
      <c r="BV672" s="223"/>
      <c r="BW672" s="223"/>
      <c r="BX672" s="200"/>
      <c r="BY672" s="522"/>
      <c r="BZ672" s="200"/>
      <c r="CA672" s="223"/>
      <c r="CB672" s="223"/>
      <c r="CC672" s="223"/>
      <c r="CD672" s="223"/>
      <c r="CE672" s="223"/>
      <c r="CF672" s="223"/>
      <c r="CG672" s="200"/>
      <c r="CH672" s="200"/>
      <c r="CI672" s="522"/>
      <c r="CJ672" s="200"/>
      <c r="CK672" s="223"/>
      <c r="CL672" s="223"/>
      <c r="CM672" s="223"/>
      <c r="CN672" s="223"/>
      <c r="CO672" s="223"/>
      <c r="CP672" s="223"/>
      <c r="CQ672" s="200"/>
      <c r="CR672" s="200"/>
      <c r="CS672" s="522"/>
      <c r="CT672" s="200"/>
      <c r="CU672" s="223"/>
      <c r="CV672" s="223"/>
      <c r="CW672" s="223"/>
      <c r="CX672" s="223"/>
      <c r="CY672" s="223"/>
      <c r="CZ672" s="223"/>
      <c r="DA672" s="223"/>
      <c r="DB672" s="200"/>
      <c r="DC672" s="522"/>
      <c r="DD672" s="200"/>
      <c r="DE672" s="223"/>
      <c r="DF672" s="223"/>
      <c r="DG672" s="223"/>
      <c r="DH672" s="223"/>
      <c r="DI672" s="223"/>
      <c r="DJ672" s="223"/>
      <c r="DK672" s="200"/>
      <c r="DL672" s="200"/>
      <c r="DM672" s="522"/>
      <c r="DN672" s="200"/>
      <c r="DO672" s="223"/>
      <c r="DP672" s="223"/>
      <c r="DQ672" s="223"/>
      <c r="DR672" s="223"/>
      <c r="DS672" s="223"/>
      <c r="DT672" s="223"/>
      <c r="DU672" s="200"/>
      <c r="DV672" s="200"/>
      <c r="DW672" s="522"/>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2"/>
      <c r="R673" s="200"/>
      <c r="S673" s="223"/>
      <c r="T673" s="223"/>
      <c r="U673" s="223"/>
      <c r="V673" s="223"/>
      <c r="W673" s="223"/>
      <c r="X673" s="223"/>
      <c r="Y673" s="200"/>
      <c r="Z673" s="200"/>
      <c r="AA673" s="522"/>
      <c r="AB673" s="200"/>
      <c r="AC673" s="223"/>
      <c r="AD673" s="223"/>
      <c r="AE673" s="223"/>
      <c r="AF673" s="223"/>
      <c r="AG673" s="223"/>
      <c r="AH673" s="223"/>
      <c r="AI673" s="200"/>
      <c r="AJ673" s="200"/>
      <c r="AK673" s="522"/>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2"/>
      <c r="BF673" s="200"/>
      <c r="BG673" s="223"/>
      <c r="BH673" s="223"/>
      <c r="BI673" s="223"/>
      <c r="BJ673" s="223"/>
      <c r="BK673" s="223"/>
      <c r="BL673" s="223"/>
      <c r="BM673" s="200"/>
      <c r="BN673" s="200"/>
      <c r="BO673" s="522"/>
      <c r="BP673" s="200"/>
      <c r="BQ673" s="223"/>
      <c r="BR673" s="223"/>
      <c r="BS673" s="223"/>
      <c r="BT673" s="223"/>
      <c r="BU673" s="223"/>
      <c r="BV673" s="223"/>
      <c r="BW673" s="223"/>
      <c r="BX673" s="200"/>
      <c r="BY673" s="522"/>
      <c r="BZ673" s="200"/>
      <c r="CA673" s="223"/>
      <c r="CB673" s="223"/>
      <c r="CC673" s="223"/>
      <c r="CD673" s="223"/>
      <c r="CE673" s="223"/>
      <c r="CF673" s="223"/>
      <c r="CG673" s="200"/>
      <c r="CH673" s="200"/>
      <c r="CI673" s="522"/>
      <c r="CJ673" s="200"/>
      <c r="CK673" s="223"/>
      <c r="CL673" s="223"/>
      <c r="CM673" s="223"/>
      <c r="CN673" s="223"/>
      <c r="CO673" s="223"/>
      <c r="CP673" s="223"/>
      <c r="CQ673" s="200"/>
      <c r="CR673" s="200"/>
      <c r="CS673" s="522"/>
      <c r="CT673" s="200"/>
      <c r="CU673" s="223"/>
      <c r="CV673" s="223"/>
      <c r="CW673" s="223"/>
      <c r="CX673" s="223"/>
      <c r="CY673" s="223"/>
      <c r="CZ673" s="223"/>
      <c r="DA673" s="223"/>
      <c r="DB673" s="200"/>
      <c r="DC673" s="522"/>
      <c r="DD673" s="200"/>
      <c r="DE673" s="223"/>
      <c r="DF673" s="223"/>
      <c r="DG673" s="223"/>
      <c r="DH673" s="223"/>
      <c r="DI673" s="223"/>
      <c r="DJ673" s="223"/>
      <c r="DK673" s="200"/>
      <c r="DL673" s="200"/>
      <c r="DM673" s="522"/>
      <c r="DN673" s="200"/>
      <c r="DO673" s="223"/>
      <c r="DP673" s="223"/>
      <c r="DQ673" s="223"/>
      <c r="DR673" s="223"/>
      <c r="DS673" s="223"/>
      <c r="DT673" s="223"/>
      <c r="DU673" s="200"/>
      <c r="DV673" s="200"/>
      <c r="DW673" s="522"/>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2"/>
      <c r="R674" s="200"/>
      <c r="S674" s="223"/>
      <c r="T674" s="223"/>
      <c r="U674" s="223"/>
      <c r="V674" s="223"/>
      <c r="W674" s="223"/>
      <c r="X674" s="223"/>
      <c r="Y674" s="200"/>
      <c r="Z674" s="200"/>
      <c r="AA674" s="522"/>
      <c r="AB674" s="200"/>
      <c r="AC674" s="223"/>
      <c r="AD674" s="223"/>
      <c r="AE674" s="223"/>
      <c r="AF674" s="223"/>
      <c r="AG674" s="223"/>
      <c r="AH674" s="223"/>
      <c r="AI674" s="200"/>
      <c r="AJ674" s="200"/>
      <c r="AK674" s="522"/>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2"/>
      <c r="BF674" s="200"/>
      <c r="BG674" s="223"/>
      <c r="BH674" s="223"/>
      <c r="BI674" s="223"/>
      <c r="BJ674" s="223"/>
      <c r="BK674" s="223"/>
      <c r="BL674" s="223"/>
      <c r="BM674" s="200"/>
      <c r="BN674" s="200"/>
      <c r="BO674" s="522"/>
      <c r="BP674" s="200"/>
      <c r="BQ674" s="223"/>
      <c r="BR674" s="223"/>
      <c r="BS674" s="223"/>
      <c r="BT674" s="223"/>
      <c r="BU674" s="223"/>
      <c r="BV674" s="223"/>
      <c r="BW674" s="223"/>
      <c r="BX674" s="200"/>
      <c r="BY674" s="522"/>
      <c r="BZ674" s="200"/>
      <c r="CA674" s="223"/>
      <c r="CB674" s="223"/>
      <c r="CC674" s="223"/>
      <c r="CD674" s="223"/>
      <c r="CE674" s="223"/>
      <c r="CF674" s="223"/>
      <c r="CG674" s="200"/>
      <c r="CH674" s="200"/>
      <c r="CI674" s="522"/>
      <c r="CJ674" s="200"/>
      <c r="CK674" s="223"/>
      <c r="CL674" s="223"/>
      <c r="CM674" s="223"/>
      <c r="CN674" s="223"/>
      <c r="CO674" s="223"/>
      <c r="CP674" s="223"/>
      <c r="CQ674" s="200"/>
      <c r="CR674" s="200"/>
      <c r="CS674" s="522"/>
      <c r="CT674" s="200"/>
      <c r="CU674" s="223"/>
      <c r="CV674" s="223"/>
      <c r="CW674" s="223"/>
      <c r="CX674" s="223"/>
      <c r="CY674" s="223"/>
      <c r="CZ674" s="223"/>
      <c r="DA674" s="223"/>
      <c r="DB674" s="200"/>
      <c r="DC674" s="522"/>
      <c r="DD674" s="200"/>
      <c r="DE674" s="223"/>
      <c r="DF674" s="223"/>
      <c r="DG674" s="223"/>
      <c r="DH674" s="223"/>
      <c r="DI674" s="223"/>
      <c r="DJ674" s="223"/>
      <c r="DK674" s="200"/>
      <c r="DL674" s="200"/>
      <c r="DM674" s="522"/>
      <c r="DN674" s="200"/>
      <c r="DO674" s="223"/>
      <c r="DP674" s="223"/>
      <c r="DQ674" s="223"/>
      <c r="DR674" s="223"/>
      <c r="DS674" s="223"/>
      <c r="DT674" s="223"/>
      <c r="DU674" s="200"/>
      <c r="DV674" s="200"/>
      <c r="DW674" s="522"/>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2"/>
      <c r="R675" s="200"/>
      <c r="S675" s="223"/>
      <c r="T675" s="223"/>
      <c r="U675" s="223"/>
      <c r="V675" s="223"/>
      <c r="W675" s="223"/>
      <c r="X675" s="223"/>
      <c r="Y675" s="200"/>
      <c r="Z675" s="200"/>
      <c r="AA675" s="522"/>
      <c r="AB675" s="200"/>
      <c r="AC675" s="223"/>
      <c r="AD675" s="223"/>
      <c r="AE675" s="223"/>
      <c r="AF675" s="223"/>
      <c r="AG675" s="223"/>
      <c r="AH675" s="223"/>
      <c r="AI675" s="200"/>
      <c r="AJ675" s="200"/>
      <c r="AK675" s="522"/>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2"/>
      <c r="BF675" s="200"/>
      <c r="BG675" s="223"/>
      <c r="BH675" s="223"/>
      <c r="BI675" s="223"/>
      <c r="BJ675" s="223"/>
      <c r="BK675" s="223"/>
      <c r="BL675" s="223"/>
      <c r="BM675" s="200"/>
      <c r="BN675" s="200"/>
      <c r="BO675" s="522"/>
      <c r="BP675" s="200"/>
      <c r="BQ675" s="223"/>
      <c r="BR675" s="223"/>
      <c r="BS675" s="223"/>
      <c r="BT675" s="223"/>
      <c r="BU675" s="223"/>
      <c r="BV675" s="223"/>
      <c r="BW675" s="223"/>
      <c r="BX675" s="200"/>
      <c r="BY675" s="522"/>
      <c r="BZ675" s="200"/>
      <c r="CA675" s="223"/>
      <c r="CB675" s="223"/>
      <c r="CC675" s="223"/>
      <c r="CD675" s="223"/>
      <c r="CE675" s="223"/>
      <c r="CF675" s="223"/>
      <c r="CG675" s="200"/>
      <c r="CH675" s="200"/>
      <c r="CI675" s="522"/>
      <c r="CJ675" s="200"/>
      <c r="CK675" s="223"/>
      <c r="CL675" s="223"/>
      <c r="CM675" s="223"/>
      <c r="CN675" s="223"/>
      <c r="CO675" s="223"/>
      <c r="CP675" s="223"/>
      <c r="CQ675" s="200"/>
      <c r="CR675" s="200"/>
      <c r="CS675" s="522"/>
      <c r="CT675" s="200"/>
      <c r="CU675" s="223"/>
      <c r="CV675" s="223"/>
      <c r="CW675" s="223"/>
      <c r="CX675" s="223"/>
      <c r="CY675" s="223"/>
      <c r="CZ675" s="223"/>
      <c r="DA675" s="223"/>
      <c r="DB675" s="200"/>
      <c r="DC675" s="522"/>
      <c r="DD675" s="200"/>
      <c r="DE675" s="223"/>
      <c r="DF675" s="223"/>
      <c r="DG675" s="223"/>
      <c r="DH675" s="223"/>
      <c r="DI675" s="223"/>
      <c r="DJ675" s="223"/>
      <c r="DK675" s="200"/>
      <c r="DL675" s="200"/>
      <c r="DM675" s="522"/>
      <c r="DN675" s="200"/>
      <c r="DO675" s="223"/>
      <c r="DP675" s="223"/>
      <c r="DQ675" s="223"/>
      <c r="DR675" s="223"/>
      <c r="DS675" s="223"/>
      <c r="DT675" s="223"/>
      <c r="DU675" s="200"/>
      <c r="DV675" s="200"/>
      <c r="DW675" s="522"/>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2"/>
      <c r="R676" s="200"/>
      <c r="S676" s="223"/>
      <c r="T676" s="223"/>
      <c r="U676" s="223"/>
      <c r="V676" s="223"/>
      <c r="W676" s="223"/>
      <c r="X676" s="223"/>
      <c r="Y676" s="200"/>
      <c r="Z676" s="200"/>
      <c r="AA676" s="522"/>
      <c r="AB676" s="200"/>
      <c r="AC676" s="223"/>
      <c r="AD676" s="223"/>
      <c r="AE676" s="223"/>
      <c r="AF676" s="223"/>
      <c r="AG676" s="223"/>
      <c r="AH676" s="223"/>
      <c r="AI676" s="200"/>
      <c r="AJ676" s="200"/>
      <c r="AK676" s="522"/>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2"/>
      <c r="BF676" s="200"/>
      <c r="BG676" s="223"/>
      <c r="BH676" s="223"/>
      <c r="BI676" s="223"/>
      <c r="BJ676" s="223"/>
      <c r="BK676" s="223"/>
      <c r="BL676" s="223"/>
      <c r="BM676" s="200"/>
      <c r="BN676" s="200"/>
      <c r="BO676" s="522"/>
      <c r="BP676" s="200"/>
      <c r="BQ676" s="223"/>
      <c r="BR676" s="223"/>
      <c r="BS676" s="223"/>
      <c r="BT676" s="223"/>
      <c r="BU676" s="223"/>
      <c r="BV676" s="223"/>
      <c r="BW676" s="223"/>
      <c r="BX676" s="200"/>
      <c r="BY676" s="522"/>
      <c r="BZ676" s="200"/>
      <c r="CA676" s="223"/>
      <c r="CB676" s="223"/>
      <c r="CC676" s="223"/>
      <c r="CD676" s="223"/>
      <c r="CE676" s="223"/>
      <c r="CF676" s="223"/>
      <c r="CG676" s="200"/>
      <c r="CH676" s="200"/>
      <c r="CI676" s="522"/>
      <c r="CJ676" s="200"/>
      <c r="CK676" s="223"/>
      <c r="CL676" s="223"/>
      <c r="CM676" s="223"/>
      <c r="CN676" s="223"/>
      <c r="CO676" s="223"/>
      <c r="CP676" s="223"/>
      <c r="CQ676" s="200"/>
      <c r="CR676" s="200"/>
      <c r="CS676" s="522"/>
      <c r="CT676" s="200"/>
      <c r="CU676" s="223"/>
      <c r="CV676" s="223"/>
      <c r="CW676" s="223"/>
      <c r="CX676" s="223"/>
      <c r="CY676" s="223"/>
      <c r="CZ676" s="223"/>
      <c r="DA676" s="223"/>
      <c r="DB676" s="200"/>
      <c r="DC676" s="522"/>
      <c r="DD676" s="200"/>
      <c r="DE676" s="223"/>
      <c r="DF676" s="223"/>
      <c r="DG676" s="223"/>
      <c r="DH676" s="223"/>
      <c r="DI676" s="223"/>
      <c r="DJ676" s="223"/>
      <c r="DK676" s="200"/>
      <c r="DL676" s="200"/>
      <c r="DM676" s="522"/>
      <c r="DN676" s="200"/>
      <c r="DO676" s="223"/>
      <c r="DP676" s="223"/>
      <c r="DQ676" s="223"/>
      <c r="DR676" s="223"/>
      <c r="DS676" s="223"/>
      <c r="DT676" s="223"/>
      <c r="DU676" s="200"/>
      <c r="DV676" s="200"/>
      <c r="DW676" s="522"/>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2"/>
      <c r="R677" s="200"/>
      <c r="S677" s="223"/>
      <c r="T677" s="223"/>
      <c r="U677" s="223"/>
      <c r="V677" s="223"/>
      <c r="W677" s="223"/>
      <c r="X677" s="223"/>
      <c r="Y677" s="200"/>
      <c r="Z677" s="200"/>
      <c r="AA677" s="522"/>
      <c r="AB677" s="200"/>
      <c r="AC677" s="223"/>
      <c r="AD677" s="223"/>
      <c r="AE677" s="223"/>
      <c r="AF677" s="223"/>
      <c r="AG677" s="223"/>
      <c r="AH677" s="223"/>
      <c r="AI677" s="200"/>
      <c r="AJ677" s="200"/>
      <c r="AK677" s="522"/>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2"/>
      <c r="BF677" s="200"/>
      <c r="BG677" s="223"/>
      <c r="BH677" s="223"/>
      <c r="BI677" s="223"/>
      <c r="BJ677" s="223"/>
      <c r="BK677" s="223"/>
      <c r="BL677" s="223"/>
      <c r="BM677" s="200"/>
      <c r="BN677" s="200"/>
      <c r="BO677" s="522"/>
      <c r="BP677" s="200"/>
      <c r="BQ677" s="223"/>
      <c r="BR677" s="223"/>
      <c r="BS677" s="223"/>
      <c r="BT677" s="223"/>
      <c r="BU677" s="223"/>
      <c r="BV677" s="223"/>
      <c r="BW677" s="223"/>
      <c r="BX677" s="200"/>
      <c r="BY677" s="522"/>
      <c r="BZ677" s="200"/>
      <c r="CA677" s="223"/>
      <c r="CB677" s="223"/>
      <c r="CC677" s="223"/>
      <c r="CD677" s="223"/>
      <c r="CE677" s="223"/>
      <c r="CF677" s="223"/>
      <c r="CG677" s="200"/>
      <c r="CH677" s="200"/>
      <c r="CI677" s="522"/>
      <c r="CJ677" s="200"/>
      <c r="CK677" s="223"/>
      <c r="CL677" s="223"/>
      <c r="CM677" s="223"/>
      <c r="CN677" s="223"/>
      <c r="CO677" s="223"/>
      <c r="CP677" s="223"/>
      <c r="CQ677" s="200"/>
      <c r="CR677" s="200"/>
      <c r="CS677" s="522"/>
      <c r="CT677" s="200"/>
      <c r="CU677" s="223"/>
      <c r="CV677" s="223"/>
      <c r="CW677" s="223"/>
      <c r="CX677" s="223"/>
      <c r="CY677" s="223"/>
      <c r="CZ677" s="223"/>
      <c r="DA677" s="223"/>
      <c r="DB677" s="200"/>
      <c r="DC677" s="522"/>
      <c r="DD677" s="200"/>
      <c r="DE677" s="223"/>
      <c r="DF677" s="223"/>
      <c r="DG677" s="223"/>
      <c r="DH677" s="223"/>
      <c r="DI677" s="223"/>
      <c r="DJ677" s="223"/>
      <c r="DK677" s="200"/>
      <c r="DL677" s="200"/>
      <c r="DM677" s="522"/>
      <c r="DN677" s="200"/>
      <c r="DO677" s="223"/>
      <c r="DP677" s="223"/>
      <c r="DQ677" s="223"/>
      <c r="DR677" s="223"/>
      <c r="DS677" s="223"/>
      <c r="DT677" s="223"/>
      <c r="DU677" s="200"/>
      <c r="DV677" s="200"/>
      <c r="DW677" s="522"/>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2"/>
      <c r="R678" s="200"/>
      <c r="S678" s="223"/>
      <c r="T678" s="223"/>
      <c r="U678" s="223"/>
      <c r="V678" s="223"/>
      <c r="W678" s="223"/>
      <c r="X678" s="223"/>
      <c r="Y678" s="200"/>
      <c r="Z678" s="200"/>
      <c r="AA678" s="522"/>
      <c r="AB678" s="200"/>
      <c r="AC678" s="223"/>
      <c r="AD678" s="223"/>
      <c r="AE678" s="223"/>
      <c r="AF678" s="223"/>
      <c r="AG678" s="223"/>
      <c r="AH678" s="223"/>
      <c r="AI678" s="200"/>
      <c r="AJ678" s="200"/>
      <c r="AK678" s="522"/>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2"/>
      <c r="BF678" s="200"/>
      <c r="BG678" s="223"/>
      <c r="BH678" s="223"/>
      <c r="BI678" s="223"/>
      <c r="BJ678" s="223"/>
      <c r="BK678" s="223"/>
      <c r="BL678" s="223"/>
      <c r="BM678" s="200"/>
      <c r="BN678" s="200"/>
      <c r="BO678" s="522"/>
      <c r="BP678" s="200"/>
      <c r="BQ678" s="223"/>
      <c r="BR678" s="223"/>
      <c r="BS678" s="223"/>
      <c r="BT678" s="223"/>
      <c r="BU678" s="223"/>
      <c r="BV678" s="223"/>
      <c r="BW678" s="223"/>
      <c r="BX678" s="200"/>
      <c r="BY678" s="522"/>
      <c r="BZ678" s="200"/>
      <c r="CA678" s="223"/>
      <c r="CB678" s="223"/>
      <c r="CC678" s="223"/>
      <c r="CD678" s="223"/>
      <c r="CE678" s="223"/>
      <c r="CF678" s="223"/>
      <c r="CG678" s="200"/>
      <c r="CH678" s="200"/>
      <c r="CI678" s="522"/>
      <c r="CJ678" s="200"/>
      <c r="CK678" s="223"/>
      <c r="CL678" s="223"/>
      <c r="CM678" s="223"/>
      <c r="CN678" s="223"/>
      <c r="CO678" s="223"/>
      <c r="CP678" s="223"/>
      <c r="CQ678" s="200"/>
      <c r="CR678" s="200"/>
      <c r="CS678" s="522"/>
      <c r="CT678" s="200"/>
      <c r="CU678" s="223"/>
      <c r="CV678" s="223"/>
      <c r="CW678" s="223"/>
      <c r="CX678" s="223"/>
      <c r="CY678" s="223"/>
      <c r="CZ678" s="223"/>
      <c r="DA678" s="223"/>
      <c r="DB678" s="200"/>
      <c r="DC678" s="522"/>
      <c r="DD678" s="200"/>
      <c r="DE678" s="223"/>
      <c r="DF678" s="223"/>
      <c r="DG678" s="223"/>
      <c r="DH678" s="223"/>
      <c r="DI678" s="223"/>
      <c r="DJ678" s="223"/>
      <c r="DK678" s="200"/>
      <c r="DL678" s="200"/>
      <c r="DM678" s="522"/>
      <c r="DN678" s="200"/>
      <c r="DO678" s="223"/>
      <c r="DP678" s="223"/>
      <c r="DQ678" s="223"/>
      <c r="DR678" s="223"/>
      <c r="DS678" s="223"/>
      <c r="DT678" s="223"/>
      <c r="DU678" s="200"/>
      <c r="DV678" s="200"/>
      <c r="DW678" s="522"/>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2"/>
      <c r="R679" s="200"/>
      <c r="S679" s="223"/>
      <c r="T679" s="223"/>
      <c r="U679" s="223"/>
      <c r="V679" s="223"/>
      <c r="W679" s="223"/>
      <c r="X679" s="223"/>
      <c r="Y679" s="200"/>
      <c r="Z679" s="200"/>
      <c r="AA679" s="522"/>
      <c r="AB679" s="200"/>
      <c r="AC679" s="223"/>
      <c r="AD679" s="223"/>
      <c r="AE679" s="223"/>
      <c r="AF679" s="223"/>
      <c r="AG679" s="223"/>
      <c r="AH679" s="223"/>
      <c r="AI679" s="200"/>
      <c r="AJ679" s="200"/>
      <c r="AK679" s="522"/>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2"/>
      <c r="BF679" s="200"/>
      <c r="BG679" s="223"/>
      <c r="BH679" s="223"/>
      <c r="BI679" s="223"/>
      <c r="BJ679" s="223"/>
      <c r="BK679" s="223"/>
      <c r="BL679" s="223"/>
      <c r="BM679" s="200"/>
      <c r="BN679" s="200"/>
      <c r="BO679" s="522"/>
      <c r="BP679" s="200"/>
      <c r="BQ679" s="223"/>
      <c r="BR679" s="223"/>
      <c r="BS679" s="223"/>
      <c r="BT679" s="223"/>
      <c r="BU679" s="223"/>
      <c r="BV679" s="223"/>
      <c r="BW679" s="223"/>
      <c r="BX679" s="200"/>
      <c r="BY679" s="522"/>
      <c r="BZ679" s="200"/>
      <c r="CA679" s="223"/>
      <c r="CB679" s="223"/>
      <c r="CC679" s="223"/>
      <c r="CD679" s="223"/>
      <c r="CE679" s="223"/>
      <c r="CF679" s="223"/>
      <c r="CG679" s="200"/>
      <c r="CH679" s="200"/>
      <c r="CI679" s="522"/>
      <c r="CJ679" s="200"/>
      <c r="CK679" s="223"/>
      <c r="CL679" s="223"/>
      <c r="CM679" s="223"/>
      <c r="CN679" s="223"/>
      <c r="CO679" s="223"/>
      <c r="CP679" s="223"/>
      <c r="CQ679" s="200"/>
      <c r="CR679" s="200"/>
      <c r="CS679" s="522"/>
      <c r="CT679" s="200"/>
      <c r="CU679" s="223"/>
      <c r="CV679" s="223"/>
      <c r="CW679" s="223"/>
      <c r="CX679" s="223"/>
      <c r="CY679" s="223"/>
      <c r="CZ679" s="223"/>
      <c r="DA679" s="223"/>
      <c r="DB679" s="200"/>
      <c r="DC679" s="522"/>
      <c r="DD679" s="200"/>
      <c r="DE679" s="223"/>
      <c r="DF679" s="223"/>
      <c r="DG679" s="223"/>
      <c r="DH679" s="223"/>
      <c r="DI679" s="223"/>
      <c r="DJ679" s="223"/>
      <c r="DK679" s="200"/>
      <c r="DL679" s="200"/>
      <c r="DM679" s="522"/>
      <c r="DN679" s="200"/>
      <c r="DO679" s="223"/>
      <c r="DP679" s="223"/>
      <c r="DQ679" s="223"/>
      <c r="DR679" s="223"/>
      <c r="DS679" s="223"/>
      <c r="DT679" s="223"/>
      <c r="DU679" s="200"/>
      <c r="DV679" s="200"/>
      <c r="DW679" s="522"/>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2"/>
      <c r="R680" s="200"/>
      <c r="S680" s="223"/>
      <c r="T680" s="223"/>
      <c r="U680" s="223"/>
      <c r="V680" s="223"/>
      <c r="W680" s="223"/>
      <c r="X680" s="223"/>
      <c r="Y680" s="200"/>
      <c r="Z680" s="200"/>
      <c r="AA680" s="522"/>
      <c r="AB680" s="200"/>
      <c r="AC680" s="223"/>
      <c r="AD680" s="223"/>
      <c r="AE680" s="223"/>
      <c r="AF680" s="223"/>
      <c r="AG680" s="223"/>
      <c r="AH680" s="223"/>
      <c r="AI680" s="200"/>
      <c r="AJ680" s="200"/>
      <c r="AK680" s="522"/>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2"/>
      <c r="BF680" s="200"/>
      <c r="BG680" s="223"/>
      <c r="BH680" s="223"/>
      <c r="BI680" s="223"/>
      <c r="BJ680" s="223"/>
      <c r="BK680" s="223"/>
      <c r="BL680" s="223"/>
      <c r="BM680" s="200"/>
      <c r="BN680" s="200"/>
      <c r="BO680" s="522"/>
      <c r="BP680" s="200"/>
      <c r="BQ680" s="223"/>
      <c r="BR680" s="223"/>
      <c r="BS680" s="223"/>
      <c r="BT680" s="223"/>
      <c r="BU680" s="223"/>
      <c r="BV680" s="223"/>
      <c r="BW680" s="223"/>
      <c r="BX680" s="200"/>
      <c r="BY680" s="522"/>
      <c r="BZ680" s="200"/>
      <c r="CA680" s="223"/>
      <c r="CB680" s="223"/>
      <c r="CC680" s="223"/>
      <c r="CD680" s="223"/>
      <c r="CE680" s="223"/>
      <c r="CF680" s="223"/>
      <c r="CG680" s="200"/>
      <c r="CH680" s="200"/>
      <c r="CI680" s="522"/>
      <c r="CJ680" s="200"/>
      <c r="CK680" s="223"/>
      <c r="CL680" s="223"/>
      <c r="CM680" s="223"/>
      <c r="CN680" s="223"/>
      <c r="CO680" s="223"/>
      <c r="CP680" s="223"/>
      <c r="CQ680" s="200"/>
      <c r="CR680" s="200"/>
      <c r="CS680" s="522"/>
      <c r="CT680" s="200"/>
      <c r="CU680" s="223"/>
      <c r="CV680" s="223"/>
      <c r="CW680" s="223"/>
      <c r="CX680" s="223"/>
      <c r="CY680" s="223"/>
      <c r="CZ680" s="223"/>
      <c r="DA680" s="223"/>
      <c r="DB680" s="200"/>
      <c r="DC680" s="522"/>
      <c r="DD680" s="200"/>
      <c r="DE680" s="223"/>
      <c r="DF680" s="223"/>
      <c r="DG680" s="223"/>
      <c r="DH680" s="223"/>
      <c r="DI680" s="223"/>
      <c r="DJ680" s="223"/>
      <c r="DK680" s="200"/>
      <c r="DL680" s="200"/>
      <c r="DM680" s="522"/>
      <c r="DN680" s="200"/>
      <c r="DO680" s="223"/>
      <c r="DP680" s="223"/>
      <c r="DQ680" s="223"/>
      <c r="DR680" s="223"/>
      <c r="DS680" s="223"/>
      <c r="DT680" s="223"/>
      <c r="DU680" s="200"/>
      <c r="DV680" s="200"/>
      <c r="DW680" s="522"/>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2"/>
      <c r="R681" s="200"/>
      <c r="S681" s="223"/>
      <c r="T681" s="223"/>
      <c r="U681" s="223"/>
      <c r="V681" s="223"/>
      <c r="W681" s="223"/>
      <c r="X681" s="223"/>
      <c r="Y681" s="200"/>
      <c r="Z681" s="200"/>
      <c r="AA681" s="522"/>
      <c r="AB681" s="200"/>
      <c r="AC681" s="223"/>
      <c r="AD681" s="223"/>
      <c r="AE681" s="223"/>
      <c r="AF681" s="223"/>
      <c r="AG681" s="223"/>
      <c r="AH681" s="223"/>
      <c r="AI681" s="200"/>
      <c r="AJ681" s="200"/>
      <c r="AK681" s="522"/>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2"/>
      <c r="BF681" s="200"/>
      <c r="BG681" s="223"/>
      <c r="BH681" s="223"/>
      <c r="BI681" s="223"/>
      <c r="BJ681" s="223"/>
      <c r="BK681" s="223"/>
      <c r="BL681" s="223"/>
      <c r="BM681" s="200"/>
      <c r="BN681" s="200"/>
      <c r="BO681" s="522"/>
      <c r="BP681" s="200"/>
      <c r="BQ681" s="223"/>
      <c r="BR681" s="223"/>
      <c r="BS681" s="223"/>
      <c r="BT681" s="223"/>
      <c r="BU681" s="223"/>
      <c r="BV681" s="223"/>
      <c r="BW681" s="223"/>
      <c r="BX681" s="200"/>
      <c r="BY681" s="522"/>
      <c r="BZ681" s="200"/>
      <c r="CA681" s="223"/>
      <c r="CB681" s="223"/>
      <c r="CC681" s="223"/>
      <c r="CD681" s="223"/>
      <c r="CE681" s="223"/>
      <c r="CF681" s="223"/>
      <c r="CG681" s="200"/>
      <c r="CH681" s="200"/>
      <c r="CI681" s="522"/>
      <c r="CJ681" s="200"/>
      <c r="CK681" s="223"/>
      <c r="CL681" s="223"/>
      <c r="CM681" s="223"/>
      <c r="CN681" s="223"/>
      <c r="CO681" s="223"/>
      <c r="CP681" s="223"/>
      <c r="CQ681" s="200"/>
      <c r="CR681" s="200"/>
      <c r="CS681" s="522"/>
      <c r="CT681" s="200"/>
      <c r="CU681" s="223"/>
      <c r="CV681" s="223"/>
      <c r="CW681" s="223"/>
      <c r="CX681" s="223"/>
      <c r="CY681" s="223"/>
      <c r="CZ681" s="223"/>
      <c r="DA681" s="223"/>
      <c r="DB681" s="200"/>
      <c r="DC681" s="522"/>
      <c r="DD681" s="200"/>
      <c r="DE681" s="223"/>
      <c r="DF681" s="223"/>
      <c r="DG681" s="223"/>
      <c r="DH681" s="223"/>
      <c r="DI681" s="223"/>
      <c r="DJ681" s="223"/>
      <c r="DK681" s="200"/>
      <c r="DL681" s="200"/>
      <c r="DM681" s="522"/>
      <c r="DN681" s="200"/>
      <c r="DO681" s="223"/>
      <c r="DP681" s="223"/>
      <c r="DQ681" s="223"/>
      <c r="DR681" s="223"/>
      <c r="DS681" s="223"/>
      <c r="DT681" s="223"/>
      <c r="DU681" s="200"/>
      <c r="DV681" s="200"/>
      <c r="DW681" s="522"/>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2"/>
      <c r="R682" s="200"/>
      <c r="S682" s="223"/>
      <c r="T682" s="223"/>
      <c r="U682" s="223"/>
      <c r="V682" s="223"/>
      <c r="W682" s="223"/>
      <c r="X682" s="223"/>
      <c r="Y682" s="200"/>
      <c r="Z682" s="200"/>
      <c r="AA682" s="522"/>
      <c r="AB682" s="200"/>
      <c r="AC682" s="223"/>
      <c r="AD682" s="223"/>
      <c r="AE682" s="223"/>
      <c r="AF682" s="223"/>
      <c r="AG682" s="223"/>
      <c r="AH682" s="223"/>
      <c r="AI682" s="200"/>
      <c r="AJ682" s="200"/>
      <c r="AK682" s="522"/>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2"/>
      <c r="BF682" s="200"/>
      <c r="BG682" s="223"/>
      <c r="BH682" s="223"/>
      <c r="BI682" s="223"/>
      <c r="BJ682" s="223"/>
      <c r="BK682" s="223"/>
      <c r="BL682" s="223"/>
      <c r="BM682" s="200"/>
      <c r="BN682" s="200"/>
      <c r="BO682" s="522"/>
      <c r="BP682" s="200"/>
      <c r="BQ682" s="223"/>
      <c r="BR682" s="223"/>
      <c r="BS682" s="223"/>
      <c r="BT682" s="223"/>
      <c r="BU682" s="223"/>
      <c r="BV682" s="223"/>
      <c r="BW682" s="223"/>
      <c r="BX682" s="200"/>
      <c r="BY682" s="522"/>
      <c r="BZ682" s="200"/>
      <c r="CA682" s="223"/>
      <c r="CB682" s="223"/>
      <c r="CC682" s="223"/>
      <c r="CD682" s="223"/>
      <c r="CE682" s="223"/>
      <c r="CF682" s="223"/>
      <c r="CG682" s="200"/>
      <c r="CH682" s="200"/>
      <c r="CI682" s="522"/>
      <c r="CJ682" s="200"/>
      <c r="CK682" s="223"/>
      <c r="CL682" s="223"/>
      <c r="CM682" s="223"/>
      <c r="CN682" s="223"/>
      <c r="CO682" s="223"/>
      <c r="CP682" s="223"/>
      <c r="CQ682" s="200"/>
      <c r="CR682" s="200"/>
      <c r="CS682" s="522"/>
      <c r="CT682" s="200"/>
      <c r="CU682" s="223"/>
      <c r="CV682" s="223"/>
      <c r="CW682" s="223"/>
      <c r="CX682" s="223"/>
      <c r="CY682" s="223"/>
      <c r="CZ682" s="223"/>
      <c r="DA682" s="223"/>
      <c r="DB682" s="200"/>
      <c r="DC682" s="522"/>
      <c r="DD682" s="200"/>
      <c r="DE682" s="223"/>
      <c r="DF682" s="223"/>
      <c r="DG682" s="223"/>
      <c r="DH682" s="223"/>
      <c r="DI682" s="223"/>
      <c r="DJ682" s="223"/>
      <c r="DK682" s="200"/>
      <c r="DL682" s="200"/>
      <c r="DM682" s="522"/>
      <c r="DN682" s="200"/>
      <c r="DO682" s="223"/>
      <c r="DP682" s="223"/>
      <c r="DQ682" s="223"/>
      <c r="DR682" s="223"/>
      <c r="DS682" s="223"/>
      <c r="DT682" s="223"/>
      <c r="DU682" s="200"/>
      <c r="DV682" s="200"/>
      <c r="DW682" s="522"/>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2"/>
      <c r="R683" s="200"/>
      <c r="S683" s="223"/>
      <c r="T683" s="223"/>
      <c r="U683" s="223"/>
      <c r="V683" s="223"/>
      <c r="W683" s="223"/>
      <c r="X683" s="223"/>
      <c r="Y683" s="200"/>
      <c r="Z683" s="200"/>
      <c r="AA683" s="522"/>
      <c r="AB683" s="200"/>
      <c r="AC683" s="223"/>
      <c r="AD683" s="223"/>
      <c r="AE683" s="223"/>
      <c r="AF683" s="223"/>
      <c r="AG683" s="223"/>
      <c r="AH683" s="223"/>
      <c r="AI683" s="200"/>
      <c r="AJ683" s="200"/>
      <c r="AK683" s="522"/>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2"/>
      <c r="BF683" s="200"/>
      <c r="BG683" s="223"/>
      <c r="BH683" s="223"/>
      <c r="BI683" s="223"/>
      <c r="BJ683" s="223"/>
      <c r="BK683" s="223"/>
      <c r="BL683" s="223"/>
      <c r="BM683" s="200"/>
      <c r="BN683" s="200"/>
      <c r="BO683" s="522"/>
      <c r="BP683" s="200"/>
      <c r="BQ683" s="223"/>
      <c r="BR683" s="223"/>
      <c r="BS683" s="223"/>
      <c r="BT683" s="223"/>
      <c r="BU683" s="223"/>
      <c r="BV683" s="223"/>
      <c r="BW683" s="223"/>
      <c r="BX683" s="200"/>
      <c r="BY683" s="522"/>
      <c r="BZ683" s="200"/>
      <c r="CA683" s="223"/>
      <c r="CB683" s="223"/>
      <c r="CC683" s="223"/>
      <c r="CD683" s="223"/>
      <c r="CE683" s="223"/>
      <c r="CF683" s="223"/>
      <c r="CG683" s="200"/>
      <c r="CH683" s="200"/>
      <c r="CI683" s="522"/>
      <c r="CJ683" s="200"/>
      <c r="CK683" s="223"/>
      <c r="CL683" s="223"/>
      <c r="CM683" s="223"/>
      <c r="CN683" s="223"/>
      <c r="CO683" s="223"/>
      <c r="CP683" s="223"/>
      <c r="CQ683" s="200"/>
      <c r="CR683" s="200"/>
      <c r="CS683" s="522"/>
      <c r="CT683" s="200"/>
      <c r="CU683" s="223"/>
      <c r="CV683" s="223"/>
      <c r="CW683" s="223"/>
      <c r="CX683" s="223"/>
      <c r="CY683" s="223"/>
      <c r="CZ683" s="223"/>
      <c r="DA683" s="223"/>
      <c r="DB683" s="200"/>
      <c r="DC683" s="522"/>
      <c r="DD683" s="200"/>
      <c r="DE683" s="223"/>
      <c r="DF683" s="223"/>
      <c r="DG683" s="223"/>
      <c r="DH683" s="223"/>
      <c r="DI683" s="223"/>
      <c r="DJ683" s="223"/>
      <c r="DK683" s="200"/>
      <c r="DL683" s="200"/>
      <c r="DM683" s="522"/>
      <c r="DN683" s="200"/>
      <c r="DO683" s="223"/>
      <c r="DP683" s="223"/>
      <c r="DQ683" s="223"/>
      <c r="DR683" s="223"/>
      <c r="DS683" s="223"/>
      <c r="DT683" s="223"/>
      <c r="DU683" s="200"/>
      <c r="DV683" s="200"/>
      <c r="DW683" s="522"/>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2"/>
      <c r="R684" s="200"/>
      <c r="S684" s="223"/>
      <c r="T684" s="223"/>
      <c r="U684" s="223"/>
      <c r="V684" s="223"/>
      <c r="W684" s="223"/>
      <c r="X684" s="223"/>
      <c r="Y684" s="200"/>
      <c r="Z684" s="200"/>
      <c r="AA684" s="522"/>
      <c r="AB684" s="200"/>
      <c r="AC684" s="223"/>
      <c r="AD684" s="223"/>
      <c r="AE684" s="223"/>
      <c r="AF684" s="223"/>
      <c r="AG684" s="223"/>
      <c r="AH684" s="223"/>
      <c r="AI684" s="200"/>
      <c r="AJ684" s="200"/>
      <c r="AK684" s="522"/>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2"/>
      <c r="BF684" s="200"/>
      <c r="BG684" s="223"/>
      <c r="BH684" s="223"/>
      <c r="BI684" s="223"/>
      <c r="BJ684" s="223"/>
      <c r="BK684" s="223"/>
      <c r="BL684" s="223"/>
      <c r="BM684" s="200"/>
      <c r="BN684" s="200"/>
      <c r="BO684" s="522"/>
      <c r="BP684" s="200"/>
      <c r="BQ684" s="223"/>
      <c r="BR684" s="223"/>
      <c r="BS684" s="223"/>
      <c r="BT684" s="223"/>
      <c r="BU684" s="223"/>
      <c r="BV684" s="223"/>
      <c r="BW684" s="223"/>
      <c r="BX684" s="200"/>
      <c r="BY684" s="522"/>
      <c r="BZ684" s="200"/>
      <c r="CA684" s="223"/>
      <c r="CB684" s="223"/>
      <c r="CC684" s="223"/>
      <c r="CD684" s="223"/>
      <c r="CE684" s="223"/>
      <c r="CF684" s="223"/>
      <c r="CG684" s="200"/>
      <c r="CH684" s="200"/>
      <c r="CI684" s="522"/>
      <c r="CJ684" s="200"/>
      <c r="CK684" s="223"/>
      <c r="CL684" s="223"/>
      <c r="CM684" s="223"/>
      <c r="CN684" s="223"/>
      <c r="CO684" s="223"/>
      <c r="CP684" s="223"/>
      <c r="CQ684" s="200"/>
      <c r="CR684" s="200"/>
      <c r="CS684" s="522"/>
      <c r="CT684" s="200"/>
      <c r="CU684" s="223"/>
      <c r="CV684" s="223"/>
      <c r="CW684" s="223"/>
      <c r="CX684" s="223"/>
      <c r="CY684" s="223"/>
      <c r="CZ684" s="223"/>
      <c r="DA684" s="223"/>
      <c r="DB684" s="200"/>
      <c r="DC684" s="522"/>
      <c r="DD684" s="200"/>
      <c r="DE684" s="223"/>
      <c r="DF684" s="223"/>
      <c r="DG684" s="223"/>
      <c r="DH684" s="223"/>
      <c r="DI684" s="223"/>
      <c r="DJ684" s="223"/>
      <c r="DK684" s="200"/>
      <c r="DL684" s="200"/>
      <c r="DM684" s="522"/>
      <c r="DN684" s="200"/>
      <c r="DO684" s="223"/>
      <c r="DP684" s="223"/>
      <c r="DQ684" s="223"/>
      <c r="DR684" s="223"/>
      <c r="DS684" s="223"/>
      <c r="DT684" s="223"/>
      <c r="DU684" s="200"/>
      <c r="DV684" s="200"/>
      <c r="DW684" s="522"/>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2"/>
      <c r="R685" s="200"/>
      <c r="S685" s="223"/>
      <c r="T685" s="223"/>
      <c r="U685" s="223"/>
      <c r="V685" s="223"/>
      <c r="W685" s="223"/>
      <c r="X685" s="223"/>
      <c r="Y685" s="200"/>
      <c r="Z685" s="200"/>
      <c r="AA685" s="522"/>
      <c r="AB685" s="200"/>
      <c r="AC685" s="223"/>
      <c r="AD685" s="223"/>
      <c r="AE685" s="223"/>
      <c r="AF685" s="223"/>
      <c r="AG685" s="223"/>
      <c r="AH685" s="223"/>
      <c r="AI685" s="200"/>
      <c r="AJ685" s="200"/>
      <c r="AK685" s="522"/>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2"/>
      <c r="BF685" s="200"/>
      <c r="BG685" s="223"/>
      <c r="BH685" s="223"/>
      <c r="BI685" s="223"/>
      <c r="BJ685" s="223"/>
      <c r="BK685" s="223"/>
      <c r="BL685" s="223"/>
      <c r="BM685" s="200"/>
      <c r="BN685" s="200"/>
      <c r="BO685" s="522"/>
      <c r="BP685" s="200"/>
      <c r="BQ685" s="223"/>
      <c r="BR685" s="223"/>
      <c r="BS685" s="223"/>
      <c r="BT685" s="223"/>
      <c r="BU685" s="223"/>
      <c r="BV685" s="223"/>
      <c r="BW685" s="223"/>
      <c r="BX685" s="200"/>
      <c r="BY685" s="522"/>
      <c r="BZ685" s="200"/>
      <c r="CA685" s="223"/>
      <c r="CB685" s="223"/>
      <c r="CC685" s="223"/>
      <c r="CD685" s="223"/>
      <c r="CE685" s="223"/>
      <c r="CF685" s="223"/>
      <c r="CG685" s="200"/>
      <c r="CH685" s="200"/>
      <c r="CI685" s="522"/>
      <c r="CJ685" s="200"/>
      <c r="CK685" s="223"/>
      <c r="CL685" s="223"/>
      <c r="CM685" s="223"/>
      <c r="CN685" s="223"/>
      <c r="CO685" s="223"/>
      <c r="CP685" s="223"/>
      <c r="CQ685" s="200"/>
      <c r="CR685" s="200"/>
      <c r="CS685" s="522"/>
      <c r="CT685" s="200"/>
      <c r="CU685" s="223"/>
      <c r="CV685" s="223"/>
      <c r="CW685" s="223"/>
      <c r="CX685" s="223"/>
      <c r="CY685" s="223"/>
      <c r="CZ685" s="223"/>
      <c r="DA685" s="223"/>
      <c r="DB685" s="200"/>
      <c r="DC685" s="522"/>
      <c r="DD685" s="200"/>
      <c r="DE685" s="223"/>
      <c r="DF685" s="223"/>
      <c r="DG685" s="223"/>
      <c r="DH685" s="223"/>
      <c r="DI685" s="223"/>
      <c r="DJ685" s="223"/>
      <c r="DK685" s="200"/>
      <c r="DL685" s="200"/>
      <c r="DM685" s="522"/>
      <c r="DN685" s="200"/>
      <c r="DO685" s="223"/>
      <c r="DP685" s="223"/>
      <c r="DQ685" s="223"/>
      <c r="DR685" s="223"/>
      <c r="DS685" s="223"/>
      <c r="DT685" s="223"/>
      <c r="DU685" s="200"/>
      <c r="DV685" s="200"/>
      <c r="DW685" s="522"/>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2"/>
      <c r="R686" s="200"/>
      <c r="S686" s="223"/>
      <c r="T686" s="223"/>
      <c r="U686" s="223"/>
      <c r="V686" s="223"/>
      <c r="W686" s="223"/>
      <c r="X686" s="223"/>
      <c r="Y686" s="200"/>
      <c r="Z686" s="200"/>
      <c r="AA686" s="522"/>
      <c r="AB686" s="200"/>
      <c r="AC686" s="223"/>
      <c r="AD686" s="223"/>
      <c r="AE686" s="223"/>
      <c r="AF686" s="223"/>
      <c r="AG686" s="223"/>
      <c r="AH686" s="223"/>
      <c r="AI686" s="200"/>
      <c r="AJ686" s="200"/>
      <c r="AK686" s="522"/>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2"/>
      <c r="BF686" s="200"/>
      <c r="BG686" s="223"/>
      <c r="BH686" s="223"/>
      <c r="BI686" s="223"/>
      <c r="BJ686" s="223"/>
      <c r="BK686" s="223"/>
      <c r="BL686" s="223"/>
      <c r="BM686" s="200"/>
      <c r="BN686" s="200"/>
      <c r="BO686" s="522"/>
      <c r="BP686" s="200"/>
      <c r="BQ686" s="223"/>
      <c r="BR686" s="223"/>
      <c r="BS686" s="223"/>
      <c r="BT686" s="223"/>
      <c r="BU686" s="223"/>
      <c r="BV686" s="223"/>
      <c r="BW686" s="223"/>
      <c r="BX686" s="200"/>
      <c r="BY686" s="522"/>
      <c r="BZ686" s="200"/>
      <c r="CA686" s="223"/>
      <c r="CB686" s="223"/>
      <c r="CC686" s="223"/>
      <c r="CD686" s="223"/>
      <c r="CE686" s="223"/>
      <c r="CF686" s="223"/>
      <c r="CG686" s="200"/>
      <c r="CH686" s="200"/>
      <c r="CI686" s="522"/>
      <c r="CJ686" s="200"/>
      <c r="CK686" s="223"/>
      <c r="CL686" s="223"/>
      <c r="CM686" s="223"/>
      <c r="CN686" s="223"/>
      <c r="CO686" s="223"/>
      <c r="CP686" s="223"/>
      <c r="CQ686" s="200"/>
      <c r="CR686" s="200"/>
      <c r="CS686" s="522"/>
      <c r="CT686" s="200"/>
      <c r="CU686" s="223"/>
      <c r="CV686" s="223"/>
      <c r="CW686" s="223"/>
      <c r="CX686" s="223"/>
      <c r="CY686" s="223"/>
      <c r="CZ686" s="223"/>
      <c r="DA686" s="223"/>
      <c r="DB686" s="200"/>
      <c r="DC686" s="522"/>
      <c r="DD686" s="200"/>
      <c r="DE686" s="223"/>
      <c r="DF686" s="223"/>
      <c r="DG686" s="223"/>
      <c r="DH686" s="223"/>
      <c r="DI686" s="223"/>
      <c r="DJ686" s="223"/>
      <c r="DK686" s="200"/>
      <c r="DL686" s="200"/>
      <c r="DM686" s="522"/>
      <c r="DN686" s="200"/>
      <c r="DO686" s="223"/>
      <c r="DP686" s="223"/>
      <c r="DQ686" s="223"/>
      <c r="DR686" s="223"/>
      <c r="DS686" s="223"/>
      <c r="DT686" s="223"/>
      <c r="DU686" s="200"/>
      <c r="DV686" s="200"/>
      <c r="DW686" s="522"/>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2"/>
      <c r="R687" s="200"/>
      <c r="S687" s="223"/>
      <c r="T687" s="223"/>
      <c r="U687" s="223"/>
      <c r="V687" s="223"/>
      <c r="W687" s="223"/>
      <c r="X687" s="223"/>
      <c r="Y687" s="200"/>
      <c r="Z687" s="200"/>
      <c r="AA687" s="522"/>
      <c r="AB687" s="200"/>
      <c r="AC687" s="223"/>
      <c r="AD687" s="223"/>
      <c r="AE687" s="223"/>
      <c r="AF687" s="223"/>
      <c r="AG687" s="223"/>
      <c r="AH687" s="223"/>
      <c r="AI687" s="200"/>
      <c r="AJ687" s="200"/>
      <c r="AK687" s="522"/>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2"/>
      <c r="BF687" s="200"/>
      <c r="BG687" s="223"/>
      <c r="BH687" s="223"/>
      <c r="BI687" s="223"/>
      <c r="BJ687" s="223"/>
      <c r="BK687" s="223"/>
      <c r="BL687" s="223"/>
      <c r="BM687" s="200"/>
      <c r="BN687" s="200"/>
      <c r="BO687" s="522"/>
      <c r="BP687" s="200"/>
      <c r="BQ687" s="223"/>
      <c r="BR687" s="223"/>
      <c r="BS687" s="223"/>
      <c r="BT687" s="223"/>
      <c r="BU687" s="223"/>
      <c r="BV687" s="223"/>
      <c r="BW687" s="223"/>
      <c r="BX687" s="200"/>
      <c r="BY687" s="522"/>
      <c r="BZ687" s="200"/>
      <c r="CA687" s="223"/>
      <c r="CB687" s="223"/>
      <c r="CC687" s="223"/>
      <c r="CD687" s="223"/>
      <c r="CE687" s="223"/>
      <c r="CF687" s="223"/>
      <c r="CG687" s="200"/>
      <c r="CH687" s="200"/>
      <c r="CI687" s="522"/>
      <c r="CJ687" s="200"/>
      <c r="CK687" s="223"/>
      <c r="CL687" s="223"/>
      <c r="CM687" s="223"/>
      <c r="CN687" s="223"/>
      <c r="CO687" s="223"/>
      <c r="CP687" s="223"/>
      <c r="CQ687" s="200"/>
      <c r="CR687" s="200"/>
      <c r="CS687" s="522"/>
      <c r="CT687" s="200"/>
      <c r="CU687" s="223"/>
      <c r="CV687" s="223"/>
      <c r="CW687" s="223"/>
      <c r="CX687" s="223"/>
      <c r="CY687" s="223"/>
      <c r="CZ687" s="223"/>
      <c r="DA687" s="223"/>
      <c r="DB687" s="200"/>
      <c r="DC687" s="522"/>
      <c r="DD687" s="200"/>
      <c r="DE687" s="223"/>
      <c r="DF687" s="223"/>
      <c r="DG687" s="223"/>
      <c r="DH687" s="223"/>
      <c r="DI687" s="223"/>
      <c r="DJ687" s="223"/>
      <c r="DK687" s="200"/>
      <c r="DL687" s="200"/>
      <c r="DM687" s="522"/>
      <c r="DN687" s="200"/>
      <c r="DO687" s="223"/>
      <c r="DP687" s="223"/>
      <c r="DQ687" s="223"/>
      <c r="DR687" s="223"/>
      <c r="DS687" s="223"/>
      <c r="DT687" s="223"/>
      <c r="DU687" s="200"/>
      <c r="DV687" s="200"/>
      <c r="DW687" s="522"/>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2"/>
      <c r="R688" s="200"/>
      <c r="S688" s="223"/>
      <c r="T688" s="223"/>
      <c r="U688" s="223"/>
      <c r="V688" s="223"/>
      <c r="W688" s="223"/>
      <c r="X688" s="223"/>
      <c r="Y688" s="200"/>
      <c r="Z688" s="200"/>
      <c r="AA688" s="522"/>
      <c r="AB688" s="200"/>
      <c r="AC688" s="223"/>
      <c r="AD688" s="223"/>
      <c r="AE688" s="223"/>
      <c r="AF688" s="223"/>
      <c r="AG688" s="223"/>
      <c r="AH688" s="223"/>
      <c r="AI688" s="200"/>
      <c r="AJ688" s="200"/>
      <c r="AK688" s="522"/>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2"/>
      <c r="BF688" s="200"/>
      <c r="BG688" s="223"/>
      <c r="BH688" s="223"/>
      <c r="BI688" s="223"/>
      <c r="BJ688" s="223"/>
      <c r="BK688" s="223"/>
      <c r="BL688" s="223"/>
      <c r="BM688" s="200"/>
      <c r="BN688" s="200"/>
      <c r="BO688" s="522"/>
      <c r="BP688" s="200"/>
      <c r="BQ688" s="223"/>
      <c r="BR688" s="223"/>
      <c r="BS688" s="223"/>
      <c r="BT688" s="223"/>
      <c r="BU688" s="223"/>
      <c r="BV688" s="223"/>
      <c r="BW688" s="223"/>
      <c r="BX688" s="200"/>
      <c r="BY688" s="522"/>
      <c r="BZ688" s="200"/>
      <c r="CA688" s="223"/>
      <c r="CB688" s="223"/>
      <c r="CC688" s="223"/>
      <c r="CD688" s="223"/>
      <c r="CE688" s="223"/>
      <c r="CF688" s="223"/>
      <c r="CG688" s="200"/>
      <c r="CH688" s="200"/>
      <c r="CI688" s="522"/>
      <c r="CJ688" s="200"/>
      <c r="CK688" s="223"/>
      <c r="CL688" s="223"/>
      <c r="CM688" s="223"/>
      <c r="CN688" s="223"/>
      <c r="CO688" s="223"/>
      <c r="CP688" s="223"/>
      <c r="CQ688" s="200"/>
      <c r="CR688" s="200"/>
      <c r="CS688" s="522"/>
      <c r="CT688" s="200"/>
      <c r="CU688" s="223"/>
      <c r="CV688" s="223"/>
      <c r="CW688" s="223"/>
      <c r="CX688" s="223"/>
      <c r="CY688" s="223"/>
      <c r="CZ688" s="223"/>
      <c r="DA688" s="223"/>
      <c r="DB688" s="200"/>
      <c r="DC688" s="522"/>
      <c r="DD688" s="200"/>
      <c r="DE688" s="223"/>
      <c r="DF688" s="223"/>
      <c r="DG688" s="223"/>
      <c r="DH688" s="223"/>
      <c r="DI688" s="223"/>
      <c r="DJ688" s="223"/>
      <c r="DK688" s="200"/>
      <c r="DL688" s="200"/>
      <c r="DM688" s="522"/>
      <c r="DN688" s="200"/>
      <c r="DO688" s="223"/>
      <c r="DP688" s="223"/>
      <c r="DQ688" s="223"/>
      <c r="DR688" s="223"/>
      <c r="DS688" s="223"/>
      <c r="DT688" s="223"/>
      <c r="DU688" s="200"/>
      <c r="DV688" s="200"/>
      <c r="DW688" s="522"/>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2"/>
      <c r="R689" s="200"/>
      <c r="S689" s="223"/>
      <c r="T689" s="223"/>
      <c r="U689" s="223"/>
      <c r="V689" s="223"/>
      <c r="W689" s="223"/>
      <c r="X689" s="223"/>
      <c r="Y689" s="200"/>
      <c r="Z689" s="200"/>
      <c r="AA689" s="522"/>
      <c r="AB689" s="200"/>
      <c r="AC689" s="223"/>
      <c r="AD689" s="223"/>
      <c r="AE689" s="223"/>
      <c r="AF689" s="223"/>
      <c r="AG689" s="223"/>
      <c r="AH689" s="223"/>
      <c r="AI689" s="200"/>
      <c r="AJ689" s="200"/>
      <c r="AK689" s="522"/>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2"/>
      <c r="BF689" s="200"/>
      <c r="BG689" s="223"/>
      <c r="BH689" s="223"/>
      <c r="BI689" s="223"/>
      <c r="BJ689" s="223"/>
      <c r="BK689" s="223"/>
      <c r="BL689" s="223"/>
      <c r="BM689" s="200"/>
      <c r="BN689" s="200"/>
      <c r="BO689" s="522"/>
      <c r="BP689" s="200"/>
      <c r="BQ689" s="223"/>
      <c r="BR689" s="223"/>
      <c r="BS689" s="223"/>
      <c r="BT689" s="223"/>
      <c r="BU689" s="223"/>
      <c r="BV689" s="223"/>
      <c r="BW689" s="223"/>
      <c r="BX689" s="200"/>
      <c r="BY689" s="522"/>
      <c r="BZ689" s="200"/>
      <c r="CA689" s="223"/>
      <c r="CB689" s="223"/>
      <c r="CC689" s="223"/>
      <c r="CD689" s="223"/>
      <c r="CE689" s="223"/>
      <c r="CF689" s="223"/>
      <c r="CG689" s="200"/>
      <c r="CH689" s="200"/>
      <c r="CI689" s="522"/>
      <c r="CJ689" s="200"/>
      <c r="CK689" s="223"/>
      <c r="CL689" s="223"/>
      <c r="CM689" s="223"/>
      <c r="CN689" s="223"/>
      <c r="CO689" s="223"/>
      <c r="CP689" s="223"/>
      <c r="CQ689" s="200"/>
      <c r="CR689" s="200"/>
      <c r="CS689" s="522"/>
      <c r="CT689" s="200"/>
      <c r="CU689" s="223"/>
      <c r="CV689" s="223"/>
      <c r="CW689" s="223"/>
      <c r="CX689" s="223"/>
      <c r="CY689" s="223"/>
      <c r="CZ689" s="223"/>
      <c r="DA689" s="223"/>
      <c r="DB689" s="200"/>
      <c r="DC689" s="522"/>
      <c r="DD689" s="200"/>
      <c r="DE689" s="223"/>
      <c r="DF689" s="223"/>
      <c r="DG689" s="223"/>
      <c r="DH689" s="223"/>
      <c r="DI689" s="223"/>
      <c r="DJ689" s="223"/>
      <c r="DK689" s="200"/>
      <c r="DL689" s="200"/>
      <c r="DM689" s="522"/>
      <c r="DN689" s="200"/>
      <c r="DO689" s="223"/>
      <c r="DP689" s="223"/>
      <c r="DQ689" s="223"/>
      <c r="DR689" s="223"/>
      <c r="DS689" s="223"/>
      <c r="DT689" s="223"/>
      <c r="DU689" s="200"/>
      <c r="DV689" s="200"/>
      <c r="DW689" s="522"/>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2"/>
      <c r="R690" s="200"/>
      <c r="S690" s="223"/>
      <c r="T690" s="223"/>
      <c r="U690" s="223"/>
      <c r="V690" s="223"/>
      <c r="W690" s="223"/>
      <c r="X690" s="223"/>
      <c r="Y690" s="200"/>
      <c r="Z690" s="200"/>
      <c r="AA690" s="522"/>
      <c r="AB690" s="200"/>
      <c r="AC690" s="223"/>
      <c r="AD690" s="223"/>
      <c r="AE690" s="223"/>
      <c r="AF690" s="223"/>
      <c r="AG690" s="223"/>
      <c r="AH690" s="223"/>
      <c r="AI690" s="200"/>
      <c r="AJ690" s="200"/>
      <c r="AK690" s="522"/>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2"/>
      <c r="BF690" s="200"/>
      <c r="BG690" s="223"/>
      <c r="BH690" s="223"/>
      <c r="BI690" s="223"/>
      <c r="BJ690" s="223"/>
      <c r="BK690" s="223"/>
      <c r="BL690" s="223"/>
      <c r="BM690" s="200"/>
      <c r="BN690" s="200"/>
      <c r="BO690" s="522"/>
      <c r="BP690" s="200"/>
      <c r="BQ690" s="223"/>
      <c r="BR690" s="223"/>
      <c r="BS690" s="223"/>
      <c r="BT690" s="223"/>
      <c r="BU690" s="223"/>
      <c r="BV690" s="223"/>
      <c r="BW690" s="223"/>
      <c r="BX690" s="200"/>
      <c r="BY690" s="522"/>
      <c r="BZ690" s="200"/>
      <c r="CA690" s="223"/>
      <c r="CB690" s="223"/>
      <c r="CC690" s="223"/>
      <c r="CD690" s="223"/>
      <c r="CE690" s="223"/>
      <c r="CF690" s="223"/>
      <c r="CG690" s="200"/>
      <c r="CH690" s="200"/>
      <c r="CI690" s="522"/>
      <c r="CJ690" s="200"/>
      <c r="CK690" s="223"/>
      <c r="CL690" s="223"/>
      <c r="CM690" s="223"/>
      <c r="CN690" s="223"/>
      <c r="CO690" s="223"/>
      <c r="CP690" s="223"/>
      <c r="CQ690" s="200"/>
      <c r="CR690" s="200"/>
      <c r="CS690" s="522"/>
      <c r="CT690" s="200"/>
      <c r="CU690" s="223"/>
      <c r="CV690" s="223"/>
      <c r="CW690" s="223"/>
      <c r="CX690" s="223"/>
      <c r="CY690" s="223"/>
      <c r="CZ690" s="223"/>
      <c r="DA690" s="223"/>
      <c r="DB690" s="200"/>
      <c r="DC690" s="522"/>
      <c r="DD690" s="200"/>
      <c r="DE690" s="223"/>
      <c r="DF690" s="223"/>
      <c r="DG690" s="223"/>
      <c r="DH690" s="223"/>
      <c r="DI690" s="223"/>
      <c r="DJ690" s="223"/>
      <c r="DK690" s="200"/>
      <c r="DL690" s="200"/>
      <c r="DM690" s="522"/>
      <c r="DN690" s="200"/>
      <c r="DO690" s="223"/>
      <c r="DP690" s="223"/>
      <c r="DQ690" s="223"/>
      <c r="DR690" s="223"/>
      <c r="DS690" s="223"/>
      <c r="DT690" s="223"/>
      <c r="DU690" s="200"/>
      <c r="DV690" s="200"/>
      <c r="DW690" s="522"/>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2"/>
      <c r="R691" s="200"/>
      <c r="S691" s="223"/>
      <c r="T691" s="223"/>
      <c r="U691" s="223"/>
      <c r="V691" s="223"/>
      <c r="W691" s="223"/>
      <c r="X691" s="223"/>
      <c r="Y691" s="200"/>
      <c r="Z691" s="200"/>
      <c r="AA691" s="522"/>
      <c r="AB691" s="200"/>
      <c r="AC691" s="223"/>
      <c r="AD691" s="223"/>
      <c r="AE691" s="223"/>
      <c r="AF691" s="223"/>
      <c r="AG691" s="223"/>
      <c r="AH691" s="223"/>
      <c r="AI691" s="200"/>
      <c r="AJ691" s="200"/>
      <c r="AK691" s="522"/>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2"/>
      <c r="BF691" s="200"/>
      <c r="BG691" s="223"/>
      <c r="BH691" s="223"/>
      <c r="BI691" s="223"/>
      <c r="BJ691" s="223"/>
      <c r="BK691" s="223"/>
      <c r="BL691" s="223"/>
      <c r="BM691" s="200"/>
      <c r="BN691" s="200"/>
      <c r="BO691" s="522"/>
      <c r="BP691" s="200"/>
      <c r="BQ691" s="223"/>
      <c r="BR691" s="223"/>
      <c r="BS691" s="223"/>
      <c r="BT691" s="223"/>
      <c r="BU691" s="223"/>
      <c r="BV691" s="223"/>
      <c r="BW691" s="223"/>
      <c r="BX691" s="200"/>
      <c r="BY691" s="522"/>
      <c r="BZ691" s="200"/>
      <c r="CA691" s="223"/>
      <c r="CB691" s="223"/>
      <c r="CC691" s="223"/>
      <c r="CD691" s="223"/>
      <c r="CE691" s="223"/>
      <c r="CF691" s="223"/>
      <c r="CG691" s="200"/>
      <c r="CH691" s="200"/>
      <c r="CI691" s="522"/>
      <c r="CJ691" s="200"/>
      <c r="CK691" s="223"/>
      <c r="CL691" s="223"/>
      <c r="CM691" s="223"/>
      <c r="CN691" s="223"/>
      <c r="CO691" s="223"/>
      <c r="CP691" s="223"/>
      <c r="CQ691" s="200"/>
      <c r="CR691" s="200"/>
      <c r="CS691" s="522"/>
      <c r="CT691" s="200"/>
      <c r="CU691" s="223"/>
      <c r="CV691" s="223"/>
      <c r="CW691" s="223"/>
      <c r="CX691" s="223"/>
      <c r="CY691" s="223"/>
      <c r="CZ691" s="223"/>
      <c r="DA691" s="223"/>
      <c r="DB691" s="200"/>
      <c r="DC691" s="522"/>
      <c r="DD691" s="200"/>
      <c r="DE691" s="223"/>
      <c r="DF691" s="223"/>
      <c r="DG691" s="223"/>
      <c r="DH691" s="223"/>
      <c r="DI691" s="223"/>
      <c r="DJ691" s="223"/>
      <c r="DK691" s="200"/>
      <c r="DL691" s="200"/>
      <c r="DM691" s="522"/>
      <c r="DN691" s="200"/>
      <c r="DO691" s="223"/>
      <c r="DP691" s="223"/>
      <c r="DQ691" s="223"/>
      <c r="DR691" s="223"/>
      <c r="DS691" s="223"/>
      <c r="DT691" s="223"/>
      <c r="DU691" s="200"/>
      <c r="DV691" s="200"/>
      <c r="DW691" s="522"/>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2"/>
      <c r="R692" s="200"/>
      <c r="S692" s="223"/>
      <c r="T692" s="223"/>
      <c r="U692" s="223"/>
      <c r="V692" s="223"/>
      <c r="W692" s="223"/>
      <c r="X692" s="223"/>
      <c r="Y692" s="200"/>
      <c r="Z692" s="200"/>
      <c r="AA692" s="522"/>
      <c r="AB692" s="200"/>
      <c r="AC692" s="223"/>
      <c r="AD692" s="223"/>
      <c r="AE692" s="223"/>
      <c r="AF692" s="223"/>
      <c r="AG692" s="223"/>
      <c r="AH692" s="223"/>
      <c r="AI692" s="200"/>
      <c r="AJ692" s="200"/>
      <c r="AK692" s="522"/>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2"/>
      <c r="BF692" s="200"/>
      <c r="BG692" s="223"/>
      <c r="BH692" s="223"/>
      <c r="BI692" s="223"/>
      <c r="BJ692" s="223"/>
      <c r="BK692" s="223"/>
      <c r="BL692" s="223"/>
      <c r="BM692" s="200"/>
      <c r="BN692" s="200"/>
      <c r="BO692" s="522"/>
      <c r="BP692" s="200"/>
      <c r="BQ692" s="223"/>
      <c r="BR692" s="223"/>
      <c r="BS692" s="223"/>
      <c r="BT692" s="223"/>
      <c r="BU692" s="223"/>
      <c r="BV692" s="223"/>
      <c r="BW692" s="223"/>
      <c r="BX692" s="200"/>
      <c r="BY692" s="522"/>
      <c r="BZ692" s="200"/>
      <c r="CA692" s="223"/>
      <c r="CB692" s="223"/>
      <c r="CC692" s="223"/>
      <c r="CD692" s="223"/>
      <c r="CE692" s="223"/>
      <c r="CF692" s="223"/>
      <c r="CG692" s="200"/>
      <c r="CH692" s="200"/>
      <c r="CI692" s="522"/>
      <c r="CJ692" s="200"/>
      <c r="CK692" s="223"/>
      <c r="CL692" s="223"/>
      <c r="CM692" s="223"/>
      <c r="CN692" s="223"/>
      <c r="CO692" s="223"/>
      <c r="CP692" s="223"/>
      <c r="CQ692" s="200"/>
      <c r="CR692" s="200"/>
      <c r="CS692" s="522"/>
      <c r="CT692" s="200"/>
      <c r="CU692" s="223"/>
      <c r="CV692" s="223"/>
      <c r="CW692" s="223"/>
      <c r="CX692" s="223"/>
      <c r="CY692" s="223"/>
      <c r="CZ692" s="223"/>
      <c r="DA692" s="223"/>
      <c r="DB692" s="200"/>
      <c r="DC692" s="522"/>
      <c r="DD692" s="200"/>
      <c r="DE692" s="223"/>
      <c r="DF692" s="223"/>
      <c r="DG692" s="223"/>
      <c r="DH692" s="223"/>
      <c r="DI692" s="223"/>
      <c r="DJ692" s="223"/>
      <c r="DK692" s="200"/>
      <c r="DL692" s="200"/>
      <c r="DM692" s="522"/>
      <c r="DN692" s="200"/>
      <c r="DO692" s="223"/>
      <c r="DP692" s="223"/>
      <c r="DQ692" s="223"/>
      <c r="DR692" s="223"/>
      <c r="DS692" s="223"/>
      <c r="DT692" s="223"/>
      <c r="DU692" s="200"/>
      <c r="DV692" s="200"/>
      <c r="DW692" s="522"/>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2"/>
      <c r="R693" s="200"/>
      <c r="S693" s="223"/>
      <c r="T693" s="223"/>
      <c r="U693" s="223"/>
      <c r="V693" s="223"/>
      <c r="W693" s="223"/>
      <c r="X693" s="223"/>
      <c r="Y693" s="200"/>
      <c r="Z693" s="200"/>
      <c r="AA693" s="522"/>
      <c r="AB693" s="200"/>
      <c r="AC693" s="223"/>
      <c r="AD693" s="223"/>
      <c r="AE693" s="223"/>
      <c r="AF693" s="223"/>
      <c r="AG693" s="223"/>
      <c r="AH693" s="223"/>
      <c r="AI693" s="200"/>
      <c r="AJ693" s="200"/>
      <c r="AK693" s="522"/>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2"/>
      <c r="BF693" s="200"/>
      <c r="BG693" s="223"/>
      <c r="BH693" s="223"/>
      <c r="BI693" s="223"/>
      <c r="BJ693" s="223"/>
      <c r="BK693" s="223"/>
      <c r="BL693" s="223"/>
      <c r="BM693" s="200"/>
      <c r="BN693" s="200"/>
      <c r="BO693" s="522"/>
      <c r="BP693" s="200"/>
      <c r="BQ693" s="223"/>
      <c r="BR693" s="223"/>
      <c r="BS693" s="223"/>
      <c r="BT693" s="223"/>
      <c r="BU693" s="223"/>
      <c r="BV693" s="223"/>
      <c r="BW693" s="223"/>
      <c r="BX693" s="200"/>
      <c r="BY693" s="522"/>
      <c r="BZ693" s="200"/>
      <c r="CA693" s="223"/>
      <c r="CB693" s="223"/>
      <c r="CC693" s="223"/>
      <c r="CD693" s="223"/>
      <c r="CE693" s="223"/>
      <c r="CF693" s="223"/>
      <c r="CG693" s="200"/>
      <c r="CH693" s="200"/>
      <c r="CI693" s="522"/>
      <c r="CJ693" s="200"/>
      <c r="CK693" s="223"/>
      <c r="CL693" s="223"/>
      <c r="CM693" s="223"/>
      <c r="CN693" s="223"/>
      <c r="CO693" s="223"/>
      <c r="CP693" s="223"/>
      <c r="CQ693" s="200"/>
      <c r="CR693" s="200"/>
      <c r="CS693" s="522"/>
      <c r="CT693" s="200"/>
      <c r="CU693" s="223"/>
      <c r="CV693" s="223"/>
      <c r="CW693" s="223"/>
      <c r="CX693" s="223"/>
      <c r="CY693" s="223"/>
      <c r="CZ693" s="223"/>
      <c r="DA693" s="223"/>
      <c r="DB693" s="200"/>
      <c r="DC693" s="522"/>
      <c r="DD693" s="200"/>
      <c r="DE693" s="223"/>
      <c r="DF693" s="223"/>
      <c r="DG693" s="223"/>
      <c r="DH693" s="223"/>
      <c r="DI693" s="223"/>
      <c r="DJ693" s="223"/>
      <c r="DK693" s="200"/>
      <c r="DL693" s="200"/>
      <c r="DM693" s="522"/>
      <c r="DN693" s="200"/>
      <c r="DO693" s="223"/>
      <c r="DP693" s="223"/>
      <c r="DQ693" s="223"/>
      <c r="DR693" s="223"/>
      <c r="DS693" s="223"/>
      <c r="DT693" s="223"/>
      <c r="DU693" s="200"/>
      <c r="DV693" s="200"/>
      <c r="DW693" s="522"/>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2"/>
      <c r="R694" s="200"/>
      <c r="S694" s="223"/>
      <c r="T694" s="223"/>
      <c r="U694" s="223"/>
      <c r="V694" s="223"/>
      <c r="W694" s="223"/>
      <c r="X694" s="223"/>
      <c r="Y694" s="200"/>
      <c r="Z694" s="200"/>
      <c r="AA694" s="522"/>
      <c r="AB694" s="200"/>
      <c r="AC694" s="223"/>
      <c r="AD694" s="223"/>
      <c r="AE694" s="223"/>
      <c r="AF694" s="223"/>
      <c r="AG694" s="223"/>
      <c r="AH694" s="223"/>
      <c r="AI694" s="200"/>
      <c r="AJ694" s="200"/>
      <c r="AK694" s="522"/>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2"/>
      <c r="BF694" s="200"/>
      <c r="BG694" s="223"/>
      <c r="BH694" s="223"/>
      <c r="BI694" s="223"/>
      <c r="BJ694" s="223"/>
      <c r="BK694" s="223"/>
      <c r="BL694" s="223"/>
      <c r="BM694" s="200"/>
      <c r="BN694" s="200"/>
      <c r="BO694" s="522"/>
      <c r="BP694" s="200"/>
      <c r="BQ694" s="223"/>
      <c r="BR694" s="223"/>
      <c r="BS694" s="223"/>
      <c r="BT694" s="223"/>
      <c r="BU694" s="223"/>
      <c r="BV694" s="223"/>
      <c r="BW694" s="223"/>
      <c r="BX694" s="200"/>
      <c r="BY694" s="522"/>
      <c r="BZ694" s="200"/>
      <c r="CA694" s="223"/>
      <c r="CB694" s="223"/>
      <c r="CC694" s="223"/>
      <c r="CD694" s="223"/>
      <c r="CE694" s="223"/>
      <c r="CF694" s="223"/>
      <c r="CG694" s="200"/>
      <c r="CH694" s="200"/>
      <c r="CI694" s="522"/>
      <c r="CJ694" s="200"/>
      <c r="CK694" s="223"/>
      <c r="CL694" s="223"/>
      <c r="CM694" s="223"/>
      <c r="CN694" s="223"/>
      <c r="CO694" s="223"/>
      <c r="CP694" s="223"/>
      <c r="CQ694" s="200"/>
      <c r="CR694" s="200"/>
      <c r="CS694" s="522"/>
      <c r="CT694" s="200"/>
      <c r="CU694" s="223"/>
      <c r="CV694" s="223"/>
      <c r="CW694" s="223"/>
      <c r="CX694" s="223"/>
      <c r="CY694" s="223"/>
      <c r="CZ694" s="223"/>
      <c r="DA694" s="223"/>
      <c r="DB694" s="200"/>
      <c r="DC694" s="522"/>
      <c r="DD694" s="200"/>
      <c r="DE694" s="223"/>
      <c r="DF694" s="223"/>
      <c r="DG694" s="223"/>
      <c r="DH694" s="223"/>
      <c r="DI694" s="223"/>
      <c r="DJ694" s="223"/>
      <c r="DK694" s="200"/>
      <c r="DL694" s="200"/>
      <c r="DM694" s="522"/>
      <c r="DN694" s="200"/>
      <c r="DO694" s="223"/>
      <c r="DP694" s="223"/>
      <c r="DQ694" s="223"/>
      <c r="DR694" s="223"/>
      <c r="DS694" s="223"/>
      <c r="DT694" s="223"/>
      <c r="DU694" s="200"/>
      <c r="DV694" s="200"/>
      <c r="DW694" s="522"/>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2"/>
      <c r="R695" s="200"/>
      <c r="S695" s="223"/>
      <c r="T695" s="223"/>
      <c r="U695" s="223"/>
      <c r="V695" s="223"/>
      <c r="W695" s="223"/>
      <c r="X695" s="223"/>
      <c r="Y695" s="200"/>
      <c r="Z695" s="200"/>
      <c r="AA695" s="522"/>
      <c r="AB695" s="200"/>
      <c r="AC695" s="223"/>
      <c r="AD695" s="223"/>
      <c r="AE695" s="223"/>
      <c r="AF695" s="223"/>
      <c r="AG695" s="223"/>
      <c r="AH695" s="223"/>
      <c r="AI695" s="200"/>
      <c r="AJ695" s="200"/>
      <c r="AK695" s="522"/>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2"/>
      <c r="BF695" s="200"/>
      <c r="BG695" s="223"/>
      <c r="BH695" s="223"/>
      <c r="BI695" s="223"/>
      <c r="BJ695" s="223"/>
      <c r="BK695" s="223"/>
      <c r="BL695" s="223"/>
      <c r="BM695" s="200"/>
      <c r="BN695" s="200"/>
      <c r="BO695" s="522"/>
      <c r="BP695" s="200"/>
      <c r="BQ695" s="223"/>
      <c r="BR695" s="223"/>
      <c r="BS695" s="223"/>
      <c r="BT695" s="223"/>
      <c r="BU695" s="223"/>
      <c r="BV695" s="223"/>
      <c r="BW695" s="223"/>
      <c r="BX695" s="200"/>
      <c r="BY695" s="522"/>
      <c r="BZ695" s="200"/>
      <c r="CA695" s="223"/>
      <c r="CB695" s="223"/>
      <c r="CC695" s="223"/>
      <c r="CD695" s="223"/>
      <c r="CE695" s="223"/>
      <c r="CF695" s="223"/>
      <c r="CG695" s="200"/>
      <c r="CH695" s="200"/>
      <c r="CI695" s="522"/>
      <c r="CJ695" s="200"/>
      <c r="CK695" s="223"/>
      <c r="CL695" s="223"/>
      <c r="CM695" s="223"/>
      <c r="CN695" s="223"/>
      <c r="CO695" s="223"/>
      <c r="CP695" s="223"/>
      <c r="CQ695" s="200"/>
      <c r="CR695" s="200"/>
      <c r="CS695" s="522"/>
      <c r="CT695" s="200"/>
      <c r="CU695" s="223"/>
      <c r="CV695" s="223"/>
      <c r="CW695" s="223"/>
      <c r="CX695" s="223"/>
      <c r="CY695" s="223"/>
      <c r="CZ695" s="223"/>
      <c r="DA695" s="223"/>
      <c r="DB695" s="200"/>
      <c r="DC695" s="522"/>
      <c r="DD695" s="200"/>
      <c r="DE695" s="223"/>
      <c r="DF695" s="223"/>
      <c r="DG695" s="223"/>
      <c r="DH695" s="223"/>
      <c r="DI695" s="223"/>
      <c r="DJ695" s="223"/>
      <c r="DK695" s="200"/>
      <c r="DL695" s="200"/>
      <c r="DM695" s="522"/>
      <c r="DN695" s="200"/>
      <c r="DO695" s="223"/>
      <c r="DP695" s="223"/>
      <c r="DQ695" s="223"/>
      <c r="DR695" s="223"/>
      <c r="DS695" s="223"/>
      <c r="DT695" s="223"/>
      <c r="DU695" s="200"/>
      <c r="DV695" s="200"/>
      <c r="DW695" s="522"/>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2"/>
      <c r="R696" s="200"/>
      <c r="S696" s="223"/>
      <c r="T696" s="223"/>
      <c r="U696" s="223"/>
      <c r="V696" s="223"/>
      <c r="W696" s="223"/>
      <c r="X696" s="223"/>
      <c r="Y696" s="200"/>
      <c r="Z696" s="200"/>
      <c r="AA696" s="522"/>
      <c r="AB696" s="200"/>
      <c r="AC696" s="223"/>
      <c r="AD696" s="223"/>
      <c r="AE696" s="223"/>
      <c r="AF696" s="223"/>
      <c r="AG696" s="223"/>
      <c r="AH696" s="223"/>
      <c r="AI696" s="200"/>
      <c r="AJ696" s="200"/>
      <c r="AK696" s="522"/>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2"/>
      <c r="BF696" s="200"/>
      <c r="BG696" s="223"/>
      <c r="BH696" s="223"/>
      <c r="BI696" s="223"/>
      <c r="BJ696" s="223"/>
      <c r="BK696" s="223"/>
      <c r="BL696" s="223"/>
      <c r="BM696" s="200"/>
      <c r="BN696" s="200"/>
      <c r="BO696" s="522"/>
      <c r="BP696" s="200"/>
      <c r="BQ696" s="223"/>
      <c r="BR696" s="223"/>
      <c r="BS696" s="223"/>
      <c r="BT696" s="223"/>
      <c r="BU696" s="223"/>
      <c r="BV696" s="223"/>
      <c r="BW696" s="223"/>
      <c r="BX696" s="200"/>
      <c r="BY696" s="522"/>
      <c r="BZ696" s="200"/>
      <c r="CA696" s="223"/>
      <c r="CB696" s="223"/>
      <c r="CC696" s="223"/>
      <c r="CD696" s="223"/>
      <c r="CE696" s="223"/>
      <c r="CF696" s="223"/>
      <c r="CG696" s="200"/>
      <c r="CH696" s="200"/>
      <c r="CI696" s="522"/>
      <c r="CJ696" s="200"/>
      <c r="CK696" s="223"/>
      <c r="CL696" s="223"/>
      <c r="CM696" s="223"/>
      <c r="CN696" s="223"/>
      <c r="CO696" s="223"/>
      <c r="CP696" s="223"/>
      <c r="CQ696" s="200"/>
      <c r="CR696" s="200"/>
      <c r="CS696" s="522"/>
      <c r="CT696" s="200"/>
      <c r="CU696" s="223"/>
      <c r="CV696" s="223"/>
      <c r="CW696" s="223"/>
      <c r="CX696" s="223"/>
      <c r="CY696" s="223"/>
      <c r="CZ696" s="223"/>
      <c r="DA696" s="223"/>
      <c r="DB696" s="200"/>
      <c r="DC696" s="522"/>
      <c r="DD696" s="200"/>
      <c r="DE696" s="223"/>
      <c r="DF696" s="223"/>
      <c r="DG696" s="223"/>
      <c r="DH696" s="223"/>
      <c r="DI696" s="223"/>
      <c r="DJ696" s="223"/>
      <c r="DK696" s="200"/>
      <c r="DL696" s="200"/>
      <c r="DM696" s="522"/>
      <c r="DN696" s="200"/>
      <c r="DO696" s="223"/>
      <c r="DP696" s="223"/>
      <c r="DQ696" s="223"/>
      <c r="DR696" s="223"/>
      <c r="DS696" s="223"/>
      <c r="DT696" s="223"/>
      <c r="DU696" s="200"/>
      <c r="DV696" s="200"/>
      <c r="DW696" s="522"/>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2"/>
      <c r="R697" s="200"/>
      <c r="S697" s="223"/>
      <c r="T697" s="223"/>
      <c r="U697" s="223"/>
      <c r="V697" s="223"/>
      <c r="W697" s="223"/>
      <c r="X697" s="223"/>
      <c r="Y697" s="200"/>
      <c r="Z697" s="200"/>
      <c r="AA697" s="522"/>
      <c r="AB697" s="200"/>
      <c r="AC697" s="223"/>
      <c r="AD697" s="223"/>
      <c r="AE697" s="223"/>
      <c r="AF697" s="223"/>
      <c r="AG697" s="223"/>
      <c r="AH697" s="223"/>
      <c r="AI697" s="200"/>
      <c r="AJ697" s="200"/>
      <c r="AK697" s="522"/>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2"/>
      <c r="BF697" s="200"/>
      <c r="BG697" s="223"/>
      <c r="BH697" s="223"/>
      <c r="BI697" s="223"/>
      <c r="BJ697" s="223"/>
      <c r="BK697" s="223"/>
      <c r="BL697" s="223"/>
      <c r="BM697" s="200"/>
      <c r="BN697" s="200"/>
      <c r="BO697" s="522"/>
      <c r="BP697" s="200"/>
      <c r="BQ697" s="223"/>
      <c r="BR697" s="223"/>
      <c r="BS697" s="223"/>
      <c r="BT697" s="223"/>
      <c r="BU697" s="223"/>
      <c r="BV697" s="223"/>
      <c r="BW697" s="223"/>
      <c r="BX697" s="200"/>
      <c r="BY697" s="522"/>
      <c r="BZ697" s="200"/>
      <c r="CA697" s="223"/>
      <c r="CB697" s="223"/>
      <c r="CC697" s="223"/>
      <c r="CD697" s="223"/>
      <c r="CE697" s="223"/>
      <c r="CF697" s="223"/>
      <c r="CG697" s="200"/>
      <c r="CH697" s="200"/>
      <c r="CI697" s="522"/>
      <c r="CJ697" s="200"/>
      <c r="CK697" s="223"/>
      <c r="CL697" s="223"/>
      <c r="CM697" s="223"/>
      <c r="CN697" s="223"/>
      <c r="CO697" s="223"/>
      <c r="CP697" s="223"/>
      <c r="CQ697" s="200"/>
      <c r="CR697" s="200"/>
      <c r="CS697" s="522"/>
      <c r="CT697" s="200"/>
      <c r="CU697" s="223"/>
      <c r="CV697" s="223"/>
      <c r="CW697" s="223"/>
      <c r="CX697" s="223"/>
      <c r="CY697" s="223"/>
      <c r="CZ697" s="223"/>
      <c r="DA697" s="223"/>
      <c r="DB697" s="200"/>
      <c r="DC697" s="522"/>
      <c r="DD697" s="200"/>
      <c r="DE697" s="223"/>
      <c r="DF697" s="223"/>
      <c r="DG697" s="223"/>
      <c r="DH697" s="223"/>
      <c r="DI697" s="223"/>
      <c r="DJ697" s="223"/>
      <c r="DK697" s="200"/>
      <c r="DL697" s="200"/>
      <c r="DM697" s="522"/>
      <c r="DN697" s="200"/>
      <c r="DO697" s="223"/>
      <c r="DP697" s="223"/>
      <c r="DQ697" s="223"/>
      <c r="DR697" s="223"/>
      <c r="DS697" s="223"/>
      <c r="DT697" s="223"/>
      <c r="DU697" s="200"/>
      <c r="DV697" s="200"/>
      <c r="DW697" s="522"/>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2"/>
      <c r="R698" s="200"/>
      <c r="S698" s="223"/>
      <c r="T698" s="223"/>
      <c r="U698" s="223"/>
      <c r="V698" s="223"/>
      <c r="W698" s="223"/>
      <c r="X698" s="223"/>
      <c r="Y698" s="200"/>
      <c r="Z698" s="200"/>
      <c r="AA698" s="522"/>
      <c r="AB698" s="200"/>
      <c r="AC698" s="223"/>
      <c r="AD698" s="223"/>
      <c r="AE698" s="223"/>
      <c r="AF698" s="223"/>
      <c r="AG698" s="223"/>
      <c r="AH698" s="223"/>
      <c r="AI698" s="200"/>
      <c r="AJ698" s="200"/>
      <c r="AK698" s="522"/>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2"/>
      <c r="BF698" s="200"/>
      <c r="BG698" s="223"/>
      <c r="BH698" s="223"/>
      <c r="BI698" s="223"/>
      <c r="BJ698" s="223"/>
      <c r="BK698" s="223"/>
      <c r="BL698" s="223"/>
      <c r="BM698" s="200"/>
      <c r="BN698" s="200"/>
      <c r="BO698" s="522"/>
      <c r="BP698" s="200"/>
      <c r="BQ698" s="223"/>
      <c r="BR698" s="223"/>
      <c r="BS698" s="223"/>
      <c r="BT698" s="223"/>
      <c r="BU698" s="223"/>
      <c r="BV698" s="223"/>
      <c r="BW698" s="223"/>
      <c r="BX698" s="200"/>
      <c r="BY698" s="522"/>
      <c r="BZ698" s="200"/>
      <c r="CA698" s="223"/>
      <c r="CB698" s="223"/>
      <c r="CC698" s="223"/>
      <c r="CD698" s="223"/>
      <c r="CE698" s="223"/>
      <c r="CF698" s="223"/>
      <c r="CG698" s="200"/>
      <c r="CH698" s="200"/>
      <c r="CI698" s="522"/>
      <c r="CJ698" s="200"/>
      <c r="CK698" s="223"/>
      <c r="CL698" s="223"/>
      <c r="CM698" s="223"/>
      <c r="CN698" s="223"/>
      <c r="CO698" s="223"/>
      <c r="CP698" s="223"/>
      <c r="CQ698" s="200"/>
      <c r="CR698" s="200"/>
      <c r="CS698" s="522"/>
      <c r="CT698" s="200"/>
      <c r="CU698" s="223"/>
      <c r="CV698" s="223"/>
      <c r="CW698" s="223"/>
      <c r="CX698" s="223"/>
      <c r="CY698" s="223"/>
      <c r="CZ698" s="223"/>
      <c r="DA698" s="223"/>
      <c r="DB698" s="200"/>
      <c r="DC698" s="522"/>
      <c r="DD698" s="200"/>
      <c r="DE698" s="223"/>
      <c r="DF698" s="223"/>
      <c r="DG698" s="223"/>
      <c r="DH698" s="223"/>
      <c r="DI698" s="223"/>
      <c r="DJ698" s="223"/>
      <c r="DK698" s="200"/>
      <c r="DL698" s="200"/>
      <c r="DM698" s="522"/>
      <c r="DN698" s="200"/>
      <c r="DO698" s="223"/>
      <c r="DP698" s="223"/>
      <c r="DQ698" s="223"/>
      <c r="DR698" s="223"/>
      <c r="DS698" s="223"/>
      <c r="DT698" s="223"/>
      <c r="DU698" s="200"/>
      <c r="DV698" s="200"/>
      <c r="DW698" s="522"/>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2"/>
      <c r="R699" s="200"/>
      <c r="S699" s="223"/>
      <c r="T699" s="223"/>
      <c r="U699" s="223"/>
      <c r="V699" s="223"/>
      <c r="W699" s="223"/>
      <c r="X699" s="223"/>
      <c r="Y699" s="200"/>
      <c r="Z699" s="200"/>
      <c r="AA699" s="522"/>
      <c r="AB699" s="200"/>
      <c r="AC699" s="223"/>
      <c r="AD699" s="223"/>
      <c r="AE699" s="223"/>
      <c r="AF699" s="223"/>
      <c r="AG699" s="223"/>
      <c r="AH699" s="223"/>
      <c r="AI699" s="200"/>
      <c r="AJ699" s="200"/>
      <c r="AK699" s="522"/>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2"/>
      <c r="BF699" s="200"/>
      <c r="BG699" s="223"/>
      <c r="BH699" s="223"/>
      <c r="BI699" s="223"/>
      <c r="BJ699" s="223"/>
      <c r="BK699" s="223"/>
      <c r="BL699" s="223"/>
      <c r="BM699" s="200"/>
      <c r="BN699" s="200"/>
      <c r="BO699" s="522"/>
      <c r="BP699" s="200"/>
      <c r="BQ699" s="223"/>
      <c r="BR699" s="223"/>
      <c r="BS699" s="223"/>
      <c r="BT699" s="223"/>
      <c r="BU699" s="223"/>
      <c r="BV699" s="223"/>
      <c r="BW699" s="223"/>
      <c r="BX699" s="200"/>
      <c r="BY699" s="522"/>
      <c r="BZ699" s="200"/>
      <c r="CA699" s="223"/>
      <c r="CB699" s="223"/>
      <c r="CC699" s="223"/>
      <c r="CD699" s="223"/>
      <c r="CE699" s="223"/>
      <c r="CF699" s="223"/>
      <c r="CG699" s="200"/>
      <c r="CH699" s="200"/>
      <c r="CI699" s="522"/>
      <c r="CJ699" s="200"/>
      <c r="CK699" s="223"/>
      <c r="CL699" s="223"/>
      <c r="CM699" s="223"/>
      <c r="CN699" s="223"/>
      <c r="CO699" s="223"/>
      <c r="CP699" s="223"/>
      <c r="CQ699" s="200"/>
      <c r="CR699" s="200"/>
      <c r="CS699" s="522"/>
      <c r="CT699" s="200"/>
      <c r="CU699" s="223"/>
      <c r="CV699" s="223"/>
      <c r="CW699" s="223"/>
      <c r="CX699" s="223"/>
      <c r="CY699" s="223"/>
      <c r="CZ699" s="223"/>
      <c r="DA699" s="223"/>
      <c r="DB699" s="200"/>
      <c r="DC699" s="522"/>
      <c r="DD699" s="200"/>
      <c r="DE699" s="223"/>
      <c r="DF699" s="223"/>
      <c r="DG699" s="223"/>
      <c r="DH699" s="223"/>
      <c r="DI699" s="223"/>
      <c r="DJ699" s="223"/>
      <c r="DK699" s="200"/>
      <c r="DL699" s="200"/>
      <c r="DM699" s="522"/>
      <c r="DN699" s="200"/>
      <c r="DO699" s="223"/>
      <c r="DP699" s="223"/>
      <c r="DQ699" s="223"/>
      <c r="DR699" s="223"/>
      <c r="DS699" s="223"/>
      <c r="DT699" s="223"/>
      <c r="DU699" s="200"/>
      <c r="DV699" s="200"/>
      <c r="DW699" s="522"/>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2"/>
      <c r="R700" s="200"/>
      <c r="S700" s="223"/>
      <c r="T700" s="223"/>
      <c r="U700" s="223"/>
      <c r="V700" s="223"/>
      <c r="W700" s="223"/>
      <c r="X700" s="223"/>
      <c r="Y700" s="200"/>
      <c r="Z700" s="200"/>
      <c r="AA700" s="522"/>
      <c r="AB700" s="200"/>
      <c r="AC700" s="223"/>
      <c r="AD700" s="223"/>
      <c r="AE700" s="223"/>
      <c r="AF700" s="223"/>
      <c r="AG700" s="223"/>
      <c r="AH700" s="223"/>
      <c r="AI700" s="200"/>
      <c r="AJ700" s="200"/>
      <c r="AK700" s="522"/>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2"/>
      <c r="BF700" s="200"/>
      <c r="BG700" s="223"/>
      <c r="BH700" s="223"/>
      <c r="BI700" s="223"/>
      <c r="BJ700" s="223"/>
      <c r="BK700" s="223"/>
      <c r="BL700" s="223"/>
      <c r="BM700" s="200"/>
      <c r="BN700" s="200"/>
      <c r="BO700" s="522"/>
      <c r="BP700" s="200"/>
      <c r="BQ700" s="223"/>
      <c r="BR700" s="223"/>
      <c r="BS700" s="223"/>
      <c r="BT700" s="223"/>
      <c r="BU700" s="223"/>
      <c r="BV700" s="223"/>
      <c r="BW700" s="223"/>
      <c r="BX700" s="200"/>
      <c r="BY700" s="522"/>
      <c r="BZ700" s="200"/>
      <c r="CA700" s="223"/>
      <c r="CB700" s="223"/>
      <c r="CC700" s="223"/>
      <c r="CD700" s="223"/>
      <c r="CE700" s="223"/>
      <c r="CF700" s="223"/>
      <c r="CG700" s="200"/>
      <c r="CH700" s="200"/>
      <c r="CI700" s="522"/>
      <c r="CJ700" s="200"/>
      <c r="CK700" s="223"/>
      <c r="CL700" s="223"/>
      <c r="CM700" s="223"/>
      <c r="CN700" s="223"/>
      <c r="CO700" s="223"/>
      <c r="CP700" s="223"/>
      <c r="CQ700" s="200"/>
      <c r="CR700" s="200"/>
      <c r="CS700" s="522"/>
      <c r="CT700" s="200"/>
      <c r="CU700" s="223"/>
      <c r="CV700" s="223"/>
      <c r="CW700" s="223"/>
      <c r="CX700" s="223"/>
      <c r="CY700" s="223"/>
      <c r="CZ700" s="223"/>
      <c r="DA700" s="223"/>
      <c r="DB700" s="200"/>
      <c r="DC700" s="522"/>
      <c r="DD700" s="200"/>
      <c r="DE700" s="223"/>
      <c r="DF700" s="223"/>
      <c r="DG700" s="223"/>
      <c r="DH700" s="223"/>
      <c r="DI700" s="223"/>
      <c r="DJ700" s="223"/>
      <c r="DK700" s="200"/>
      <c r="DL700" s="200"/>
      <c r="DM700" s="522"/>
      <c r="DN700" s="200"/>
      <c r="DO700" s="223"/>
      <c r="DP700" s="223"/>
      <c r="DQ700" s="223"/>
      <c r="DR700" s="223"/>
      <c r="DS700" s="223"/>
      <c r="DT700" s="223"/>
      <c r="DU700" s="200"/>
      <c r="DV700" s="200"/>
      <c r="DW700" s="522"/>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2"/>
      <c r="R701" s="200"/>
      <c r="S701" s="223"/>
      <c r="T701" s="223"/>
      <c r="U701" s="223"/>
      <c r="V701" s="223"/>
      <c r="W701" s="223"/>
      <c r="X701" s="223"/>
      <c r="Y701" s="200"/>
      <c r="Z701" s="200"/>
      <c r="AA701" s="522"/>
      <c r="AB701" s="200"/>
      <c r="AC701" s="223"/>
      <c r="AD701" s="223"/>
      <c r="AE701" s="223"/>
      <c r="AF701" s="223"/>
      <c r="AG701" s="223"/>
      <c r="AH701" s="223"/>
      <c r="AI701" s="200"/>
      <c r="AJ701" s="200"/>
      <c r="AK701" s="522"/>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2"/>
      <c r="BF701" s="200"/>
      <c r="BG701" s="223"/>
      <c r="BH701" s="223"/>
      <c r="BI701" s="223"/>
      <c r="BJ701" s="223"/>
      <c r="BK701" s="223"/>
      <c r="BL701" s="223"/>
      <c r="BM701" s="200"/>
      <c r="BN701" s="200"/>
      <c r="BO701" s="522"/>
      <c r="BP701" s="200"/>
      <c r="BQ701" s="223"/>
      <c r="BR701" s="223"/>
      <c r="BS701" s="223"/>
      <c r="BT701" s="223"/>
      <c r="BU701" s="223"/>
      <c r="BV701" s="223"/>
      <c r="BW701" s="223"/>
      <c r="BX701" s="200"/>
      <c r="BY701" s="522"/>
      <c r="BZ701" s="200"/>
      <c r="CA701" s="223"/>
      <c r="CB701" s="223"/>
      <c r="CC701" s="223"/>
      <c r="CD701" s="223"/>
      <c r="CE701" s="223"/>
      <c r="CF701" s="223"/>
      <c r="CG701" s="200"/>
      <c r="CH701" s="200"/>
      <c r="CI701" s="522"/>
      <c r="CJ701" s="200"/>
      <c r="CK701" s="223"/>
      <c r="CL701" s="223"/>
      <c r="CM701" s="223"/>
      <c r="CN701" s="223"/>
      <c r="CO701" s="223"/>
      <c r="CP701" s="223"/>
      <c r="CQ701" s="200"/>
      <c r="CR701" s="200"/>
      <c r="CS701" s="522"/>
      <c r="CT701" s="200"/>
      <c r="CU701" s="223"/>
      <c r="CV701" s="223"/>
      <c r="CW701" s="223"/>
      <c r="CX701" s="223"/>
      <c r="CY701" s="223"/>
      <c r="CZ701" s="223"/>
      <c r="DA701" s="223"/>
      <c r="DB701" s="200"/>
      <c r="DC701" s="522"/>
      <c r="DD701" s="200"/>
      <c r="DE701" s="223"/>
      <c r="DF701" s="223"/>
      <c r="DG701" s="223"/>
      <c r="DH701" s="223"/>
      <c r="DI701" s="223"/>
      <c r="DJ701" s="223"/>
      <c r="DK701" s="200"/>
      <c r="DL701" s="200"/>
      <c r="DM701" s="522"/>
      <c r="DN701" s="200"/>
      <c r="DO701" s="223"/>
      <c r="DP701" s="223"/>
      <c r="DQ701" s="223"/>
      <c r="DR701" s="223"/>
      <c r="DS701" s="223"/>
      <c r="DT701" s="223"/>
      <c r="DU701" s="200"/>
      <c r="DV701" s="200"/>
      <c r="DW701" s="522"/>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2"/>
      <c r="R702" s="200"/>
      <c r="S702" s="223"/>
      <c r="T702" s="223"/>
      <c r="U702" s="223"/>
      <c r="V702" s="223"/>
      <c r="W702" s="223"/>
      <c r="X702" s="223"/>
      <c r="Y702" s="200"/>
      <c r="Z702" s="200"/>
      <c r="AA702" s="522"/>
      <c r="AB702" s="200"/>
      <c r="AC702" s="223"/>
      <c r="AD702" s="223"/>
      <c r="AE702" s="223"/>
      <c r="AF702" s="223"/>
      <c r="AG702" s="223"/>
      <c r="AH702" s="223"/>
      <c r="AI702" s="200"/>
      <c r="AJ702" s="200"/>
      <c r="AK702" s="522"/>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2"/>
      <c r="BF702" s="200"/>
      <c r="BG702" s="223"/>
      <c r="BH702" s="223"/>
      <c r="BI702" s="223"/>
      <c r="BJ702" s="223"/>
      <c r="BK702" s="223"/>
      <c r="BL702" s="223"/>
      <c r="BM702" s="200"/>
      <c r="BN702" s="200"/>
      <c r="BO702" s="522"/>
      <c r="BP702" s="200"/>
      <c r="BQ702" s="223"/>
      <c r="BR702" s="223"/>
      <c r="BS702" s="223"/>
      <c r="BT702" s="223"/>
      <c r="BU702" s="223"/>
      <c r="BV702" s="223"/>
      <c r="BW702" s="223"/>
      <c r="BX702" s="200"/>
      <c r="BY702" s="522"/>
      <c r="BZ702" s="200"/>
      <c r="CA702" s="223"/>
      <c r="CB702" s="223"/>
      <c r="CC702" s="223"/>
      <c r="CD702" s="223"/>
      <c r="CE702" s="223"/>
      <c r="CF702" s="223"/>
      <c r="CG702" s="200"/>
      <c r="CH702" s="200"/>
      <c r="CI702" s="522"/>
      <c r="CJ702" s="200"/>
      <c r="CK702" s="223"/>
      <c r="CL702" s="223"/>
      <c r="CM702" s="223"/>
      <c r="CN702" s="223"/>
      <c r="CO702" s="223"/>
      <c r="CP702" s="223"/>
      <c r="CQ702" s="200"/>
      <c r="CR702" s="200"/>
      <c r="CS702" s="522"/>
      <c r="CT702" s="200"/>
      <c r="CU702" s="223"/>
      <c r="CV702" s="223"/>
      <c r="CW702" s="223"/>
      <c r="CX702" s="223"/>
      <c r="CY702" s="223"/>
      <c r="CZ702" s="223"/>
      <c r="DA702" s="223"/>
      <c r="DB702" s="200"/>
      <c r="DC702" s="522"/>
      <c r="DD702" s="200"/>
      <c r="DE702" s="223"/>
      <c r="DF702" s="223"/>
      <c r="DG702" s="223"/>
      <c r="DH702" s="223"/>
      <c r="DI702" s="223"/>
      <c r="DJ702" s="223"/>
      <c r="DK702" s="200"/>
      <c r="DL702" s="200"/>
      <c r="DM702" s="522"/>
      <c r="DN702" s="200"/>
      <c r="DO702" s="223"/>
      <c r="DP702" s="223"/>
      <c r="DQ702" s="223"/>
      <c r="DR702" s="223"/>
      <c r="DS702" s="223"/>
      <c r="DT702" s="223"/>
      <c r="DU702" s="200"/>
      <c r="DV702" s="200"/>
      <c r="DW702" s="522"/>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2"/>
      <c r="R703" s="200"/>
      <c r="S703" s="223"/>
      <c r="T703" s="223"/>
      <c r="U703" s="223"/>
      <c r="V703" s="223"/>
      <c r="W703" s="223"/>
      <c r="X703" s="223"/>
      <c r="Y703" s="200"/>
      <c r="Z703" s="200"/>
      <c r="AA703" s="522"/>
      <c r="AB703" s="200"/>
      <c r="AC703" s="223"/>
      <c r="AD703" s="223"/>
      <c r="AE703" s="223"/>
      <c r="AF703" s="223"/>
      <c r="AG703" s="223"/>
      <c r="AH703" s="223"/>
      <c r="AI703" s="200"/>
      <c r="AJ703" s="200"/>
      <c r="AK703" s="522"/>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2"/>
      <c r="BF703" s="200"/>
      <c r="BG703" s="223"/>
      <c r="BH703" s="223"/>
      <c r="BI703" s="223"/>
      <c r="BJ703" s="223"/>
      <c r="BK703" s="223"/>
      <c r="BL703" s="223"/>
      <c r="BM703" s="200"/>
      <c r="BN703" s="200"/>
      <c r="BO703" s="522"/>
      <c r="BP703" s="200"/>
      <c r="BQ703" s="223"/>
      <c r="BR703" s="223"/>
      <c r="BS703" s="223"/>
      <c r="BT703" s="223"/>
      <c r="BU703" s="223"/>
      <c r="BV703" s="223"/>
      <c r="BW703" s="223"/>
      <c r="BX703" s="200"/>
      <c r="BY703" s="522"/>
      <c r="BZ703" s="200"/>
      <c r="CA703" s="223"/>
      <c r="CB703" s="223"/>
      <c r="CC703" s="223"/>
      <c r="CD703" s="223"/>
      <c r="CE703" s="223"/>
      <c r="CF703" s="223"/>
      <c r="CG703" s="200"/>
      <c r="CH703" s="200"/>
      <c r="CI703" s="522"/>
      <c r="CJ703" s="200"/>
      <c r="CK703" s="223"/>
      <c r="CL703" s="223"/>
      <c r="CM703" s="223"/>
      <c r="CN703" s="223"/>
      <c r="CO703" s="223"/>
      <c r="CP703" s="223"/>
      <c r="CQ703" s="200"/>
      <c r="CR703" s="200"/>
      <c r="CS703" s="522"/>
      <c r="CT703" s="200"/>
      <c r="CU703" s="223"/>
      <c r="CV703" s="223"/>
      <c r="CW703" s="223"/>
      <c r="CX703" s="223"/>
      <c r="CY703" s="223"/>
      <c r="CZ703" s="223"/>
      <c r="DA703" s="223"/>
      <c r="DB703" s="200"/>
      <c r="DC703" s="522"/>
      <c r="DD703" s="200"/>
      <c r="DE703" s="223"/>
      <c r="DF703" s="223"/>
      <c r="DG703" s="223"/>
      <c r="DH703" s="223"/>
      <c r="DI703" s="223"/>
      <c r="DJ703" s="223"/>
      <c r="DK703" s="200"/>
      <c r="DL703" s="200"/>
      <c r="DM703" s="522"/>
      <c r="DN703" s="200"/>
      <c r="DO703" s="223"/>
      <c r="DP703" s="223"/>
      <c r="DQ703" s="223"/>
      <c r="DR703" s="223"/>
      <c r="DS703" s="223"/>
      <c r="DT703" s="223"/>
      <c r="DU703" s="200"/>
      <c r="DV703" s="200"/>
      <c r="DW703" s="522"/>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2"/>
      <c r="R704" s="200"/>
      <c r="S704" s="223"/>
      <c r="T704" s="223"/>
      <c r="U704" s="223"/>
      <c r="V704" s="223"/>
      <c r="W704" s="223"/>
      <c r="X704" s="223"/>
      <c r="Y704" s="200"/>
      <c r="Z704" s="200"/>
      <c r="AA704" s="522"/>
      <c r="AB704" s="200"/>
      <c r="AC704" s="223"/>
      <c r="AD704" s="223"/>
      <c r="AE704" s="223"/>
      <c r="AF704" s="223"/>
      <c r="AG704" s="223"/>
      <c r="AH704" s="223"/>
      <c r="AI704" s="200"/>
      <c r="AJ704" s="200"/>
      <c r="AK704" s="522"/>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2"/>
      <c r="BF704" s="200"/>
      <c r="BG704" s="223"/>
      <c r="BH704" s="223"/>
      <c r="BI704" s="223"/>
      <c r="BJ704" s="223"/>
      <c r="BK704" s="223"/>
      <c r="BL704" s="223"/>
      <c r="BM704" s="200"/>
      <c r="BN704" s="200"/>
      <c r="BO704" s="522"/>
      <c r="BP704" s="200"/>
      <c r="BQ704" s="223"/>
      <c r="BR704" s="223"/>
      <c r="BS704" s="223"/>
      <c r="BT704" s="223"/>
      <c r="BU704" s="223"/>
      <c r="BV704" s="223"/>
      <c r="BW704" s="223"/>
      <c r="BX704" s="200"/>
      <c r="BY704" s="522"/>
      <c r="BZ704" s="200"/>
      <c r="CA704" s="223"/>
      <c r="CB704" s="223"/>
      <c r="CC704" s="223"/>
      <c r="CD704" s="223"/>
      <c r="CE704" s="223"/>
      <c r="CF704" s="223"/>
      <c r="CG704" s="200"/>
      <c r="CH704" s="200"/>
      <c r="CI704" s="522"/>
      <c r="CJ704" s="200"/>
      <c r="CK704" s="223"/>
      <c r="CL704" s="223"/>
      <c r="CM704" s="223"/>
      <c r="CN704" s="223"/>
      <c r="CO704" s="223"/>
      <c r="CP704" s="223"/>
      <c r="CQ704" s="200"/>
      <c r="CR704" s="200"/>
      <c r="CS704" s="522"/>
      <c r="CT704" s="200"/>
      <c r="CU704" s="223"/>
      <c r="CV704" s="223"/>
      <c r="CW704" s="223"/>
      <c r="CX704" s="223"/>
      <c r="CY704" s="223"/>
      <c r="CZ704" s="223"/>
      <c r="DA704" s="223"/>
      <c r="DB704" s="200"/>
      <c r="DC704" s="522"/>
      <c r="DD704" s="200"/>
      <c r="DE704" s="223"/>
      <c r="DF704" s="223"/>
      <c r="DG704" s="223"/>
      <c r="DH704" s="223"/>
      <c r="DI704" s="223"/>
      <c r="DJ704" s="223"/>
      <c r="DK704" s="200"/>
      <c r="DL704" s="200"/>
      <c r="DM704" s="522"/>
      <c r="DN704" s="200"/>
      <c r="DO704" s="223"/>
      <c r="DP704" s="223"/>
      <c r="DQ704" s="223"/>
      <c r="DR704" s="223"/>
      <c r="DS704" s="223"/>
      <c r="DT704" s="223"/>
      <c r="DU704" s="200"/>
      <c r="DV704" s="200"/>
      <c r="DW704" s="522"/>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2"/>
      <c r="R705" s="200"/>
      <c r="S705" s="223"/>
      <c r="T705" s="223"/>
      <c r="U705" s="223"/>
      <c r="V705" s="223"/>
      <c r="W705" s="223"/>
      <c r="X705" s="223"/>
      <c r="Y705" s="200"/>
      <c r="Z705" s="200"/>
      <c r="AA705" s="522"/>
      <c r="AB705" s="200"/>
      <c r="AC705" s="223"/>
      <c r="AD705" s="223"/>
      <c r="AE705" s="223"/>
      <c r="AF705" s="223"/>
      <c r="AG705" s="223"/>
      <c r="AH705" s="223"/>
      <c r="AI705" s="200"/>
      <c r="AJ705" s="200"/>
      <c r="AK705" s="522"/>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2"/>
      <c r="BF705" s="200"/>
      <c r="BG705" s="223"/>
      <c r="BH705" s="223"/>
      <c r="BI705" s="223"/>
      <c r="BJ705" s="223"/>
      <c r="BK705" s="223"/>
      <c r="BL705" s="223"/>
      <c r="BM705" s="200"/>
      <c r="BN705" s="200"/>
      <c r="BO705" s="522"/>
      <c r="BP705" s="200"/>
      <c r="BQ705" s="223"/>
      <c r="BR705" s="223"/>
      <c r="BS705" s="223"/>
      <c r="BT705" s="223"/>
      <c r="BU705" s="223"/>
      <c r="BV705" s="223"/>
      <c r="BW705" s="223"/>
      <c r="BX705" s="200"/>
      <c r="BY705" s="522"/>
      <c r="BZ705" s="200"/>
      <c r="CA705" s="223"/>
      <c r="CB705" s="223"/>
      <c r="CC705" s="223"/>
      <c r="CD705" s="223"/>
      <c r="CE705" s="223"/>
      <c r="CF705" s="223"/>
      <c r="CG705" s="200"/>
      <c r="CH705" s="200"/>
      <c r="CI705" s="522"/>
      <c r="CJ705" s="200"/>
      <c r="CK705" s="223"/>
      <c r="CL705" s="223"/>
      <c r="CM705" s="223"/>
      <c r="CN705" s="223"/>
      <c r="CO705" s="223"/>
      <c r="CP705" s="223"/>
      <c r="CQ705" s="200"/>
      <c r="CR705" s="200"/>
      <c r="CS705" s="522"/>
      <c r="CT705" s="200"/>
      <c r="CU705" s="223"/>
      <c r="CV705" s="223"/>
      <c r="CW705" s="223"/>
      <c r="CX705" s="223"/>
      <c r="CY705" s="223"/>
      <c r="CZ705" s="223"/>
      <c r="DA705" s="223"/>
      <c r="DB705" s="200"/>
      <c r="DC705" s="522"/>
      <c r="DD705" s="200"/>
      <c r="DE705" s="223"/>
      <c r="DF705" s="223"/>
      <c r="DG705" s="223"/>
      <c r="DH705" s="223"/>
      <c r="DI705" s="223"/>
      <c r="DJ705" s="223"/>
      <c r="DK705" s="200"/>
      <c r="DL705" s="200"/>
      <c r="DM705" s="522"/>
      <c r="DN705" s="200"/>
      <c r="DO705" s="223"/>
      <c r="DP705" s="223"/>
      <c r="DQ705" s="223"/>
      <c r="DR705" s="223"/>
      <c r="DS705" s="223"/>
      <c r="DT705" s="223"/>
      <c r="DU705" s="200"/>
      <c r="DV705" s="200"/>
      <c r="DW705" s="522"/>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2"/>
      <c r="R706" s="200"/>
      <c r="S706" s="223"/>
      <c r="T706" s="223"/>
      <c r="U706" s="223"/>
      <c r="V706" s="223"/>
      <c r="W706" s="223"/>
      <c r="X706" s="223"/>
      <c r="Y706" s="200"/>
      <c r="Z706" s="200"/>
      <c r="AA706" s="522"/>
      <c r="AB706" s="200"/>
      <c r="AC706" s="223"/>
      <c r="AD706" s="223"/>
      <c r="AE706" s="223"/>
      <c r="AF706" s="223"/>
      <c r="AG706" s="223"/>
      <c r="AH706" s="223"/>
      <c r="AI706" s="200"/>
      <c r="AJ706" s="200"/>
      <c r="AK706" s="522"/>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2"/>
      <c r="BF706" s="200"/>
      <c r="BG706" s="223"/>
      <c r="BH706" s="223"/>
      <c r="BI706" s="223"/>
      <c r="BJ706" s="223"/>
      <c r="BK706" s="223"/>
      <c r="BL706" s="223"/>
      <c r="BM706" s="200"/>
      <c r="BN706" s="200"/>
      <c r="BO706" s="522"/>
      <c r="BP706" s="200"/>
      <c r="BQ706" s="223"/>
      <c r="BR706" s="223"/>
      <c r="BS706" s="223"/>
      <c r="BT706" s="223"/>
      <c r="BU706" s="223"/>
      <c r="BV706" s="223"/>
      <c r="BW706" s="223"/>
      <c r="BX706" s="200"/>
      <c r="BY706" s="522"/>
      <c r="BZ706" s="200"/>
      <c r="CA706" s="223"/>
      <c r="CB706" s="223"/>
      <c r="CC706" s="223"/>
      <c r="CD706" s="223"/>
      <c r="CE706" s="223"/>
      <c r="CF706" s="223"/>
      <c r="CG706" s="200"/>
      <c r="CH706" s="200"/>
      <c r="CI706" s="522"/>
      <c r="CJ706" s="200"/>
      <c r="CK706" s="223"/>
      <c r="CL706" s="223"/>
      <c r="CM706" s="223"/>
      <c r="CN706" s="223"/>
      <c r="CO706" s="223"/>
      <c r="CP706" s="223"/>
      <c r="CQ706" s="200"/>
      <c r="CR706" s="200"/>
      <c r="CS706" s="522"/>
      <c r="CT706" s="200"/>
      <c r="CU706" s="223"/>
      <c r="CV706" s="223"/>
      <c r="CW706" s="223"/>
      <c r="CX706" s="223"/>
      <c r="CY706" s="223"/>
      <c r="CZ706" s="223"/>
      <c r="DA706" s="223"/>
      <c r="DB706" s="200"/>
      <c r="DC706" s="522"/>
      <c r="DD706" s="200"/>
      <c r="DE706" s="223"/>
      <c r="DF706" s="223"/>
      <c r="DG706" s="223"/>
      <c r="DH706" s="223"/>
      <c r="DI706" s="223"/>
      <c r="DJ706" s="223"/>
      <c r="DK706" s="200"/>
      <c r="DL706" s="200"/>
      <c r="DM706" s="522"/>
      <c r="DN706" s="200"/>
      <c r="DO706" s="223"/>
      <c r="DP706" s="223"/>
      <c r="DQ706" s="223"/>
      <c r="DR706" s="223"/>
      <c r="DS706" s="223"/>
      <c r="DT706" s="223"/>
      <c r="DU706" s="200"/>
      <c r="DV706" s="200"/>
      <c r="DW706" s="522"/>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2"/>
      <c r="R707" s="200"/>
      <c r="S707" s="223"/>
      <c r="T707" s="223"/>
      <c r="U707" s="223"/>
      <c r="V707" s="223"/>
      <c r="W707" s="223"/>
      <c r="X707" s="223"/>
      <c r="Y707" s="200"/>
      <c r="Z707" s="200"/>
      <c r="AA707" s="522"/>
      <c r="AB707" s="200"/>
      <c r="AC707" s="223"/>
      <c r="AD707" s="223"/>
      <c r="AE707" s="223"/>
      <c r="AF707" s="223"/>
      <c r="AG707" s="223"/>
      <c r="AH707" s="223"/>
      <c r="AI707" s="200"/>
      <c r="AJ707" s="200"/>
      <c r="AK707" s="522"/>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2"/>
      <c r="BF707" s="200"/>
      <c r="BG707" s="223"/>
      <c r="BH707" s="223"/>
      <c r="BI707" s="223"/>
      <c r="BJ707" s="223"/>
      <c r="BK707" s="223"/>
      <c r="BL707" s="223"/>
      <c r="BM707" s="200"/>
      <c r="BN707" s="200"/>
      <c r="BO707" s="522"/>
      <c r="BP707" s="200"/>
      <c r="BQ707" s="223"/>
      <c r="BR707" s="223"/>
      <c r="BS707" s="223"/>
      <c r="BT707" s="223"/>
      <c r="BU707" s="223"/>
      <c r="BV707" s="223"/>
      <c r="BW707" s="223"/>
      <c r="BX707" s="200"/>
      <c r="BY707" s="522"/>
      <c r="BZ707" s="200"/>
      <c r="CA707" s="223"/>
      <c r="CB707" s="223"/>
      <c r="CC707" s="223"/>
      <c r="CD707" s="223"/>
      <c r="CE707" s="223"/>
      <c r="CF707" s="223"/>
      <c r="CG707" s="200"/>
      <c r="CH707" s="200"/>
      <c r="CI707" s="522"/>
      <c r="CJ707" s="200"/>
      <c r="CK707" s="223"/>
      <c r="CL707" s="223"/>
      <c r="CM707" s="223"/>
      <c r="CN707" s="223"/>
      <c r="CO707" s="223"/>
      <c r="CP707" s="223"/>
      <c r="CQ707" s="200"/>
      <c r="CR707" s="200"/>
      <c r="CS707" s="522"/>
      <c r="CT707" s="200"/>
      <c r="CU707" s="223"/>
      <c r="CV707" s="223"/>
      <c r="CW707" s="223"/>
      <c r="CX707" s="223"/>
      <c r="CY707" s="223"/>
      <c r="CZ707" s="223"/>
      <c r="DA707" s="223"/>
      <c r="DB707" s="200"/>
      <c r="DC707" s="522"/>
      <c r="DD707" s="200"/>
      <c r="DE707" s="223"/>
      <c r="DF707" s="223"/>
      <c r="DG707" s="223"/>
      <c r="DH707" s="223"/>
      <c r="DI707" s="223"/>
      <c r="DJ707" s="223"/>
      <c r="DK707" s="200"/>
      <c r="DL707" s="200"/>
      <c r="DM707" s="522"/>
      <c r="DN707" s="200"/>
      <c r="DO707" s="223"/>
      <c r="DP707" s="223"/>
      <c r="DQ707" s="223"/>
      <c r="DR707" s="223"/>
      <c r="DS707" s="223"/>
      <c r="DT707" s="223"/>
      <c r="DU707" s="200"/>
      <c r="DV707" s="200"/>
      <c r="DW707" s="522"/>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2"/>
      <c r="R708" s="200"/>
      <c r="S708" s="223"/>
      <c r="T708" s="223"/>
      <c r="U708" s="223"/>
      <c r="V708" s="223"/>
      <c r="W708" s="223"/>
      <c r="X708" s="223"/>
      <c r="Y708" s="200"/>
      <c r="Z708" s="200"/>
      <c r="AA708" s="522"/>
      <c r="AB708" s="200"/>
      <c r="AC708" s="223"/>
      <c r="AD708" s="223"/>
      <c r="AE708" s="223"/>
      <c r="AF708" s="223"/>
      <c r="AG708" s="223"/>
      <c r="AH708" s="223"/>
      <c r="AI708" s="200"/>
      <c r="AJ708" s="200"/>
      <c r="AK708" s="522"/>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2"/>
      <c r="BF708" s="200"/>
      <c r="BG708" s="223"/>
      <c r="BH708" s="223"/>
      <c r="BI708" s="223"/>
      <c r="BJ708" s="223"/>
      <c r="BK708" s="223"/>
      <c r="BL708" s="223"/>
      <c r="BM708" s="200"/>
      <c r="BN708" s="200"/>
      <c r="BO708" s="522"/>
      <c r="BP708" s="200"/>
      <c r="BQ708" s="223"/>
      <c r="BR708" s="223"/>
      <c r="BS708" s="223"/>
      <c r="BT708" s="223"/>
      <c r="BU708" s="223"/>
      <c r="BV708" s="223"/>
      <c r="BW708" s="223"/>
      <c r="BX708" s="200"/>
      <c r="BY708" s="522"/>
      <c r="BZ708" s="200"/>
      <c r="CA708" s="223"/>
      <c r="CB708" s="223"/>
      <c r="CC708" s="223"/>
      <c r="CD708" s="223"/>
      <c r="CE708" s="223"/>
      <c r="CF708" s="223"/>
      <c r="CG708" s="200"/>
      <c r="CH708" s="200"/>
      <c r="CI708" s="522"/>
      <c r="CJ708" s="200"/>
      <c r="CK708" s="223"/>
      <c r="CL708" s="223"/>
      <c r="CM708" s="223"/>
      <c r="CN708" s="223"/>
      <c r="CO708" s="223"/>
      <c r="CP708" s="223"/>
      <c r="CQ708" s="200"/>
      <c r="CR708" s="200"/>
      <c r="CS708" s="522"/>
      <c r="CT708" s="200"/>
      <c r="CU708" s="223"/>
      <c r="CV708" s="223"/>
      <c r="CW708" s="223"/>
      <c r="CX708" s="223"/>
      <c r="CY708" s="223"/>
      <c r="CZ708" s="223"/>
      <c r="DA708" s="223"/>
      <c r="DB708" s="200"/>
      <c r="DC708" s="522"/>
      <c r="DD708" s="200"/>
      <c r="DE708" s="223"/>
      <c r="DF708" s="223"/>
      <c r="DG708" s="223"/>
      <c r="DH708" s="223"/>
      <c r="DI708" s="223"/>
      <c r="DJ708" s="223"/>
      <c r="DK708" s="200"/>
      <c r="DL708" s="200"/>
      <c r="DM708" s="522"/>
      <c r="DN708" s="200"/>
      <c r="DO708" s="223"/>
      <c r="DP708" s="223"/>
      <c r="DQ708" s="223"/>
      <c r="DR708" s="223"/>
      <c r="DS708" s="223"/>
      <c r="DT708" s="223"/>
      <c r="DU708" s="200"/>
      <c r="DV708" s="200"/>
      <c r="DW708" s="522"/>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2"/>
      <c r="R709" s="200"/>
      <c r="S709" s="223"/>
      <c r="T709" s="223"/>
      <c r="U709" s="223"/>
      <c r="V709" s="223"/>
      <c r="W709" s="223"/>
      <c r="X709" s="223"/>
      <c r="Y709" s="200"/>
      <c r="Z709" s="200"/>
      <c r="AA709" s="522"/>
      <c r="AB709" s="200"/>
      <c r="AC709" s="223"/>
      <c r="AD709" s="223"/>
      <c r="AE709" s="223"/>
      <c r="AF709" s="223"/>
      <c r="AG709" s="223"/>
      <c r="AH709" s="223"/>
      <c r="AI709" s="200"/>
      <c r="AJ709" s="200"/>
      <c r="AK709" s="522"/>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2"/>
      <c r="BF709" s="200"/>
      <c r="BG709" s="223"/>
      <c r="BH709" s="223"/>
      <c r="BI709" s="223"/>
      <c r="BJ709" s="223"/>
      <c r="BK709" s="223"/>
      <c r="BL709" s="223"/>
      <c r="BM709" s="200"/>
      <c r="BN709" s="200"/>
      <c r="BO709" s="522"/>
      <c r="BP709" s="200"/>
      <c r="BQ709" s="223"/>
      <c r="BR709" s="223"/>
      <c r="BS709" s="223"/>
      <c r="BT709" s="223"/>
      <c r="BU709" s="223"/>
      <c r="BV709" s="223"/>
      <c r="BW709" s="223"/>
      <c r="BX709" s="200"/>
      <c r="BY709" s="522"/>
      <c r="BZ709" s="200"/>
      <c r="CA709" s="223"/>
      <c r="CB709" s="223"/>
      <c r="CC709" s="223"/>
      <c r="CD709" s="223"/>
      <c r="CE709" s="223"/>
      <c r="CF709" s="223"/>
      <c r="CG709" s="200"/>
      <c r="CH709" s="200"/>
      <c r="CI709" s="522"/>
      <c r="CJ709" s="200"/>
      <c r="CK709" s="223"/>
      <c r="CL709" s="223"/>
      <c r="CM709" s="223"/>
      <c r="CN709" s="223"/>
      <c r="CO709" s="223"/>
      <c r="CP709" s="223"/>
      <c r="CQ709" s="200"/>
      <c r="CR709" s="200"/>
      <c r="CS709" s="522"/>
      <c r="CT709" s="200"/>
      <c r="CU709" s="223"/>
      <c r="CV709" s="223"/>
      <c r="CW709" s="223"/>
      <c r="CX709" s="223"/>
      <c r="CY709" s="223"/>
      <c r="CZ709" s="223"/>
      <c r="DA709" s="223"/>
      <c r="DB709" s="200"/>
      <c r="DC709" s="522"/>
      <c r="DD709" s="200"/>
      <c r="DE709" s="223"/>
      <c r="DF709" s="223"/>
      <c r="DG709" s="223"/>
      <c r="DH709" s="223"/>
      <c r="DI709" s="223"/>
      <c r="DJ709" s="223"/>
      <c r="DK709" s="200"/>
      <c r="DL709" s="200"/>
      <c r="DM709" s="522"/>
      <c r="DN709" s="200"/>
      <c r="DO709" s="223"/>
      <c r="DP709" s="223"/>
      <c r="DQ709" s="223"/>
      <c r="DR709" s="223"/>
      <c r="DS709" s="223"/>
      <c r="DT709" s="223"/>
      <c r="DU709" s="200"/>
      <c r="DV709" s="200"/>
      <c r="DW709" s="522"/>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2"/>
      <c r="R710" s="200"/>
      <c r="S710" s="223"/>
      <c r="T710" s="223"/>
      <c r="U710" s="223"/>
      <c r="V710" s="223"/>
      <c r="W710" s="223"/>
      <c r="X710" s="223"/>
      <c r="Y710" s="200"/>
      <c r="Z710" s="200"/>
      <c r="AA710" s="522"/>
      <c r="AB710" s="200"/>
      <c r="AC710" s="223"/>
      <c r="AD710" s="223"/>
      <c r="AE710" s="223"/>
      <c r="AF710" s="223"/>
      <c r="AG710" s="223"/>
      <c r="AH710" s="223"/>
      <c r="AI710" s="200"/>
      <c r="AJ710" s="200"/>
      <c r="AK710" s="522"/>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2"/>
      <c r="BF710" s="200"/>
      <c r="BG710" s="223"/>
      <c r="BH710" s="223"/>
      <c r="BI710" s="223"/>
      <c r="BJ710" s="223"/>
      <c r="BK710" s="223"/>
      <c r="BL710" s="223"/>
      <c r="BM710" s="200"/>
      <c r="BN710" s="200"/>
      <c r="BO710" s="522"/>
      <c r="BP710" s="200"/>
      <c r="BQ710" s="223"/>
      <c r="BR710" s="223"/>
      <c r="BS710" s="223"/>
      <c r="BT710" s="223"/>
      <c r="BU710" s="223"/>
      <c r="BV710" s="223"/>
      <c r="BW710" s="223"/>
      <c r="BX710" s="200"/>
      <c r="BY710" s="522"/>
      <c r="BZ710" s="200"/>
      <c r="CA710" s="223"/>
      <c r="CB710" s="223"/>
      <c r="CC710" s="223"/>
      <c r="CD710" s="223"/>
      <c r="CE710" s="223"/>
      <c r="CF710" s="223"/>
      <c r="CG710" s="200"/>
      <c r="CH710" s="200"/>
      <c r="CI710" s="522"/>
      <c r="CJ710" s="200"/>
      <c r="CK710" s="223"/>
      <c r="CL710" s="223"/>
      <c r="CM710" s="223"/>
      <c r="CN710" s="223"/>
      <c r="CO710" s="223"/>
      <c r="CP710" s="223"/>
      <c r="CQ710" s="200"/>
      <c r="CR710" s="200"/>
      <c r="CS710" s="522"/>
      <c r="CT710" s="200"/>
      <c r="CU710" s="223"/>
      <c r="CV710" s="223"/>
      <c r="CW710" s="223"/>
      <c r="CX710" s="223"/>
      <c r="CY710" s="223"/>
      <c r="CZ710" s="223"/>
      <c r="DA710" s="223"/>
      <c r="DB710" s="200"/>
      <c r="DC710" s="522"/>
      <c r="DD710" s="200"/>
      <c r="DE710" s="223"/>
      <c r="DF710" s="223"/>
      <c r="DG710" s="223"/>
      <c r="DH710" s="223"/>
      <c r="DI710" s="223"/>
      <c r="DJ710" s="223"/>
      <c r="DK710" s="200"/>
      <c r="DL710" s="200"/>
      <c r="DM710" s="522"/>
      <c r="DN710" s="200"/>
      <c r="DO710" s="223"/>
      <c r="DP710" s="223"/>
      <c r="DQ710" s="223"/>
      <c r="DR710" s="223"/>
      <c r="DS710" s="223"/>
      <c r="DT710" s="223"/>
      <c r="DU710" s="200"/>
      <c r="DV710" s="200"/>
      <c r="DW710" s="522"/>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2"/>
      <c r="R711" s="200"/>
      <c r="S711" s="223"/>
      <c r="T711" s="223"/>
      <c r="U711" s="223"/>
      <c r="V711" s="223"/>
      <c r="W711" s="223"/>
      <c r="X711" s="223"/>
      <c r="Y711" s="200"/>
      <c r="Z711" s="200"/>
      <c r="AA711" s="522"/>
      <c r="AB711" s="200"/>
      <c r="AC711" s="223"/>
      <c r="AD711" s="223"/>
      <c r="AE711" s="223"/>
      <c r="AF711" s="223"/>
      <c r="AG711" s="223"/>
      <c r="AH711" s="223"/>
      <c r="AI711" s="200"/>
      <c r="AJ711" s="200"/>
      <c r="AK711" s="522"/>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2"/>
      <c r="BF711" s="200"/>
      <c r="BG711" s="223"/>
      <c r="BH711" s="223"/>
      <c r="BI711" s="223"/>
      <c r="BJ711" s="223"/>
      <c r="BK711" s="223"/>
      <c r="BL711" s="223"/>
      <c r="BM711" s="200"/>
      <c r="BN711" s="200"/>
      <c r="BO711" s="522"/>
      <c r="BP711" s="200"/>
      <c r="BQ711" s="223"/>
      <c r="BR711" s="223"/>
      <c r="BS711" s="223"/>
      <c r="BT711" s="223"/>
      <c r="BU711" s="223"/>
      <c r="BV711" s="223"/>
      <c r="BW711" s="223"/>
      <c r="BX711" s="200"/>
      <c r="BY711" s="522"/>
      <c r="BZ711" s="200"/>
      <c r="CA711" s="223"/>
      <c r="CB711" s="223"/>
      <c r="CC711" s="223"/>
      <c r="CD711" s="223"/>
      <c r="CE711" s="223"/>
      <c r="CF711" s="223"/>
      <c r="CG711" s="200"/>
      <c r="CH711" s="200"/>
      <c r="CI711" s="522"/>
      <c r="CJ711" s="200"/>
      <c r="CK711" s="223"/>
      <c r="CL711" s="223"/>
      <c r="CM711" s="223"/>
      <c r="CN711" s="223"/>
      <c r="CO711" s="223"/>
      <c r="CP711" s="223"/>
      <c r="CQ711" s="200"/>
      <c r="CR711" s="200"/>
      <c r="CS711" s="522"/>
      <c r="CT711" s="200"/>
      <c r="CU711" s="223"/>
      <c r="CV711" s="223"/>
      <c r="CW711" s="223"/>
      <c r="CX711" s="223"/>
      <c r="CY711" s="223"/>
      <c r="CZ711" s="223"/>
      <c r="DA711" s="223"/>
      <c r="DB711" s="200"/>
      <c r="DC711" s="522"/>
      <c r="DD711" s="200"/>
      <c r="DE711" s="223"/>
      <c r="DF711" s="223"/>
      <c r="DG711" s="223"/>
      <c r="DH711" s="223"/>
      <c r="DI711" s="223"/>
      <c r="DJ711" s="223"/>
      <c r="DK711" s="200"/>
      <c r="DL711" s="200"/>
      <c r="DM711" s="522"/>
      <c r="DN711" s="200"/>
      <c r="DO711" s="223"/>
      <c r="DP711" s="223"/>
      <c r="DQ711" s="223"/>
      <c r="DR711" s="223"/>
      <c r="DS711" s="223"/>
      <c r="DT711" s="223"/>
      <c r="DU711" s="200"/>
      <c r="DV711" s="200"/>
      <c r="DW711" s="522"/>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2"/>
      <c r="R712" s="200"/>
      <c r="S712" s="223"/>
      <c r="T712" s="223"/>
      <c r="U712" s="223"/>
      <c r="V712" s="223"/>
      <c r="W712" s="223"/>
      <c r="X712" s="223"/>
      <c r="Y712" s="200"/>
      <c r="Z712" s="200"/>
      <c r="AA712" s="522"/>
      <c r="AB712" s="200"/>
      <c r="AC712" s="223"/>
      <c r="AD712" s="223"/>
      <c r="AE712" s="223"/>
      <c r="AF712" s="223"/>
      <c r="AG712" s="223"/>
      <c r="AH712" s="223"/>
      <c r="AI712" s="200"/>
      <c r="AJ712" s="200"/>
      <c r="AK712" s="522"/>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2"/>
      <c r="BF712" s="200"/>
      <c r="BG712" s="223"/>
      <c r="BH712" s="223"/>
      <c r="BI712" s="223"/>
      <c r="BJ712" s="223"/>
      <c r="BK712" s="223"/>
      <c r="BL712" s="223"/>
      <c r="BM712" s="200"/>
      <c r="BN712" s="200"/>
      <c r="BO712" s="522"/>
      <c r="BP712" s="200"/>
      <c r="BQ712" s="223"/>
      <c r="BR712" s="223"/>
      <c r="BS712" s="223"/>
      <c r="BT712" s="223"/>
      <c r="BU712" s="223"/>
      <c r="BV712" s="223"/>
      <c r="BW712" s="223"/>
      <c r="BX712" s="200"/>
      <c r="BY712" s="522"/>
      <c r="BZ712" s="200"/>
      <c r="CA712" s="223"/>
      <c r="CB712" s="223"/>
      <c r="CC712" s="223"/>
      <c r="CD712" s="223"/>
      <c r="CE712" s="223"/>
      <c r="CF712" s="223"/>
      <c r="CG712" s="200"/>
      <c r="CH712" s="200"/>
      <c r="CI712" s="522"/>
      <c r="CJ712" s="200"/>
      <c r="CK712" s="223"/>
      <c r="CL712" s="223"/>
      <c r="CM712" s="223"/>
      <c r="CN712" s="223"/>
      <c r="CO712" s="223"/>
      <c r="CP712" s="223"/>
      <c r="CQ712" s="200"/>
      <c r="CR712" s="200"/>
      <c r="CS712" s="522"/>
      <c r="CT712" s="200"/>
      <c r="CU712" s="223"/>
      <c r="CV712" s="223"/>
      <c r="CW712" s="223"/>
      <c r="CX712" s="223"/>
      <c r="CY712" s="223"/>
      <c r="CZ712" s="223"/>
      <c r="DA712" s="223"/>
      <c r="DB712" s="200"/>
      <c r="DC712" s="522"/>
      <c r="DD712" s="200"/>
      <c r="DE712" s="223"/>
      <c r="DF712" s="223"/>
      <c r="DG712" s="223"/>
      <c r="DH712" s="223"/>
      <c r="DI712" s="223"/>
      <c r="DJ712" s="223"/>
      <c r="DK712" s="200"/>
      <c r="DL712" s="200"/>
      <c r="DM712" s="522"/>
      <c r="DN712" s="200"/>
      <c r="DO712" s="223"/>
      <c r="DP712" s="223"/>
      <c r="DQ712" s="223"/>
      <c r="DR712" s="223"/>
      <c r="DS712" s="223"/>
      <c r="DT712" s="223"/>
      <c r="DU712" s="200"/>
      <c r="DV712" s="200"/>
      <c r="DW712" s="522"/>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2"/>
      <c r="R713" s="200"/>
      <c r="S713" s="223"/>
      <c r="T713" s="223"/>
      <c r="U713" s="223"/>
      <c r="V713" s="223"/>
      <c r="W713" s="223"/>
      <c r="X713" s="223"/>
      <c r="Y713" s="200"/>
      <c r="Z713" s="200"/>
      <c r="AA713" s="522"/>
      <c r="AB713" s="200"/>
      <c r="AC713" s="223"/>
      <c r="AD713" s="223"/>
      <c r="AE713" s="223"/>
      <c r="AF713" s="223"/>
      <c r="AG713" s="223"/>
      <c r="AH713" s="223"/>
      <c r="AI713" s="200"/>
      <c r="AJ713" s="200"/>
      <c r="AK713" s="522"/>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2"/>
      <c r="BF713" s="200"/>
      <c r="BG713" s="223"/>
      <c r="BH713" s="223"/>
      <c r="BI713" s="223"/>
      <c r="BJ713" s="223"/>
      <c r="BK713" s="223"/>
      <c r="BL713" s="223"/>
      <c r="BM713" s="200"/>
      <c r="BN713" s="200"/>
      <c r="BO713" s="522"/>
      <c r="BP713" s="200"/>
      <c r="BQ713" s="223"/>
      <c r="BR713" s="223"/>
      <c r="BS713" s="223"/>
      <c r="BT713" s="223"/>
      <c r="BU713" s="223"/>
      <c r="BV713" s="223"/>
      <c r="BW713" s="223"/>
      <c r="BX713" s="200"/>
      <c r="BY713" s="522"/>
      <c r="BZ713" s="200"/>
      <c r="CA713" s="223"/>
      <c r="CB713" s="223"/>
      <c r="CC713" s="223"/>
      <c r="CD713" s="223"/>
      <c r="CE713" s="223"/>
      <c r="CF713" s="223"/>
      <c r="CG713" s="200"/>
      <c r="CH713" s="200"/>
      <c r="CI713" s="522"/>
      <c r="CJ713" s="200"/>
      <c r="CK713" s="223"/>
      <c r="CL713" s="223"/>
      <c r="CM713" s="223"/>
      <c r="CN713" s="223"/>
      <c r="CO713" s="223"/>
      <c r="CP713" s="223"/>
      <c r="CQ713" s="200"/>
      <c r="CR713" s="200"/>
      <c r="CS713" s="522"/>
      <c r="CT713" s="200"/>
      <c r="CU713" s="223"/>
      <c r="CV713" s="223"/>
      <c r="CW713" s="223"/>
      <c r="CX713" s="223"/>
      <c r="CY713" s="223"/>
      <c r="CZ713" s="223"/>
      <c r="DA713" s="223"/>
      <c r="DB713" s="200"/>
      <c r="DC713" s="522"/>
      <c r="DD713" s="200"/>
      <c r="DE713" s="223"/>
      <c r="DF713" s="223"/>
      <c r="DG713" s="223"/>
      <c r="DH713" s="223"/>
      <c r="DI713" s="223"/>
      <c r="DJ713" s="223"/>
      <c r="DK713" s="200"/>
      <c r="DL713" s="200"/>
      <c r="DM713" s="522"/>
      <c r="DN713" s="200"/>
      <c r="DO713" s="223"/>
      <c r="DP713" s="223"/>
      <c r="DQ713" s="223"/>
      <c r="DR713" s="223"/>
      <c r="DS713" s="223"/>
      <c r="DT713" s="223"/>
      <c r="DU713" s="200"/>
      <c r="DV713" s="200"/>
      <c r="DW713" s="522"/>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2"/>
      <c r="R714" s="200"/>
      <c r="S714" s="223"/>
      <c r="T714" s="223"/>
      <c r="U714" s="223"/>
      <c r="V714" s="223"/>
      <c r="W714" s="223"/>
      <c r="X714" s="223"/>
      <c r="Y714" s="200"/>
      <c r="Z714" s="200"/>
      <c r="AA714" s="522"/>
      <c r="AB714" s="200"/>
      <c r="AC714" s="223"/>
      <c r="AD714" s="223"/>
      <c r="AE714" s="223"/>
      <c r="AF714" s="223"/>
      <c r="AG714" s="223"/>
      <c r="AH714" s="223"/>
      <c r="AI714" s="200"/>
      <c r="AJ714" s="200"/>
      <c r="AK714" s="522"/>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2"/>
      <c r="BF714" s="200"/>
      <c r="BG714" s="223"/>
      <c r="BH714" s="223"/>
      <c r="BI714" s="223"/>
      <c r="BJ714" s="223"/>
      <c r="BK714" s="223"/>
      <c r="BL714" s="223"/>
      <c r="BM714" s="200"/>
      <c r="BN714" s="200"/>
      <c r="BO714" s="522"/>
      <c r="BP714" s="200"/>
      <c r="BQ714" s="223"/>
      <c r="BR714" s="223"/>
      <c r="BS714" s="223"/>
      <c r="BT714" s="223"/>
      <c r="BU714" s="223"/>
      <c r="BV714" s="223"/>
      <c r="BW714" s="223"/>
      <c r="BX714" s="200"/>
      <c r="BY714" s="522"/>
      <c r="BZ714" s="200"/>
      <c r="CA714" s="223"/>
      <c r="CB714" s="223"/>
      <c r="CC714" s="223"/>
      <c r="CD714" s="223"/>
      <c r="CE714" s="223"/>
      <c r="CF714" s="223"/>
      <c r="CG714" s="200"/>
      <c r="CH714" s="200"/>
      <c r="CI714" s="522"/>
      <c r="CJ714" s="200"/>
      <c r="CK714" s="223"/>
      <c r="CL714" s="223"/>
      <c r="CM714" s="223"/>
      <c r="CN714" s="223"/>
      <c r="CO714" s="223"/>
      <c r="CP714" s="223"/>
      <c r="CQ714" s="200"/>
      <c r="CR714" s="200"/>
      <c r="CS714" s="522"/>
      <c r="CT714" s="200"/>
      <c r="CU714" s="223"/>
      <c r="CV714" s="223"/>
      <c r="CW714" s="223"/>
      <c r="CX714" s="223"/>
      <c r="CY714" s="223"/>
      <c r="CZ714" s="223"/>
      <c r="DA714" s="223"/>
      <c r="DB714" s="200"/>
      <c r="DC714" s="522"/>
      <c r="DD714" s="200"/>
      <c r="DE714" s="223"/>
      <c r="DF714" s="223"/>
      <c r="DG714" s="223"/>
      <c r="DH714" s="223"/>
      <c r="DI714" s="223"/>
      <c r="DJ714" s="223"/>
      <c r="DK714" s="200"/>
      <c r="DL714" s="200"/>
      <c r="DM714" s="522"/>
      <c r="DN714" s="200"/>
      <c r="DO714" s="223"/>
      <c r="DP714" s="223"/>
      <c r="DQ714" s="223"/>
      <c r="DR714" s="223"/>
      <c r="DS714" s="223"/>
      <c r="DT714" s="223"/>
      <c r="DU714" s="200"/>
      <c r="DV714" s="200"/>
      <c r="DW714" s="522"/>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2"/>
      <c r="R715" s="200"/>
      <c r="S715" s="223"/>
      <c r="T715" s="223"/>
      <c r="U715" s="223"/>
      <c r="V715" s="223"/>
      <c r="W715" s="223"/>
      <c r="X715" s="223"/>
      <c r="Y715" s="200"/>
      <c r="Z715" s="200"/>
      <c r="AA715" s="522"/>
      <c r="AB715" s="200"/>
      <c r="AC715" s="223"/>
      <c r="AD715" s="223"/>
      <c r="AE715" s="223"/>
      <c r="AF715" s="223"/>
      <c r="AG715" s="223"/>
      <c r="AH715" s="223"/>
      <c r="AI715" s="200"/>
      <c r="AJ715" s="200"/>
      <c r="AK715" s="522"/>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2"/>
      <c r="BF715" s="200"/>
      <c r="BG715" s="223"/>
      <c r="BH715" s="223"/>
      <c r="BI715" s="223"/>
      <c r="BJ715" s="223"/>
      <c r="BK715" s="223"/>
      <c r="BL715" s="223"/>
      <c r="BM715" s="200"/>
      <c r="BN715" s="200"/>
      <c r="BO715" s="522"/>
      <c r="BP715" s="200"/>
      <c r="BQ715" s="223"/>
      <c r="BR715" s="223"/>
      <c r="BS715" s="223"/>
      <c r="BT715" s="223"/>
      <c r="BU715" s="223"/>
      <c r="BV715" s="223"/>
      <c r="BW715" s="223"/>
      <c r="BX715" s="200"/>
      <c r="BY715" s="522"/>
      <c r="BZ715" s="200"/>
      <c r="CA715" s="223"/>
      <c r="CB715" s="223"/>
      <c r="CC715" s="223"/>
      <c r="CD715" s="223"/>
      <c r="CE715" s="223"/>
      <c r="CF715" s="223"/>
      <c r="CG715" s="200"/>
      <c r="CH715" s="200"/>
      <c r="CI715" s="522"/>
      <c r="CJ715" s="200"/>
      <c r="CK715" s="223"/>
      <c r="CL715" s="223"/>
      <c r="CM715" s="223"/>
      <c r="CN715" s="223"/>
      <c r="CO715" s="223"/>
      <c r="CP715" s="223"/>
      <c r="CQ715" s="200"/>
      <c r="CR715" s="200"/>
      <c r="CS715" s="522"/>
      <c r="CT715" s="200"/>
      <c r="CU715" s="223"/>
      <c r="CV715" s="223"/>
      <c r="CW715" s="223"/>
      <c r="CX715" s="223"/>
      <c r="CY715" s="223"/>
      <c r="CZ715" s="223"/>
      <c r="DA715" s="223"/>
      <c r="DB715" s="200"/>
      <c r="DC715" s="522"/>
      <c r="DD715" s="200"/>
      <c r="DE715" s="223"/>
      <c r="DF715" s="223"/>
      <c r="DG715" s="223"/>
      <c r="DH715" s="223"/>
      <c r="DI715" s="223"/>
      <c r="DJ715" s="223"/>
      <c r="DK715" s="200"/>
      <c r="DL715" s="200"/>
      <c r="DM715" s="522"/>
      <c r="DN715" s="200"/>
      <c r="DO715" s="223"/>
      <c r="DP715" s="223"/>
      <c r="DQ715" s="223"/>
      <c r="DR715" s="223"/>
      <c r="DS715" s="223"/>
      <c r="DT715" s="223"/>
      <c r="DU715" s="200"/>
      <c r="DV715" s="200"/>
      <c r="DW715" s="522"/>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2"/>
      <c r="R716" s="200"/>
      <c r="S716" s="223"/>
      <c r="T716" s="223"/>
      <c r="U716" s="223"/>
      <c r="V716" s="223"/>
      <c r="W716" s="223"/>
      <c r="X716" s="223"/>
      <c r="Y716" s="200"/>
      <c r="Z716" s="200"/>
      <c r="AA716" s="522"/>
      <c r="AB716" s="200"/>
      <c r="AC716" s="223"/>
      <c r="AD716" s="223"/>
      <c r="AE716" s="223"/>
      <c r="AF716" s="223"/>
      <c r="AG716" s="223"/>
      <c r="AH716" s="223"/>
      <c r="AI716" s="200"/>
      <c r="AJ716" s="200"/>
      <c r="AK716" s="522"/>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2"/>
      <c r="BF716" s="200"/>
      <c r="BG716" s="223"/>
      <c r="BH716" s="223"/>
      <c r="BI716" s="223"/>
      <c r="BJ716" s="223"/>
      <c r="BK716" s="223"/>
      <c r="BL716" s="223"/>
      <c r="BM716" s="200"/>
      <c r="BN716" s="200"/>
      <c r="BO716" s="522"/>
      <c r="BP716" s="200"/>
      <c r="BQ716" s="223"/>
      <c r="BR716" s="223"/>
      <c r="BS716" s="223"/>
      <c r="BT716" s="223"/>
      <c r="BU716" s="223"/>
      <c r="BV716" s="223"/>
      <c r="BW716" s="223"/>
      <c r="BX716" s="200"/>
      <c r="BY716" s="522"/>
      <c r="BZ716" s="200"/>
      <c r="CA716" s="223"/>
      <c r="CB716" s="223"/>
      <c r="CC716" s="223"/>
      <c r="CD716" s="223"/>
      <c r="CE716" s="223"/>
      <c r="CF716" s="223"/>
      <c r="CG716" s="200"/>
      <c r="CH716" s="200"/>
      <c r="CI716" s="522"/>
      <c r="CJ716" s="200"/>
      <c r="CK716" s="223"/>
      <c r="CL716" s="223"/>
      <c r="CM716" s="223"/>
      <c r="CN716" s="223"/>
      <c r="CO716" s="223"/>
      <c r="CP716" s="223"/>
      <c r="CQ716" s="200"/>
      <c r="CR716" s="200"/>
      <c r="CS716" s="522"/>
      <c r="CT716" s="200"/>
      <c r="CU716" s="223"/>
      <c r="CV716" s="223"/>
      <c r="CW716" s="223"/>
      <c r="CX716" s="223"/>
      <c r="CY716" s="223"/>
      <c r="CZ716" s="223"/>
      <c r="DA716" s="223"/>
      <c r="DB716" s="200"/>
      <c r="DC716" s="522"/>
      <c r="DD716" s="200"/>
      <c r="DE716" s="223"/>
      <c r="DF716" s="223"/>
      <c r="DG716" s="223"/>
      <c r="DH716" s="223"/>
      <c r="DI716" s="223"/>
      <c r="DJ716" s="223"/>
      <c r="DK716" s="200"/>
      <c r="DL716" s="200"/>
      <c r="DM716" s="522"/>
      <c r="DN716" s="200"/>
      <c r="DO716" s="223"/>
      <c r="DP716" s="223"/>
      <c r="DQ716" s="223"/>
      <c r="DR716" s="223"/>
      <c r="DS716" s="223"/>
      <c r="DT716" s="223"/>
      <c r="DU716" s="200"/>
      <c r="DV716" s="200"/>
      <c r="DW716" s="522"/>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2"/>
      <c r="R717" s="200"/>
      <c r="S717" s="223"/>
      <c r="T717" s="223"/>
      <c r="U717" s="223"/>
      <c r="V717" s="223"/>
      <c r="W717" s="223"/>
      <c r="X717" s="223"/>
      <c r="Y717" s="200"/>
      <c r="Z717" s="200"/>
      <c r="AA717" s="522"/>
      <c r="AB717" s="200"/>
      <c r="AC717" s="223"/>
      <c r="AD717" s="223"/>
      <c r="AE717" s="223"/>
      <c r="AF717" s="223"/>
      <c r="AG717" s="223"/>
      <c r="AH717" s="223"/>
      <c r="AI717" s="200"/>
      <c r="AJ717" s="200"/>
      <c r="AK717" s="522"/>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2"/>
      <c r="BF717" s="200"/>
      <c r="BG717" s="223"/>
      <c r="BH717" s="223"/>
      <c r="BI717" s="223"/>
      <c r="BJ717" s="223"/>
      <c r="BK717" s="223"/>
      <c r="BL717" s="223"/>
      <c r="BM717" s="200"/>
      <c r="BN717" s="200"/>
      <c r="BO717" s="522"/>
      <c r="BP717" s="200"/>
      <c r="BQ717" s="223"/>
      <c r="BR717" s="223"/>
      <c r="BS717" s="223"/>
      <c r="BT717" s="223"/>
      <c r="BU717" s="223"/>
      <c r="BV717" s="223"/>
      <c r="BW717" s="223"/>
      <c r="BX717" s="200"/>
      <c r="BY717" s="522"/>
      <c r="BZ717" s="200"/>
      <c r="CA717" s="223"/>
      <c r="CB717" s="223"/>
      <c r="CC717" s="223"/>
      <c r="CD717" s="223"/>
      <c r="CE717" s="223"/>
      <c r="CF717" s="223"/>
      <c r="CG717" s="200"/>
      <c r="CH717" s="200"/>
      <c r="CI717" s="522"/>
      <c r="CJ717" s="200"/>
      <c r="CK717" s="223"/>
      <c r="CL717" s="223"/>
      <c r="CM717" s="223"/>
      <c r="CN717" s="223"/>
      <c r="CO717" s="223"/>
      <c r="CP717" s="223"/>
      <c r="CQ717" s="200"/>
      <c r="CR717" s="200"/>
      <c r="CS717" s="522"/>
      <c r="CT717" s="200"/>
      <c r="CU717" s="223"/>
      <c r="CV717" s="223"/>
      <c r="CW717" s="223"/>
      <c r="CX717" s="223"/>
      <c r="CY717" s="223"/>
      <c r="CZ717" s="223"/>
      <c r="DA717" s="223"/>
      <c r="DB717" s="200"/>
      <c r="DC717" s="522"/>
      <c r="DD717" s="200"/>
      <c r="DE717" s="223"/>
      <c r="DF717" s="223"/>
      <c r="DG717" s="223"/>
      <c r="DH717" s="223"/>
      <c r="DI717" s="223"/>
      <c r="DJ717" s="223"/>
      <c r="DK717" s="200"/>
      <c r="DL717" s="200"/>
      <c r="DM717" s="522"/>
      <c r="DN717" s="200"/>
      <c r="DO717" s="223"/>
      <c r="DP717" s="223"/>
      <c r="DQ717" s="223"/>
      <c r="DR717" s="223"/>
      <c r="DS717" s="223"/>
      <c r="DT717" s="223"/>
      <c r="DU717" s="200"/>
      <c r="DV717" s="200"/>
      <c r="DW717" s="522"/>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2"/>
      <c r="R718" s="200"/>
      <c r="S718" s="223"/>
      <c r="T718" s="223"/>
      <c r="U718" s="223"/>
      <c r="V718" s="223"/>
      <c r="W718" s="223"/>
      <c r="X718" s="223"/>
      <c r="Y718" s="200"/>
      <c r="Z718" s="200"/>
      <c r="AA718" s="522"/>
      <c r="AB718" s="200"/>
      <c r="AC718" s="223"/>
      <c r="AD718" s="223"/>
      <c r="AE718" s="223"/>
      <c r="AF718" s="223"/>
      <c r="AG718" s="223"/>
      <c r="AH718" s="223"/>
      <c r="AI718" s="200"/>
      <c r="AJ718" s="200"/>
      <c r="AK718" s="522"/>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2"/>
      <c r="BF718" s="200"/>
      <c r="BG718" s="223"/>
      <c r="BH718" s="223"/>
      <c r="BI718" s="223"/>
      <c r="BJ718" s="223"/>
      <c r="BK718" s="223"/>
      <c r="BL718" s="223"/>
      <c r="BM718" s="200"/>
      <c r="BN718" s="200"/>
      <c r="BO718" s="522"/>
      <c r="BP718" s="200"/>
      <c r="BQ718" s="223"/>
      <c r="BR718" s="223"/>
      <c r="BS718" s="223"/>
      <c r="BT718" s="223"/>
      <c r="BU718" s="223"/>
      <c r="BV718" s="223"/>
      <c r="BW718" s="223"/>
      <c r="BX718" s="200"/>
      <c r="BY718" s="522"/>
      <c r="BZ718" s="200"/>
      <c r="CA718" s="223"/>
      <c r="CB718" s="223"/>
      <c r="CC718" s="223"/>
      <c r="CD718" s="223"/>
      <c r="CE718" s="223"/>
      <c r="CF718" s="223"/>
      <c r="CG718" s="200"/>
      <c r="CH718" s="200"/>
      <c r="CI718" s="522"/>
      <c r="CJ718" s="200"/>
      <c r="CK718" s="223"/>
      <c r="CL718" s="223"/>
      <c r="CM718" s="223"/>
      <c r="CN718" s="223"/>
      <c r="CO718" s="223"/>
      <c r="CP718" s="223"/>
      <c r="CQ718" s="200"/>
      <c r="CR718" s="200"/>
      <c r="CS718" s="522"/>
      <c r="CT718" s="200"/>
      <c r="CU718" s="223"/>
      <c r="CV718" s="223"/>
      <c r="CW718" s="223"/>
      <c r="CX718" s="223"/>
      <c r="CY718" s="223"/>
      <c r="CZ718" s="223"/>
      <c r="DA718" s="223"/>
      <c r="DB718" s="200"/>
      <c r="DC718" s="522"/>
      <c r="DD718" s="200"/>
      <c r="DE718" s="223"/>
      <c r="DF718" s="223"/>
      <c r="DG718" s="223"/>
      <c r="DH718" s="223"/>
      <c r="DI718" s="223"/>
      <c r="DJ718" s="223"/>
      <c r="DK718" s="200"/>
      <c r="DL718" s="200"/>
      <c r="DM718" s="522"/>
      <c r="DN718" s="200"/>
      <c r="DO718" s="223"/>
      <c r="DP718" s="223"/>
      <c r="DQ718" s="223"/>
      <c r="DR718" s="223"/>
      <c r="DS718" s="223"/>
      <c r="DT718" s="223"/>
      <c r="DU718" s="200"/>
      <c r="DV718" s="200"/>
      <c r="DW718" s="522"/>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2"/>
      <c r="R719" s="200"/>
      <c r="S719" s="223"/>
      <c r="T719" s="223"/>
      <c r="U719" s="223"/>
      <c r="V719" s="223"/>
      <c r="W719" s="223"/>
      <c r="X719" s="223"/>
      <c r="Y719" s="200"/>
      <c r="Z719" s="200"/>
      <c r="AA719" s="522"/>
      <c r="AB719" s="200"/>
      <c r="AC719" s="223"/>
      <c r="AD719" s="223"/>
      <c r="AE719" s="223"/>
      <c r="AF719" s="223"/>
      <c r="AG719" s="223"/>
      <c r="AH719" s="223"/>
      <c r="AI719" s="200"/>
      <c r="AJ719" s="200"/>
      <c r="AK719" s="522"/>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2"/>
      <c r="BF719" s="200"/>
      <c r="BG719" s="223"/>
      <c r="BH719" s="223"/>
      <c r="BI719" s="223"/>
      <c r="BJ719" s="223"/>
      <c r="BK719" s="223"/>
      <c r="BL719" s="223"/>
      <c r="BM719" s="200"/>
      <c r="BN719" s="200"/>
      <c r="BO719" s="522"/>
      <c r="BP719" s="200"/>
      <c r="BQ719" s="223"/>
      <c r="BR719" s="223"/>
      <c r="BS719" s="223"/>
      <c r="BT719" s="223"/>
      <c r="BU719" s="223"/>
      <c r="BV719" s="223"/>
      <c r="BW719" s="223"/>
      <c r="BX719" s="200"/>
      <c r="BY719" s="522"/>
      <c r="BZ719" s="200"/>
      <c r="CA719" s="223"/>
      <c r="CB719" s="223"/>
      <c r="CC719" s="223"/>
      <c r="CD719" s="223"/>
      <c r="CE719" s="223"/>
      <c r="CF719" s="223"/>
      <c r="CG719" s="200"/>
      <c r="CH719" s="200"/>
      <c r="CI719" s="522"/>
      <c r="CJ719" s="200"/>
      <c r="CK719" s="223"/>
      <c r="CL719" s="223"/>
      <c r="CM719" s="223"/>
      <c r="CN719" s="223"/>
      <c r="CO719" s="223"/>
      <c r="CP719" s="223"/>
      <c r="CQ719" s="200"/>
      <c r="CR719" s="200"/>
      <c r="CS719" s="522"/>
      <c r="CT719" s="200"/>
      <c r="CU719" s="223"/>
      <c r="CV719" s="223"/>
      <c r="CW719" s="223"/>
      <c r="CX719" s="223"/>
      <c r="CY719" s="223"/>
      <c r="CZ719" s="223"/>
      <c r="DA719" s="223"/>
      <c r="DB719" s="200"/>
      <c r="DC719" s="522"/>
      <c r="DD719" s="200"/>
      <c r="DE719" s="223"/>
      <c r="DF719" s="223"/>
      <c r="DG719" s="223"/>
      <c r="DH719" s="223"/>
      <c r="DI719" s="223"/>
      <c r="DJ719" s="223"/>
      <c r="DK719" s="200"/>
      <c r="DL719" s="200"/>
      <c r="DM719" s="522"/>
      <c r="DN719" s="200"/>
      <c r="DO719" s="223"/>
      <c r="DP719" s="223"/>
      <c r="DQ719" s="223"/>
      <c r="DR719" s="223"/>
      <c r="DS719" s="223"/>
      <c r="DT719" s="223"/>
      <c r="DU719" s="200"/>
      <c r="DV719" s="200"/>
      <c r="DW719" s="522"/>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2"/>
      <c r="R720" s="200"/>
      <c r="S720" s="223"/>
      <c r="T720" s="223"/>
      <c r="U720" s="223"/>
      <c r="V720" s="223"/>
      <c r="W720" s="223"/>
      <c r="X720" s="223"/>
      <c r="Y720" s="200"/>
      <c r="Z720" s="200"/>
      <c r="AA720" s="522"/>
      <c r="AB720" s="200"/>
      <c r="AC720" s="223"/>
      <c r="AD720" s="223"/>
      <c r="AE720" s="223"/>
      <c r="AF720" s="223"/>
      <c r="AG720" s="223"/>
      <c r="AH720" s="223"/>
      <c r="AI720" s="200"/>
      <c r="AJ720" s="200"/>
      <c r="AK720" s="522"/>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2"/>
      <c r="BF720" s="200"/>
      <c r="BG720" s="223"/>
      <c r="BH720" s="223"/>
      <c r="BI720" s="223"/>
      <c r="BJ720" s="223"/>
      <c r="BK720" s="223"/>
      <c r="BL720" s="223"/>
      <c r="BM720" s="200"/>
      <c r="BN720" s="200"/>
      <c r="BO720" s="522"/>
      <c r="BP720" s="200"/>
      <c r="BQ720" s="223"/>
      <c r="BR720" s="223"/>
      <c r="BS720" s="223"/>
      <c r="BT720" s="223"/>
      <c r="BU720" s="223"/>
      <c r="BV720" s="223"/>
      <c r="BW720" s="223"/>
      <c r="BX720" s="200"/>
      <c r="BY720" s="522"/>
      <c r="BZ720" s="200"/>
      <c r="CA720" s="223"/>
      <c r="CB720" s="223"/>
      <c r="CC720" s="223"/>
      <c r="CD720" s="223"/>
      <c r="CE720" s="223"/>
      <c r="CF720" s="223"/>
      <c r="CG720" s="200"/>
      <c r="CH720" s="200"/>
      <c r="CI720" s="522"/>
      <c r="CJ720" s="200"/>
      <c r="CK720" s="223"/>
      <c r="CL720" s="223"/>
      <c r="CM720" s="223"/>
      <c r="CN720" s="223"/>
      <c r="CO720" s="223"/>
      <c r="CP720" s="223"/>
      <c r="CQ720" s="200"/>
      <c r="CR720" s="200"/>
      <c r="CS720" s="522"/>
      <c r="CT720" s="200"/>
      <c r="CU720" s="223"/>
      <c r="CV720" s="223"/>
      <c r="CW720" s="223"/>
      <c r="CX720" s="223"/>
      <c r="CY720" s="223"/>
      <c r="CZ720" s="223"/>
      <c r="DA720" s="223"/>
      <c r="DB720" s="200"/>
      <c r="DC720" s="522"/>
      <c r="DD720" s="200"/>
      <c r="DE720" s="223"/>
      <c r="DF720" s="223"/>
      <c r="DG720" s="223"/>
      <c r="DH720" s="223"/>
      <c r="DI720" s="223"/>
      <c r="DJ720" s="223"/>
      <c r="DK720" s="200"/>
      <c r="DL720" s="200"/>
      <c r="DM720" s="522"/>
      <c r="DN720" s="200"/>
      <c r="DO720" s="223"/>
      <c r="DP720" s="223"/>
      <c r="DQ720" s="223"/>
      <c r="DR720" s="223"/>
      <c r="DS720" s="223"/>
      <c r="DT720" s="223"/>
      <c r="DU720" s="200"/>
      <c r="DV720" s="200"/>
      <c r="DW720" s="522"/>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2"/>
      <c r="R721" s="200"/>
      <c r="S721" s="223"/>
      <c r="T721" s="223"/>
      <c r="U721" s="223"/>
      <c r="V721" s="223"/>
      <c r="W721" s="223"/>
      <c r="X721" s="223"/>
      <c r="Y721" s="200"/>
      <c r="Z721" s="200"/>
      <c r="AA721" s="522"/>
      <c r="AB721" s="200"/>
      <c r="AC721" s="223"/>
      <c r="AD721" s="223"/>
      <c r="AE721" s="223"/>
      <c r="AF721" s="223"/>
      <c r="AG721" s="223"/>
      <c r="AH721" s="223"/>
      <c r="AI721" s="200"/>
      <c r="AJ721" s="200"/>
      <c r="AK721" s="522"/>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2"/>
      <c r="BF721" s="200"/>
      <c r="BG721" s="223"/>
      <c r="BH721" s="223"/>
      <c r="BI721" s="223"/>
      <c r="BJ721" s="223"/>
      <c r="BK721" s="223"/>
      <c r="BL721" s="223"/>
      <c r="BM721" s="200"/>
      <c r="BN721" s="200"/>
      <c r="BO721" s="522"/>
      <c r="BP721" s="200"/>
      <c r="BQ721" s="223"/>
      <c r="BR721" s="223"/>
      <c r="BS721" s="223"/>
      <c r="BT721" s="223"/>
      <c r="BU721" s="223"/>
      <c r="BV721" s="223"/>
      <c r="BW721" s="223"/>
      <c r="BX721" s="200"/>
      <c r="BY721" s="522"/>
      <c r="BZ721" s="200"/>
      <c r="CA721" s="223"/>
      <c r="CB721" s="223"/>
      <c r="CC721" s="223"/>
      <c r="CD721" s="223"/>
      <c r="CE721" s="223"/>
      <c r="CF721" s="223"/>
      <c r="CG721" s="200"/>
      <c r="CH721" s="200"/>
      <c r="CI721" s="522"/>
      <c r="CJ721" s="200"/>
      <c r="CK721" s="223"/>
      <c r="CL721" s="223"/>
      <c r="CM721" s="223"/>
      <c r="CN721" s="223"/>
      <c r="CO721" s="223"/>
      <c r="CP721" s="223"/>
      <c r="CQ721" s="200"/>
      <c r="CR721" s="200"/>
      <c r="CS721" s="522"/>
      <c r="CT721" s="200"/>
      <c r="CU721" s="223"/>
      <c r="CV721" s="223"/>
      <c r="CW721" s="223"/>
      <c r="CX721" s="223"/>
      <c r="CY721" s="223"/>
      <c r="CZ721" s="223"/>
      <c r="DA721" s="223"/>
      <c r="DB721" s="200"/>
      <c r="DC721" s="522"/>
      <c r="DD721" s="200"/>
      <c r="DE721" s="223"/>
      <c r="DF721" s="223"/>
      <c r="DG721" s="223"/>
      <c r="DH721" s="223"/>
      <c r="DI721" s="223"/>
      <c r="DJ721" s="223"/>
      <c r="DK721" s="200"/>
      <c r="DL721" s="200"/>
      <c r="DM721" s="522"/>
      <c r="DN721" s="200"/>
      <c r="DO721" s="223"/>
      <c r="DP721" s="223"/>
      <c r="DQ721" s="223"/>
      <c r="DR721" s="223"/>
      <c r="DS721" s="223"/>
      <c r="DT721" s="223"/>
      <c r="DU721" s="200"/>
      <c r="DV721" s="200"/>
      <c r="DW721" s="522"/>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2"/>
      <c r="R722" s="200"/>
      <c r="S722" s="223"/>
      <c r="T722" s="223"/>
      <c r="U722" s="223"/>
      <c r="V722" s="223"/>
      <c r="W722" s="223"/>
      <c r="X722" s="223"/>
      <c r="Y722" s="200"/>
      <c r="Z722" s="200"/>
      <c r="AA722" s="522"/>
      <c r="AB722" s="200"/>
      <c r="AC722" s="223"/>
      <c r="AD722" s="223"/>
      <c r="AE722" s="223"/>
      <c r="AF722" s="223"/>
      <c r="AG722" s="223"/>
      <c r="AH722" s="223"/>
      <c r="AI722" s="200"/>
      <c r="AJ722" s="200"/>
      <c r="AK722" s="522"/>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2"/>
      <c r="BF722" s="200"/>
      <c r="BG722" s="223"/>
      <c r="BH722" s="223"/>
      <c r="BI722" s="223"/>
      <c r="BJ722" s="223"/>
      <c r="BK722" s="223"/>
      <c r="BL722" s="223"/>
      <c r="BM722" s="200"/>
      <c r="BN722" s="200"/>
      <c r="BO722" s="522"/>
      <c r="BP722" s="200"/>
      <c r="BQ722" s="223"/>
      <c r="BR722" s="223"/>
      <c r="BS722" s="223"/>
      <c r="BT722" s="223"/>
      <c r="BU722" s="223"/>
      <c r="BV722" s="223"/>
      <c r="BW722" s="223"/>
      <c r="BX722" s="200"/>
      <c r="BY722" s="522"/>
      <c r="BZ722" s="200"/>
      <c r="CA722" s="223"/>
      <c r="CB722" s="223"/>
      <c r="CC722" s="223"/>
      <c r="CD722" s="223"/>
      <c r="CE722" s="223"/>
      <c r="CF722" s="223"/>
      <c r="CG722" s="200"/>
      <c r="CH722" s="200"/>
      <c r="CI722" s="522"/>
      <c r="CJ722" s="200"/>
      <c r="CK722" s="223"/>
      <c r="CL722" s="223"/>
      <c r="CM722" s="223"/>
      <c r="CN722" s="223"/>
      <c r="CO722" s="223"/>
      <c r="CP722" s="223"/>
      <c r="CQ722" s="200"/>
      <c r="CR722" s="200"/>
      <c r="CS722" s="522"/>
      <c r="CT722" s="200"/>
      <c r="CU722" s="223"/>
      <c r="CV722" s="223"/>
      <c r="CW722" s="223"/>
      <c r="CX722" s="223"/>
      <c r="CY722" s="223"/>
      <c r="CZ722" s="223"/>
      <c r="DA722" s="223"/>
      <c r="DB722" s="200"/>
      <c r="DC722" s="522"/>
      <c r="DD722" s="200"/>
      <c r="DE722" s="223"/>
      <c r="DF722" s="223"/>
      <c r="DG722" s="223"/>
      <c r="DH722" s="223"/>
      <c r="DI722" s="223"/>
      <c r="DJ722" s="223"/>
      <c r="DK722" s="200"/>
      <c r="DL722" s="200"/>
      <c r="DM722" s="522"/>
      <c r="DN722" s="200"/>
      <c r="DO722" s="223"/>
      <c r="DP722" s="223"/>
      <c r="DQ722" s="223"/>
      <c r="DR722" s="223"/>
      <c r="DS722" s="223"/>
      <c r="DT722" s="223"/>
      <c r="DU722" s="200"/>
      <c r="DV722" s="200"/>
      <c r="DW722" s="522"/>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2"/>
      <c r="R723" s="200"/>
      <c r="S723" s="223"/>
      <c r="T723" s="223"/>
      <c r="U723" s="223"/>
      <c r="V723" s="223"/>
      <c r="W723" s="223"/>
      <c r="X723" s="223"/>
      <c r="Y723" s="200"/>
      <c r="Z723" s="200"/>
      <c r="AA723" s="522"/>
      <c r="AB723" s="200"/>
      <c r="AC723" s="223"/>
      <c r="AD723" s="223"/>
      <c r="AE723" s="223"/>
      <c r="AF723" s="223"/>
      <c r="AG723" s="223"/>
      <c r="AH723" s="223"/>
      <c r="AI723" s="200"/>
      <c r="AJ723" s="200"/>
      <c r="AK723" s="522"/>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2"/>
      <c r="BF723" s="200"/>
      <c r="BG723" s="223"/>
      <c r="BH723" s="223"/>
      <c r="BI723" s="223"/>
      <c r="BJ723" s="223"/>
      <c r="BK723" s="223"/>
      <c r="BL723" s="223"/>
      <c r="BM723" s="200"/>
      <c r="BN723" s="200"/>
      <c r="BO723" s="522"/>
      <c r="BP723" s="200"/>
      <c r="BQ723" s="223"/>
      <c r="BR723" s="223"/>
      <c r="BS723" s="223"/>
      <c r="BT723" s="223"/>
      <c r="BU723" s="223"/>
      <c r="BV723" s="223"/>
      <c r="BW723" s="223"/>
      <c r="BX723" s="200"/>
      <c r="BY723" s="522"/>
      <c r="BZ723" s="200"/>
      <c r="CA723" s="223"/>
      <c r="CB723" s="223"/>
      <c r="CC723" s="223"/>
      <c r="CD723" s="223"/>
      <c r="CE723" s="223"/>
      <c r="CF723" s="223"/>
      <c r="CG723" s="200"/>
      <c r="CH723" s="200"/>
      <c r="CI723" s="522"/>
      <c r="CJ723" s="200"/>
      <c r="CK723" s="223"/>
      <c r="CL723" s="223"/>
      <c r="CM723" s="223"/>
      <c r="CN723" s="223"/>
      <c r="CO723" s="223"/>
      <c r="CP723" s="223"/>
      <c r="CQ723" s="200"/>
      <c r="CR723" s="200"/>
      <c r="CS723" s="522"/>
      <c r="CT723" s="200"/>
      <c r="CU723" s="223"/>
      <c r="CV723" s="223"/>
      <c r="CW723" s="223"/>
      <c r="CX723" s="223"/>
      <c r="CY723" s="223"/>
      <c r="CZ723" s="223"/>
      <c r="DA723" s="223"/>
      <c r="DB723" s="200"/>
      <c r="DC723" s="522"/>
      <c r="DD723" s="200"/>
      <c r="DE723" s="223"/>
      <c r="DF723" s="223"/>
      <c r="DG723" s="223"/>
      <c r="DH723" s="223"/>
      <c r="DI723" s="223"/>
      <c r="DJ723" s="223"/>
      <c r="DK723" s="200"/>
      <c r="DL723" s="200"/>
      <c r="DM723" s="522"/>
      <c r="DN723" s="200"/>
      <c r="DO723" s="223"/>
      <c r="DP723" s="223"/>
      <c r="DQ723" s="223"/>
      <c r="DR723" s="223"/>
      <c r="DS723" s="223"/>
      <c r="DT723" s="223"/>
      <c r="DU723" s="200"/>
      <c r="DV723" s="200"/>
      <c r="DW723" s="522"/>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2"/>
      <c r="R724" s="200"/>
      <c r="S724" s="223"/>
      <c r="T724" s="223"/>
      <c r="U724" s="223"/>
      <c r="V724" s="223"/>
      <c r="W724" s="223"/>
      <c r="X724" s="223"/>
      <c r="Y724" s="200"/>
      <c r="Z724" s="200"/>
      <c r="AA724" s="522"/>
      <c r="AB724" s="200"/>
      <c r="AC724" s="223"/>
      <c r="AD724" s="223"/>
      <c r="AE724" s="223"/>
      <c r="AF724" s="223"/>
      <c r="AG724" s="223"/>
      <c r="AH724" s="223"/>
      <c r="AI724" s="200"/>
      <c r="AJ724" s="200"/>
      <c r="AK724" s="522"/>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2"/>
      <c r="BF724" s="200"/>
      <c r="BG724" s="223"/>
      <c r="BH724" s="223"/>
      <c r="BI724" s="223"/>
      <c r="BJ724" s="223"/>
      <c r="BK724" s="223"/>
      <c r="BL724" s="223"/>
      <c r="BM724" s="200"/>
      <c r="BN724" s="200"/>
      <c r="BO724" s="522"/>
      <c r="BP724" s="200"/>
      <c r="BQ724" s="223"/>
      <c r="BR724" s="223"/>
      <c r="BS724" s="223"/>
      <c r="BT724" s="223"/>
      <c r="BU724" s="223"/>
      <c r="BV724" s="223"/>
      <c r="BW724" s="223"/>
      <c r="BX724" s="200"/>
      <c r="BY724" s="522"/>
      <c r="BZ724" s="200"/>
      <c r="CA724" s="223"/>
      <c r="CB724" s="223"/>
      <c r="CC724" s="223"/>
      <c r="CD724" s="223"/>
      <c r="CE724" s="223"/>
      <c r="CF724" s="223"/>
      <c r="CG724" s="200"/>
      <c r="CH724" s="200"/>
      <c r="CI724" s="522"/>
      <c r="CJ724" s="200"/>
      <c r="CK724" s="223"/>
      <c r="CL724" s="223"/>
      <c r="CM724" s="223"/>
      <c r="CN724" s="223"/>
      <c r="CO724" s="223"/>
      <c r="CP724" s="223"/>
      <c r="CQ724" s="200"/>
      <c r="CR724" s="200"/>
      <c r="CS724" s="522"/>
      <c r="CT724" s="200"/>
      <c r="CU724" s="223"/>
      <c r="CV724" s="223"/>
      <c r="CW724" s="223"/>
      <c r="CX724" s="223"/>
      <c r="CY724" s="223"/>
      <c r="CZ724" s="223"/>
      <c r="DA724" s="223"/>
      <c r="DB724" s="200"/>
      <c r="DC724" s="522"/>
      <c r="DD724" s="200"/>
      <c r="DE724" s="223"/>
      <c r="DF724" s="223"/>
      <c r="DG724" s="223"/>
      <c r="DH724" s="223"/>
      <c r="DI724" s="223"/>
      <c r="DJ724" s="223"/>
      <c r="DK724" s="200"/>
      <c r="DL724" s="200"/>
      <c r="DM724" s="522"/>
      <c r="DN724" s="200"/>
      <c r="DO724" s="223"/>
      <c r="DP724" s="223"/>
      <c r="DQ724" s="223"/>
      <c r="DR724" s="223"/>
      <c r="DS724" s="223"/>
      <c r="DT724" s="223"/>
      <c r="DU724" s="200"/>
      <c r="DV724" s="200"/>
      <c r="DW724" s="522"/>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2"/>
      <c r="R725" s="200"/>
      <c r="S725" s="223"/>
      <c r="T725" s="223"/>
      <c r="U725" s="223"/>
      <c r="V725" s="223"/>
      <c r="W725" s="223"/>
      <c r="X725" s="223"/>
      <c r="Y725" s="200"/>
      <c r="Z725" s="200"/>
      <c r="AA725" s="522"/>
      <c r="AB725" s="200"/>
      <c r="AC725" s="223"/>
      <c r="AD725" s="223"/>
      <c r="AE725" s="223"/>
      <c r="AF725" s="223"/>
      <c r="AG725" s="223"/>
      <c r="AH725" s="223"/>
      <c r="AI725" s="200"/>
      <c r="AJ725" s="200"/>
      <c r="AK725" s="522"/>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2"/>
      <c r="BF725" s="200"/>
      <c r="BG725" s="223"/>
      <c r="BH725" s="223"/>
      <c r="BI725" s="223"/>
      <c r="BJ725" s="223"/>
      <c r="BK725" s="223"/>
      <c r="BL725" s="223"/>
      <c r="BM725" s="200"/>
      <c r="BN725" s="200"/>
      <c r="BO725" s="522"/>
      <c r="BP725" s="200"/>
      <c r="BQ725" s="223"/>
      <c r="BR725" s="223"/>
      <c r="BS725" s="223"/>
      <c r="BT725" s="223"/>
      <c r="BU725" s="223"/>
      <c r="BV725" s="223"/>
      <c r="BW725" s="223"/>
      <c r="BX725" s="200"/>
      <c r="BY725" s="522"/>
      <c r="BZ725" s="200"/>
      <c r="CA725" s="223"/>
      <c r="CB725" s="223"/>
      <c r="CC725" s="223"/>
      <c r="CD725" s="223"/>
      <c r="CE725" s="223"/>
      <c r="CF725" s="223"/>
      <c r="CG725" s="200"/>
      <c r="CH725" s="200"/>
      <c r="CI725" s="522"/>
      <c r="CJ725" s="200"/>
      <c r="CK725" s="223"/>
      <c r="CL725" s="223"/>
      <c r="CM725" s="223"/>
      <c r="CN725" s="223"/>
      <c r="CO725" s="223"/>
      <c r="CP725" s="223"/>
      <c r="CQ725" s="200"/>
      <c r="CR725" s="200"/>
      <c r="CS725" s="522"/>
      <c r="CT725" s="200"/>
      <c r="CU725" s="223"/>
      <c r="CV725" s="223"/>
      <c r="CW725" s="223"/>
      <c r="CX725" s="223"/>
      <c r="CY725" s="223"/>
      <c r="CZ725" s="223"/>
      <c r="DA725" s="223"/>
      <c r="DB725" s="200"/>
      <c r="DC725" s="522"/>
      <c r="DD725" s="200"/>
      <c r="DE725" s="223"/>
      <c r="DF725" s="223"/>
      <c r="DG725" s="223"/>
      <c r="DH725" s="223"/>
      <c r="DI725" s="223"/>
      <c r="DJ725" s="223"/>
      <c r="DK725" s="200"/>
      <c r="DL725" s="200"/>
      <c r="DM725" s="522"/>
      <c r="DN725" s="200"/>
      <c r="DO725" s="223"/>
      <c r="DP725" s="223"/>
      <c r="DQ725" s="223"/>
      <c r="DR725" s="223"/>
      <c r="DS725" s="223"/>
      <c r="DT725" s="223"/>
      <c r="DU725" s="200"/>
      <c r="DV725" s="200"/>
      <c r="DW725" s="522"/>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2"/>
      <c r="R726" s="200"/>
      <c r="S726" s="223"/>
      <c r="T726" s="223"/>
      <c r="U726" s="223"/>
      <c r="V726" s="223"/>
      <c r="W726" s="223"/>
      <c r="X726" s="223"/>
      <c r="Y726" s="200"/>
      <c r="Z726" s="200"/>
      <c r="AA726" s="522"/>
      <c r="AB726" s="200"/>
      <c r="AC726" s="223"/>
      <c r="AD726" s="223"/>
      <c r="AE726" s="223"/>
      <c r="AF726" s="223"/>
      <c r="AG726" s="223"/>
      <c r="AH726" s="223"/>
      <c r="AI726" s="200"/>
      <c r="AJ726" s="200"/>
      <c r="AK726" s="522"/>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2"/>
      <c r="BF726" s="200"/>
      <c r="BG726" s="223"/>
      <c r="BH726" s="223"/>
      <c r="BI726" s="223"/>
      <c r="BJ726" s="223"/>
      <c r="BK726" s="223"/>
      <c r="BL726" s="223"/>
      <c r="BM726" s="200"/>
      <c r="BN726" s="200"/>
      <c r="BO726" s="522"/>
      <c r="BP726" s="200"/>
      <c r="BQ726" s="223"/>
      <c r="BR726" s="223"/>
      <c r="BS726" s="223"/>
      <c r="BT726" s="223"/>
      <c r="BU726" s="223"/>
      <c r="BV726" s="223"/>
      <c r="BW726" s="223"/>
      <c r="BX726" s="200"/>
      <c r="BY726" s="522"/>
      <c r="BZ726" s="200"/>
      <c r="CA726" s="223"/>
      <c r="CB726" s="223"/>
      <c r="CC726" s="223"/>
      <c r="CD726" s="223"/>
      <c r="CE726" s="223"/>
      <c r="CF726" s="223"/>
      <c r="CG726" s="200"/>
      <c r="CH726" s="200"/>
      <c r="CI726" s="522"/>
      <c r="CJ726" s="200"/>
      <c r="CK726" s="223"/>
      <c r="CL726" s="223"/>
      <c r="CM726" s="223"/>
      <c r="CN726" s="223"/>
      <c r="CO726" s="223"/>
      <c r="CP726" s="223"/>
      <c r="CQ726" s="200"/>
      <c r="CR726" s="200"/>
      <c r="CS726" s="522"/>
      <c r="CT726" s="200"/>
      <c r="CU726" s="223"/>
      <c r="CV726" s="223"/>
      <c r="CW726" s="223"/>
      <c r="CX726" s="223"/>
      <c r="CY726" s="223"/>
      <c r="CZ726" s="223"/>
      <c r="DA726" s="223"/>
      <c r="DB726" s="200"/>
      <c r="DC726" s="522"/>
      <c r="DD726" s="200"/>
      <c r="DE726" s="223"/>
      <c r="DF726" s="223"/>
      <c r="DG726" s="223"/>
      <c r="DH726" s="223"/>
      <c r="DI726" s="223"/>
      <c r="DJ726" s="223"/>
      <c r="DK726" s="200"/>
      <c r="DL726" s="200"/>
      <c r="DM726" s="522"/>
      <c r="DN726" s="200"/>
      <c r="DO726" s="223"/>
      <c r="DP726" s="223"/>
      <c r="DQ726" s="223"/>
      <c r="DR726" s="223"/>
      <c r="DS726" s="223"/>
      <c r="DT726" s="223"/>
      <c r="DU726" s="200"/>
      <c r="DV726" s="200"/>
      <c r="DW726" s="522"/>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2"/>
      <c r="R727" s="200"/>
      <c r="S727" s="223"/>
      <c r="T727" s="223"/>
      <c r="U727" s="223"/>
      <c r="V727" s="223"/>
      <c r="W727" s="223"/>
      <c r="X727" s="223"/>
      <c r="Y727" s="200"/>
      <c r="Z727" s="200"/>
      <c r="AA727" s="522"/>
      <c r="AB727" s="200"/>
      <c r="AC727" s="223"/>
      <c r="AD727" s="223"/>
      <c r="AE727" s="223"/>
      <c r="AF727" s="223"/>
      <c r="AG727" s="223"/>
      <c r="AH727" s="223"/>
      <c r="AI727" s="200"/>
      <c r="AJ727" s="200"/>
      <c r="AK727" s="522"/>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2"/>
      <c r="BF727" s="200"/>
      <c r="BG727" s="223"/>
      <c r="BH727" s="223"/>
      <c r="BI727" s="223"/>
      <c r="BJ727" s="223"/>
      <c r="BK727" s="223"/>
      <c r="BL727" s="223"/>
      <c r="BM727" s="200"/>
      <c r="BN727" s="200"/>
      <c r="BO727" s="522"/>
      <c r="BP727" s="200"/>
      <c r="BQ727" s="223"/>
      <c r="BR727" s="223"/>
      <c r="BS727" s="223"/>
      <c r="BT727" s="223"/>
      <c r="BU727" s="223"/>
      <c r="BV727" s="223"/>
      <c r="BW727" s="223"/>
      <c r="BX727" s="200"/>
      <c r="BY727" s="522"/>
      <c r="BZ727" s="200"/>
      <c r="CA727" s="223"/>
      <c r="CB727" s="223"/>
      <c r="CC727" s="223"/>
      <c r="CD727" s="223"/>
      <c r="CE727" s="223"/>
      <c r="CF727" s="223"/>
      <c r="CG727" s="200"/>
      <c r="CH727" s="200"/>
      <c r="CI727" s="522"/>
      <c r="CJ727" s="200"/>
      <c r="CK727" s="223"/>
      <c r="CL727" s="223"/>
      <c r="CM727" s="223"/>
      <c r="CN727" s="223"/>
      <c r="CO727" s="223"/>
      <c r="CP727" s="223"/>
      <c r="CQ727" s="200"/>
      <c r="CR727" s="200"/>
      <c r="CS727" s="522"/>
      <c r="CT727" s="200"/>
      <c r="CU727" s="223"/>
      <c r="CV727" s="223"/>
      <c r="CW727" s="223"/>
      <c r="CX727" s="223"/>
      <c r="CY727" s="223"/>
      <c r="CZ727" s="223"/>
      <c r="DA727" s="223"/>
      <c r="DB727" s="200"/>
      <c r="DC727" s="522"/>
      <c r="DD727" s="200"/>
      <c r="DE727" s="223"/>
      <c r="DF727" s="223"/>
      <c r="DG727" s="223"/>
      <c r="DH727" s="223"/>
      <c r="DI727" s="223"/>
      <c r="DJ727" s="223"/>
      <c r="DK727" s="200"/>
      <c r="DL727" s="200"/>
      <c r="DM727" s="522"/>
      <c r="DN727" s="200"/>
      <c r="DO727" s="223"/>
      <c r="DP727" s="223"/>
      <c r="DQ727" s="223"/>
      <c r="DR727" s="223"/>
      <c r="DS727" s="223"/>
      <c r="DT727" s="223"/>
      <c r="DU727" s="200"/>
      <c r="DV727" s="200"/>
      <c r="DW727" s="522"/>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2"/>
      <c r="R728" s="200"/>
      <c r="S728" s="223"/>
      <c r="T728" s="223"/>
      <c r="U728" s="223"/>
      <c r="V728" s="223"/>
      <c r="W728" s="223"/>
      <c r="X728" s="223"/>
      <c r="Y728" s="200"/>
      <c r="Z728" s="200"/>
      <c r="AA728" s="522"/>
      <c r="AB728" s="200"/>
      <c r="AC728" s="223"/>
      <c r="AD728" s="223"/>
      <c r="AE728" s="223"/>
      <c r="AF728" s="223"/>
      <c r="AG728" s="223"/>
      <c r="AH728" s="223"/>
      <c r="AI728" s="200"/>
      <c r="AJ728" s="200"/>
      <c r="AK728" s="522"/>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2"/>
      <c r="BF728" s="200"/>
      <c r="BG728" s="223"/>
      <c r="BH728" s="223"/>
      <c r="BI728" s="223"/>
      <c r="BJ728" s="223"/>
      <c r="BK728" s="223"/>
      <c r="BL728" s="223"/>
      <c r="BM728" s="200"/>
      <c r="BN728" s="200"/>
      <c r="BO728" s="522"/>
      <c r="BP728" s="200"/>
      <c r="BQ728" s="223"/>
      <c r="BR728" s="223"/>
      <c r="BS728" s="223"/>
      <c r="BT728" s="223"/>
      <c r="BU728" s="223"/>
      <c r="BV728" s="223"/>
      <c r="BW728" s="223"/>
      <c r="BX728" s="200"/>
      <c r="BY728" s="522"/>
      <c r="BZ728" s="200"/>
      <c r="CA728" s="223"/>
      <c r="CB728" s="223"/>
      <c r="CC728" s="223"/>
      <c r="CD728" s="223"/>
      <c r="CE728" s="223"/>
      <c r="CF728" s="223"/>
      <c r="CG728" s="200"/>
      <c r="CH728" s="200"/>
      <c r="CI728" s="522"/>
      <c r="CJ728" s="200"/>
      <c r="CK728" s="223"/>
      <c r="CL728" s="223"/>
      <c r="CM728" s="223"/>
      <c r="CN728" s="223"/>
      <c r="CO728" s="223"/>
      <c r="CP728" s="223"/>
      <c r="CQ728" s="200"/>
      <c r="CR728" s="200"/>
      <c r="CS728" s="522"/>
      <c r="CT728" s="200"/>
      <c r="CU728" s="223"/>
      <c r="CV728" s="223"/>
      <c r="CW728" s="223"/>
      <c r="CX728" s="223"/>
      <c r="CY728" s="223"/>
      <c r="CZ728" s="223"/>
      <c r="DA728" s="223"/>
      <c r="DB728" s="200"/>
      <c r="DC728" s="522"/>
      <c r="DD728" s="200"/>
      <c r="DE728" s="223"/>
      <c r="DF728" s="223"/>
      <c r="DG728" s="223"/>
      <c r="DH728" s="223"/>
      <c r="DI728" s="223"/>
      <c r="DJ728" s="223"/>
      <c r="DK728" s="200"/>
      <c r="DL728" s="200"/>
      <c r="DM728" s="522"/>
      <c r="DN728" s="200"/>
      <c r="DO728" s="223"/>
      <c r="DP728" s="223"/>
      <c r="DQ728" s="223"/>
      <c r="DR728" s="223"/>
      <c r="DS728" s="223"/>
      <c r="DT728" s="223"/>
      <c r="DU728" s="200"/>
      <c r="DV728" s="200"/>
      <c r="DW728" s="522"/>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2"/>
      <c r="R729" s="200"/>
      <c r="S729" s="223"/>
      <c r="T729" s="223"/>
      <c r="U729" s="223"/>
      <c r="V729" s="223"/>
      <c r="W729" s="223"/>
      <c r="X729" s="223"/>
      <c r="Y729" s="200"/>
      <c r="Z729" s="200"/>
      <c r="AA729" s="522"/>
      <c r="AB729" s="200"/>
      <c r="AC729" s="223"/>
      <c r="AD729" s="223"/>
      <c r="AE729" s="223"/>
      <c r="AF729" s="223"/>
      <c r="AG729" s="223"/>
      <c r="AH729" s="223"/>
      <c r="AI729" s="200"/>
      <c r="AJ729" s="200"/>
      <c r="AK729" s="522"/>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2"/>
      <c r="BF729" s="200"/>
      <c r="BG729" s="223"/>
      <c r="BH729" s="223"/>
      <c r="BI729" s="223"/>
      <c r="BJ729" s="223"/>
      <c r="BK729" s="223"/>
      <c r="BL729" s="223"/>
      <c r="BM729" s="200"/>
      <c r="BN729" s="200"/>
      <c r="BO729" s="522"/>
      <c r="BP729" s="200"/>
      <c r="BQ729" s="223"/>
      <c r="BR729" s="223"/>
      <c r="BS729" s="223"/>
      <c r="BT729" s="223"/>
      <c r="BU729" s="223"/>
      <c r="BV729" s="223"/>
      <c r="BW729" s="223"/>
      <c r="BX729" s="200"/>
      <c r="BY729" s="522"/>
      <c r="BZ729" s="200"/>
      <c r="CA729" s="223"/>
      <c r="CB729" s="223"/>
      <c r="CC729" s="223"/>
      <c r="CD729" s="223"/>
      <c r="CE729" s="223"/>
      <c r="CF729" s="223"/>
      <c r="CG729" s="200"/>
      <c r="CH729" s="200"/>
      <c r="CI729" s="522"/>
      <c r="CJ729" s="200"/>
      <c r="CK729" s="223"/>
      <c r="CL729" s="223"/>
      <c r="CM729" s="223"/>
      <c r="CN729" s="223"/>
      <c r="CO729" s="223"/>
      <c r="CP729" s="223"/>
      <c r="CQ729" s="200"/>
      <c r="CR729" s="200"/>
      <c r="CS729" s="522"/>
      <c r="CT729" s="200"/>
      <c r="CU729" s="223"/>
      <c r="CV729" s="223"/>
      <c r="CW729" s="223"/>
      <c r="CX729" s="223"/>
      <c r="CY729" s="223"/>
      <c r="CZ729" s="223"/>
      <c r="DA729" s="223"/>
      <c r="DB729" s="200"/>
      <c r="DC729" s="522"/>
      <c r="DD729" s="200"/>
      <c r="DE729" s="223"/>
      <c r="DF729" s="223"/>
      <c r="DG729" s="223"/>
      <c r="DH729" s="223"/>
      <c r="DI729" s="223"/>
      <c r="DJ729" s="223"/>
      <c r="DK729" s="200"/>
      <c r="DL729" s="200"/>
      <c r="DM729" s="522"/>
      <c r="DN729" s="200"/>
      <c r="DO729" s="223"/>
      <c r="DP729" s="223"/>
      <c r="DQ729" s="223"/>
      <c r="DR729" s="223"/>
      <c r="DS729" s="223"/>
      <c r="DT729" s="223"/>
      <c r="DU729" s="200"/>
      <c r="DV729" s="200"/>
      <c r="DW729" s="522"/>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2"/>
      <c r="R730" s="200"/>
      <c r="S730" s="223"/>
      <c r="T730" s="223"/>
      <c r="U730" s="223"/>
      <c r="V730" s="223"/>
      <c r="W730" s="223"/>
      <c r="X730" s="223"/>
      <c r="Y730" s="200"/>
      <c r="Z730" s="200"/>
      <c r="AA730" s="522"/>
      <c r="AB730" s="200"/>
      <c r="AC730" s="223"/>
      <c r="AD730" s="223"/>
      <c r="AE730" s="223"/>
      <c r="AF730" s="223"/>
      <c r="AG730" s="223"/>
      <c r="AH730" s="223"/>
      <c r="AI730" s="200"/>
      <c r="AJ730" s="200"/>
      <c r="AK730" s="522"/>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2"/>
      <c r="BF730" s="200"/>
      <c r="BG730" s="223"/>
      <c r="BH730" s="223"/>
      <c r="BI730" s="223"/>
      <c r="BJ730" s="223"/>
      <c r="BK730" s="223"/>
      <c r="BL730" s="223"/>
      <c r="BM730" s="200"/>
      <c r="BN730" s="200"/>
      <c r="BO730" s="522"/>
      <c r="BP730" s="200"/>
      <c r="BQ730" s="223"/>
      <c r="BR730" s="223"/>
      <c r="BS730" s="223"/>
      <c r="BT730" s="223"/>
      <c r="BU730" s="223"/>
      <c r="BV730" s="223"/>
      <c r="BW730" s="223"/>
      <c r="BX730" s="200"/>
      <c r="BY730" s="522"/>
      <c r="BZ730" s="200"/>
      <c r="CA730" s="223"/>
      <c r="CB730" s="223"/>
      <c r="CC730" s="223"/>
      <c r="CD730" s="223"/>
      <c r="CE730" s="223"/>
      <c r="CF730" s="223"/>
      <c r="CG730" s="200"/>
      <c r="CH730" s="200"/>
      <c r="CI730" s="522"/>
      <c r="CJ730" s="200"/>
      <c r="CK730" s="223"/>
      <c r="CL730" s="223"/>
      <c r="CM730" s="223"/>
      <c r="CN730" s="223"/>
      <c r="CO730" s="223"/>
      <c r="CP730" s="223"/>
      <c r="CQ730" s="200"/>
      <c r="CR730" s="200"/>
      <c r="CS730" s="522"/>
      <c r="CT730" s="200"/>
      <c r="CU730" s="223"/>
      <c r="CV730" s="223"/>
      <c r="CW730" s="223"/>
      <c r="CX730" s="223"/>
      <c r="CY730" s="223"/>
      <c r="CZ730" s="223"/>
      <c r="DA730" s="223"/>
      <c r="DB730" s="200"/>
      <c r="DC730" s="522"/>
      <c r="DD730" s="200"/>
      <c r="DE730" s="223"/>
      <c r="DF730" s="223"/>
      <c r="DG730" s="223"/>
      <c r="DH730" s="223"/>
      <c r="DI730" s="223"/>
      <c r="DJ730" s="223"/>
      <c r="DK730" s="200"/>
      <c r="DL730" s="200"/>
      <c r="DM730" s="522"/>
      <c r="DN730" s="200"/>
      <c r="DO730" s="223"/>
      <c r="DP730" s="223"/>
      <c r="DQ730" s="223"/>
      <c r="DR730" s="223"/>
      <c r="DS730" s="223"/>
      <c r="DT730" s="223"/>
      <c r="DU730" s="200"/>
      <c r="DV730" s="200"/>
      <c r="DW730" s="522"/>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2"/>
      <c r="R731" s="200"/>
      <c r="S731" s="223"/>
      <c r="T731" s="223"/>
      <c r="U731" s="223"/>
      <c r="V731" s="223"/>
      <c r="W731" s="223"/>
      <c r="X731" s="223"/>
      <c r="Y731" s="200"/>
      <c r="Z731" s="200"/>
      <c r="AA731" s="522"/>
      <c r="AB731" s="200"/>
      <c r="AC731" s="223"/>
      <c r="AD731" s="223"/>
      <c r="AE731" s="223"/>
      <c r="AF731" s="223"/>
      <c r="AG731" s="223"/>
      <c r="AH731" s="223"/>
      <c r="AI731" s="200"/>
      <c r="AJ731" s="200"/>
      <c r="AK731" s="522"/>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2"/>
      <c r="BF731" s="200"/>
      <c r="BG731" s="223"/>
      <c r="BH731" s="223"/>
      <c r="BI731" s="223"/>
      <c r="BJ731" s="223"/>
      <c r="BK731" s="223"/>
      <c r="BL731" s="223"/>
      <c r="BM731" s="200"/>
      <c r="BN731" s="200"/>
      <c r="BO731" s="522"/>
      <c r="BP731" s="200"/>
      <c r="BQ731" s="223"/>
      <c r="BR731" s="223"/>
      <c r="BS731" s="223"/>
      <c r="BT731" s="223"/>
      <c r="BU731" s="223"/>
      <c r="BV731" s="223"/>
      <c r="BW731" s="223"/>
      <c r="BX731" s="200"/>
      <c r="BY731" s="522"/>
      <c r="BZ731" s="200"/>
      <c r="CA731" s="223"/>
      <c r="CB731" s="223"/>
      <c r="CC731" s="223"/>
      <c r="CD731" s="223"/>
      <c r="CE731" s="223"/>
      <c r="CF731" s="223"/>
      <c r="CG731" s="200"/>
      <c r="CH731" s="200"/>
      <c r="CI731" s="522"/>
      <c r="CJ731" s="200"/>
      <c r="CK731" s="223"/>
      <c r="CL731" s="223"/>
      <c r="CM731" s="223"/>
      <c r="CN731" s="223"/>
      <c r="CO731" s="223"/>
      <c r="CP731" s="223"/>
      <c r="CQ731" s="200"/>
      <c r="CR731" s="200"/>
      <c r="CS731" s="522"/>
      <c r="CT731" s="200"/>
      <c r="CU731" s="223"/>
      <c r="CV731" s="223"/>
      <c r="CW731" s="223"/>
      <c r="CX731" s="223"/>
      <c r="CY731" s="223"/>
      <c r="CZ731" s="223"/>
      <c r="DA731" s="223"/>
      <c r="DB731" s="200"/>
      <c r="DC731" s="522"/>
      <c r="DD731" s="200"/>
      <c r="DE731" s="223"/>
      <c r="DF731" s="223"/>
      <c r="DG731" s="223"/>
      <c r="DH731" s="223"/>
      <c r="DI731" s="223"/>
      <c r="DJ731" s="223"/>
      <c r="DK731" s="200"/>
      <c r="DL731" s="200"/>
      <c r="DM731" s="522"/>
      <c r="DN731" s="200"/>
      <c r="DO731" s="223"/>
      <c r="DP731" s="223"/>
      <c r="DQ731" s="223"/>
      <c r="DR731" s="223"/>
      <c r="DS731" s="223"/>
      <c r="DT731" s="223"/>
      <c r="DU731" s="200"/>
      <c r="DV731" s="200"/>
      <c r="DW731" s="522"/>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2"/>
      <c r="R732" s="200"/>
      <c r="S732" s="223"/>
      <c r="T732" s="223"/>
      <c r="U732" s="223"/>
      <c r="V732" s="223"/>
      <c r="W732" s="223"/>
      <c r="X732" s="223"/>
      <c r="Y732" s="200"/>
      <c r="Z732" s="200"/>
      <c r="AA732" s="522"/>
      <c r="AB732" s="200"/>
      <c r="AC732" s="223"/>
      <c r="AD732" s="223"/>
      <c r="AE732" s="223"/>
      <c r="AF732" s="223"/>
      <c r="AG732" s="223"/>
      <c r="AH732" s="223"/>
      <c r="AI732" s="200"/>
      <c r="AJ732" s="200"/>
      <c r="AK732" s="522"/>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2"/>
      <c r="BF732" s="200"/>
      <c r="BG732" s="223"/>
      <c r="BH732" s="223"/>
      <c r="BI732" s="223"/>
      <c r="BJ732" s="223"/>
      <c r="BK732" s="223"/>
      <c r="BL732" s="223"/>
      <c r="BM732" s="200"/>
      <c r="BN732" s="200"/>
      <c r="BO732" s="522"/>
      <c r="BP732" s="200"/>
      <c r="BQ732" s="223"/>
      <c r="BR732" s="223"/>
      <c r="BS732" s="223"/>
      <c r="BT732" s="223"/>
      <c r="BU732" s="223"/>
      <c r="BV732" s="223"/>
      <c r="BW732" s="223"/>
      <c r="BX732" s="200"/>
      <c r="BY732" s="522"/>
      <c r="BZ732" s="200"/>
      <c r="CA732" s="223"/>
      <c r="CB732" s="223"/>
      <c r="CC732" s="223"/>
      <c r="CD732" s="223"/>
      <c r="CE732" s="223"/>
      <c r="CF732" s="223"/>
      <c r="CG732" s="200"/>
      <c r="CH732" s="200"/>
      <c r="CI732" s="522"/>
      <c r="CJ732" s="200"/>
      <c r="CK732" s="223"/>
      <c r="CL732" s="223"/>
      <c r="CM732" s="223"/>
      <c r="CN732" s="223"/>
      <c r="CO732" s="223"/>
      <c r="CP732" s="223"/>
      <c r="CQ732" s="200"/>
      <c r="CR732" s="200"/>
      <c r="CS732" s="522"/>
      <c r="CT732" s="200"/>
      <c r="CU732" s="223"/>
      <c r="CV732" s="223"/>
      <c r="CW732" s="223"/>
      <c r="CX732" s="223"/>
      <c r="CY732" s="223"/>
      <c r="CZ732" s="223"/>
      <c r="DA732" s="223"/>
      <c r="DB732" s="200"/>
      <c r="DC732" s="522"/>
      <c r="DD732" s="200"/>
      <c r="DE732" s="223"/>
      <c r="DF732" s="223"/>
      <c r="DG732" s="223"/>
      <c r="DH732" s="223"/>
      <c r="DI732" s="223"/>
      <c r="DJ732" s="223"/>
      <c r="DK732" s="200"/>
      <c r="DL732" s="200"/>
      <c r="DM732" s="522"/>
      <c r="DN732" s="200"/>
      <c r="DO732" s="223"/>
      <c r="DP732" s="223"/>
      <c r="DQ732" s="223"/>
      <c r="DR732" s="223"/>
      <c r="DS732" s="223"/>
      <c r="DT732" s="223"/>
      <c r="DU732" s="200"/>
      <c r="DV732" s="200"/>
      <c r="DW732" s="522"/>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2"/>
      <c r="R733" s="200"/>
      <c r="S733" s="223"/>
      <c r="T733" s="223"/>
      <c r="U733" s="223"/>
      <c r="V733" s="223"/>
      <c r="W733" s="223"/>
      <c r="X733" s="223"/>
      <c r="Y733" s="200"/>
      <c r="Z733" s="200"/>
      <c r="AA733" s="522"/>
      <c r="AB733" s="200"/>
      <c r="AC733" s="223"/>
      <c r="AD733" s="223"/>
      <c r="AE733" s="223"/>
      <c r="AF733" s="223"/>
      <c r="AG733" s="223"/>
      <c r="AH733" s="223"/>
      <c r="AI733" s="200"/>
      <c r="AJ733" s="200"/>
      <c r="AK733" s="522"/>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2"/>
      <c r="BF733" s="200"/>
      <c r="BG733" s="223"/>
      <c r="BH733" s="223"/>
      <c r="BI733" s="223"/>
      <c r="BJ733" s="223"/>
      <c r="BK733" s="223"/>
      <c r="BL733" s="223"/>
      <c r="BM733" s="200"/>
      <c r="BN733" s="200"/>
      <c r="BO733" s="522"/>
      <c r="BP733" s="200"/>
      <c r="BQ733" s="223"/>
      <c r="BR733" s="223"/>
      <c r="BS733" s="223"/>
      <c r="BT733" s="223"/>
      <c r="BU733" s="223"/>
      <c r="BV733" s="223"/>
      <c r="BW733" s="223"/>
      <c r="BX733" s="200"/>
      <c r="BY733" s="522"/>
      <c r="BZ733" s="200"/>
      <c r="CA733" s="223"/>
      <c r="CB733" s="223"/>
      <c r="CC733" s="223"/>
      <c r="CD733" s="223"/>
      <c r="CE733" s="223"/>
      <c r="CF733" s="223"/>
      <c r="CG733" s="200"/>
      <c r="CH733" s="200"/>
      <c r="CI733" s="522"/>
      <c r="CJ733" s="200"/>
      <c r="CK733" s="223"/>
      <c r="CL733" s="223"/>
      <c r="CM733" s="223"/>
      <c r="CN733" s="223"/>
      <c r="CO733" s="223"/>
      <c r="CP733" s="223"/>
      <c r="CQ733" s="200"/>
      <c r="CR733" s="200"/>
      <c r="CS733" s="522"/>
      <c r="CT733" s="200"/>
      <c r="CU733" s="223"/>
      <c r="CV733" s="223"/>
      <c r="CW733" s="223"/>
      <c r="CX733" s="223"/>
      <c r="CY733" s="223"/>
      <c r="CZ733" s="223"/>
      <c r="DA733" s="223"/>
      <c r="DB733" s="200"/>
      <c r="DC733" s="522"/>
      <c r="DD733" s="200"/>
      <c r="DE733" s="223"/>
      <c r="DF733" s="223"/>
      <c r="DG733" s="223"/>
      <c r="DH733" s="223"/>
      <c r="DI733" s="223"/>
      <c r="DJ733" s="223"/>
      <c r="DK733" s="200"/>
      <c r="DL733" s="200"/>
      <c r="DM733" s="522"/>
      <c r="DN733" s="200"/>
      <c r="DO733" s="223"/>
      <c r="DP733" s="223"/>
      <c r="DQ733" s="223"/>
      <c r="DR733" s="223"/>
      <c r="DS733" s="223"/>
      <c r="DT733" s="223"/>
      <c r="DU733" s="200"/>
      <c r="DV733" s="200"/>
      <c r="DW733" s="522"/>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2"/>
      <c r="R734" s="200"/>
      <c r="S734" s="223"/>
      <c r="T734" s="223"/>
      <c r="U734" s="223"/>
      <c r="V734" s="223"/>
      <c r="W734" s="223"/>
      <c r="X734" s="223"/>
      <c r="Y734" s="200"/>
      <c r="Z734" s="200"/>
      <c r="AA734" s="522"/>
      <c r="AB734" s="200"/>
      <c r="AC734" s="223"/>
      <c r="AD734" s="223"/>
      <c r="AE734" s="223"/>
      <c r="AF734" s="223"/>
      <c r="AG734" s="223"/>
      <c r="AH734" s="223"/>
      <c r="AI734" s="200"/>
      <c r="AJ734" s="200"/>
      <c r="AK734" s="522"/>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2"/>
      <c r="BF734" s="200"/>
      <c r="BG734" s="223"/>
      <c r="BH734" s="223"/>
      <c r="BI734" s="223"/>
      <c r="BJ734" s="223"/>
      <c r="BK734" s="223"/>
      <c r="BL734" s="223"/>
      <c r="BM734" s="200"/>
      <c r="BN734" s="200"/>
      <c r="BO734" s="522"/>
      <c r="BP734" s="200"/>
      <c r="BQ734" s="223"/>
      <c r="BR734" s="223"/>
      <c r="BS734" s="223"/>
      <c r="BT734" s="223"/>
      <c r="BU734" s="223"/>
      <c r="BV734" s="223"/>
      <c r="BW734" s="223"/>
      <c r="BX734" s="200"/>
      <c r="BY734" s="522"/>
      <c r="BZ734" s="200"/>
      <c r="CA734" s="223"/>
      <c r="CB734" s="223"/>
      <c r="CC734" s="223"/>
      <c r="CD734" s="223"/>
      <c r="CE734" s="223"/>
      <c r="CF734" s="223"/>
      <c r="CG734" s="200"/>
      <c r="CH734" s="200"/>
      <c r="CI734" s="522"/>
      <c r="CJ734" s="200"/>
      <c r="CK734" s="223"/>
      <c r="CL734" s="223"/>
      <c r="CM734" s="223"/>
      <c r="CN734" s="223"/>
      <c r="CO734" s="223"/>
      <c r="CP734" s="223"/>
      <c r="CQ734" s="200"/>
      <c r="CR734" s="200"/>
      <c r="CS734" s="522"/>
      <c r="CT734" s="200"/>
      <c r="CU734" s="223"/>
      <c r="CV734" s="223"/>
      <c r="CW734" s="223"/>
      <c r="CX734" s="223"/>
      <c r="CY734" s="223"/>
      <c r="CZ734" s="223"/>
      <c r="DA734" s="223"/>
      <c r="DB734" s="200"/>
      <c r="DC734" s="522"/>
      <c r="DD734" s="200"/>
      <c r="DE734" s="223"/>
      <c r="DF734" s="223"/>
      <c r="DG734" s="223"/>
      <c r="DH734" s="223"/>
      <c r="DI734" s="223"/>
      <c r="DJ734" s="223"/>
      <c r="DK734" s="200"/>
      <c r="DL734" s="200"/>
      <c r="DM734" s="522"/>
      <c r="DN734" s="200"/>
      <c r="DO734" s="223"/>
      <c r="DP734" s="223"/>
      <c r="DQ734" s="223"/>
      <c r="DR734" s="223"/>
      <c r="DS734" s="223"/>
      <c r="DT734" s="223"/>
      <c r="DU734" s="200"/>
      <c r="DV734" s="200"/>
      <c r="DW734" s="522"/>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2"/>
      <c r="R735" s="200"/>
      <c r="S735" s="223"/>
      <c r="T735" s="223"/>
      <c r="U735" s="223"/>
      <c r="V735" s="223"/>
      <c r="W735" s="223"/>
      <c r="X735" s="223"/>
      <c r="Y735" s="200"/>
      <c r="Z735" s="200"/>
      <c r="AA735" s="522"/>
      <c r="AB735" s="200"/>
      <c r="AC735" s="223"/>
      <c r="AD735" s="223"/>
      <c r="AE735" s="223"/>
      <c r="AF735" s="223"/>
      <c r="AG735" s="223"/>
      <c r="AH735" s="223"/>
      <c r="AI735" s="200"/>
      <c r="AJ735" s="200"/>
      <c r="AK735" s="522"/>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2"/>
      <c r="BF735" s="200"/>
      <c r="BG735" s="223"/>
      <c r="BH735" s="223"/>
      <c r="BI735" s="223"/>
      <c r="BJ735" s="223"/>
      <c r="BK735" s="223"/>
      <c r="BL735" s="223"/>
      <c r="BM735" s="200"/>
      <c r="BN735" s="200"/>
      <c r="BO735" s="522"/>
      <c r="BP735" s="200"/>
      <c r="BQ735" s="223"/>
      <c r="BR735" s="223"/>
      <c r="BS735" s="223"/>
      <c r="BT735" s="223"/>
      <c r="BU735" s="223"/>
      <c r="BV735" s="223"/>
      <c r="BW735" s="223"/>
      <c r="BX735" s="200"/>
      <c r="BY735" s="522"/>
      <c r="BZ735" s="200"/>
      <c r="CA735" s="223"/>
      <c r="CB735" s="223"/>
      <c r="CC735" s="223"/>
      <c r="CD735" s="223"/>
      <c r="CE735" s="223"/>
      <c r="CF735" s="223"/>
      <c r="CG735" s="200"/>
      <c r="CH735" s="200"/>
      <c r="CI735" s="522"/>
      <c r="CJ735" s="200"/>
      <c r="CK735" s="223"/>
      <c r="CL735" s="223"/>
      <c r="CM735" s="223"/>
      <c r="CN735" s="223"/>
      <c r="CO735" s="223"/>
      <c r="CP735" s="223"/>
      <c r="CQ735" s="200"/>
      <c r="CR735" s="200"/>
      <c r="CS735" s="522"/>
      <c r="CT735" s="200"/>
      <c r="CU735" s="223"/>
      <c r="CV735" s="223"/>
      <c r="CW735" s="223"/>
      <c r="CX735" s="223"/>
      <c r="CY735" s="223"/>
      <c r="CZ735" s="223"/>
      <c r="DA735" s="223"/>
      <c r="DB735" s="200"/>
      <c r="DC735" s="522"/>
      <c r="DD735" s="200"/>
      <c r="DE735" s="223"/>
      <c r="DF735" s="223"/>
      <c r="DG735" s="223"/>
      <c r="DH735" s="223"/>
      <c r="DI735" s="223"/>
      <c r="DJ735" s="223"/>
      <c r="DK735" s="200"/>
      <c r="DL735" s="200"/>
      <c r="DM735" s="522"/>
      <c r="DN735" s="200"/>
      <c r="DO735" s="223"/>
      <c r="DP735" s="223"/>
      <c r="DQ735" s="223"/>
      <c r="DR735" s="223"/>
      <c r="DS735" s="223"/>
      <c r="DT735" s="223"/>
      <c r="DU735" s="200"/>
      <c r="DV735" s="200"/>
      <c r="DW735" s="522"/>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2"/>
      <c r="R736" s="200"/>
      <c r="S736" s="223"/>
      <c r="T736" s="223"/>
      <c r="U736" s="223"/>
      <c r="V736" s="223"/>
      <c r="W736" s="223"/>
      <c r="X736" s="223"/>
      <c r="Y736" s="200"/>
      <c r="Z736" s="200"/>
      <c r="AA736" s="522"/>
      <c r="AB736" s="200"/>
      <c r="AC736" s="223"/>
      <c r="AD736" s="223"/>
      <c r="AE736" s="223"/>
      <c r="AF736" s="223"/>
      <c r="AG736" s="223"/>
      <c r="AH736" s="223"/>
      <c r="AI736" s="200"/>
      <c r="AJ736" s="200"/>
      <c r="AK736" s="522"/>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2"/>
      <c r="BF736" s="200"/>
      <c r="BG736" s="223"/>
      <c r="BH736" s="223"/>
      <c r="BI736" s="223"/>
      <c r="BJ736" s="223"/>
      <c r="BK736" s="223"/>
      <c r="BL736" s="223"/>
      <c r="BM736" s="200"/>
      <c r="BN736" s="200"/>
      <c r="BO736" s="522"/>
      <c r="BP736" s="200"/>
      <c r="BQ736" s="223"/>
      <c r="BR736" s="223"/>
      <c r="BS736" s="223"/>
      <c r="BT736" s="223"/>
      <c r="BU736" s="223"/>
      <c r="BV736" s="223"/>
      <c r="BW736" s="223"/>
      <c r="BX736" s="200"/>
      <c r="BY736" s="522"/>
      <c r="BZ736" s="200"/>
      <c r="CA736" s="223"/>
      <c r="CB736" s="223"/>
      <c r="CC736" s="223"/>
      <c r="CD736" s="223"/>
      <c r="CE736" s="223"/>
      <c r="CF736" s="223"/>
      <c r="CG736" s="200"/>
      <c r="CH736" s="200"/>
      <c r="CI736" s="522"/>
      <c r="CJ736" s="200"/>
      <c r="CK736" s="223"/>
      <c r="CL736" s="223"/>
      <c r="CM736" s="223"/>
      <c r="CN736" s="223"/>
      <c r="CO736" s="223"/>
      <c r="CP736" s="223"/>
      <c r="CQ736" s="200"/>
      <c r="CR736" s="200"/>
      <c r="CS736" s="522"/>
      <c r="CT736" s="200"/>
      <c r="CU736" s="223"/>
      <c r="CV736" s="223"/>
      <c r="CW736" s="223"/>
      <c r="CX736" s="223"/>
      <c r="CY736" s="223"/>
      <c r="CZ736" s="223"/>
      <c r="DA736" s="223"/>
      <c r="DB736" s="200"/>
      <c r="DC736" s="522"/>
      <c r="DD736" s="200"/>
      <c r="DE736" s="223"/>
      <c r="DF736" s="223"/>
      <c r="DG736" s="223"/>
      <c r="DH736" s="223"/>
      <c r="DI736" s="223"/>
      <c r="DJ736" s="223"/>
      <c r="DK736" s="200"/>
      <c r="DL736" s="200"/>
      <c r="DM736" s="522"/>
      <c r="DN736" s="200"/>
      <c r="DO736" s="223"/>
      <c r="DP736" s="223"/>
      <c r="DQ736" s="223"/>
      <c r="DR736" s="223"/>
      <c r="DS736" s="223"/>
      <c r="DT736" s="223"/>
      <c r="DU736" s="200"/>
      <c r="DV736" s="200"/>
      <c r="DW736" s="522"/>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2"/>
      <c r="R737" s="200"/>
      <c r="S737" s="223"/>
      <c r="T737" s="223"/>
      <c r="U737" s="223"/>
      <c r="V737" s="223"/>
      <c r="W737" s="223"/>
      <c r="X737" s="223"/>
      <c r="Y737" s="200"/>
      <c r="Z737" s="200"/>
      <c r="AA737" s="522"/>
      <c r="AB737" s="200"/>
      <c r="AC737" s="223"/>
      <c r="AD737" s="223"/>
      <c r="AE737" s="223"/>
      <c r="AF737" s="223"/>
      <c r="AG737" s="223"/>
      <c r="AH737" s="223"/>
      <c r="AI737" s="200"/>
      <c r="AJ737" s="200"/>
      <c r="AK737" s="522"/>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2"/>
      <c r="BF737" s="200"/>
      <c r="BG737" s="223"/>
      <c r="BH737" s="223"/>
      <c r="BI737" s="223"/>
      <c r="BJ737" s="223"/>
      <c r="BK737" s="223"/>
      <c r="BL737" s="223"/>
      <c r="BM737" s="200"/>
      <c r="BN737" s="200"/>
      <c r="BO737" s="522"/>
      <c r="BP737" s="200"/>
      <c r="BQ737" s="223"/>
      <c r="BR737" s="223"/>
      <c r="BS737" s="223"/>
      <c r="BT737" s="223"/>
      <c r="BU737" s="223"/>
      <c r="BV737" s="223"/>
      <c r="BW737" s="223"/>
      <c r="BX737" s="200"/>
      <c r="BY737" s="522"/>
      <c r="BZ737" s="200"/>
      <c r="CA737" s="223"/>
      <c r="CB737" s="223"/>
      <c r="CC737" s="223"/>
      <c r="CD737" s="223"/>
      <c r="CE737" s="223"/>
      <c r="CF737" s="223"/>
      <c r="CG737" s="200"/>
      <c r="CH737" s="200"/>
      <c r="CI737" s="522"/>
      <c r="CJ737" s="200"/>
      <c r="CK737" s="223"/>
      <c r="CL737" s="223"/>
      <c r="CM737" s="223"/>
      <c r="CN737" s="223"/>
      <c r="CO737" s="223"/>
      <c r="CP737" s="223"/>
      <c r="CQ737" s="200"/>
      <c r="CR737" s="200"/>
      <c r="CS737" s="522"/>
      <c r="CT737" s="200"/>
      <c r="CU737" s="223"/>
      <c r="CV737" s="223"/>
      <c r="CW737" s="223"/>
      <c r="CX737" s="223"/>
      <c r="CY737" s="223"/>
      <c r="CZ737" s="223"/>
      <c r="DA737" s="223"/>
      <c r="DB737" s="200"/>
      <c r="DC737" s="522"/>
      <c r="DD737" s="200"/>
      <c r="DE737" s="223"/>
      <c r="DF737" s="223"/>
      <c r="DG737" s="223"/>
      <c r="DH737" s="223"/>
      <c r="DI737" s="223"/>
      <c r="DJ737" s="223"/>
      <c r="DK737" s="200"/>
      <c r="DL737" s="200"/>
      <c r="DM737" s="522"/>
      <c r="DN737" s="200"/>
      <c r="DO737" s="223"/>
      <c r="DP737" s="223"/>
      <c r="DQ737" s="223"/>
      <c r="DR737" s="223"/>
      <c r="DS737" s="223"/>
      <c r="DT737" s="223"/>
      <c r="DU737" s="200"/>
      <c r="DV737" s="200"/>
      <c r="DW737" s="522"/>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2"/>
      <c r="R738" s="200"/>
      <c r="S738" s="223"/>
      <c r="T738" s="223"/>
      <c r="U738" s="223"/>
      <c r="V738" s="223"/>
      <c r="W738" s="223"/>
      <c r="X738" s="223"/>
      <c r="Y738" s="200"/>
      <c r="Z738" s="200"/>
      <c r="AA738" s="522"/>
      <c r="AB738" s="200"/>
      <c r="AC738" s="223"/>
      <c r="AD738" s="223"/>
      <c r="AE738" s="223"/>
      <c r="AF738" s="223"/>
      <c r="AG738" s="223"/>
      <c r="AH738" s="223"/>
      <c r="AI738" s="200"/>
      <c r="AJ738" s="200"/>
      <c r="AK738" s="522"/>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2"/>
      <c r="BF738" s="200"/>
      <c r="BG738" s="223"/>
      <c r="BH738" s="223"/>
      <c r="BI738" s="223"/>
      <c r="BJ738" s="223"/>
      <c r="BK738" s="223"/>
      <c r="BL738" s="223"/>
      <c r="BM738" s="200"/>
      <c r="BN738" s="200"/>
      <c r="BO738" s="522"/>
      <c r="BP738" s="200"/>
      <c r="BQ738" s="223"/>
      <c r="BR738" s="223"/>
      <c r="BS738" s="223"/>
      <c r="BT738" s="223"/>
      <c r="BU738" s="223"/>
      <c r="BV738" s="223"/>
      <c r="BW738" s="223"/>
      <c r="BX738" s="200"/>
      <c r="BY738" s="522"/>
      <c r="BZ738" s="200"/>
      <c r="CA738" s="223"/>
      <c r="CB738" s="223"/>
      <c r="CC738" s="223"/>
      <c r="CD738" s="223"/>
      <c r="CE738" s="223"/>
      <c r="CF738" s="223"/>
      <c r="CG738" s="200"/>
      <c r="CH738" s="200"/>
      <c r="CI738" s="522"/>
      <c r="CJ738" s="200"/>
      <c r="CK738" s="223"/>
      <c r="CL738" s="223"/>
      <c r="CM738" s="223"/>
      <c r="CN738" s="223"/>
      <c r="CO738" s="223"/>
      <c r="CP738" s="223"/>
      <c r="CQ738" s="200"/>
      <c r="CR738" s="200"/>
      <c r="CS738" s="522"/>
      <c r="CT738" s="200"/>
      <c r="CU738" s="223"/>
      <c r="CV738" s="223"/>
      <c r="CW738" s="223"/>
      <c r="CX738" s="223"/>
      <c r="CY738" s="223"/>
      <c r="CZ738" s="223"/>
      <c r="DA738" s="223"/>
      <c r="DB738" s="200"/>
      <c r="DC738" s="522"/>
      <c r="DD738" s="200"/>
      <c r="DE738" s="223"/>
      <c r="DF738" s="223"/>
      <c r="DG738" s="223"/>
      <c r="DH738" s="223"/>
      <c r="DI738" s="223"/>
      <c r="DJ738" s="223"/>
      <c r="DK738" s="200"/>
      <c r="DL738" s="200"/>
      <c r="DM738" s="522"/>
      <c r="DN738" s="200"/>
      <c r="DO738" s="223"/>
      <c r="DP738" s="223"/>
      <c r="DQ738" s="223"/>
      <c r="DR738" s="223"/>
      <c r="DS738" s="223"/>
      <c r="DT738" s="223"/>
      <c r="DU738" s="200"/>
      <c r="DV738" s="200"/>
      <c r="DW738" s="522"/>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2"/>
      <c r="R739" s="200"/>
      <c r="S739" s="223"/>
      <c r="T739" s="223"/>
      <c r="U739" s="223"/>
      <c r="V739" s="223"/>
      <c r="W739" s="223"/>
      <c r="X739" s="223"/>
      <c r="Y739" s="200"/>
      <c r="Z739" s="200"/>
      <c r="AA739" s="522"/>
      <c r="AB739" s="200"/>
      <c r="AC739" s="223"/>
      <c r="AD739" s="223"/>
      <c r="AE739" s="223"/>
      <c r="AF739" s="223"/>
      <c r="AG739" s="223"/>
      <c r="AH739" s="223"/>
      <c r="AI739" s="200"/>
      <c r="AJ739" s="200"/>
      <c r="AK739" s="522"/>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2"/>
      <c r="BF739" s="200"/>
      <c r="BG739" s="223"/>
      <c r="BH739" s="223"/>
      <c r="BI739" s="223"/>
      <c r="BJ739" s="223"/>
      <c r="BK739" s="223"/>
      <c r="BL739" s="223"/>
      <c r="BM739" s="200"/>
      <c r="BN739" s="200"/>
      <c r="BO739" s="522"/>
      <c r="BP739" s="200"/>
      <c r="BQ739" s="223"/>
      <c r="BR739" s="223"/>
      <c r="BS739" s="223"/>
      <c r="BT739" s="223"/>
      <c r="BU739" s="223"/>
      <c r="BV739" s="223"/>
      <c r="BW739" s="223"/>
      <c r="BX739" s="200"/>
      <c r="BY739" s="522"/>
      <c r="BZ739" s="200"/>
      <c r="CA739" s="223"/>
      <c r="CB739" s="223"/>
      <c r="CC739" s="223"/>
      <c r="CD739" s="223"/>
      <c r="CE739" s="223"/>
      <c r="CF739" s="223"/>
      <c r="CG739" s="200"/>
      <c r="CH739" s="200"/>
      <c r="CI739" s="522"/>
      <c r="CJ739" s="200"/>
      <c r="CK739" s="223"/>
      <c r="CL739" s="223"/>
      <c r="CM739" s="223"/>
      <c r="CN739" s="223"/>
      <c r="CO739" s="223"/>
      <c r="CP739" s="223"/>
      <c r="CQ739" s="200"/>
      <c r="CR739" s="200"/>
      <c r="CS739" s="522"/>
      <c r="CT739" s="200"/>
      <c r="CU739" s="223"/>
      <c r="CV739" s="223"/>
      <c r="CW739" s="223"/>
      <c r="CX739" s="223"/>
      <c r="CY739" s="223"/>
      <c r="CZ739" s="223"/>
      <c r="DA739" s="223"/>
      <c r="DB739" s="200"/>
      <c r="DC739" s="522"/>
      <c r="DD739" s="200"/>
      <c r="DE739" s="223"/>
      <c r="DF739" s="223"/>
      <c r="DG739" s="223"/>
      <c r="DH739" s="223"/>
      <c r="DI739" s="223"/>
      <c r="DJ739" s="223"/>
      <c r="DK739" s="200"/>
      <c r="DL739" s="200"/>
      <c r="DM739" s="522"/>
      <c r="DN739" s="200"/>
      <c r="DO739" s="223"/>
      <c r="DP739" s="223"/>
      <c r="DQ739" s="223"/>
      <c r="DR739" s="223"/>
      <c r="DS739" s="223"/>
      <c r="DT739" s="223"/>
      <c r="DU739" s="200"/>
      <c r="DV739" s="200"/>
      <c r="DW739" s="522"/>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2"/>
      <c r="R740" s="200"/>
      <c r="S740" s="223"/>
      <c r="T740" s="223"/>
      <c r="U740" s="223"/>
      <c r="V740" s="223"/>
      <c r="W740" s="223"/>
      <c r="X740" s="223"/>
      <c r="Y740" s="200"/>
      <c r="Z740" s="200"/>
      <c r="AA740" s="522"/>
      <c r="AB740" s="200"/>
      <c r="AC740" s="223"/>
      <c r="AD740" s="223"/>
      <c r="AE740" s="223"/>
      <c r="AF740" s="223"/>
      <c r="AG740" s="223"/>
      <c r="AH740" s="223"/>
      <c r="AI740" s="200"/>
      <c r="AJ740" s="200"/>
      <c r="AK740" s="522"/>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2"/>
      <c r="BF740" s="200"/>
      <c r="BG740" s="223"/>
      <c r="BH740" s="223"/>
      <c r="BI740" s="223"/>
      <c r="BJ740" s="223"/>
      <c r="BK740" s="223"/>
      <c r="BL740" s="223"/>
      <c r="BM740" s="200"/>
      <c r="BN740" s="200"/>
      <c r="BO740" s="522"/>
      <c r="BP740" s="200"/>
      <c r="BQ740" s="223"/>
      <c r="BR740" s="223"/>
      <c r="BS740" s="223"/>
      <c r="BT740" s="223"/>
      <c r="BU740" s="223"/>
      <c r="BV740" s="223"/>
      <c r="BW740" s="223"/>
      <c r="BX740" s="200"/>
      <c r="BY740" s="522"/>
      <c r="BZ740" s="200"/>
      <c r="CA740" s="223"/>
      <c r="CB740" s="223"/>
      <c r="CC740" s="223"/>
      <c r="CD740" s="223"/>
      <c r="CE740" s="223"/>
      <c r="CF740" s="223"/>
      <c r="CG740" s="200"/>
      <c r="CH740" s="200"/>
      <c r="CI740" s="522"/>
      <c r="CJ740" s="200"/>
      <c r="CK740" s="223"/>
      <c r="CL740" s="223"/>
      <c r="CM740" s="223"/>
      <c r="CN740" s="223"/>
      <c r="CO740" s="223"/>
      <c r="CP740" s="223"/>
      <c r="CQ740" s="200"/>
      <c r="CR740" s="200"/>
      <c r="CS740" s="522"/>
      <c r="CT740" s="200"/>
      <c r="CU740" s="223"/>
      <c r="CV740" s="223"/>
      <c r="CW740" s="223"/>
      <c r="CX740" s="223"/>
      <c r="CY740" s="223"/>
      <c r="CZ740" s="223"/>
      <c r="DA740" s="223"/>
      <c r="DB740" s="200"/>
      <c r="DC740" s="522"/>
      <c r="DD740" s="200"/>
      <c r="DE740" s="223"/>
      <c r="DF740" s="223"/>
      <c r="DG740" s="223"/>
      <c r="DH740" s="223"/>
      <c r="DI740" s="223"/>
      <c r="DJ740" s="223"/>
      <c r="DK740" s="200"/>
      <c r="DL740" s="200"/>
      <c r="DM740" s="522"/>
      <c r="DN740" s="200"/>
      <c r="DO740" s="223"/>
      <c r="DP740" s="223"/>
      <c r="DQ740" s="223"/>
      <c r="DR740" s="223"/>
      <c r="DS740" s="223"/>
      <c r="DT740" s="223"/>
      <c r="DU740" s="200"/>
      <c r="DV740" s="200"/>
      <c r="DW740" s="522"/>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2"/>
      <c r="R741" s="200"/>
      <c r="S741" s="223"/>
      <c r="T741" s="223"/>
      <c r="U741" s="223"/>
      <c r="V741" s="223"/>
      <c r="W741" s="223"/>
      <c r="X741" s="223"/>
      <c r="Y741" s="200"/>
      <c r="Z741" s="200"/>
      <c r="AA741" s="522"/>
      <c r="AB741" s="200"/>
      <c r="AC741" s="223"/>
      <c r="AD741" s="223"/>
      <c r="AE741" s="223"/>
      <c r="AF741" s="223"/>
      <c r="AG741" s="223"/>
      <c r="AH741" s="223"/>
      <c r="AI741" s="200"/>
      <c r="AJ741" s="200"/>
      <c r="AK741" s="522"/>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2"/>
      <c r="BF741" s="200"/>
      <c r="BG741" s="223"/>
      <c r="BH741" s="223"/>
      <c r="BI741" s="223"/>
      <c r="BJ741" s="223"/>
      <c r="BK741" s="223"/>
      <c r="BL741" s="223"/>
      <c r="BM741" s="200"/>
      <c r="BN741" s="200"/>
      <c r="BO741" s="522"/>
      <c r="BP741" s="200"/>
      <c r="BQ741" s="223"/>
      <c r="BR741" s="223"/>
      <c r="BS741" s="223"/>
      <c r="BT741" s="223"/>
      <c r="BU741" s="223"/>
      <c r="BV741" s="223"/>
      <c r="BW741" s="223"/>
      <c r="BX741" s="200"/>
      <c r="BY741" s="522"/>
      <c r="BZ741" s="200"/>
      <c r="CA741" s="223"/>
      <c r="CB741" s="223"/>
      <c r="CC741" s="223"/>
      <c r="CD741" s="223"/>
      <c r="CE741" s="223"/>
      <c r="CF741" s="223"/>
      <c r="CG741" s="200"/>
      <c r="CH741" s="200"/>
      <c r="CI741" s="522"/>
      <c r="CJ741" s="200"/>
      <c r="CK741" s="223"/>
      <c r="CL741" s="223"/>
      <c r="CM741" s="223"/>
      <c r="CN741" s="223"/>
      <c r="CO741" s="223"/>
      <c r="CP741" s="223"/>
      <c r="CQ741" s="200"/>
      <c r="CR741" s="200"/>
      <c r="CS741" s="522"/>
      <c r="CT741" s="200"/>
      <c r="CU741" s="223"/>
      <c r="CV741" s="223"/>
      <c r="CW741" s="223"/>
      <c r="CX741" s="223"/>
      <c r="CY741" s="223"/>
      <c r="CZ741" s="223"/>
      <c r="DA741" s="223"/>
      <c r="DB741" s="200"/>
      <c r="DC741" s="522"/>
      <c r="DD741" s="200"/>
      <c r="DE741" s="223"/>
      <c r="DF741" s="223"/>
      <c r="DG741" s="223"/>
      <c r="DH741" s="223"/>
      <c r="DI741" s="223"/>
      <c r="DJ741" s="223"/>
      <c r="DK741" s="200"/>
      <c r="DL741" s="200"/>
      <c r="DM741" s="522"/>
      <c r="DN741" s="200"/>
      <c r="DO741" s="223"/>
      <c r="DP741" s="223"/>
      <c r="DQ741" s="223"/>
      <c r="DR741" s="223"/>
      <c r="DS741" s="223"/>
      <c r="DT741" s="223"/>
      <c r="DU741" s="200"/>
      <c r="DV741" s="200"/>
      <c r="DW741" s="522"/>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2"/>
      <c r="R742" s="200"/>
      <c r="S742" s="223"/>
      <c r="T742" s="223"/>
      <c r="U742" s="223"/>
      <c r="V742" s="223"/>
      <c r="W742" s="223"/>
      <c r="X742" s="223"/>
      <c r="Y742" s="200"/>
      <c r="Z742" s="200"/>
      <c r="AA742" s="522"/>
      <c r="AB742" s="200"/>
      <c r="AC742" s="223"/>
      <c r="AD742" s="223"/>
      <c r="AE742" s="223"/>
      <c r="AF742" s="223"/>
      <c r="AG742" s="223"/>
      <c r="AH742" s="223"/>
      <c r="AI742" s="200"/>
      <c r="AJ742" s="200"/>
      <c r="AK742" s="522"/>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2"/>
      <c r="BF742" s="200"/>
      <c r="BG742" s="223"/>
      <c r="BH742" s="223"/>
      <c r="BI742" s="223"/>
      <c r="BJ742" s="223"/>
      <c r="BK742" s="223"/>
      <c r="BL742" s="223"/>
      <c r="BM742" s="200"/>
      <c r="BN742" s="200"/>
      <c r="BO742" s="522"/>
      <c r="BP742" s="200"/>
      <c r="BQ742" s="223"/>
      <c r="BR742" s="223"/>
      <c r="BS742" s="223"/>
      <c r="BT742" s="223"/>
      <c r="BU742" s="223"/>
      <c r="BV742" s="223"/>
      <c r="BW742" s="223"/>
      <c r="BX742" s="200"/>
      <c r="BY742" s="522"/>
      <c r="BZ742" s="200"/>
      <c r="CA742" s="223"/>
      <c r="CB742" s="223"/>
      <c r="CC742" s="223"/>
      <c r="CD742" s="223"/>
      <c r="CE742" s="223"/>
      <c r="CF742" s="223"/>
      <c r="CG742" s="200"/>
      <c r="CH742" s="200"/>
      <c r="CI742" s="522"/>
      <c r="CJ742" s="200"/>
      <c r="CK742" s="223"/>
      <c r="CL742" s="223"/>
      <c r="CM742" s="223"/>
      <c r="CN742" s="223"/>
      <c r="CO742" s="223"/>
      <c r="CP742" s="223"/>
      <c r="CQ742" s="200"/>
      <c r="CR742" s="200"/>
      <c r="CS742" s="522"/>
      <c r="CT742" s="200"/>
      <c r="CU742" s="223"/>
      <c r="CV742" s="223"/>
      <c r="CW742" s="223"/>
      <c r="CX742" s="223"/>
      <c r="CY742" s="223"/>
      <c r="CZ742" s="223"/>
      <c r="DA742" s="223"/>
      <c r="DB742" s="200"/>
      <c r="DC742" s="522"/>
      <c r="DD742" s="200"/>
      <c r="DE742" s="223"/>
      <c r="DF742" s="223"/>
      <c r="DG742" s="223"/>
      <c r="DH742" s="223"/>
      <c r="DI742" s="223"/>
      <c r="DJ742" s="223"/>
      <c r="DK742" s="200"/>
      <c r="DL742" s="200"/>
      <c r="DM742" s="522"/>
      <c r="DN742" s="200"/>
      <c r="DO742" s="223"/>
      <c r="DP742" s="223"/>
      <c r="DQ742" s="223"/>
      <c r="DR742" s="223"/>
      <c r="DS742" s="223"/>
      <c r="DT742" s="223"/>
      <c r="DU742" s="200"/>
      <c r="DV742" s="200"/>
      <c r="DW742" s="522"/>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2"/>
      <c r="R743" s="200"/>
      <c r="S743" s="223"/>
      <c r="T743" s="223"/>
      <c r="U743" s="223"/>
      <c r="V743" s="223"/>
      <c r="W743" s="223"/>
      <c r="X743" s="223"/>
      <c r="Y743" s="200"/>
      <c r="Z743" s="200"/>
      <c r="AA743" s="522"/>
      <c r="AB743" s="200"/>
      <c r="AC743" s="223"/>
      <c r="AD743" s="223"/>
      <c r="AE743" s="223"/>
      <c r="AF743" s="223"/>
      <c r="AG743" s="223"/>
      <c r="AH743" s="223"/>
      <c r="AI743" s="200"/>
      <c r="AJ743" s="200"/>
      <c r="AK743" s="522"/>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2"/>
      <c r="BF743" s="200"/>
      <c r="BG743" s="223"/>
      <c r="BH743" s="223"/>
      <c r="BI743" s="223"/>
      <c r="BJ743" s="223"/>
      <c r="BK743" s="223"/>
      <c r="BL743" s="223"/>
      <c r="BM743" s="200"/>
      <c r="BN743" s="200"/>
      <c r="BO743" s="522"/>
      <c r="BP743" s="200"/>
      <c r="BQ743" s="223"/>
      <c r="BR743" s="223"/>
      <c r="BS743" s="223"/>
      <c r="BT743" s="223"/>
      <c r="BU743" s="223"/>
      <c r="BV743" s="223"/>
      <c r="BW743" s="223"/>
      <c r="BX743" s="200"/>
      <c r="BY743" s="522"/>
      <c r="BZ743" s="200"/>
      <c r="CA743" s="223"/>
      <c r="CB743" s="223"/>
      <c r="CC743" s="223"/>
      <c r="CD743" s="223"/>
      <c r="CE743" s="223"/>
      <c r="CF743" s="223"/>
      <c r="CG743" s="200"/>
      <c r="CH743" s="200"/>
      <c r="CI743" s="522"/>
      <c r="CJ743" s="200"/>
      <c r="CK743" s="223"/>
      <c r="CL743" s="223"/>
      <c r="CM743" s="223"/>
      <c r="CN743" s="223"/>
      <c r="CO743" s="223"/>
      <c r="CP743" s="223"/>
      <c r="CQ743" s="200"/>
      <c r="CR743" s="200"/>
      <c r="CS743" s="522"/>
      <c r="CT743" s="200"/>
      <c r="CU743" s="223"/>
      <c r="CV743" s="223"/>
      <c r="CW743" s="223"/>
      <c r="CX743" s="223"/>
      <c r="CY743" s="223"/>
      <c r="CZ743" s="223"/>
      <c r="DA743" s="223"/>
      <c r="DB743" s="200"/>
      <c r="DC743" s="522"/>
      <c r="DD743" s="200"/>
      <c r="DE743" s="223"/>
      <c r="DF743" s="223"/>
      <c r="DG743" s="223"/>
      <c r="DH743" s="223"/>
      <c r="DI743" s="223"/>
      <c r="DJ743" s="223"/>
      <c r="DK743" s="200"/>
      <c r="DL743" s="200"/>
      <c r="DM743" s="522"/>
      <c r="DN743" s="200"/>
      <c r="DO743" s="223"/>
      <c r="DP743" s="223"/>
      <c r="DQ743" s="223"/>
      <c r="DR743" s="223"/>
      <c r="DS743" s="223"/>
      <c r="DT743" s="223"/>
      <c r="DU743" s="200"/>
      <c r="DV743" s="200"/>
      <c r="DW743" s="522"/>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2"/>
      <c r="R744" s="200"/>
      <c r="S744" s="223"/>
      <c r="T744" s="223"/>
      <c r="U744" s="223"/>
      <c r="V744" s="223"/>
      <c r="W744" s="223"/>
      <c r="X744" s="223"/>
      <c r="Y744" s="200"/>
      <c r="Z744" s="200"/>
      <c r="AA744" s="522"/>
      <c r="AB744" s="200"/>
      <c r="AC744" s="223"/>
      <c r="AD744" s="223"/>
      <c r="AE744" s="223"/>
      <c r="AF744" s="223"/>
      <c r="AG744" s="223"/>
      <c r="AH744" s="223"/>
      <c r="AI744" s="200"/>
      <c r="AJ744" s="200"/>
      <c r="AK744" s="522"/>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2"/>
      <c r="BF744" s="200"/>
      <c r="BG744" s="223"/>
      <c r="BH744" s="223"/>
      <c r="BI744" s="223"/>
      <c r="BJ744" s="223"/>
      <c r="BK744" s="223"/>
      <c r="BL744" s="223"/>
      <c r="BM744" s="200"/>
      <c r="BN744" s="200"/>
      <c r="BO744" s="522"/>
      <c r="BP744" s="200"/>
      <c r="BQ744" s="223"/>
      <c r="BR744" s="223"/>
      <c r="BS744" s="223"/>
      <c r="BT744" s="223"/>
      <c r="BU744" s="223"/>
      <c r="BV744" s="223"/>
      <c r="BW744" s="223"/>
      <c r="BX744" s="200"/>
      <c r="BY744" s="522"/>
      <c r="BZ744" s="200"/>
      <c r="CA744" s="223"/>
      <c r="CB744" s="223"/>
      <c r="CC744" s="223"/>
      <c r="CD744" s="223"/>
      <c r="CE744" s="223"/>
      <c r="CF744" s="223"/>
      <c r="CG744" s="200"/>
      <c r="CH744" s="200"/>
      <c r="CI744" s="522"/>
      <c r="CJ744" s="200"/>
      <c r="CK744" s="223"/>
      <c r="CL744" s="223"/>
      <c r="CM744" s="223"/>
      <c r="CN744" s="223"/>
      <c r="CO744" s="223"/>
      <c r="CP744" s="223"/>
      <c r="CQ744" s="200"/>
      <c r="CR744" s="200"/>
      <c r="CS744" s="522"/>
      <c r="CT744" s="200"/>
      <c r="CU744" s="223"/>
      <c r="CV744" s="223"/>
      <c r="CW744" s="223"/>
      <c r="CX744" s="223"/>
      <c r="CY744" s="223"/>
      <c r="CZ744" s="223"/>
      <c r="DA744" s="223"/>
      <c r="DB744" s="200"/>
      <c r="DC744" s="522"/>
      <c r="DD744" s="200"/>
      <c r="DE744" s="223"/>
      <c r="DF744" s="223"/>
      <c r="DG744" s="223"/>
      <c r="DH744" s="223"/>
      <c r="DI744" s="223"/>
      <c r="DJ744" s="223"/>
      <c r="DK744" s="200"/>
      <c r="DL744" s="200"/>
      <c r="DM744" s="522"/>
      <c r="DN744" s="200"/>
      <c r="DO744" s="223"/>
      <c r="DP744" s="223"/>
      <c r="DQ744" s="223"/>
      <c r="DR744" s="223"/>
      <c r="DS744" s="223"/>
      <c r="DT744" s="223"/>
      <c r="DU744" s="200"/>
      <c r="DV744" s="200"/>
      <c r="DW744" s="522"/>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2"/>
      <c r="R745" s="200"/>
      <c r="S745" s="223"/>
      <c r="T745" s="223"/>
      <c r="U745" s="223"/>
      <c r="V745" s="223"/>
      <c r="W745" s="223"/>
      <c r="X745" s="223"/>
      <c r="Y745" s="200"/>
      <c r="Z745" s="200"/>
      <c r="AA745" s="522"/>
      <c r="AB745" s="200"/>
      <c r="AC745" s="223"/>
      <c r="AD745" s="223"/>
      <c r="AE745" s="223"/>
      <c r="AF745" s="223"/>
      <c r="AG745" s="223"/>
      <c r="AH745" s="223"/>
      <c r="AI745" s="200"/>
      <c r="AJ745" s="200"/>
      <c r="AK745" s="522"/>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2"/>
      <c r="BF745" s="200"/>
      <c r="BG745" s="223"/>
      <c r="BH745" s="223"/>
      <c r="BI745" s="223"/>
      <c r="BJ745" s="223"/>
      <c r="BK745" s="223"/>
      <c r="BL745" s="223"/>
      <c r="BM745" s="200"/>
      <c r="BN745" s="200"/>
      <c r="BO745" s="522"/>
      <c r="BP745" s="200"/>
      <c r="BQ745" s="223"/>
      <c r="BR745" s="223"/>
      <c r="BS745" s="223"/>
      <c r="BT745" s="223"/>
      <c r="BU745" s="223"/>
      <c r="BV745" s="223"/>
      <c r="BW745" s="223"/>
      <c r="BX745" s="200"/>
      <c r="BY745" s="522"/>
      <c r="BZ745" s="200"/>
      <c r="CA745" s="223"/>
      <c r="CB745" s="223"/>
      <c r="CC745" s="223"/>
      <c r="CD745" s="223"/>
      <c r="CE745" s="223"/>
      <c r="CF745" s="223"/>
      <c r="CG745" s="200"/>
      <c r="CH745" s="200"/>
      <c r="CI745" s="522"/>
      <c r="CJ745" s="200"/>
      <c r="CK745" s="223"/>
      <c r="CL745" s="223"/>
      <c r="CM745" s="223"/>
      <c r="CN745" s="223"/>
      <c r="CO745" s="223"/>
      <c r="CP745" s="223"/>
      <c r="CQ745" s="200"/>
      <c r="CR745" s="200"/>
      <c r="CS745" s="522"/>
      <c r="CT745" s="200"/>
      <c r="CU745" s="223"/>
      <c r="CV745" s="223"/>
      <c r="CW745" s="223"/>
      <c r="CX745" s="223"/>
      <c r="CY745" s="223"/>
      <c r="CZ745" s="223"/>
      <c r="DA745" s="223"/>
      <c r="DB745" s="200"/>
      <c r="DC745" s="522"/>
      <c r="DD745" s="200"/>
      <c r="DE745" s="223"/>
      <c r="DF745" s="223"/>
      <c r="DG745" s="223"/>
      <c r="DH745" s="223"/>
      <c r="DI745" s="223"/>
      <c r="DJ745" s="223"/>
      <c r="DK745" s="200"/>
      <c r="DL745" s="200"/>
      <c r="DM745" s="522"/>
      <c r="DN745" s="200"/>
      <c r="DO745" s="223"/>
      <c r="DP745" s="223"/>
      <c r="DQ745" s="223"/>
      <c r="DR745" s="223"/>
      <c r="DS745" s="223"/>
      <c r="DT745" s="223"/>
      <c r="DU745" s="200"/>
      <c r="DV745" s="200"/>
      <c r="DW745" s="522"/>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2"/>
      <c r="R746" s="200"/>
      <c r="S746" s="223"/>
      <c r="T746" s="223"/>
      <c r="U746" s="223"/>
      <c r="V746" s="223"/>
      <c r="W746" s="223"/>
      <c r="X746" s="223"/>
      <c r="Y746" s="200"/>
      <c r="Z746" s="200"/>
      <c r="AA746" s="522"/>
      <c r="AB746" s="200"/>
      <c r="AC746" s="223"/>
      <c r="AD746" s="223"/>
      <c r="AE746" s="223"/>
      <c r="AF746" s="223"/>
      <c r="AG746" s="223"/>
      <c r="AH746" s="223"/>
      <c r="AI746" s="200"/>
      <c r="AJ746" s="200"/>
      <c r="AK746" s="522"/>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2"/>
      <c r="BF746" s="200"/>
      <c r="BG746" s="223"/>
      <c r="BH746" s="223"/>
      <c r="BI746" s="223"/>
      <c r="BJ746" s="223"/>
      <c r="BK746" s="223"/>
      <c r="BL746" s="223"/>
      <c r="BM746" s="200"/>
      <c r="BN746" s="200"/>
      <c r="BO746" s="522"/>
      <c r="BP746" s="200"/>
      <c r="BQ746" s="223"/>
      <c r="BR746" s="223"/>
      <c r="BS746" s="223"/>
      <c r="BT746" s="223"/>
      <c r="BU746" s="223"/>
      <c r="BV746" s="223"/>
      <c r="BW746" s="223"/>
      <c r="BX746" s="200"/>
      <c r="BY746" s="522"/>
      <c r="BZ746" s="200"/>
      <c r="CA746" s="223"/>
      <c r="CB746" s="223"/>
      <c r="CC746" s="223"/>
      <c r="CD746" s="223"/>
      <c r="CE746" s="223"/>
      <c r="CF746" s="223"/>
      <c r="CG746" s="200"/>
      <c r="CH746" s="200"/>
      <c r="CI746" s="522"/>
      <c r="CJ746" s="200"/>
      <c r="CK746" s="223"/>
      <c r="CL746" s="223"/>
      <c r="CM746" s="223"/>
      <c r="CN746" s="223"/>
      <c r="CO746" s="223"/>
      <c r="CP746" s="223"/>
      <c r="CQ746" s="200"/>
      <c r="CR746" s="200"/>
      <c r="CS746" s="522"/>
      <c r="CT746" s="200"/>
      <c r="CU746" s="223"/>
      <c r="CV746" s="223"/>
      <c r="CW746" s="223"/>
      <c r="CX746" s="223"/>
      <c r="CY746" s="223"/>
      <c r="CZ746" s="223"/>
      <c r="DA746" s="223"/>
      <c r="DB746" s="200"/>
      <c r="DC746" s="522"/>
      <c r="DD746" s="200"/>
      <c r="DE746" s="223"/>
      <c r="DF746" s="223"/>
      <c r="DG746" s="223"/>
      <c r="DH746" s="223"/>
      <c r="DI746" s="223"/>
      <c r="DJ746" s="223"/>
      <c r="DK746" s="200"/>
      <c r="DL746" s="200"/>
      <c r="DM746" s="522"/>
      <c r="DN746" s="200"/>
      <c r="DO746" s="223"/>
      <c r="DP746" s="223"/>
      <c r="DQ746" s="223"/>
      <c r="DR746" s="223"/>
      <c r="DS746" s="223"/>
      <c r="DT746" s="223"/>
      <c r="DU746" s="200"/>
      <c r="DV746" s="200"/>
      <c r="DW746" s="522"/>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2"/>
      <c r="R747" s="200"/>
      <c r="S747" s="223"/>
      <c r="T747" s="223"/>
      <c r="U747" s="223"/>
      <c r="V747" s="223"/>
      <c r="W747" s="223"/>
      <c r="X747" s="223"/>
      <c r="Y747" s="200"/>
      <c r="Z747" s="200"/>
      <c r="AA747" s="522"/>
      <c r="AB747" s="200"/>
      <c r="AC747" s="223"/>
      <c r="AD747" s="223"/>
      <c r="AE747" s="223"/>
      <c r="AF747" s="223"/>
      <c r="AG747" s="223"/>
      <c r="AH747" s="223"/>
      <c r="AI747" s="200"/>
      <c r="AJ747" s="200"/>
      <c r="AK747" s="522"/>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2"/>
      <c r="BF747" s="200"/>
      <c r="BG747" s="223"/>
      <c r="BH747" s="223"/>
      <c r="BI747" s="223"/>
      <c r="BJ747" s="223"/>
      <c r="BK747" s="223"/>
      <c r="BL747" s="223"/>
      <c r="BM747" s="200"/>
      <c r="BN747" s="200"/>
      <c r="BO747" s="522"/>
      <c r="BP747" s="200"/>
      <c r="BQ747" s="223"/>
      <c r="BR747" s="223"/>
      <c r="BS747" s="223"/>
      <c r="BT747" s="223"/>
      <c r="BU747" s="223"/>
      <c r="BV747" s="223"/>
      <c r="BW747" s="223"/>
      <c r="BX747" s="200"/>
      <c r="BY747" s="522"/>
      <c r="BZ747" s="200"/>
      <c r="CA747" s="223"/>
      <c r="CB747" s="223"/>
      <c r="CC747" s="223"/>
      <c r="CD747" s="223"/>
      <c r="CE747" s="223"/>
      <c r="CF747" s="223"/>
      <c r="CG747" s="200"/>
      <c r="CH747" s="200"/>
      <c r="CI747" s="522"/>
      <c r="CJ747" s="200"/>
      <c r="CK747" s="223"/>
      <c r="CL747" s="223"/>
      <c r="CM747" s="223"/>
      <c r="CN747" s="223"/>
      <c r="CO747" s="223"/>
      <c r="CP747" s="223"/>
      <c r="CQ747" s="200"/>
      <c r="CR747" s="200"/>
      <c r="CS747" s="522"/>
      <c r="CT747" s="200"/>
      <c r="CU747" s="223"/>
      <c r="CV747" s="223"/>
      <c r="CW747" s="223"/>
      <c r="CX747" s="223"/>
      <c r="CY747" s="223"/>
      <c r="CZ747" s="223"/>
      <c r="DA747" s="223"/>
      <c r="DB747" s="200"/>
      <c r="DC747" s="522"/>
      <c r="DD747" s="200"/>
      <c r="DE747" s="223"/>
      <c r="DF747" s="223"/>
      <c r="DG747" s="223"/>
      <c r="DH747" s="223"/>
      <c r="DI747" s="223"/>
      <c r="DJ747" s="223"/>
      <c r="DK747" s="200"/>
      <c r="DL747" s="200"/>
      <c r="DM747" s="522"/>
      <c r="DN747" s="200"/>
      <c r="DO747" s="223"/>
      <c r="DP747" s="223"/>
      <c r="DQ747" s="223"/>
      <c r="DR747" s="223"/>
      <c r="DS747" s="223"/>
      <c r="DT747" s="223"/>
      <c r="DU747" s="200"/>
      <c r="DV747" s="200"/>
      <c r="DW747" s="522"/>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2"/>
      <c r="R748" s="200"/>
      <c r="S748" s="223"/>
      <c r="T748" s="223"/>
      <c r="U748" s="223"/>
      <c r="V748" s="223"/>
      <c r="W748" s="223"/>
      <c r="X748" s="223"/>
      <c r="Y748" s="200"/>
      <c r="Z748" s="200"/>
      <c r="AA748" s="522"/>
      <c r="AB748" s="200"/>
      <c r="AC748" s="223"/>
      <c r="AD748" s="223"/>
      <c r="AE748" s="223"/>
      <c r="AF748" s="223"/>
      <c r="AG748" s="223"/>
      <c r="AH748" s="223"/>
      <c r="AI748" s="200"/>
      <c r="AJ748" s="200"/>
      <c r="AK748" s="522"/>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2"/>
      <c r="BF748" s="200"/>
      <c r="BG748" s="223"/>
      <c r="BH748" s="223"/>
      <c r="BI748" s="223"/>
      <c r="BJ748" s="223"/>
      <c r="BK748" s="223"/>
      <c r="BL748" s="223"/>
      <c r="BM748" s="200"/>
      <c r="BN748" s="200"/>
      <c r="BO748" s="522"/>
      <c r="BP748" s="200"/>
      <c r="BQ748" s="223"/>
      <c r="BR748" s="223"/>
      <c r="BS748" s="223"/>
      <c r="BT748" s="223"/>
      <c r="BU748" s="223"/>
      <c r="BV748" s="223"/>
      <c r="BW748" s="223"/>
      <c r="BX748" s="200"/>
      <c r="BY748" s="522"/>
      <c r="BZ748" s="200"/>
      <c r="CA748" s="223"/>
      <c r="CB748" s="223"/>
      <c r="CC748" s="223"/>
      <c r="CD748" s="223"/>
      <c r="CE748" s="223"/>
      <c r="CF748" s="223"/>
      <c r="CG748" s="200"/>
      <c r="CH748" s="200"/>
      <c r="CI748" s="522"/>
      <c r="CJ748" s="200"/>
      <c r="CK748" s="223"/>
      <c r="CL748" s="223"/>
      <c r="CM748" s="223"/>
      <c r="CN748" s="223"/>
      <c r="CO748" s="223"/>
      <c r="CP748" s="223"/>
      <c r="CQ748" s="200"/>
      <c r="CR748" s="200"/>
      <c r="CS748" s="522"/>
      <c r="CT748" s="200"/>
      <c r="CU748" s="223"/>
      <c r="CV748" s="223"/>
      <c r="CW748" s="223"/>
      <c r="CX748" s="223"/>
      <c r="CY748" s="223"/>
      <c r="CZ748" s="223"/>
      <c r="DA748" s="223"/>
      <c r="DB748" s="200"/>
      <c r="DC748" s="522"/>
      <c r="DD748" s="200"/>
      <c r="DE748" s="223"/>
      <c r="DF748" s="223"/>
      <c r="DG748" s="223"/>
      <c r="DH748" s="223"/>
      <c r="DI748" s="223"/>
      <c r="DJ748" s="223"/>
      <c r="DK748" s="200"/>
      <c r="DL748" s="200"/>
      <c r="DM748" s="522"/>
      <c r="DN748" s="200"/>
      <c r="DO748" s="223"/>
      <c r="DP748" s="223"/>
      <c r="DQ748" s="223"/>
      <c r="DR748" s="223"/>
      <c r="DS748" s="223"/>
      <c r="DT748" s="223"/>
      <c r="DU748" s="200"/>
      <c r="DV748" s="200"/>
      <c r="DW748" s="522"/>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2"/>
      <c r="R749" s="200"/>
      <c r="S749" s="223"/>
      <c r="T749" s="223"/>
      <c r="U749" s="223"/>
      <c r="V749" s="223"/>
      <c r="W749" s="223"/>
      <c r="X749" s="223"/>
      <c r="Y749" s="200"/>
      <c r="Z749" s="200"/>
      <c r="AA749" s="522"/>
      <c r="AB749" s="200"/>
      <c r="AC749" s="223"/>
      <c r="AD749" s="223"/>
      <c r="AE749" s="223"/>
      <c r="AF749" s="223"/>
      <c r="AG749" s="223"/>
      <c r="AH749" s="223"/>
      <c r="AI749" s="200"/>
      <c r="AJ749" s="200"/>
      <c r="AK749" s="522"/>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2"/>
      <c r="BF749" s="200"/>
      <c r="BG749" s="223"/>
      <c r="BH749" s="223"/>
      <c r="BI749" s="223"/>
      <c r="BJ749" s="223"/>
      <c r="BK749" s="223"/>
      <c r="BL749" s="223"/>
      <c r="BM749" s="200"/>
      <c r="BN749" s="200"/>
      <c r="BO749" s="522"/>
      <c r="BP749" s="200"/>
      <c r="BQ749" s="223"/>
      <c r="BR749" s="223"/>
      <c r="BS749" s="223"/>
      <c r="BT749" s="223"/>
      <c r="BU749" s="223"/>
      <c r="BV749" s="223"/>
      <c r="BW749" s="223"/>
      <c r="BX749" s="200"/>
      <c r="BY749" s="522"/>
      <c r="BZ749" s="200"/>
      <c r="CA749" s="223"/>
      <c r="CB749" s="223"/>
      <c r="CC749" s="223"/>
      <c r="CD749" s="223"/>
      <c r="CE749" s="223"/>
      <c r="CF749" s="223"/>
      <c r="CG749" s="200"/>
      <c r="CH749" s="200"/>
      <c r="CI749" s="522"/>
      <c r="CJ749" s="200"/>
      <c r="CK749" s="223"/>
      <c r="CL749" s="223"/>
      <c r="CM749" s="223"/>
      <c r="CN749" s="223"/>
      <c r="CO749" s="223"/>
      <c r="CP749" s="223"/>
      <c r="CQ749" s="200"/>
      <c r="CR749" s="200"/>
      <c r="CS749" s="522"/>
      <c r="CT749" s="200"/>
      <c r="CU749" s="223"/>
      <c r="CV749" s="223"/>
      <c r="CW749" s="223"/>
      <c r="CX749" s="223"/>
      <c r="CY749" s="223"/>
      <c r="CZ749" s="223"/>
      <c r="DA749" s="223"/>
      <c r="DB749" s="200"/>
      <c r="DC749" s="522"/>
      <c r="DD749" s="200"/>
      <c r="DE749" s="223"/>
      <c r="DF749" s="223"/>
      <c r="DG749" s="223"/>
      <c r="DH749" s="223"/>
      <c r="DI749" s="223"/>
      <c r="DJ749" s="223"/>
      <c r="DK749" s="200"/>
      <c r="DL749" s="200"/>
      <c r="DM749" s="522"/>
      <c r="DN749" s="200"/>
      <c r="DO749" s="223"/>
      <c r="DP749" s="223"/>
      <c r="DQ749" s="223"/>
      <c r="DR749" s="223"/>
      <c r="DS749" s="223"/>
      <c r="DT749" s="223"/>
      <c r="DU749" s="200"/>
      <c r="DV749" s="200"/>
      <c r="DW749" s="522"/>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2"/>
      <c r="R750" s="200"/>
      <c r="S750" s="223"/>
      <c r="T750" s="223"/>
      <c r="U750" s="223"/>
      <c r="V750" s="223"/>
      <c r="W750" s="223"/>
      <c r="X750" s="223"/>
      <c r="Y750" s="200"/>
      <c r="Z750" s="200"/>
      <c r="AA750" s="522"/>
      <c r="AB750" s="200"/>
      <c r="AC750" s="223"/>
      <c r="AD750" s="223"/>
      <c r="AE750" s="223"/>
      <c r="AF750" s="223"/>
      <c r="AG750" s="223"/>
      <c r="AH750" s="223"/>
      <c r="AI750" s="200"/>
      <c r="AJ750" s="200"/>
      <c r="AK750" s="522"/>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2"/>
      <c r="BF750" s="200"/>
      <c r="BG750" s="223"/>
      <c r="BH750" s="223"/>
      <c r="BI750" s="223"/>
      <c r="BJ750" s="223"/>
      <c r="BK750" s="223"/>
      <c r="BL750" s="223"/>
      <c r="BM750" s="200"/>
      <c r="BN750" s="200"/>
      <c r="BO750" s="522"/>
      <c r="BP750" s="200"/>
      <c r="BQ750" s="223"/>
      <c r="BR750" s="223"/>
      <c r="BS750" s="223"/>
      <c r="BT750" s="223"/>
      <c r="BU750" s="223"/>
      <c r="BV750" s="223"/>
      <c r="BW750" s="223"/>
      <c r="BX750" s="200"/>
      <c r="BY750" s="522"/>
      <c r="BZ750" s="200"/>
      <c r="CA750" s="223"/>
      <c r="CB750" s="223"/>
      <c r="CC750" s="223"/>
      <c r="CD750" s="223"/>
      <c r="CE750" s="223"/>
      <c r="CF750" s="223"/>
      <c r="CG750" s="200"/>
      <c r="CH750" s="200"/>
      <c r="CI750" s="522"/>
      <c r="CJ750" s="200"/>
      <c r="CK750" s="223"/>
      <c r="CL750" s="223"/>
      <c r="CM750" s="223"/>
      <c r="CN750" s="223"/>
      <c r="CO750" s="223"/>
      <c r="CP750" s="223"/>
      <c r="CQ750" s="200"/>
      <c r="CR750" s="200"/>
      <c r="CS750" s="522"/>
      <c r="CT750" s="200"/>
      <c r="CU750" s="223"/>
      <c r="CV750" s="223"/>
      <c r="CW750" s="223"/>
      <c r="CX750" s="223"/>
      <c r="CY750" s="223"/>
      <c r="CZ750" s="223"/>
      <c r="DA750" s="223"/>
      <c r="DB750" s="200"/>
      <c r="DC750" s="522"/>
      <c r="DD750" s="200"/>
      <c r="DE750" s="223"/>
      <c r="DF750" s="223"/>
      <c r="DG750" s="223"/>
      <c r="DH750" s="223"/>
      <c r="DI750" s="223"/>
      <c r="DJ750" s="223"/>
      <c r="DK750" s="200"/>
      <c r="DL750" s="200"/>
      <c r="DM750" s="522"/>
      <c r="DN750" s="200"/>
      <c r="DO750" s="223"/>
      <c r="DP750" s="223"/>
      <c r="DQ750" s="223"/>
      <c r="DR750" s="223"/>
      <c r="DS750" s="223"/>
      <c r="DT750" s="223"/>
      <c r="DU750" s="200"/>
      <c r="DV750" s="200"/>
      <c r="DW750" s="522"/>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2"/>
      <c r="R751" s="200"/>
      <c r="S751" s="223"/>
      <c r="T751" s="223"/>
      <c r="U751" s="223"/>
      <c r="V751" s="223"/>
      <c r="W751" s="223"/>
      <c r="X751" s="223"/>
      <c r="Y751" s="200"/>
      <c r="Z751" s="200"/>
      <c r="AA751" s="522"/>
      <c r="AB751" s="200"/>
      <c r="AC751" s="223"/>
      <c r="AD751" s="223"/>
      <c r="AE751" s="223"/>
      <c r="AF751" s="223"/>
      <c r="AG751" s="223"/>
      <c r="AH751" s="223"/>
      <c r="AI751" s="200"/>
      <c r="AJ751" s="200"/>
      <c r="AK751" s="522"/>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2"/>
      <c r="BF751" s="200"/>
      <c r="BG751" s="223"/>
      <c r="BH751" s="223"/>
      <c r="BI751" s="223"/>
      <c r="BJ751" s="223"/>
      <c r="BK751" s="223"/>
      <c r="BL751" s="223"/>
      <c r="BM751" s="200"/>
      <c r="BN751" s="200"/>
      <c r="BO751" s="522"/>
      <c r="BP751" s="200"/>
      <c r="BQ751" s="223"/>
      <c r="BR751" s="223"/>
      <c r="BS751" s="223"/>
      <c r="BT751" s="223"/>
      <c r="BU751" s="223"/>
      <c r="BV751" s="223"/>
      <c r="BW751" s="223"/>
      <c r="BX751" s="200"/>
      <c r="BY751" s="522"/>
      <c r="BZ751" s="200"/>
      <c r="CA751" s="223"/>
      <c r="CB751" s="223"/>
      <c r="CC751" s="223"/>
      <c r="CD751" s="223"/>
      <c r="CE751" s="223"/>
      <c r="CF751" s="223"/>
      <c r="CG751" s="200"/>
      <c r="CH751" s="200"/>
      <c r="CI751" s="522"/>
      <c r="CJ751" s="200"/>
      <c r="CK751" s="223"/>
      <c r="CL751" s="223"/>
      <c r="CM751" s="223"/>
      <c r="CN751" s="223"/>
      <c r="CO751" s="223"/>
      <c r="CP751" s="223"/>
      <c r="CQ751" s="200"/>
      <c r="CR751" s="200"/>
      <c r="CS751" s="522"/>
      <c r="CT751" s="200"/>
      <c r="CU751" s="223"/>
      <c r="CV751" s="223"/>
      <c r="CW751" s="223"/>
      <c r="CX751" s="223"/>
      <c r="CY751" s="223"/>
      <c r="CZ751" s="223"/>
      <c r="DA751" s="223"/>
      <c r="DB751" s="200"/>
      <c r="DC751" s="522"/>
      <c r="DD751" s="200"/>
      <c r="DE751" s="223"/>
      <c r="DF751" s="223"/>
      <c r="DG751" s="223"/>
      <c r="DH751" s="223"/>
      <c r="DI751" s="223"/>
      <c r="DJ751" s="223"/>
      <c r="DK751" s="200"/>
      <c r="DL751" s="200"/>
      <c r="DM751" s="522"/>
      <c r="DN751" s="200"/>
      <c r="DO751" s="223"/>
      <c r="DP751" s="223"/>
      <c r="DQ751" s="223"/>
      <c r="DR751" s="223"/>
      <c r="DS751" s="223"/>
      <c r="DT751" s="223"/>
      <c r="DU751" s="200"/>
      <c r="DV751" s="200"/>
      <c r="DW751" s="522"/>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2"/>
      <c r="R752" s="200"/>
      <c r="S752" s="223"/>
      <c r="T752" s="223"/>
      <c r="U752" s="223"/>
      <c r="V752" s="223"/>
      <c r="W752" s="223"/>
      <c r="X752" s="223"/>
      <c r="Y752" s="200"/>
      <c r="Z752" s="200"/>
      <c r="AA752" s="522"/>
      <c r="AB752" s="200"/>
      <c r="AC752" s="223"/>
      <c r="AD752" s="223"/>
      <c r="AE752" s="223"/>
      <c r="AF752" s="223"/>
      <c r="AG752" s="223"/>
      <c r="AH752" s="223"/>
      <c r="AI752" s="200"/>
      <c r="AJ752" s="200"/>
      <c r="AK752" s="522"/>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2"/>
      <c r="BF752" s="200"/>
      <c r="BG752" s="223"/>
      <c r="BH752" s="223"/>
      <c r="BI752" s="223"/>
      <c r="BJ752" s="223"/>
      <c r="BK752" s="223"/>
      <c r="BL752" s="223"/>
      <c r="BM752" s="200"/>
      <c r="BN752" s="200"/>
      <c r="BO752" s="522"/>
      <c r="BP752" s="200"/>
      <c r="BQ752" s="223"/>
      <c r="BR752" s="223"/>
      <c r="BS752" s="223"/>
      <c r="BT752" s="223"/>
      <c r="BU752" s="223"/>
      <c r="BV752" s="223"/>
      <c r="BW752" s="223"/>
      <c r="BX752" s="200"/>
      <c r="BY752" s="522"/>
      <c r="BZ752" s="200"/>
      <c r="CA752" s="223"/>
      <c r="CB752" s="223"/>
      <c r="CC752" s="223"/>
      <c r="CD752" s="223"/>
      <c r="CE752" s="223"/>
      <c r="CF752" s="223"/>
      <c r="CG752" s="200"/>
      <c r="CH752" s="200"/>
      <c r="CI752" s="522"/>
      <c r="CJ752" s="200"/>
      <c r="CK752" s="223"/>
      <c r="CL752" s="223"/>
      <c r="CM752" s="223"/>
      <c r="CN752" s="223"/>
      <c r="CO752" s="223"/>
      <c r="CP752" s="223"/>
      <c r="CQ752" s="200"/>
      <c r="CR752" s="200"/>
      <c r="CS752" s="522"/>
      <c r="CT752" s="200"/>
      <c r="CU752" s="223"/>
      <c r="CV752" s="223"/>
      <c r="CW752" s="223"/>
      <c r="CX752" s="223"/>
      <c r="CY752" s="223"/>
      <c r="CZ752" s="223"/>
      <c r="DA752" s="223"/>
      <c r="DB752" s="200"/>
      <c r="DC752" s="522"/>
      <c r="DD752" s="200"/>
      <c r="DE752" s="223"/>
      <c r="DF752" s="223"/>
      <c r="DG752" s="223"/>
      <c r="DH752" s="223"/>
      <c r="DI752" s="223"/>
      <c r="DJ752" s="223"/>
      <c r="DK752" s="200"/>
      <c r="DL752" s="200"/>
      <c r="DM752" s="522"/>
      <c r="DN752" s="200"/>
      <c r="DO752" s="223"/>
      <c r="DP752" s="223"/>
      <c r="DQ752" s="223"/>
      <c r="DR752" s="223"/>
      <c r="DS752" s="223"/>
      <c r="DT752" s="223"/>
      <c r="DU752" s="200"/>
      <c r="DV752" s="200"/>
      <c r="DW752" s="522"/>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2"/>
      <c r="R753" s="200"/>
      <c r="S753" s="223"/>
      <c r="T753" s="223"/>
      <c r="U753" s="223"/>
      <c r="V753" s="223"/>
      <c r="W753" s="223"/>
      <c r="X753" s="223"/>
      <c r="Y753" s="200"/>
      <c r="Z753" s="200"/>
      <c r="AA753" s="522"/>
      <c r="AB753" s="200"/>
      <c r="AC753" s="223"/>
      <c r="AD753" s="223"/>
      <c r="AE753" s="223"/>
      <c r="AF753" s="223"/>
      <c r="AG753" s="223"/>
      <c r="AH753" s="223"/>
      <c r="AI753" s="200"/>
      <c r="AJ753" s="200"/>
      <c r="AK753" s="522"/>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2"/>
      <c r="BF753" s="200"/>
      <c r="BG753" s="223"/>
      <c r="BH753" s="223"/>
      <c r="BI753" s="223"/>
      <c r="BJ753" s="223"/>
      <c r="BK753" s="223"/>
      <c r="BL753" s="223"/>
      <c r="BM753" s="200"/>
      <c r="BN753" s="200"/>
      <c r="BO753" s="522"/>
      <c r="BP753" s="200"/>
      <c r="BQ753" s="223"/>
      <c r="BR753" s="223"/>
      <c r="BS753" s="223"/>
      <c r="BT753" s="223"/>
      <c r="BU753" s="223"/>
      <c r="BV753" s="223"/>
      <c r="BW753" s="223"/>
      <c r="BX753" s="200"/>
      <c r="BY753" s="522"/>
      <c r="BZ753" s="200"/>
      <c r="CA753" s="223"/>
      <c r="CB753" s="223"/>
      <c r="CC753" s="223"/>
      <c r="CD753" s="223"/>
      <c r="CE753" s="223"/>
      <c r="CF753" s="223"/>
      <c r="CG753" s="200"/>
      <c r="CH753" s="200"/>
      <c r="CI753" s="522"/>
      <c r="CJ753" s="200"/>
      <c r="CK753" s="223"/>
      <c r="CL753" s="223"/>
      <c r="CM753" s="223"/>
      <c r="CN753" s="223"/>
      <c r="CO753" s="223"/>
      <c r="CP753" s="223"/>
      <c r="CQ753" s="200"/>
      <c r="CR753" s="200"/>
      <c r="CS753" s="522"/>
      <c r="CT753" s="200"/>
      <c r="CU753" s="223"/>
      <c r="CV753" s="223"/>
      <c r="CW753" s="223"/>
      <c r="CX753" s="223"/>
      <c r="CY753" s="223"/>
      <c r="CZ753" s="223"/>
      <c r="DA753" s="223"/>
      <c r="DB753" s="200"/>
      <c r="DC753" s="522"/>
      <c r="DD753" s="200"/>
      <c r="DE753" s="223"/>
      <c r="DF753" s="223"/>
      <c r="DG753" s="223"/>
      <c r="DH753" s="223"/>
      <c r="DI753" s="223"/>
      <c r="DJ753" s="223"/>
      <c r="DK753" s="200"/>
      <c r="DL753" s="200"/>
      <c r="DM753" s="522"/>
      <c r="DN753" s="200"/>
      <c r="DO753" s="223"/>
      <c r="DP753" s="223"/>
      <c r="DQ753" s="223"/>
      <c r="DR753" s="223"/>
      <c r="DS753" s="223"/>
      <c r="DT753" s="223"/>
      <c r="DU753" s="200"/>
      <c r="DV753" s="200"/>
      <c r="DW753" s="522"/>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2"/>
      <c r="R754" s="200"/>
      <c r="S754" s="223"/>
      <c r="T754" s="223"/>
      <c r="U754" s="223"/>
      <c r="V754" s="223"/>
      <c r="W754" s="223"/>
      <c r="X754" s="223"/>
      <c r="Y754" s="200"/>
      <c r="Z754" s="200"/>
      <c r="AA754" s="522"/>
      <c r="AB754" s="200"/>
      <c r="AC754" s="223"/>
      <c r="AD754" s="223"/>
      <c r="AE754" s="223"/>
      <c r="AF754" s="223"/>
      <c r="AG754" s="223"/>
      <c r="AH754" s="223"/>
      <c r="AI754" s="200"/>
      <c r="AJ754" s="200"/>
      <c r="AK754" s="522"/>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2"/>
      <c r="BF754" s="200"/>
      <c r="BG754" s="223"/>
      <c r="BH754" s="223"/>
      <c r="BI754" s="223"/>
      <c r="BJ754" s="223"/>
      <c r="BK754" s="223"/>
      <c r="BL754" s="223"/>
      <c r="BM754" s="200"/>
      <c r="BN754" s="200"/>
      <c r="BO754" s="522"/>
      <c r="BP754" s="200"/>
      <c r="BQ754" s="223"/>
      <c r="BR754" s="223"/>
      <c r="BS754" s="223"/>
      <c r="BT754" s="223"/>
      <c r="BU754" s="223"/>
      <c r="BV754" s="223"/>
      <c r="BW754" s="223"/>
      <c r="BX754" s="200"/>
      <c r="BY754" s="522"/>
      <c r="BZ754" s="200"/>
      <c r="CA754" s="223"/>
      <c r="CB754" s="223"/>
      <c r="CC754" s="223"/>
      <c r="CD754" s="223"/>
      <c r="CE754" s="223"/>
      <c r="CF754" s="223"/>
      <c r="CG754" s="200"/>
      <c r="CH754" s="200"/>
      <c r="CI754" s="522"/>
      <c r="CJ754" s="200"/>
      <c r="CK754" s="223"/>
      <c r="CL754" s="223"/>
      <c r="CM754" s="223"/>
      <c r="CN754" s="223"/>
      <c r="CO754" s="223"/>
      <c r="CP754" s="223"/>
      <c r="CQ754" s="200"/>
      <c r="CR754" s="200"/>
      <c r="CS754" s="522"/>
      <c r="CT754" s="200"/>
      <c r="CU754" s="223"/>
      <c r="CV754" s="223"/>
      <c r="CW754" s="223"/>
      <c r="CX754" s="223"/>
      <c r="CY754" s="223"/>
      <c r="CZ754" s="223"/>
      <c r="DA754" s="223"/>
      <c r="DB754" s="200"/>
      <c r="DC754" s="522"/>
      <c r="DD754" s="200"/>
      <c r="DE754" s="223"/>
      <c r="DF754" s="223"/>
      <c r="DG754" s="223"/>
      <c r="DH754" s="223"/>
      <c r="DI754" s="223"/>
      <c r="DJ754" s="223"/>
      <c r="DK754" s="200"/>
      <c r="DL754" s="200"/>
      <c r="DM754" s="522"/>
      <c r="DN754" s="200"/>
      <c r="DO754" s="223"/>
      <c r="DP754" s="223"/>
      <c r="DQ754" s="223"/>
      <c r="DR754" s="223"/>
      <c r="DS754" s="223"/>
      <c r="DT754" s="223"/>
      <c r="DU754" s="200"/>
      <c r="DV754" s="200"/>
      <c r="DW754" s="522"/>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2"/>
      <c r="R755" s="200"/>
      <c r="S755" s="223"/>
      <c r="T755" s="223"/>
      <c r="U755" s="223"/>
      <c r="V755" s="223"/>
      <c r="W755" s="223"/>
      <c r="X755" s="223"/>
      <c r="Y755" s="200"/>
      <c r="Z755" s="200"/>
      <c r="AA755" s="522"/>
      <c r="AB755" s="200"/>
      <c r="AC755" s="223"/>
      <c r="AD755" s="223"/>
      <c r="AE755" s="223"/>
      <c r="AF755" s="223"/>
      <c r="AG755" s="223"/>
      <c r="AH755" s="223"/>
      <c r="AI755" s="200"/>
      <c r="AJ755" s="200"/>
      <c r="AK755" s="522"/>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2"/>
      <c r="BF755" s="200"/>
      <c r="BG755" s="223"/>
      <c r="BH755" s="223"/>
      <c r="BI755" s="223"/>
      <c r="BJ755" s="223"/>
      <c r="BK755" s="223"/>
      <c r="BL755" s="223"/>
      <c r="BM755" s="200"/>
      <c r="BN755" s="200"/>
      <c r="BO755" s="522"/>
      <c r="BP755" s="200"/>
      <c r="BQ755" s="223"/>
      <c r="BR755" s="223"/>
      <c r="BS755" s="223"/>
      <c r="BT755" s="223"/>
      <c r="BU755" s="223"/>
      <c r="BV755" s="223"/>
      <c r="BW755" s="223"/>
      <c r="BX755" s="200"/>
      <c r="BY755" s="522"/>
      <c r="BZ755" s="200"/>
      <c r="CA755" s="223"/>
      <c r="CB755" s="223"/>
      <c r="CC755" s="223"/>
      <c r="CD755" s="223"/>
      <c r="CE755" s="223"/>
      <c r="CF755" s="223"/>
      <c r="CG755" s="200"/>
      <c r="CH755" s="200"/>
      <c r="CI755" s="522"/>
      <c r="CJ755" s="200"/>
      <c r="CK755" s="223"/>
      <c r="CL755" s="223"/>
      <c r="CM755" s="223"/>
      <c r="CN755" s="223"/>
      <c r="CO755" s="223"/>
      <c r="CP755" s="223"/>
      <c r="CQ755" s="200"/>
      <c r="CR755" s="200"/>
      <c r="CS755" s="522"/>
      <c r="CT755" s="200"/>
      <c r="CU755" s="223"/>
      <c r="CV755" s="223"/>
      <c r="CW755" s="223"/>
      <c r="CX755" s="223"/>
      <c r="CY755" s="223"/>
      <c r="CZ755" s="223"/>
      <c r="DA755" s="223"/>
      <c r="DB755" s="200"/>
      <c r="DC755" s="522"/>
      <c r="DD755" s="200"/>
      <c r="DE755" s="223"/>
      <c r="DF755" s="223"/>
      <c r="DG755" s="223"/>
      <c r="DH755" s="223"/>
      <c r="DI755" s="223"/>
      <c r="DJ755" s="223"/>
      <c r="DK755" s="200"/>
      <c r="DL755" s="200"/>
      <c r="DM755" s="522"/>
      <c r="DN755" s="200"/>
      <c r="DO755" s="223"/>
      <c r="DP755" s="223"/>
      <c r="DQ755" s="223"/>
      <c r="DR755" s="223"/>
      <c r="DS755" s="223"/>
      <c r="DT755" s="223"/>
      <c r="DU755" s="200"/>
      <c r="DV755" s="200"/>
      <c r="DW755" s="522"/>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2"/>
      <c r="R756" s="200"/>
      <c r="S756" s="223"/>
      <c r="T756" s="223"/>
      <c r="U756" s="223"/>
      <c r="V756" s="223"/>
      <c r="W756" s="223"/>
      <c r="X756" s="223"/>
      <c r="Y756" s="200"/>
      <c r="Z756" s="200"/>
      <c r="AA756" s="522"/>
      <c r="AB756" s="200"/>
      <c r="AC756" s="223"/>
      <c r="AD756" s="223"/>
      <c r="AE756" s="223"/>
      <c r="AF756" s="223"/>
      <c r="AG756" s="223"/>
      <c r="AH756" s="223"/>
      <c r="AI756" s="200"/>
      <c r="AJ756" s="200"/>
      <c r="AK756" s="522"/>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2"/>
      <c r="BF756" s="200"/>
      <c r="BG756" s="223"/>
      <c r="BH756" s="223"/>
      <c r="BI756" s="223"/>
      <c r="BJ756" s="223"/>
      <c r="BK756" s="223"/>
      <c r="BL756" s="223"/>
      <c r="BM756" s="200"/>
      <c r="BN756" s="200"/>
      <c r="BO756" s="522"/>
      <c r="BP756" s="200"/>
      <c r="BQ756" s="223"/>
      <c r="BR756" s="223"/>
      <c r="BS756" s="223"/>
      <c r="BT756" s="223"/>
      <c r="BU756" s="223"/>
      <c r="BV756" s="223"/>
      <c r="BW756" s="223"/>
      <c r="BX756" s="200"/>
      <c r="BY756" s="522"/>
      <c r="BZ756" s="200"/>
      <c r="CA756" s="223"/>
      <c r="CB756" s="223"/>
      <c r="CC756" s="223"/>
      <c r="CD756" s="223"/>
      <c r="CE756" s="223"/>
      <c r="CF756" s="223"/>
      <c r="CG756" s="200"/>
      <c r="CH756" s="200"/>
      <c r="CI756" s="522"/>
      <c r="CJ756" s="200"/>
      <c r="CK756" s="223"/>
      <c r="CL756" s="223"/>
      <c r="CM756" s="223"/>
      <c r="CN756" s="223"/>
      <c r="CO756" s="223"/>
      <c r="CP756" s="223"/>
      <c r="CQ756" s="200"/>
      <c r="CR756" s="200"/>
      <c r="CS756" s="522"/>
      <c r="CT756" s="200"/>
      <c r="CU756" s="223"/>
      <c r="CV756" s="223"/>
      <c r="CW756" s="223"/>
      <c r="CX756" s="223"/>
      <c r="CY756" s="223"/>
      <c r="CZ756" s="223"/>
      <c r="DA756" s="223"/>
      <c r="DB756" s="200"/>
      <c r="DC756" s="522"/>
      <c r="DD756" s="200"/>
      <c r="DE756" s="223"/>
      <c r="DF756" s="223"/>
      <c r="DG756" s="223"/>
      <c r="DH756" s="223"/>
      <c r="DI756" s="223"/>
      <c r="DJ756" s="223"/>
      <c r="DK756" s="200"/>
      <c r="DL756" s="200"/>
      <c r="DM756" s="522"/>
      <c r="DN756" s="200"/>
      <c r="DO756" s="223"/>
      <c r="DP756" s="223"/>
      <c r="DQ756" s="223"/>
      <c r="DR756" s="223"/>
      <c r="DS756" s="223"/>
      <c r="DT756" s="223"/>
      <c r="DU756" s="200"/>
      <c r="DV756" s="200"/>
      <c r="DW756" s="522"/>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2"/>
      <c r="R757" s="200"/>
      <c r="S757" s="223"/>
      <c r="T757" s="223"/>
      <c r="U757" s="223"/>
      <c r="V757" s="223"/>
      <c r="W757" s="223"/>
      <c r="X757" s="223"/>
      <c r="Y757" s="200"/>
      <c r="Z757" s="200"/>
      <c r="AA757" s="522"/>
      <c r="AB757" s="200"/>
      <c r="AC757" s="223"/>
      <c r="AD757" s="223"/>
      <c r="AE757" s="223"/>
      <c r="AF757" s="223"/>
      <c r="AG757" s="223"/>
      <c r="AH757" s="223"/>
      <c r="AI757" s="200"/>
      <c r="AJ757" s="200"/>
      <c r="AK757" s="522"/>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2"/>
      <c r="BF757" s="200"/>
      <c r="BG757" s="223"/>
      <c r="BH757" s="223"/>
      <c r="BI757" s="223"/>
      <c r="BJ757" s="223"/>
      <c r="BK757" s="223"/>
      <c r="BL757" s="223"/>
      <c r="BM757" s="200"/>
      <c r="BN757" s="200"/>
      <c r="BO757" s="522"/>
      <c r="BP757" s="200"/>
      <c r="BQ757" s="223"/>
      <c r="BR757" s="223"/>
      <c r="BS757" s="223"/>
      <c r="BT757" s="223"/>
      <c r="BU757" s="223"/>
      <c r="BV757" s="223"/>
      <c r="BW757" s="223"/>
      <c r="BX757" s="200"/>
      <c r="BY757" s="522"/>
      <c r="BZ757" s="200"/>
      <c r="CA757" s="223"/>
      <c r="CB757" s="223"/>
      <c r="CC757" s="223"/>
      <c r="CD757" s="223"/>
      <c r="CE757" s="223"/>
      <c r="CF757" s="223"/>
      <c r="CG757" s="200"/>
      <c r="CH757" s="200"/>
      <c r="CI757" s="522"/>
      <c r="CJ757" s="200"/>
      <c r="CK757" s="223"/>
      <c r="CL757" s="223"/>
      <c r="CM757" s="223"/>
      <c r="CN757" s="223"/>
      <c r="CO757" s="223"/>
      <c r="CP757" s="223"/>
      <c r="CQ757" s="200"/>
      <c r="CR757" s="200"/>
      <c r="CS757" s="522"/>
      <c r="CT757" s="200"/>
      <c r="CU757" s="223"/>
      <c r="CV757" s="223"/>
      <c r="CW757" s="223"/>
      <c r="CX757" s="223"/>
      <c r="CY757" s="223"/>
      <c r="CZ757" s="223"/>
      <c r="DA757" s="223"/>
      <c r="DB757" s="200"/>
      <c r="DC757" s="522"/>
      <c r="DD757" s="200"/>
      <c r="DE757" s="223"/>
      <c r="DF757" s="223"/>
      <c r="DG757" s="223"/>
      <c r="DH757" s="223"/>
      <c r="DI757" s="223"/>
      <c r="DJ757" s="223"/>
      <c r="DK757" s="200"/>
      <c r="DL757" s="200"/>
      <c r="DM757" s="522"/>
      <c r="DN757" s="200"/>
      <c r="DO757" s="223"/>
      <c r="DP757" s="223"/>
      <c r="DQ757" s="223"/>
      <c r="DR757" s="223"/>
      <c r="DS757" s="223"/>
      <c r="DT757" s="223"/>
      <c r="DU757" s="200"/>
      <c r="DV757" s="200"/>
      <c r="DW757" s="522"/>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2"/>
      <c r="R758" s="200"/>
      <c r="S758" s="223"/>
      <c r="T758" s="223"/>
      <c r="U758" s="223"/>
      <c r="V758" s="223"/>
      <c r="W758" s="223"/>
      <c r="X758" s="223"/>
      <c r="Y758" s="200"/>
      <c r="Z758" s="200"/>
      <c r="AA758" s="522"/>
      <c r="AB758" s="200"/>
      <c r="AC758" s="223"/>
      <c r="AD758" s="223"/>
      <c r="AE758" s="223"/>
      <c r="AF758" s="223"/>
      <c r="AG758" s="223"/>
      <c r="AH758" s="223"/>
      <c r="AI758" s="200"/>
      <c r="AJ758" s="200"/>
      <c r="AK758" s="522"/>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2"/>
      <c r="BF758" s="200"/>
      <c r="BG758" s="223"/>
      <c r="BH758" s="223"/>
      <c r="BI758" s="223"/>
      <c r="BJ758" s="223"/>
      <c r="BK758" s="223"/>
      <c r="BL758" s="223"/>
      <c r="BM758" s="200"/>
      <c r="BN758" s="200"/>
      <c r="BO758" s="522"/>
      <c r="BP758" s="200"/>
      <c r="BQ758" s="223"/>
      <c r="BR758" s="223"/>
      <c r="BS758" s="223"/>
      <c r="BT758" s="223"/>
      <c r="BU758" s="223"/>
      <c r="BV758" s="223"/>
      <c r="BW758" s="223"/>
      <c r="BX758" s="200"/>
      <c r="BY758" s="522"/>
      <c r="BZ758" s="200"/>
      <c r="CA758" s="223"/>
      <c r="CB758" s="223"/>
      <c r="CC758" s="223"/>
      <c r="CD758" s="223"/>
      <c r="CE758" s="223"/>
      <c r="CF758" s="223"/>
      <c r="CG758" s="200"/>
      <c r="CH758" s="200"/>
      <c r="CI758" s="522"/>
      <c r="CJ758" s="200"/>
      <c r="CK758" s="223"/>
      <c r="CL758" s="223"/>
      <c r="CM758" s="223"/>
      <c r="CN758" s="223"/>
      <c r="CO758" s="223"/>
      <c r="CP758" s="223"/>
      <c r="CQ758" s="200"/>
      <c r="CR758" s="200"/>
      <c r="CS758" s="522"/>
      <c r="CT758" s="200"/>
      <c r="CU758" s="223"/>
      <c r="CV758" s="223"/>
      <c r="CW758" s="223"/>
      <c r="CX758" s="223"/>
      <c r="CY758" s="223"/>
      <c r="CZ758" s="223"/>
      <c r="DA758" s="223"/>
      <c r="DB758" s="200"/>
      <c r="DC758" s="522"/>
      <c r="DD758" s="200"/>
      <c r="DE758" s="223"/>
      <c r="DF758" s="223"/>
      <c r="DG758" s="223"/>
      <c r="DH758" s="223"/>
      <c r="DI758" s="223"/>
      <c r="DJ758" s="223"/>
      <c r="DK758" s="200"/>
      <c r="DL758" s="200"/>
      <c r="DM758" s="522"/>
      <c r="DN758" s="200"/>
      <c r="DO758" s="223"/>
      <c r="DP758" s="223"/>
      <c r="DQ758" s="223"/>
      <c r="DR758" s="223"/>
      <c r="DS758" s="223"/>
      <c r="DT758" s="223"/>
      <c r="DU758" s="200"/>
      <c r="DV758" s="200"/>
      <c r="DW758" s="522"/>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2"/>
      <c r="R759" s="200"/>
      <c r="S759" s="223"/>
      <c r="T759" s="223"/>
      <c r="U759" s="223"/>
      <c r="V759" s="223"/>
      <c r="W759" s="223"/>
      <c r="X759" s="223"/>
      <c r="Y759" s="200"/>
      <c r="Z759" s="200"/>
      <c r="AA759" s="522"/>
      <c r="AB759" s="200"/>
      <c r="AC759" s="223"/>
      <c r="AD759" s="223"/>
      <c r="AE759" s="223"/>
      <c r="AF759" s="223"/>
      <c r="AG759" s="223"/>
      <c r="AH759" s="223"/>
      <c r="AI759" s="200"/>
      <c r="AJ759" s="200"/>
      <c r="AK759" s="522"/>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2"/>
      <c r="BF759" s="200"/>
      <c r="BG759" s="223"/>
      <c r="BH759" s="223"/>
      <c r="BI759" s="223"/>
      <c r="BJ759" s="223"/>
      <c r="BK759" s="223"/>
      <c r="BL759" s="223"/>
      <c r="BM759" s="200"/>
      <c r="BN759" s="200"/>
      <c r="BO759" s="522"/>
      <c r="BP759" s="200"/>
      <c r="BQ759" s="223"/>
      <c r="BR759" s="223"/>
      <c r="BS759" s="223"/>
      <c r="BT759" s="223"/>
      <c r="BU759" s="223"/>
      <c r="BV759" s="223"/>
      <c r="BW759" s="223"/>
      <c r="BX759" s="200"/>
      <c r="BY759" s="522"/>
      <c r="BZ759" s="200"/>
      <c r="CA759" s="223"/>
      <c r="CB759" s="223"/>
      <c r="CC759" s="223"/>
      <c r="CD759" s="223"/>
      <c r="CE759" s="223"/>
      <c r="CF759" s="223"/>
      <c r="CG759" s="200"/>
      <c r="CH759" s="200"/>
      <c r="CI759" s="522"/>
      <c r="CJ759" s="200"/>
      <c r="CK759" s="223"/>
      <c r="CL759" s="223"/>
      <c r="CM759" s="223"/>
      <c r="CN759" s="223"/>
      <c r="CO759" s="223"/>
      <c r="CP759" s="223"/>
      <c r="CQ759" s="200"/>
      <c r="CR759" s="200"/>
      <c r="CS759" s="522"/>
      <c r="CT759" s="200"/>
      <c r="CU759" s="223"/>
      <c r="CV759" s="223"/>
      <c r="CW759" s="223"/>
      <c r="CX759" s="223"/>
      <c r="CY759" s="223"/>
      <c r="CZ759" s="223"/>
      <c r="DA759" s="223"/>
      <c r="DB759" s="200"/>
      <c r="DC759" s="522"/>
      <c r="DD759" s="200"/>
      <c r="DE759" s="223"/>
      <c r="DF759" s="223"/>
      <c r="DG759" s="223"/>
      <c r="DH759" s="223"/>
      <c r="DI759" s="223"/>
      <c r="DJ759" s="223"/>
      <c r="DK759" s="200"/>
      <c r="DL759" s="200"/>
      <c r="DM759" s="522"/>
      <c r="DN759" s="200"/>
      <c r="DO759" s="223"/>
      <c r="DP759" s="223"/>
      <c r="DQ759" s="223"/>
      <c r="DR759" s="223"/>
      <c r="DS759" s="223"/>
      <c r="DT759" s="223"/>
      <c r="DU759" s="200"/>
      <c r="DV759" s="200"/>
      <c r="DW759" s="522"/>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2"/>
      <c r="R760" s="200"/>
      <c r="S760" s="223"/>
      <c r="T760" s="223"/>
      <c r="U760" s="223"/>
      <c r="V760" s="223"/>
      <c r="W760" s="223"/>
      <c r="X760" s="223"/>
      <c r="Y760" s="200"/>
      <c r="Z760" s="200"/>
      <c r="AA760" s="522"/>
      <c r="AB760" s="200"/>
      <c r="AC760" s="223"/>
      <c r="AD760" s="223"/>
      <c r="AE760" s="223"/>
      <c r="AF760" s="223"/>
      <c r="AG760" s="223"/>
      <c r="AH760" s="223"/>
      <c r="AI760" s="200"/>
      <c r="AJ760" s="200"/>
      <c r="AK760" s="522"/>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2"/>
      <c r="BF760" s="200"/>
      <c r="BG760" s="223"/>
      <c r="BH760" s="223"/>
      <c r="BI760" s="223"/>
      <c r="BJ760" s="223"/>
      <c r="BK760" s="223"/>
      <c r="BL760" s="223"/>
      <c r="BM760" s="200"/>
      <c r="BN760" s="200"/>
      <c r="BO760" s="522"/>
      <c r="BP760" s="200"/>
      <c r="BQ760" s="223"/>
      <c r="BR760" s="223"/>
      <c r="BS760" s="223"/>
      <c r="BT760" s="223"/>
      <c r="BU760" s="223"/>
      <c r="BV760" s="223"/>
      <c r="BW760" s="223"/>
      <c r="BX760" s="200"/>
      <c r="BY760" s="522"/>
      <c r="BZ760" s="200"/>
      <c r="CA760" s="223"/>
      <c r="CB760" s="223"/>
      <c r="CC760" s="223"/>
      <c r="CD760" s="223"/>
      <c r="CE760" s="223"/>
      <c r="CF760" s="223"/>
      <c r="CG760" s="200"/>
      <c r="CH760" s="200"/>
      <c r="CI760" s="522"/>
      <c r="CJ760" s="200"/>
      <c r="CK760" s="223"/>
      <c r="CL760" s="223"/>
      <c r="CM760" s="223"/>
      <c r="CN760" s="223"/>
      <c r="CO760" s="223"/>
      <c r="CP760" s="223"/>
      <c r="CQ760" s="200"/>
      <c r="CR760" s="200"/>
      <c r="CS760" s="522"/>
      <c r="CT760" s="200"/>
      <c r="CU760" s="223"/>
      <c r="CV760" s="223"/>
      <c r="CW760" s="223"/>
      <c r="CX760" s="223"/>
      <c r="CY760" s="223"/>
      <c r="CZ760" s="223"/>
      <c r="DA760" s="223"/>
      <c r="DB760" s="200"/>
      <c r="DC760" s="522"/>
      <c r="DD760" s="200"/>
      <c r="DE760" s="223"/>
      <c r="DF760" s="223"/>
      <c r="DG760" s="223"/>
      <c r="DH760" s="223"/>
      <c r="DI760" s="223"/>
      <c r="DJ760" s="223"/>
      <c r="DK760" s="200"/>
      <c r="DL760" s="200"/>
      <c r="DM760" s="522"/>
      <c r="DN760" s="200"/>
      <c r="DO760" s="223"/>
      <c r="DP760" s="223"/>
      <c r="DQ760" s="223"/>
      <c r="DR760" s="223"/>
      <c r="DS760" s="223"/>
      <c r="DT760" s="223"/>
      <c r="DU760" s="200"/>
      <c r="DV760" s="200"/>
      <c r="DW760" s="522"/>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2"/>
      <c r="R761" s="200"/>
      <c r="S761" s="223"/>
      <c r="T761" s="223"/>
      <c r="U761" s="223"/>
      <c r="V761" s="223"/>
      <c r="W761" s="223"/>
      <c r="X761" s="223"/>
      <c r="Y761" s="200"/>
      <c r="Z761" s="200"/>
      <c r="AA761" s="522"/>
      <c r="AB761" s="200"/>
      <c r="AC761" s="223"/>
      <c r="AD761" s="223"/>
      <c r="AE761" s="223"/>
      <c r="AF761" s="223"/>
      <c r="AG761" s="223"/>
      <c r="AH761" s="223"/>
      <c r="AI761" s="200"/>
      <c r="AJ761" s="200"/>
      <c r="AK761" s="522"/>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2"/>
      <c r="BF761" s="200"/>
      <c r="BG761" s="223"/>
      <c r="BH761" s="223"/>
      <c r="BI761" s="223"/>
      <c r="BJ761" s="223"/>
      <c r="BK761" s="223"/>
      <c r="BL761" s="223"/>
      <c r="BM761" s="200"/>
      <c r="BN761" s="200"/>
      <c r="BO761" s="522"/>
      <c r="BP761" s="200"/>
      <c r="BQ761" s="223"/>
      <c r="BR761" s="223"/>
      <c r="BS761" s="223"/>
      <c r="BT761" s="223"/>
      <c r="BU761" s="223"/>
      <c r="BV761" s="223"/>
      <c r="BW761" s="223"/>
      <c r="BX761" s="200"/>
      <c r="BY761" s="522"/>
      <c r="BZ761" s="200"/>
      <c r="CA761" s="223"/>
      <c r="CB761" s="223"/>
      <c r="CC761" s="223"/>
      <c r="CD761" s="223"/>
      <c r="CE761" s="223"/>
      <c r="CF761" s="223"/>
      <c r="CG761" s="200"/>
      <c r="CH761" s="200"/>
      <c r="CI761" s="522"/>
      <c r="CJ761" s="200"/>
      <c r="CK761" s="223"/>
      <c r="CL761" s="223"/>
      <c r="CM761" s="223"/>
      <c r="CN761" s="223"/>
      <c r="CO761" s="223"/>
      <c r="CP761" s="223"/>
      <c r="CQ761" s="200"/>
      <c r="CR761" s="200"/>
      <c r="CS761" s="522"/>
      <c r="CT761" s="200"/>
      <c r="CU761" s="223"/>
      <c r="CV761" s="223"/>
      <c r="CW761" s="223"/>
      <c r="CX761" s="223"/>
      <c r="CY761" s="223"/>
      <c r="CZ761" s="223"/>
      <c r="DA761" s="223"/>
      <c r="DB761" s="200"/>
      <c r="DC761" s="522"/>
      <c r="DD761" s="200"/>
      <c r="DE761" s="223"/>
      <c r="DF761" s="223"/>
      <c r="DG761" s="223"/>
      <c r="DH761" s="223"/>
      <c r="DI761" s="223"/>
      <c r="DJ761" s="223"/>
      <c r="DK761" s="200"/>
      <c r="DL761" s="200"/>
      <c r="DM761" s="522"/>
      <c r="DN761" s="200"/>
      <c r="DO761" s="223"/>
      <c r="DP761" s="223"/>
      <c r="DQ761" s="223"/>
      <c r="DR761" s="223"/>
      <c r="DS761" s="223"/>
      <c r="DT761" s="223"/>
      <c r="DU761" s="200"/>
      <c r="DV761" s="200"/>
      <c r="DW761" s="522"/>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2"/>
      <c r="R762" s="200"/>
      <c r="S762" s="223"/>
      <c r="T762" s="223"/>
      <c r="U762" s="223"/>
      <c r="V762" s="223"/>
      <c r="W762" s="223"/>
      <c r="X762" s="223"/>
      <c r="Y762" s="200"/>
      <c r="Z762" s="200"/>
      <c r="AA762" s="522"/>
      <c r="AB762" s="200"/>
      <c r="AC762" s="223"/>
      <c r="AD762" s="223"/>
      <c r="AE762" s="223"/>
      <c r="AF762" s="223"/>
      <c r="AG762" s="223"/>
      <c r="AH762" s="223"/>
      <c r="AI762" s="200"/>
      <c r="AJ762" s="200"/>
      <c r="AK762" s="522"/>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2"/>
      <c r="BF762" s="200"/>
      <c r="BG762" s="223"/>
      <c r="BH762" s="223"/>
      <c r="BI762" s="223"/>
      <c r="BJ762" s="223"/>
      <c r="BK762" s="223"/>
      <c r="BL762" s="223"/>
      <c r="BM762" s="200"/>
      <c r="BN762" s="200"/>
      <c r="BO762" s="522"/>
      <c r="BP762" s="200"/>
      <c r="BQ762" s="223"/>
      <c r="BR762" s="223"/>
      <c r="BS762" s="223"/>
      <c r="BT762" s="223"/>
      <c r="BU762" s="223"/>
      <c r="BV762" s="223"/>
      <c r="BW762" s="223"/>
      <c r="BX762" s="200"/>
      <c r="BY762" s="522"/>
      <c r="BZ762" s="200"/>
      <c r="CA762" s="223"/>
      <c r="CB762" s="223"/>
      <c r="CC762" s="223"/>
      <c r="CD762" s="223"/>
      <c r="CE762" s="223"/>
      <c r="CF762" s="223"/>
      <c r="CG762" s="200"/>
      <c r="CH762" s="200"/>
      <c r="CI762" s="522"/>
      <c r="CJ762" s="200"/>
      <c r="CK762" s="223"/>
      <c r="CL762" s="223"/>
      <c r="CM762" s="223"/>
      <c r="CN762" s="223"/>
      <c r="CO762" s="223"/>
      <c r="CP762" s="223"/>
      <c r="CQ762" s="200"/>
      <c r="CR762" s="200"/>
      <c r="CS762" s="522"/>
      <c r="CT762" s="200"/>
      <c r="CU762" s="223"/>
      <c r="CV762" s="223"/>
      <c r="CW762" s="223"/>
      <c r="CX762" s="223"/>
      <c r="CY762" s="223"/>
      <c r="CZ762" s="223"/>
      <c r="DA762" s="223"/>
      <c r="DB762" s="200"/>
      <c r="DC762" s="522"/>
      <c r="DD762" s="200"/>
      <c r="DE762" s="223"/>
      <c r="DF762" s="223"/>
      <c r="DG762" s="223"/>
      <c r="DH762" s="223"/>
      <c r="DI762" s="223"/>
      <c r="DJ762" s="223"/>
      <c r="DK762" s="200"/>
      <c r="DL762" s="200"/>
      <c r="DM762" s="522"/>
      <c r="DN762" s="200"/>
      <c r="DO762" s="223"/>
      <c r="DP762" s="223"/>
      <c r="DQ762" s="223"/>
      <c r="DR762" s="223"/>
      <c r="DS762" s="223"/>
      <c r="DT762" s="223"/>
      <c r="DU762" s="200"/>
      <c r="DV762" s="200"/>
      <c r="DW762" s="522"/>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2"/>
      <c r="R763" s="200"/>
      <c r="S763" s="223"/>
      <c r="T763" s="223"/>
      <c r="U763" s="223"/>
      <c r="V763" s="223"/>
      <c r="W763" s="223"/>
      <c r="X763" s="223"/>
      <c r="Y763" s="200"/>
      <c r="Z763" s="200"/>
      <c r="AA763" s="522"/>
      <c r="AB763" s="200"/>
      <c r="AC763" s="223"/>
      <c r="AD763" s="223"/>
      <c r="AE763" s="223"/>
      <c r="AF763" s="223"/>
      <c r="AG763" s="223"/>
      <c r="AH763" s="223"/>
      <c r="AI763" s="200"/>
      <c r="AJ763" s="200"/>
      <c r="AK763" s="522"/>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2"/>
      <c r="BF763" s="200"/>
      <c r="BG763" s="223"/>
      <c r="BH763" s="223"/>
      <c r="BI763" s="223"/>
      <c r="BJ763" s="223"/>
      <c r="BK763" s="223"/>
      <c r="BL763" s="223"/>
      <c r="BM763" s="200"/>
      <c r="BN763" s="200"/>
      <c r="BO763" s="522"/>
      <c r="BP763" s="200"/>
      <c r="BQ763" s="223"/>
      <c r="BR763" s="223"/>
      <c r="BS763" s="223"/>
      <c r="BT763" s="223"/>
      <c r="BU763" s="223"/>
      <c r="BV763" s="223"/>
      <c r="BW763" s="223"/>
      <c r="BX763" s="200"/>
      <c r="BY763" s="522"/>
      <c r="BZ763" s="200"/>
      <c r="CA763" s="223"/>
      <c r="CB763" s="223"/>
      <c r="CC763" s="223"/>
      <c r="CD763" s="223"/>
      <c r="CE763" s="223"/>
      <c r="CF763" s="223"/>
      <c r="CG763" s="200"/>
      <c r="CH763" s="200"/>
      <c r="CI763" s="522"/>
      <c r="CJ763" s="200"/>
      <c r="CK763" s="223"/>
      <c r="CL763" s="223"/>
      <c r="CM763" s="223"/>
      <c r="CN763" s="223"/>
      <c r="CO763" s="223"/>
      <c r="CP763" s="223"/>
      <c r="CQ763" s="200"/>
      <c r="CR763" s="200"/>
      <c r="CS763" s="522"/>
      <c r="CT763" s="200"/>
      <c r="CU763" s="223"/>
      <c r="CV763" s="223"/>
      <c r="CW763" s="223"/>
      <c r="CX763" s="223"/>
      <c r="CY763" s="223"/>
      <c r="CZ763" s="223"/>
      <c r="DA763" s="223"/>
      <c r="DB763" s="200"/>
      <c r="DC763" s="522"/>
      <c r="DD763" s="200"/>
      <c r="DE763" s="223"/>
      <c r="DF763" s="223"/>
      <c r="DG763" s="223"/>
      <c r="DH763" s="223"/>
      <c r="DI763" s="223"/>
      <c r="DJ763" s="223"/>
      <c r="DK763" s="200"/>
      <c r="DL763" s="200"/>
      <c r="DM763" s="522"/>
      <c r="DN763" s="200"/>
      <c r="DO763" s="223"/>
      <c r="DP763" s="223"/>
      <c r="DQ763" s="223"/>
      <c r="DR763" s="223"/>
      <c r="DS763" s="223"/>
      <c r="DT763" s="223"/>
      <c r="DU763" s="200"/>
      <c r="DV763" s="200"/>
      <c r="DW763" s="522"/>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2"/>
      <c r="R764" s="200"/>
      <c r="S764" s="223"/>
      <c r="T764" s="223"/>
      <c r="U764" s="223"/>
      <c r="V764" s="223"/>
      <c r="W764" s="223"/>
      <c r="X764" s="223"/>
      <c r="Y764" s="200"/>
      <c r="Z764" s="200"/>
      <c r="AA764" s="522"/>
      <c r="AB764" s="200"/>
      <c r="AC764" s="223"/>
      <c r="AD764" s="223"/>
      <c r="AE764" s="223"/>
      <c r="AF764" s="223"/>
      <c r="AG764" s="223"/>
      <c r="AH764" s="223"/>
      <c r="AI764" s="200"/>
      <c r="AJ764" s="200"/>
      <c r="AK764" s="522"/>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2"/>
      <c r="BF764" s="200"/>
      <c r="BG764" s="223"/>
      <c r="BH764" s="223"/>
      <c r="BI764" s="223"/>
      <c r="BJ764" s="223"/>
      <c r="BK764" s="223"/>
      <c r="BL764" s="223"/>
      <c r="BM764" s="200"/>
      <c r="BN764" s="200"/>
      <c r="BO764" s="522"/>
      <c r="BP764" s="200"/>
      <c r="BQ764" s="223"/>
      <c r="BR764" s="223"/>
      <c r="BS764" s="223"/>
      <c r="BT764" s="223"/>
      <c r="BU764" s="223"/>
      <c r="BV764" s="223"/>
      <c r="BW764" s="223"/>
      <c r="BX764" s="200"/>
      <c r="BY764" s="522"/>
      <c r="BZ764" s="200"/>
      <c r="CA764" s="223"/>
      <c r="CB764" s="223"/>
      <c r="CC764" s="223"/>
      <c r="CD764" s="223"/>
      <c r="CE764" s="223"/>
      <c r="CF764" s="223"/>
      <c r="CG764" s="200"/>
      <c r="CH764" s="200"/>
      <c r="CI764" s="522"/>
      <c r="CJ764" s="200"/>
      <c r="CK764" s="223"/>
      <c r="CL764" s="223"/>
      <c r="CM764" s="223"/>
      <c r="CN764" s="223"/>
      <c r="CO764" s="223"/>
      <c r="CP764" s="223"/>
      <c r="CQ764" s="200"/>
      <c r="CR764" s="200"/>
      <c r="CS764" s="522"/>
      <c r="CT764" s="200"/>
      <c r="CU764" s="223"/>
      <c r="CV764" s="223"/>
      <c r="CW764" s="223"/>
      <c r="CX764" s="223"/>
      <c r="CY764" s="223"/>
      <c r="CZ764" s="223"/>
      <c r="DA764" s="223"/>
      <c r="DB764" s="200"/>
      <c r="DC764" s="522"/>
      <c r="DD764" s="200"/>
      <c r="DE764" s="223"/>
      <c r="DF764" s="223"/>
      <c r="DG764" s="223"/>
      <c r="DH764" s="223"/>
      <c r="DI764" s="223"/>
      <c r="DJ764" s="223"/>
      <c r="DK764" s="200"/>
      <c r="DL764" s="200"/>
      <c r="DM764" s="522"/>
      <c r="DN764" s="200"/>
      <c r="DO764" s="223"/>
      <c r="DP764" s="223"/>
      <c r="DQ764" s="223"/>
      <c r="DR764" s="223"/>
      <c r="DS764" s="223"/>
      <c r="DT764" s="223"/>
      <c r="DU764" s="200"/>
      <c r="DV764" s="200"/>
      <c r="DW764" s="522"/>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2"/>
      <c r="R765" s="200"/>
      <c r="S765" s="223"/>
      <c r="T765" s="223"/>
      <c r="U765" s="223"/>
      <c r="V765" s="223"/>
      <c r="W765" s="223"/>
      <c r="X765" s="223"/>
      <c r="Y765" s="200"/>
      <c r="Z765" s="200"/>
      <c r="AA765" s="522"/>
      <c r="AB765" s="200"/>
      <c r="AC765" s="223"/>
      <c r="AD765" s="223"/>
      <c r="AE765" s="223"/>
      <c r="AF765" s="223"/>
      <c r="AG765" s="223"/>
      <c r="AH765" s="223"/>
      <c r="AI765" s="200"/>
      <c r="AJ765" s="200"/>
      <c r="AK765" s="522"/>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2"/>
      <c r="BF765" s="200"/>
      <c r="BG765" s="223"/>
      <c r="BH765" s="223"/>
      <c r="BI765" s="223"/>
      <c r="BJ765" s="223"/>
      <c r="BK765" s="223"/>
      <c r="BL765" s="223"/>
      <c r="BM765" s="200"/>
      <c r="BN765" s="200"/>
      <c r="BO765" s="522"/>
      <c r="BP765" s="200"/>
      <c r="BQ765" s="223"/>
      <c r="BR765" s="223"/>
      <c r="BS765" s="223"/>
      <c r="BT765" s="223"/>
      <c r="BU765" s="223"/>
      <c r="BV765" s="223"/>
      <c r="BW765" s="223"/>
      <c r="BX765" s="200"/>
      <c r="BY765" s="522"/>
      <c r="BZ765" s="200"/>
      <c r="CA765" s="223"/>
      <c r="CB765" s="223"/>
      <c r="CC765" s="223"/>
      <c r="CD765" s="223"/>
      <c r="CE765" s="223"/>
      <c r="CF765" s="223"/>
      <c r="CG765" s="200"/>
      <c r="CH765" s="200"/>
      <c r="CI765" s="522"/>
      <c r="CJ765" s="200"/>
      <c r="CK765" s="223"/>
      <c r="CL765" s="223"/>
      <c r="CM765" s="223"/>
      <c r="CN765" s="223"/>
      <c r="CO765" s="223"/>
      <c r="CP765" s="223"/>
      <c r="CQ765" s="200"/>
      <c r="CR765" s="200"/>
      <c r="CS765" s="522"/>
      <c r="CT765" s="200"/>
      <c r="CU765" s="223"/>
      <c r="CV765" s="223"/>
      <c r="CW765" s="223"/>
      <c r="CX765" s="223"/>
      <c r="CY765" s="223"/>
      <c r="CZ765" s="223"/>
      <c r="DA765" s="223"/>
      <c r="DB765" s="200"/>
      <c r="DC765" s="522"/>
      <c r="DD765" s="200"/>
      <c r="DE765" s="223"/>
      <c r="DF765" s="223"/>
      <c r="DG765" s="223"/>
      <c r="DH765" s="223"/>
      <c r="DI765" s="223"/>
      <c r="DJ765" s="223"/>
      <c r="DK765" s="200"/>
      <c r="DL765" s="200"/>
      <c r="DM765" s="522"/>
      <c r="DN765" s="200"/>
      <c r="DO765" s="223"/>
      <c r="DP765" s="223"/>
      <c r="DQ765" s="223"/>
      <c r="DR765" s="223"/>
      <c r="DS765" s="223"/>
      <c r="DT765" s="223"/>
      <c r="DU765" s="200"/>
      <c r="DV765" s="200"/>
      <c r="DW765" s="522"/>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2"/>
      <c r="R766" s="200"/>
      <c r="S766" s="223"/>
      <c r="T766" s="223"/>
      <c r="U766" s="223"/>
      <c r="V766" s="223"/>
      <c r="W766" s="223"/>
      <c r="X766" s="223"/>
      <c r="Y766" s="200"/>
      <c r="Z766" s="200"/>
      <c r="AA766" s="522"/>
      <c r="AB766" s="200"/>
      <c r="AC766" s="223"/>
      <c r="AD766" s="223"/>
      <c r="AE766" s="223"/>
      <c r="AF766" s="223"/>
      <c r="AG766" s="223"/>
      <c r="AH766" s="223"/>
      <c r="AI766" s="200"/>
      <c r="AJ766" s="200"/>
      <c r="AK766" s="522"/>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2"/>
      <c r="BF766" s="200"/>
      <c r="BG766" s="223"/>
      <c r="BH766" s="223"/>
      <c r="BI766" s="223"/>
      <c r="BJ766" s="223"/>
      <c r="BK766" s="223"/>
      <c r="BL766" s="223"/>
      <c r="BM766" s="200"/>
      <c r="BN766" s="200"/>
      <c r="BO766" s="522"/>
      <c r="BP766" s="200"/>
      <c r="BQ766" s="223"/>
      <c r="BR766" s="223"/>
      <c r="BS766" s="223"/>
      <c r="BT766" s="223"/>
      <c r="BU766" s="223"/>
      <c r="BV766" s="223"/>
      <c r="BW766" s="223"/>
      <c r="BX766" s="200"/>
      <c r="BY766" s="522"/>
      <c r="BZ766" s="200"/>
      <c r="CA766" s="223"/>
      <c r="CB766" s="223"/>
      <c r="CC766" s="223"/>
      <c r="CD766" s="223"/>
      <c r="CE766" s="223"/>
      <c r="CF766" s="223"/>
      <c r="CG766" s="200"/>
      <c r="CH766" s="200"/>
      <c r="CI766" s="522"/>
      <c r="CJ766" s="200"/>
      <c r="CK766" s="223"/>
      <c r="CL766" s="223"/>
      <c r="CM766" s="223"/>
      <c r="CN766" s="223"/>
      <c r="CO766" s="223"/>
      <c r="CP766" s="223"/>
      <c r="CQ766" s="200"/>
      <c r="CR766" s="200"/>
      <c r="CS766" s="522"/>
      <c r="CT766" s="200"/>
      <c r="CU766" s="223"/>
      <c r="CV766" s="223"/>
      <c r="CW766" s="223"/>
      <c r="CX766" s="223"/>
      <c r="CY766" s="223"/>
      <c r="CZ766" s="223"/>
      <c r="DA766" s="223"/>
      <c r="DB766" s="200"/>
      <c r="DC766" s="522"/>
      <c r="DD766" s="200"/>
      <c r="DE766" s="223"/>
      <c r="DF766" s="223"/>
      <c r="DG766" s="223"/>
      <c r="DH766" s="223"/>
      <c r="DI766" s="223"/>
      <c r="DJ766" s="223"/>
      <c r="DK766" s="200"/>
      <c r="DL766" s="200"/>
      <c r="DM766" s="522"/>
      <c r="DN766" s="200"/>
      <c r="DO766" s="223"/>
      <c r="DP766" s="223"/>
      <c r="DQ766" s="223"/>
      <c r="DR766" s="223"/>
      <c r="DS766" s="223"/>
      <c r="DT766" s="223"/>
      <c r="DU766" s="200"/>
      <c r="DV766" s="200"/>
      <c r="DW766" s="522"/>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2"/>
      <c r="R767" s="200"/>
      <c r="S767" s="223"/>
      <c r="T767" s="223"/>
      <c r="U767" s="223"/>
      <c r="V767" s="223"/>
      <c r="W767" s="223"/>
      <c r="X767" s="223"/>
      <c r="Y767" s="200"/>
      <c r="Z767" s="200"/>
      <c r="AA767" s="522"/>
      <c r="AB767" s="200"/>
      <c r="AC767" s="223"/>
      <c r="AD767" s="223"/>
      <c r="AE767" s="223"/>
      <c r="AF767" s="223"/>
      <c r="AG767" s="223"/>
      <c r="AH767" s="223"/>
      <c r="AI767" s="200"/>
      <c r="AJ767" s="200"/>
      <c r="AK767" s="522"/>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2"/>
      <c r="BF767" s="200"/>
      <c r="BG767" s="223"/>
      <c r="BH767" s="223"/>
      <c r="BI767" s="223"/>
      <c r="BJ767" s="223"/>
      <c r="BK767" s="223"/>
      <c r="BL767" s="223"/>
      <c r="BM767" s="200"/>
      <c r="BN767" s="200"/>
      <c r="BO767" s="522"/>
      <c r="BP767" s="200"/>
      <c r="BQ767" s="223"/>
      <c r="BR767" s="223"/>
      <c r="BS767" s="223"/>
      <c r="BT767" s="223"/>
      <c r="BU767" s="223"/>
      <c r="BV767" s="223"/>
      <c r="BW767" s="223"/>
      <c r="BX767" s="200"/>
      <c r="BY767" s="522"/>
      <c r="BZ767" s="200"/>
      <c r="CA767" s="223"/>
      <c r="CB767" s="223"/>
      <c r="CC767" s="223"/>
      <c r="CD767" s="223"/>
      <c r="CE767" s="223"/>
      <c r="CF767" s="223"/>
      <c r="CG767" s="200"/>
      <c r="CH767" s="200"/>
      <c r="CI767" s="522"/>
      <c r="CJ767" s="200"/>
      <c r="CK767" s="223"/>
      <c r="CL767" s="223"/>
      <c r="CM767" s="223"/>
      <c r="CN767" s="223"/>
      <c r="CO767" s="223"/>
      <c r="CP767" s="223"/>
      <c r="CQ767" s="200"/>
      <c r="CR767" s="200"/>
      <c r="CS767" s="522"/>
      <c r="CT767" s="200"/>
      <c r="CU767" s="223"/>
      <c r="CV767" s="223"/>
      <c r="CW767" s="223"/>
      <c r="CX767" s="223"/>
      <c r="CY767" s="223"/>
      <c r="CZ767" s="223"/>
      <c r="DA767" s="223"/>
      <c r="DB767" s="200"/>
      <c r="DC767" s="522"/>
      <c r="DD767" s="200"/>
      <c r="DE767" s="223"/>
      <c r="DF767" s="223"/>
      <c r="DG767" s="223"/>
      <c r="DH767" s="223"/>
      <c r="DI767" s="223"/>
      <c r="DJ767" s="223"/>
      <c r="DK767" s="200"/>
      <c r="DL767" s="200"/>
      <c r="DM767" s="522"/>
      <c r="DN767" s="200"/>
      <c r="DO767" s="223"/>
      <c r="DP767" s="223"/>
      <c r="DQ767" s="223"/>
      <c r="DR767" s="223"/>
      <c r="DS767" s="223"/>
      <c r="DT767" s="223"/>
      <c r="DU767" s="200"/>
      <c r="DV767" s="200"/>
      <c r="DW767" s="522"/>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2"/>
      <c r="R768" s="200"/>
      <c r="S768" s="223"/>
      <c r="T768" s="223"/>
      <c r="U768" s="223"/>
      <c r="V768" s="223"/>
      <c r="W768" s="223"/>
      <c r="X768" s="223"/>
      <c r="Y768" s="200"/>
      <c r="Z768" s="200"/>
      <c r="AA768" s="522"/>
      <c r="AB768" s="200"/>
      <c r="AC768" s="223"/>
      <c r="AD768" s="223"/>
      <c r="AE768" s="223"/>
      <c r="AF768" s="223"/>
      <c r="AG768" s="223"/>
      <c r="AH768" s="223"/>
      <c r="AI768" s="200"/>
      <c r="AJ768" s="200"/>
      <c r="AK768" s="522"/>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2"/>
      <c r="BF768" s="200"/>
      <c r="BG768" s="223"/>
      <c r="BH768" s="223"/>
      <c r="BI768" s="223"/>
      <c r="BJ768" s="223"/>
      <c r="BK768" s="223"/>
      <c r="BL768" s="223"/>
      <c r="BM768" s="200"/>
      <c r="BN768" s="200"/>
      <c r="BO768" s="522"/>
      <c r="BP768" s="200"/>
      <c r="BQ768" s="223"/>
      <c r="BR768" s="223"/>
      <c r="BS768" s="223"/>
      <c r="BT768" s="223"/>
      <c r="BU768" s="223"/>
      <c r="BV768" s="223"/>
      <c r="BW768" s="223"/>
      <c r="BX768" s="200"/>
      <c r="BY768" s="522"/>
      <c r="BZ768" s="200"/>
      <c r="CA768" s="223"/>
      <c r="CB768" s="223"/>
      <c r="CC768" s="223"/>
      <c r="CD768" s="223"/>
      <c r="CE768" s="223"/>
      <c r="CF768" s="223"/>
      <c r="CG768" s="200"/>
      <c r="CH768" s="200"/>
      <c r="CI768" s="522"/>
      <c r="CJ768" s="200"/>
      <c r="CK768" s="223"/>
      <c r="CL768" s="223"/>
      <c r="CM768" s="223"/>
      <c r="CN768" s="223"/>
      <c r="CO768" s="223"/>
      <c r="CP768" s="223"/>
      <c r="CQ768" s="200"/>
      <c r="CR768" s="200"/>
      <c r="CS768" s="522"/>
      <c r="CT768" s="200"/>
      <c r="CU768" s="223"/>
      <c r="CV768" s="223"/>
      <c r="CW768" s="223"/>
      <c r="CX768" s="223"/>
      <c r="CY768" s="223"/>
      <c r="CZ768" s="223"/>
      <c r="DA768" s="223"/>
      <c r="DB768" s="200"/>
      <c r="DC768" s="522"/>
      <c r="DD768" s="200"/>
      <c r="DE768" s="223"/>
      <c r="DF768" s="223"/>
      <c r="DG768" s="223"/>
      <c r="DH768" s="223"/>
      <c r="DI768" s="223"/>
      <c r="DJ768" s="223"/>
      <c r="DK768" s="200"/>
      <c r="DL768" s="200"/>
      <c r="DM768" s="522"/>
      <c r="DN768" s="200"/>
      <c r="DO768" s="223"/>
      <c r="DP768" s="223"/>
      <c r="DQ768" s="223"/>
      <c r="DR768" s="223"/>
      <c r="DS768" s="223"/>
      <c r="DT768" s="223"/>
      <c r="DU768" s="200"/>
      <c r="DV768" s="200"/>
      <c r="DW768" s="522"/>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2"/>
      <c r="R769" s="200"/>
      <c r="S769" s="223"/>
      <c r="T769" s="223"/>
      <c r="U769" s="223"/>
      <c r="V769" s="223"/>
      <c r="W769" s="223"/>
      <c r="X769" s="223"/>
      <c r="Y769" s="200"/>
      <c r="Z769" s="200"/>
      <c r="AA769" s="522"/>
      <c r="AB769" s="200"/>
      <c r="AC769" s="223"/>
      <c r="AD769" s="223"/>
      <c r="AE769" s="223"/>
      <c r="AF769" s="223"/>
      <c r="AG769" s="223"/>
      <c r="AH769" s="223"/>
      <c r="AI769" s="200"/>
      <c r="AJ769" s="200"/>
      <c r="AK769" s="522"/>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2"/>
      <c r="BF769" s="200"/>
      <c r="BG769" s="223"/>
      <c r="BH769" s="223"/>
      <c r="BI769" s="223"/>
      <c r="BJ769" s="223"/>
      <c r="BK769" s="223"/>
      <c r="BL769" s="223"/>
      <c r="BM769" s="200"/>
      <c r="BN769" s="200"/>
      <c r="BO769" s="522"/>
      <c r="BP769" s="200"/>
      <c r="BQ769" s="223"/>
      <c r="BR769" s="223"/>
      <c r="BS769" s="223"/>
      <c r="BT769" s="223"/>
      <c r="BU769" s="223"/>
      <c r="BV769" s="223"/>
      <c r="BW769" s="223"/>
      <c r="BX769" s="200"/>
      <c r="BY769" s="522"/>
      <c r="BZ769" s="200"/>
      <c r="CA769" s="223"/>
      <c r="CB769" s="223"/>
      <c r="CC769" s="223"/>
      <c r="CD769" s="223"/>
      <c r="CE769" s="223"/>
      <c r="CF769" s="223"/>
      <c r="CG769" s="200"/>
      <c r="CH769" s="200"/>
      <c r="CI769" s="522"/>
      <c r="CJ769" s="200"/>
      <c r="CK769" s="223"/>
      <c r="CL769" s="223"/>
      <c r="CM769" s="223"/>
      <c r="CN769" s="223"/>
      <c r="CO769" s="223"/>
      <c r="CP769" s="223"/>
      <c r="CQ769" s="200"/>
      <c r="CR769" s="200"/>
      <c r="CS769" s="522"/>
      <c r="CT769" s="200"/>
      <c r="CU769" s="223"/>
      <c r="CV769" s="223"/>
      <c r="CW769" s="223"/>
      <c r="CX769" s="223"/>
      <c r="CY769" s="223"/>
      <c r="CZ769" s="223"/>
      <c r="DA769" s="223"/>
      <c r="DB769" s="200"/>
      <c r="DC769" s="522"/>
      <c r="DD769" s="200"/>
      <c r="DE769" s="223"/>
      <c r="DF769" s="223"/>
      <c r="DG769" s="223"/>
      <c r="DH769" s="223"/>
      <c r="DI769" s="223"/>
      <c r="DJ769" s="223"/>
      <c r="DK769" s="200"/>
      <c r="DL769" s="200"/>
      <c r="DM769" s="522"/>
      <c r="DN769" s="200"/>
      <c r="DO769" s="223"/>
      <c r="DP769" s="223"/>
      <c r="DQ769" s="223"/>
      <c r="DR769" s="223"/>
      <c r="DS769" s="223"/>
      <c r="DT769" s="223"/>
      <c r="DU769" s="200"/>
      <c r="DV769" s="200"/>
      <c r="DW769" s="522"/>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2"/>
      <c r="R770" s="200"/>
      <c r="S770" s="223"/>
      <c r="T770" s="223"/>
      <c r="U770" s="223"/>
      <c r="V770" s="223"/>
      <c r="W770" s="223"/>
      <c r="X770" s="223"/>
      <c r="Y770" s="200"/>
      <c r="Z770" s="200"/>
      <c r="AA770" s="522"/>
      <c r="AB770" s="200"/>
      <c r="AC770" s="223"/>
      <c r="AD770" s="223"/>
      <c r="AE770" s="223"/>
      <c r="AF770" s="223"/>
      <c r="AG770" s="223"/>
      <c r="AH770" s="223"/>
      <c r="AI770" s="200"/>
      <c r="AJ770" s="200"/>
      <c r="AK770" s="522"/>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2"/>
      <c r="BF770" s="200"/>
      <c r="BG770" s="223"/>
      <c r="BH770" s="223"/>
      <c r="BI770" s="223"/>
      <c r="BJ770" s="223"/>
      <c r="BK770" s="223"/>
      <c r="BL770" s="223"/>
      <c r="BM770" s="200"/>
      <c r="BN770" s="200"/>
      <c r="BO770" s="522"/>
      <c r="BP770" s="200"/>
      <c r="BQ770" s="223"/>
      <c r="BR770" s="223"/>
      <c r="BS770" s="223"/>
      <c r="BT770" s="223"/>
      <c r="BU770" s="223"/>
      <c r="BV770" s="223"/>
      <c r="BW770" s="223"/>
      <c r="BX770" s="200"/>
      <c r="BY770" s="522"/>
      <c r="BZ770" s="200"/>
      <c r="CA770" s="223"/>
      <c r="CB770" s="223"/>
      <c r="CC770" s="223"/>
      <c r="CD770" s="223"/>
      <c r="CE770" s="223"/>
      <c r="CF770" s="223"/>
      <c r="CG770" s="200"/>
      <c r="CH770" s="200"/>
      <c r="CI770" s="522"/>
      <c r="CJ770" s="200"/>
      <c r="CK770" s="223"/>
      <c r="CL770" s="223"/>
      <c r="CM770" s="223"/>
      <c r="CN770" s="223"/>
      <c r="CO770" s="223"/>
      <c r="CP770" s="223"/>
      <c r="CQ770" s="200"/>
      <c r="CR770" s="200"/>
      <c r="CS770" s="522"/>
      <c r="CT770" s="200"/>
      <c r="CU770" s="223"/>
      <c r="CV770" s="223"/>
      <c r="CW770" s="223"/>
      <c r="CX770" s="223"/>
      <c r="CY770" s="223"/>
      <c r="CZ770" s="223"/>
      <c r="DA770" s="223"/>
      <c r="DB770" s="200"/>
      <c r="DC770" s="522"/>
      <c r="DD770" s="200"/>
      <c r="DE770" s="223"/>
      <c r="DF770" s="223"/>
      <c r="DG770" s="223"/>
      <c r="DH770" s="223"/>
      <c r="DI770" s="223"/>
      <c r="DJ770" s="223"/>
      <c r="DK770" s="200"/>
      <c r="DL770" s="200"/>
      <c r="DM770" s="522"/>
      <c r="DN770" s="200"/>
      <c r="DO770" s="223"/>
      <c r="DP770" s="223"/>
      <c r="DQ770" s="223"/>
      <c r="DR770" s="223"/>
      <c r="DS770" s="223"/>
      <c r="DT770" s="223"/>
      <c r="DU770" s="200"/>
      <c r="DV770" s="200"/>
      <c r="DW770" s="522"/>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2"/>
      <c r="R771" s="200"/>
      <c r="S771" s="223"/>
      <c r="T771" s="223"/>
      <c r="U771" s="223"/>
      <c r="V771" s="223"/>
      <c r="W771" s="223"/>
      <c r="X771" s="223"/>
      <c r="Y771" s="200"/>
      <c r="Z771" s="200"/>
      <c r="AA771" s="522"/>
      <c r="AB771" s="200"/>
      <c r="AC771" s="223"/>
      <c r="AD771" s="223"/>
      <c r="AE771" s="223"/>
      <c r="AF771" s="223"/>
      <c r="AG771" s="223"/>
      <c r="AH771" s="223"/>
      <c r="AI771" s="200"/>
      <c r="AJ771" s="200"/>
      <c r="AK771" s="522"/>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2"/>
      <c r="BF771" s="200"/>
      <c r="BG771" s="223"/>
      <c r="BH771" s="223"/>
      <c r="BI771" s="223"/>
      <c r="BJ771" s="223"/>
      <c r="BK771" s="223"/>
      <c r="BL771" s="223"/>
      <c r="BM771" s="200"/>
      <c r="BN771" s="200"/>
      <c r="BO771" s="522"/>
      <c r="BP771" s="200"/>
      <c r="BQ771" s="223"/>
      <c r="BR771" s="223"/>
      <c r="BS771" s="223"/>
      <c r="BT771" s="223"/>
      <c r="BU771" s="223"/>
      <c r="BV771" s="223"/>
      <c r="BW771" s="223"/>
      <c r="BX771" s="200"/>
      <c r="BY771" s="522"/>
      <c r="BZ771" s="200"/>
      <c r="CA771" s="223"/>
      <c r="CB771" s="223"/>
      <c r="CC771" s="223"/>
      <c r="CD771" s="223"/>
      <c r="CE771" s="223"/>
      <c r="CF771" s="223"/>
      <c r="CG771" s="200"/>
      <c r="CH771" s="200"/>
      <c r="CI771" s="522"/>
      <c r="CJ771" s="200"/>
      <c r="CK771" s="223"/>
      <c r="CL771" s="223"/>
      <c r="CM771" s="223"/>
      <c r="CN771" s="223"/>
      <c r="CO771" s="223"/>
      <c r="CP771" s="223"/>
      <c r="CQ771" s="200"/>
      <c r="CR771" s="200"/>
      <c r="CS771" s="522"/>
      <c r="CT771" s="200"/>
      <c r="CU771" s="223"/>
      <c r="CV771" s="223"/>
      <c r="CW771" s="223"/>
      <c r="CX771" s="223"/>
      <c r="CY771" s="223"/>
      <c r="CZ771" s="223"/>
      <c r="DA771" s="223"/>
      <c r="DB771" s="200"/>
      <c r="DC771" s="522"/>
      <c r="DD771" s="200"/>
      <c r="DE771" s="223"/>
      <c r="DF771" s="223"/>
      <c r="DG771" s="223"/>
      <c r="DH771" s="223"/>
      <c r="DI771" s="223"/>
      <c r="DJ771" s="223"/>
      <c r="DK771" s="200"/>
      <c r="DL771" s="200"/>
      <c r="DM771" s="522"/>
      <c r="DN771" s="200"/>
      <c r="DO771" s="223"/>
      <c r="DP771" s="223"/>
      <c r="DQ771" s="223"/>
      <c r="DR771" s="223"/>
      <c r="DS771" s="223"/>
      <c r="DT771" s="223"/>
      <c r="DU771" s="200"/>
      <c r="DV771" s="200"/>
      <c r="DW771" s="522"/>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2"/>
      <c r="R772" s="200"/>
      <c r="S772" s="223"/>
      <c r="T772" s="223"/>
      <c r="U772" s="223"/>
      <c r="V772" s="223"/>
      <c r="W772" s="223"/>
      <c r="X772" s="223"/>
      <c r="Y772" s="200"/>
      <c r="Z772" s="200"/>
      <c r="AA772" s="522"/>
      <c r="AB772" s="200"/>
      <c r="AC772" s="223"/>
      <c r="AD772" s="223"/>
      <c r="AE772" s="223"/>
      <c r="AF772" s="223"/>
      <c r="AG772" s="223"/>
      <c r="AH772" s="223"/>
      <c r="AI772" s="200"/>
      <c r="AJ772" s="200"/>
      <c r="AK772" s="522"/>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2"/>
      <c r="BF772" s="200"/>
      <c r="BG772" s="223"/>
      <c r="BH772" s="223"/>
      <c r="BI772" s="223"/>
      <c r="BJ772" s="223"/>
      <c r="BK772" s="223"/>
      <c r="BL772" s="223"/>
      <c r="BM772" s="200"/>
      <c r="BN772" s="200"/>
      <c r="BO772" s="522"/>
      <c r="BP772" s="200"/>
      <c r="BQ772" s="223"/>
      <c r="BR772" s="223"/>
      <c r="BS772" s="223"/>
      <c r="BT772" s="223"/>
      <c r="BU772" s="223"/>
      <c r="BV772" s="223"/>
      <c r="BW772" s="223"/>
      <c r="BX772" s="200"/>
      <c r="BY772" s="522"/>
      <c r="BZ772" s="200"/>
      <c r="CA772" s="223"/>
      <c r="CB772" s="223"/>
      <c r="CC772" s="223"/>
      <c r="CD772" s="223"/>
      <c r="CE772" s="223"/>
      <c r="CF772" s="223"/>
      <c r="CG772" s="200"/>
      <c r="CH772" s="200"/>
      <c r="CI772" s="522"/>
      <c r="CJ772" s="200"/>
      <c r="CK772" s="223"/>
      <c r="CL772" s="223"/>
      <c r="CM772" s="223"/>
      <c r="CN772" s="223"/>
      <c r="CO772" s="223"/>
      <c r="CP772" s="223"/>
      <c r="CQ772" s="200"/>
      <c r="CR772" s="200"/>
      <c r="CS772" s="522"/>
      <c r="CT772" s="200"/>
      <c r="CU772" s="223"/>
      <c r="CV772" s="223"/>
      <c r="CW772" s="223"/>
      <c r="CX772" s="223"/>
      <c r="CY772" s="223"/>
      <c r="CZ772" s="223"/>
      <c r="DA772" s="223"/>
      <c r="DB772" s="200"/>
      <c r="DC772" s="522"/>
      <c r="DD772" s="200"/>
      <c r="DE772" s="223"/>
      <c r="DF772" s="223"/>
      <c r="DG772" s="223"/>
      <c r="DH772" s="223"/>
      <c r="DI772" s="223"/>
      <c r="DJ772" s="223"/>
      <c r="DK772" s="200"/>
      <c r="DL772" s="200"/>
      <c r="DM772" s="522"/>
      <c r="DN772" s="200"/>
      <c r="DO772" s="223"/>
      <c r="DP772" s="223"/>
      <c r="DQ772" s="223"/>
      <c r="DR772" s="223"/>
      <c r="DS772" s="223"/>
      <c r="DT772" s="223"/>
      <c r="DU772" s="200"/>
      <c r="DV772" s="200"/>
      <c r="DW772" s="522"/>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2"/>
      <c r="R773" s="200"/>
      <c r="S773" s="223"/>
      <c r="T773" s="223"/>
      <c r="U773" s="223"/>
      <c r="V773" s="223"/>
      <c r="W773" s="223"/>
      <c r="X773" s="223"/>
      <c r="Y773" s="200"/>
      <c r="Z773" s="200"/>
      <c r="AA773" s="522"/>
      <c r="AB773" s="200"/>
      <c r="AC773" s="223"/>
      <c r="AD773" s="223"/>
      <c r="AE773" s="223"/>
      <c r="AF773" s="223"/>
      <c r="AG773" s="223"/>
      <c r="AH773" s="223"/>
      <c r="AI773" s="200"/>
      <c r="AJ773" s="200"/>
      <c r="AK773" s="522"/>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2"/>
      <c r="BF773" s="200"/>
      <c r="BG773" s="223"/>
      <c r="BH773" s="223"/>
      <c r="BI773" s="223"/>
      <c r="BJ773" s="223"/>
      <c r="BK773" s="223"/>
      <c r="BL773" s="223"/>
      <c r="BM773" s="200"/>
      <c r="BN773" s="200"/>
      <c r="BO773" s="522"/>
      <c r="BP773" s="200"/>
      <c r="BQ773" s="223"/>
      <c r="BR773" s="223"/>
      <c r="BS773" s="223"/>
      <c r="BT773" s="223"/>
      <c r="BU773" s="223"/>
      <c r="BV773" s="223"/>
      <c r="BW773" s="223"/>
      <c r="BX773" s="200"/>
      <c r="BY773" s="522"/>
      <c r="BZ773" s="200"/>
      <c r="CA773" s="223"/>
      <c r="CB773" s="223"/>
      <c r="CC773" s="223"/>
      <c r="CD773" s="223"/>
      <c r="CE773" s="223"/>
      <c r="CF773" s="223"/>
      <c r="CG773" s="200"/>
      <c r="CH773" s="200"/>
      <c r="CI773" s="522"/>
      <c r="CJ773" s="200"/>
      <c r="CK773" s="223"/>
      <c r="CL773" s="223"/>
      <c r="CM773" s="223"/>
      <c r="CN773" s="223"/>
      <c r="CO773" s="223"/>
      <c r="CP773" s="223"/>
      <c r="CQ773" s="200"/>
      <c r="CR773" s="200"/>
      <c r="CS773" s="522"/>
      <c r="CT773" s="200"/>
      <c r="CU773" s="223"/>
      <c r="CV773" s="223"/>
      <c r="CW773" s="223"/>
      <c r="CX773" s="223"/>
      <c r="CY773" s="223"/>
      <c r="CZ773" s="223"/>
      <c r="DA773" s="223"/>
      <c r="DB773" s="200"/>
      <c r="DC773" s="522"/>
      <c r="DD773" s="200"/>
      <c r="DE773" s="223"/>
      <c r="DF773" s="223"/>
      <c r="DG773" s="223"/>
      <c r="DH773" s="223"/>
      <c r="DI773" s="223"/>
      <c r="DJ773" s="223"/>
      <c r="DK773" s="200"/>
      <c r="DL773" s="200"/>
      <c r="DM773" s="522"/>
      <c r="DN773" s="200"/>
      <c r="DO773" s="223"/>
      <c r="DP773" s="223"/>
      <c r="DQ773" s="223"/>
      <c r="DR773" s="223"/>
      <c r="DS773" s="223"/>
      <c r="DT773" s="223"/>
      <c r="DU773" s="200"/>
      <c r="DV773" s="200"/>
      <c r="DW773" s="522"/>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2"/>
      <c r="R774" s="200"/>
      <c r="S774" s="223"/>
      <c r="T774" s="223"/>
      <c r="U774" s="223"/>
      <c r="V774" s="223"/>
      <c r="W774" s="223"/>
      <c r="X774" s="223"/>
      <c r="Y774" s="200"/>
      <c r="Z774" s="200"/>
      <c r="AA774" s="522"/>
      <c r="AB774" s="200"/>
      <c r="AC774" s="223"/>
      <c r="AD774" s="223"/>
      <c r="AE774" s="223"/>
      <c r="AF774" s="223"/>
      <c r="AG774" s="223"/>
      <c r="AH774" s="223"/>
      <c r="AI774" s="200"/>
      <c r="AJ774" s="200"/>
      <c r="AK774" s="522"/>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2"/>
      <c r="BF774" s="200"/>
      <c r="BG774" s="223"/>
      <c r="BH774" s="223"/>
      <c r="BI774" s="223"/>
      <c r="BJ774" s="223"/>
      <c r="BK774" s="223"/>
      <c r="BL774" s="223"/>
      <c r="BM774" s="200"/>
      <c r="BN774" s="200"/>
      <c r="BO774" s="522"/>
      <c r="BP774" s="200"/>
      <c r="BQ774" s="223"/>
      <c r="BR774" s="223"/>
      <c r="BS774" s="223"/>
      <c r="BT774" s="223"/>
      <c r="BU774" s="223"/>
      <c r="BV774" s="223"/>
      <c r="BW774" s="223"/>
      <c r="BX774" s="200"/>
      <c r="BY774" s="522"/>
      <c r="BZ774" s="200"/>
      <c r="CA774" s="223"/>
      <c r="CB774" s="223"/>
      <c r="CC774" s="223"/>
      <c r="CD774" s="223"/>
      <c r="CE774" s="223"/>
      <c r="CF774" s="223"/>
      <c r="CG774" s="200"/>
      <c r="CH774" s="200"/>
      <c r="CI774" s="522"/>
      <c r="CJ774" s="200"/>
      <c r="CK774" s="223"/>
      <c r="CL774" s="223"/>
      <c r="CM774" s="223"/>
      <c r="CN774" s="223"/>
      <c r="CO774" s="223"/>
      <c r="CP774" s="223"/>
      <c r="CQ774" s="200"/>
      <c r="CR774" s="200"/>
      <c r="CS774" s="522"/>
      <c r="CT774" s="200"/>
      <c r="CU774" s="223"/>
      <c r="CV774" s="223"/>
      <c r="CW774" s="223"/>
      <c r="CX774" s="223"/>
      <c r="CY774" s="223"/>
      <c r="CZ774" s="223"/>
      <c r="DA774" s="223"/>
      <c r="DB774" s="200"/>
      <c r="DC774" s="522"/>
      <c r="DD774" s="200"/>
      <c r="DE774" s="223"/>
      <c r="DF774" s="223"/>
      <c r="DG774" s="223"/>
      <c r="DH774" s="223"/>
      <c r="DI774" s="223"/>
      <c r="DJ774" s="223"/>
      <c r="DK774" s="200"/>
      <c r="DL774" s="200"/>
      <c r="DM774" s="522"/>
      <c r="DN774" s="200"/>
      <c r="DO774" s="223"/>
      <c r="DP774" s="223"/>
      <c r="DQ774" s="223"/>
      <c r="DR774" s="223"/>
      <c r="DS774" s="223"/>
      <c r="DT774" s="223"/>
      <c r="DU774" s="200"/>
      <c r="DV774" s="200"/>
      <c r="DW774" s="522"/>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2"/>
      <c r="R775" s="200"/>
      <c r="S775" s="223"/>
      <c r="T775" s="223"/>
      <c r="U775" s="223"/>
      <c r="V775" s="223"/>
      <c r="W775" s="223"/>
      <c r="X775" s="223"/>
      <c r="Y775" s="200"/>
      <c r="Z775" s="200"/>
      <c r="AA775" s="522"/>
      <c r="AB775" s="200"/>
      <c r="AC775" s="223"/>
      <c r="AD775" s="223"/>
      <c r="AE775" s="223"/>
      <c r="AF775" s="223"/>
      <c r="AG775" s="223"/>
      <c r="AH775" s="223"/>
      <c r="AI775" s="200"/>
      <c r="AJ775" s="200"/>
      <c r="AK775" s="522"/>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2"/>
      <c r="BF775" s="200"/>
      <c r="BG775" s="223"/>
      <c r="BH775" s="223"/>
      <c r="BI775" s="223"/>
      <c r="BJ775" s="223"/>
      <c r="BK775" s="223"/>
      <c r="BL775" s="223"/>
      <c r="BM775" s="200"/>
      <c r="BN775" s="200"/>
      <c r="BO775" s="522"/>
      <c r="BP775" s="200"/>
      <c r="BQ775" s="223"/>
      <c r="BR775" s="223"/>
      <c r="BS775" s="223"/>
      <c r="BT775" s="223"/>
      <c r="BU775" s="223"/>
      <c r="BV775" s="223"/>
      <c r="BW775" s="223"/>
      <c r="BX775" s="200"/>
      <c r="BY775" s="522"/>
      <c r="BZ775" s="200"/>
      <c r="CA775" s="223"/>
      <c r="CB775" s="223"/>
      <c r="CC775" s="223"/>
      <c r="CD775" s="223"/>
      <c r="CE775" s="223"/>
      <c r="CF775" s="223"/>
      <c r="CG775" s="200"/>
      <c r="CH775" s="200"/>
      <c r="CI775" s="522"/>
      <c r="CJ775" s="200"/>
      <c r="CK775" s="223"/>
      <c r="CL775" s="223"/>
      <c r="CM775" s="223"/>
      <c r="CN775" s="223"/>
      <c r="CO775" s="223"/>
      <c r="CP775" s="223"/>
      <c r="CQ775" s="200"/>
      <c r="CR775" s="200"/>
      <c r="CS775" s="522"/>
      <c r="CT775" s="200"/>
      <c r="CU775" s="223"/>
      <c r="CV775" s="223"/>
      <c r="CW775" s="223"/>
      <c r="CX775" s="223"/>
      <c r="CY775" s="223"/>
      <c r="CZ775" s="223"/>
      <c r="DA775" s="223"/>
      <c r="DB775" s="200"/>
      <c r="DC775" s="522"/>
      <c r="DD775" s="200"/>
      <c r="DE775" s="223"/>
      <c r="DF775" s="223"/>
      <c r="DG775" s="223"/>
      <c r="DH775" s="223"/>
      <c r="DI775" s="223"/>
      <c r="DJ775" s="223"/>
      <c r="DK775" s="200"/>
      <c r="DL775" s="200"/>
      <c r="DM775" s="522"/>
      <c r="DN775" s="200"/>
      <c r="DO775" s="223"/>
      <c r="DP775" s="223"/>
      <c r="DQ775" s="223"/>
      <c r="DR775" s="223"/>
      <c r="DS775" s="223"/>
      <c r="DT775" s="223"/>
      <c r="DU775" s="200"/>
      <c r="DV775" s="200"/>
      <c r="DW775" s="522"/>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2"/>
      <c r="R776" s="200"/>
      <c r="S776" s="223"/>
      <c r="T776" s="223"/>
      <c r="U776" s="223"/>
      <c r="V776" s="223"/>
      <c r="W776" s="223"/>
      <c r="X776" s="223"/>
      <c r="Y776" s="200"/>
      <c r="Z776" s="200"/>
      <c r="AA776" s="522"/>
      <c r="AB776" s="200"/>
      <c r="AC776" s="223"/>
      <c r="AD776" s="223"/>
      <c r="AE776" s="223"/>
      <c r="AF776" s="223"/>
      <c r="AG776" s="223"/>
      <c r="AH776" s="223"/>
      <c r="AI776" s="200"/>
      <c r="AJ776" s="200"/>
      <c r="AK776" s="522"/>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2"/>
      <c r="BF776" s="200"/>
      <c r="BG776" s="223"/>
      <c r="BH776" s="223"/>
      <c r="BI776" s="223"/>
      <c r="BJ776" s="223"/>
      <c r="BK776" s="223"/>
      <c r="BL776" s="223"/>
      <c r="BM776" s="200"/>
      <c r="BN776" s="200"/>
      <c r="BO776" s="522"/>
      <c r="BP776" s="200"/>
      <c r="BQ776" s="223"/>
      <c r="BR776" s="223"/>
      <c r="BS776" s="223"/>
      <c r="BT776" s="223"/>
      <c r="BU776" s="223"/>
      <c r="BV776" s="223"/>
      <c r="BW776" s="223"/>
      <c r="BX776" s="200"/>
      <c r="BY776" s="522"/>
      <c r="BZ776" s="200"/>
      <c r="CA776" s="223"/>
      <c r="CB776" s="223"/>
      <c r="CC776" s="223"/>
      <c r="CD776" s="223"/>
      <c r="CE776" s="223"/>
      <c r="CF776" s="223"/>
      <c r="CG776" s="200"/>
      <c r="CH776" s="200"/>
      <c r="CI776" s="522"/>
      <c r="CJ776" s="200"/>
      <c r="CK776" s="223"/>
      <c r="CL776" s="223"/>
      <c r="CM776" s="223"/>
      <c r="CN776" s="223"/>
      <c r="CO776" s="223"/>
      <c r="CP776" s="223"/>
      <c r="CQ776" s="200"/>
      <c r="CR776" s="200"/>
      <c r="CS776" s="522"/>
      <c r="CT776" s="200"/>
      <c r="CU776" s="223"/>
      <c r="CV776" s="223"/>
      <c r="CW776" s="223"/>
      <c r="CX776" s="223"/>
      <c r="CY776" s="223"/>
      <c r="CZ776" s="223"/>
      <c r="DA776" s="223"/>
      <c r="DB776" s="200"/>
      <c r="DC776" s="522"/>
      <c r="DD776" s="200"/>
      <c r="DE776" s="223"/>
      <c r="DF776" s="223"/>
      <c r="DG776" s="223"/>
      <c r="DH776" s="223"/>
      <c r="DI776" s="223"/>
      <c r="DJ776" s="223"/>
      <c r="DK776" s="200"/>
      <c r="DL776" s="200"/>
      <c r="DM776" s="522"/>
      <c r="DN776" s="200"/>
      <c r="DO776" s="223"/>
      <c r="DP776" s="223"/>
      <c r="DQ776" s="223"/>
      <c r="DR776" s="223"/>
      <c r="DS776" s="223"/>
      <c r="DT776" s="223"/>
      <c r="DU776" s="200"/>
      <c r="DV776" s="200"/>
      <c r="DW776" s="522"/>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2"/>
      <c r="R777" s="200"/>
      <c r="S777" s="223"/>
      <c r="T777" s="223"/>
      <c r="U777" s="223"/>
      <c r="V777" s="223"/>
      <c r="W777" s="223"/>
      <c r="X777" s="223"/>
      <c r="Y777" s="200"/>
      <c r="Z777" s="200"/>
      <c r="AA777" s="522"/>
      <c r="AB777" s="200"/>
      <c r="AC777" s="223"/>
      <c r="AD777" s="223"/>
      <c r="AE777" s="223"/>
      <c r="AF777" s="223"/>
      <c r="AG777" s="223"/>
      <c r="AH777" s="223"/>
      <c r="AI777" s="200"/>
      <c r="AJ777" s="200"/>
      <c r="AK777" s="522"/>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2"/>
      <c r="BF777" s="200"/>
      <c r="BG777" s="223"/>
      <c r="BH777" s="223"/>
      <c r="BI777" s="223"/>
      <c r="BJ777" s="223"/>
      <c r="BK777" s="223"/>
      <c r="BL777" s="223"/>
      <c r="BM777" s="200"/>
      <c r="BN777" s="200"/>
      <c r="BO777" s="522"/>
      <c r="BP777" s="200"/>
      <c r="BQ777" s="223"/>
      <c r="BR777" s="223"/>
      <c r="BS777" s="223"/>
      <c r="BT777" s="223"/>
      <c r="BU777" s="223"/>
      <c r="BV777" s="223"/>
      <c r="BW777" s="223"/>
      <c r="BX777" s="200"/>
      <c r="BY777" s="522"/>
      <c r="BZ777" s="200"/>
      <c r="CA777" s="223"/>
      <c r="CB777" s="223"/>
      <c r="CC777" s="223"/>
      <c r="CD777" s="223"/>
      <c r="CE777" s="223"/>
      <c r="CF777" s="223"/>
      <c r="CG777" s="200"/>
      <c r="CH777" s="200"/>
      <c r="CI777" s="522"/>
      <c r="CJ777" s="200"/>
      <c r="CK777" s="223"/>
      <c r="CL777" s="223"/>
      <c r="CM777" s="223"/>
      <c r="CN777" s="223"/>
      <c r="CO777" s="223"/>
      <c r="CP777" s="223"/>
      <c r="CQ777" s="200"/>
      <c r="CR777" s="200"/>
      <c r="CS777" s="522"/>
      <c r="CT777" s="200"/>
      <c r="CU777" s="223"/>
      <c r="CV777" s="223"/>
      <c r="CW777" s="223"/>
      <c r="CX777" s="223"/>
      <c r="CY777" s="223"/>
      <c r="CZ777" s="223"/>
      <c r="DA777" s="223"/>
      <c r="DB777" s="200"/>
      <c r="DC777" s="522"/>
      <c r="DD777" s="200"/>
      <c r="DE777" s="223"/>
      <c r="DF777" s="223"/>
      <c r="DG777" s="223"/>
      <c r="DH777" s="223"/>
      <c r="DI777" s="223"/>
      <c r="DJ777" s="223"/>
      <c r="DK777" s="200"/>
      <c r="DL777" s="200"/>
      <c r="DM777" s="522"/>
      <c r="DN777" s="200"/>
      <c r="DO777" s="223"/>
      <c r="DP777" s="223"/>
      <c r="DQ777" s="223"/>
      <c r="DR777" s="223"/>
      <c r="DS777" s="223"/>
      <c r="DT777" s="223"/>
      <c r="DU777" s="200"/>
      <c r="DV777" s="200"/>
      <c r="DW777" s="522"/>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2"/>
      <c r="R778" s="200"/>
      <c r="S778" s="223"/>
      <c r="T778" s="223"/>
      <c r="U778" s="223"/>
      <c r="V778" s="223"/>
      <c r="W778" s="223"/>
      <c r="X778" s="223"/>
      <c r="Y778" s="200"/>
      <c r="Z778" s="200"/>
      <c r="AA778" s="522"/>
      <c r="AB778" s="200"/>
      <c r="AC778" s="223"/>
      <c r="AD778" s="223"/>
      <c r="AE778" s="223"/>
      <c r="AF778" s="223"/>
      <c r="AG778" s="223"/>
      <c r="AH778" s="223"/>
      <c r="AI778" s="200"/>
      <c r="AJ778" s="200"/>
      <c r="AK778" s="522"/>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2"/>
      <c r="BF778" s="200"/>
      <c r="BG778" s="223"/>
      <c r="BH778" s="223"/>
      <c r="BI778" s="223"/>
      <c r="BJ778" s="223"/>
      <c r="BK778" s="223"/>
      <c r="BL778" s="223"/>
      <c r="BM778" s="200"/>
      <c r="BN778" s="200"/>
      <c r="BO778" s="522"/>
      <c r="BP778" s="200"/>
      <c r="BQ778" s="223"/>
      <c r="BR778" s="223"/>
      <c r="BS778" s="223"/>
      <c r="BT778" s="223"/>
      <c r="BU778" s="223"/>
      <c r="BV778" s="223"/>
      <c r="BW778" s="223"/>
      <c r="BX778" s="200"/>
      <c r="BY778" s="522"/>
      <c r="BZ778" s="200"/>
      <c r="CA778" s="223"/>
      <c r="CB778" s="223"/>
      <c r="CC778" s="223"/>
      <c r="CD778" s="223"/>
      <c r="CE778" s="223"/>
      <c r="CF778" s="223"/>
      <c r="CG778" s="200"/>
      <c r="CH778" s="200"/>
      <c r="CI778" s="522"/>
      <c r="CJ778" s="200"/>
      <c r="CK778" s="223"/>
      <c r="CL778" s="223"/>
      <c r="CM778" s="223"/>
      <c r="CN778" s="223"/>
      <c r="CO778" s="223"/>
      <c r="CP778" s="223"/>
      <c r="CQ778" s="200"/>
      <c r="CR778" s="200"/>
      <c r="CS778" s="522"/>
      <c r="CT778" s="200"/>
      <c r="CU778" s="223"/>
      <c r="CV778" s="223"/>
      <c r="CW778" s="223"/>
      <c r="CX778" s="223"/>
      <c r="CY778" s="223"/>
      <c r="CZ778" s="223"/>
      <c r="DA778" s="223"/>
      <c r="DB778" s="200"/>
      <c r="DC778" s="522"/>
      <c r="DD778" s="200"/>
      <c r="DE778" s="223"/>
      <c r="DF778" s="223"/>
      <c r="DG778" s="223"/>
      <c r="DH778" s="223"/>
      <c r="DI778" s="223"/>
      <c r="DJ778" s="223"/>
      <c r="DK778" s="200"/>
      <c r="DL778" s="200"/>
      <c r="DM778" s="522"/>
      <c r="DN778" s="200"/>
      <c r="DO778" s="223"/>
      <c r="DP778" s="223"/>
      <c r="DQ778" s="223"/>
      <c r="DR778" s="223"/>
      <c r="DS778" s="223"/>
      <c r="DT778" s="223"/>
      <c r="DU778" s="200"/>
      <c r="DV778" s="200"/>
      <c r="DW778" s="522"/>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2"/>
      <c r="R779" s="200"/>
      <c r="S779" s="223"/>
      <c r="T779" s="223"/>
      <c r="U779" s="223"/>
      <c r="V779" s="223"/>
      <c r="W779" s="223"/>
      <c r="X779" s="223"/>
      <c r="Y779" s="200"/>
      <c r="Z779" s="200"/>
      <c r="AA779" s="522"/>
      <c r="AB779" s="200"/>
      <c r="AC779" s="223"/>
      <c r="AD779" s="223"/>
      <c r="AE779" s="223"/>
      <c r="AF779" s="223"/>
      <c r="AG779" s="223"/>
      <c r="AH779" s="223"/>
      <c r="AI779" s="200"/>
      <c r="AJ779" s="200"/>
      <c r="AK779" s="522"/>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2"/>
      <c r="BF779" s="200"/>
      <c r="BG779" s="223"/>
      <c r="BH779" s="223"/>
      <c r="BI779" s="223"/>
      <c r="BJ779" s="223"/>
      <c r="BK779" s="223"/>
      <c r="BL779" s="223"/>
      <c r="BM779" s="200"/>
      <c r="BN779" s="200"/>
      <c r="BO779" s="522"/>
      <c r="BP779" s="200"/>
      <c r="BQ779" s="223"/>
      <c r="BR779" s="223"/>
      <c r="BS779" s="223"/>
      <c r="BT779" s="223"/>
      <c r="BU779" s="223"/>
      <c r="BV779" s="223"/>
      <c r="BW779" s="223"/>
      <c r="BX779" s="200"/>
      <c r="BY779" s="522"/>
      <c r="BZ779" s="200"/>
      <c r="CA779" s="223"/>
      <c r="CB779" s="223"/>
      <c r="CC779" s="223"/>
      <c r="CD779" s="223"/>
      <c r="CE779" s="223"/>
      <c r="CF779" s="223"/>
      <c r="CG779" s="200"/>
      <c r="CH779" s="200"/>
      <c r="CI779" s="522"/>
      <c r="CJ779" s="200"/>
      <c r="CK779" s="223"/>
      <c r="CL779" s="223"/>
      <c r="CM779" s="223"/>
      <c r="CN779" s="223"/>
      <c r="CO779" s="223"/>
      <c r="CP779" s="223"/>
      <c r="CQ779" s="200"/>
      <c r="CR779" s="200"/>
      <c r="CS779" s="522"/>
      <c r="CT779" s="200"/>
      <c r="CU779" s="223"/>
      <c r="CV779" s="223"/>
      <c r="CW779" s="223"/>
      <c r="CX779" s="223"/>
      <c r="CY779" s="223"/>
      <c r="CZ779" s="223"/>
      <c r="DA779" s="223"/>
      <c r="DB779" s="200"/>
      <c r="DC779" s="522"/>
      <c r="DD779" s="200"/>
      <c r="DE779" s="223"/>
      <c r="DF779" s="223"/>
      <c r="DG779" s="223"/>
      <c r="DH779" s="223"/>
      <c r="DI779" s="223"/>
      <c r="DJ779" s="223"/>
      <c r="DK779" s="200"/>
      <c r="DL779" s="200"/>
      <c r="DM779" s="522"/>
      <c r="DN779" s="200"/>
      <c r="DO779" s="223"/>
      <c r="DP779" s="223"/>
      <c r="DQ779" s="223"/>
      <c r="DR779" s="223"/>
      <c r="DS779" s="223"/>
      <c r="DT779" s="223"/>
      <c r="DU779" s="200"/>
      <c r="DV779" s="200"/>
      <c r="DW779" s="522"/>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2"/>
      <c r="R780" s="200"/>
      <c r="S780" s="223"/>
      <c r="T780" s="223"/>
      <c r="U780" s="223"/>
      <c r="V780" s="223"/>
      <c r="W780" s="223"/>
      <c r="X780" s="223"/>
      <c r="Y780" s="200"/>
      <c r="Z780" s="200"/>
      <c r="AA780" s="522"/>
      <c r="AB780" s="200"/>
      <c r="AC780" s="223"/>
      <c r="AD780" s="223"/>
      <c r="AE780" s="223"/>
      <c r="AF780" s="223"/>
      <c r="AG780" s="223"/>
      <c r="AH780" s="223"/>
      <c r="AI780" s="200"/>
      <c r="AJ780" s="200"/>
      <c r="AK780" s="522"/>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2"/>
      <c r="BF780" s="200"/>
      <c r="BG780" s="223"/>
      <c r="BH780" s="223"/>
      <c r="BI780" s="223"/>
      <c r="BJ780" s="223"/>
      <c r="BK780" s="223"/>
      <c r="BL780" s="223"/>
      <c r="BM780" s="200"/>
      <c r="BN780" s="200"/>
      <c r="BO780" s="522"/>
      <c r="BP780" s="200"/>
      <c r="BQ780" s="223"/>
      <c r="BR780" s="223"/>
      <c r="BS780" s="223"/>
      <c r="BT780" s="223"/>
      <c r="BU780" s="223"/>
      <c r="BV780" s="223"/>
      <c r="BW780" s="223"/>
      <c r="BX780" s="200"/>
      <c r="BY780" s="522"/>
      <c r="BZ780" s="200"/>
      <c r="CA780" s="223"/>
      <c r="CB780" s="223"/>
      <c r="CC780" s="223"/>
      <c r="CD780" s="223"/>
      <c r="CE780" s="223"/>
      <c r="CF780" s="223"/>
      <c r="CG780" s="200"/>
      <c r="CH780" s="200"/>
      <c r="CI780" s="522"/>
      <c r="CJ780" s="200"/>
      <c r="CK780" s="223"/>
      <c r="CL780" s="223"/>
      <c r="CM780" s="223"/>
      <c r="CN780" s="223"/>
      <c r="CO780" s="223"/>
      <c r="CP780" s="223"/>
      <c r="CQ780" s="200"/>
      <c r="CR780" s="200"/>
      <c r="CS780" s="522"/>
      <c r="CT780" s="200"/>
      <c r="CU780" s="223"/>
      <c r="CV780" s="223"/>
      <c r="CW780" s="223"/>
      <c r="CX780" s="223"/>
      <c r="CY780" s="223"/>
      <c r="CZ780" s="223"/>
      <c r="DA780" s="223"/>
      <c r="DB780" s="200"/>
      <c r="DC780" s="522"/>
      <c r="DD780" s="200"/>
      <c r="DE780" s="223"/>
      <c r="DF780" s="223"/>
      <c r="DG780" s="223"/>
      <c r="DH780" s="223"/>
      <c r="DI780" s="223"/>
      <c r="DJ780" s="223"/>
      <c r="DK780" s="200"/>
      <c r="DL780" s="200"/>
      <c r="DM780" s="522"/>
      <c r="DN780" s="200"/>
      <c r="DO780" s="223"/>
      <c r="DP780" s="223"/>
      <c r="DQ780" s="223"/>
      <c r="DR780" s="223"/>
      <c r="DS780" s="223"/>
      <c r="DT780" s="223"/>
      <c r="DU780" s="200"/>
      <c r="DV780" s="200"/>
      <c r="DW780" s="522"/>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2"/>
      <c r="R781" s="200"/>
      <c r="S781" s="223"/>
      <c r="T781" s="223"/>
      <c r="U781" s="223"/>
      <c r="V781" s="223"/>
      <c r="W781" s="223"/>
      <c r="X781" s="223"/>
      <c r="Y781" s="200"/>
      <c r="Z781" s="200"/>
      <c r="AA781" s="522"/>
      <c r="AB781" s="200"/>
      <c r="AC781" s="223"/>
      <c r="AD781" s="223"/>
      <c r="AE781" s="223"/>
      <c r="AF781" s="223"/>
      <c r="AG781" s="223"/>
      <c r="AH781" s="223"/>
      <c r="AI781" s="200"/>
      <c r="AJ781" s="200"/>
      <c r="AK781" s="522"/>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2"/>
      <c r="BF781" s="200"/>
      <c r="BG781" s="223"/>
      <c r="BH781" s="223"/>
      <c r="BI781" s="223"/>
      <c r="BJ781" s="223"/>
      <c r="BK781" s="223"/>
      <c r="BL781" s="223"/>
      <c r="BM781" s="200"/>
      <c r="BN781" s="200"/>
      <c r="BO781" s="522"/>
      <c r="BP781" s="200"/>
      <c r="BQ781" s="223"/>
      <c r="BR781" s="223"/>
      <c r="BS781" s="223"/>
      <c r="BT781" s="223"/>
      <c r="BU781" s="223"/>
      <c r="BV781" s="223"/>
      <c r="BW781" s="223"/>
      <c r="BX781" s="200"/>
      <c r="BY781" s="522"/>
      <c r="BZ781" s="200"/>
      <c r="CA781" s="223"/>
      <c r="CB781" s="223"/>
      <c r="CC781" s="223"/>
      <c r="CD781" s="223"/>
      <c r="CE781" s="223"/>
      <c r="CF781" s="223"/>
      <c r="CG781" s="200"/>
      <c r="CH781" s="200"/>
      <c r="CI781" s="522"/>
      <c r="CJ781" s="200"/>
      <c r="CK781" s="223"/>
      <c r="CL781" s="223"/>
      <c r="CM781" s="223"/>
      <c r="CN781" s="223"/>
      <c r="CO781" s="223"/>
      <c r="CP781" s="223"/>
      <c r="CQ781" s="200"/>
      <c r="CR781" s="200"/>
      <c r="CS781" s="522"/>
      <c r="CT781" s="200"/>
      <c r="CU781" s="223"/>
      <c r="CV781" s="223"/>
      <c r="CW781" s="223"/>
      <c r="CX781" s="223"/>
      <c r="CY781" s="223"/>
      <c r="CZ781" s="223"/>
      <c r="DA781" s="223"/>
      <c r="DB781" s="200"/>
      <c r="DC781" s="522"/>
      <c r="DD781" s="200"/>
      <c r="DE781" s="223"/>
      <c r="DF781" s="223"/>
      <c r="DG781" s="223"/>
      <c r="DH781" s="223"/>
      <c r="DI781" s="223"/>
      <c r="DJ781" s="223"/>
      <c r="DK781" s="200"/>
      <c r="DL781" s="200"/>
      <c r="DM781" s="522"/>
      <c r="DN781" s="200"/>
      <c r="DO781" s="223"/>
      <c r="DP781" s="223"/>
      <c r="DQ781" s="223"/>
      <c r="DR781" s="223"/>
      <c r="DS781" s="223"/>
      <c r="DT781" s="223"/>
      <c r="DU781" s="200"/>
      <c r="DV781" s="200"/>
      <c r="DW781" s="522"/>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2"/>
      <c r="R782" s="200"/>
      <c r="S782" s="223"/>
      <c r="T782" s="223"/>
      <c r="U782" s="223"/>
      <c r="V782" s="223"/>
      <c r="W782" s="223"/>
      <c r="X782" s="223"/>
      <c r="Y782" s="200"/>
      <c r="Z782" s="200"/>
      <c r="AA782" s="522"/>
      <c r="AB782" s="200"/>
      <c r="AC782" s="223"/>
      <c r="AD782" s="223"/>
      <c r="AE782" s="223"/>
      <c r="AF782" s="223"/>
      <c r="AG782" s="223"/>
      <c r="AH782" s="223"/>
      <c r="AI782" s="200"/>
      <c r="AJ782" s="200"/>
      <c r="AK782" s="522"/>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2"/>
      <c r="BF782" s="200"/>
      <c r="BG782" s="223"/>
      <c r="BH782" s="223"/>
      <c r="BI782" s="223"/>
      <c r="BJ782" s="223"/>
      <c r="BK782" s="223"/>
      <c r="BL782" s="223"/>
      <c r="BM782" s="200"/>
      <c r="BN782" s="200"/>
      <c r="BO782" s="522"/>
      <c r="BP782" s="200"/>
      <c r="BQ782" s="223"/>
      <c r="BR782" s="223"/>
      <c r="BS782" s="223"/>
      <c r="BT782" s="223"/>
      <c r="BU782" s="223"/>
      <c r="BV782" s="223"/>
      <c r="BW782" s="223"/>
      <c r="BX782" s="200"/>
      <c r="BY782" s="522"/>
      <c r="BZ782" s="200"/>
      <c r="CA782" s="223"/>
      <c r="CB782" s="223"/>
      <c r="CC782" s="223"/>
      <c r="CD782" s="223"/>
      <c r="CE782" s="223"/>
      <c r="CF782" s="223"/>
      <c r="CG782" s="200"/>
      <c r="CH782" s="200"/>
      <c r="CI782" s="522"/>
      <c r="CJ782" s="200"/>
      <c r="CK782" s="223"/>
      <c r="CL782" s="223"/>
      <c r="CM782" s="223"/>
      <c r="CN782" s="223"/>
      <c r="CO782" s="223"/>
      <c r="CP782" s="223"/>
      <c r="CQ782" s="200"/>
      <c r="CR782" s="200"/>
      <c r="CS782" s="522"/>
      <c r="CT782" s="200"/>
      <c r="CU782" s="223"/>
      <c r="CV782" s="223"/>
      <c r="CW782" s="223"/>
      <c r="CX782" s="223"/>
      <c r="CY782" s="223"/>
      <c r="CZ782" s="223"/>
      <c r="DA782" s="223"/>
      <c r="DB782" s="200"/>
      <c r="DC782" s="522"/>
      <c r="DD782" s="200"/>
      <c r="DE782" s="223"/>
      <c r="DF782" s="223"/>
      <c r="DG782" s="223"/>
      <c r="DH782" s="223"/>
      <c r="DI782" s="223"/>
      <c r="DJ782" s="223"/>
      <c r="DK782" s="200"/>
      <c r="DL782" s="200"/>
      <c r="DM782" s="522"/>
      <c r="DN782" s="200"/>
      <c r="DO782" s="223"/>
      <c r="DP782" s="223"/>
      <c r="DQ782" s="223"/>
      <c r="DR782" s="223"/>
      <c r="DS782" s="223"/>
      <c r="DT782" s="223"/>
      <c r="DU782" s="200"/>
      <c r="DV782" s="200"/>
      <c r="DW782" s="522"/>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2"/>
      <c r="R783" s="200"/>
      <c r="S783" s="223"/>
      <c r="T783" s="223"/>
      <c r="U783" s="223"/>
      <c r="V783" s="223"/>
      <c r="W783" s="223"/>
      <c r="X783" s="223"/>
      <c r="Y783" s="200"/>
      <c r="Z783" s="200"/>
      <c r="AA783" s="522"/>
      <c r="AB783" s="200"/>
      <c r="AC783" s="223"/>
      <c r="AD783" s="223"/>
      <c r="AE783" s="223"/>
      <c r="AF783" s="223"/>
      <c r="AG783" s="223"/>
      <c r="AH783" s="223"/>
      <c r="AI783" s="200"/>
      <c r="AJ783" s="200"/>
      <c r="AK783" s="522"/>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2"/>
      <c r="BF783" s="200"/>
      <c r="BG783" s="223"/>
      <c r="BH783" s="223"/>
      <c r="BI783" s="223"/>
      <c r="BJ783" s="223"/>
      <c r="BK783" s="223"/>
      <c r="BL783" s="223"/>
      <c r="BM783" s="200"/>
      <c r="BN783" s="200"/>
      <c r="BO783" s="522"/>
      <c r="BP783" s="200"/>
      <c r="BQ783" s="223"/>
      <c r="BR783" s="223"/>
      <c r="BS783" s="223"/>
      <c r="BT783" s="223"/>
      <c r="BU783" s="223"/>
      <c r="BV783" s="223"/>
      <c r="BW783" s="223"/>
      <c r="BX783" s="200"/>
      <c r="BY783" s="522"/>
      <c r="BZ783" s="200"/>
      <c r="CA783" s="223"/>
      <c r="CB783" s="223"/>
      <c r="CC783" s="223"/>
      <c r="CD783" s="223"/>
      <c r="CE783" s="223"/>
      <c r="CF783" s="223"/>
      <c r="CG783" s="200"/>
      <c r="CH783" s="200"/>
      <c r="CI783" s="522"/>
      <c r="CJ783" s="200"/>
      <c r="CK783" s="223"/>
      <c r="CL783" s="223"/>
      <c r="CM783" s="223"/>
      <c r="CN783" s="223"/>
      <c r="CO783" s="223"/>
      <c r="CP783" s="223"/>
      <c r="CQ783" s="200"/>
      <c r="CR783" s="200"/>
      <c r="CS783" s="522"/>
      <c r="CT783" s="200"/>
      <c r="CU783" s="223"/>
      <c r="CV783" s="223"/>
      <c r="CW783" s="223"/>
      <c r="CX783" s="223"/>
      <c r="CY783" s="223"/>
      <c r="CZ783" s="223"/>
      <c r="DA783" s="223"/>
      <c r="DB783" s="200"/>
      <c r="DC783" s="522"/>
      <c r="DD783" s="200"/>
      <c r="DE783" s="223"/>
      <c r="DF783" s="223"/>
      <c r="DG783" s="223"/>
      <c r="DH783" s="223"/>
      <c r="DI783" s="223"/>
      <c r="DJ783" s="223"/>
      <c r="DK783" s="200"/>
      <c r="DL783" s="200"/>
      <c r="DM783" s="522"/>
      <c r="DN783" s="200"/>
      <c r="DO783" s="223"/>
      <c r="DP783" s="223"/>
      <c r="DQ783" s="223"/>
      <c r="DR783" s="223"/>
      <c r="DS783" s="223"/>
      <c r="DT783" s="223"/>
      <c r="DU783" s="200"/>
      <c r="DV783" s="200"/>
      <c r="DW783" s="522"/>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2"/>
      <c r="R784" s="200"/>
      <c r="S784" s="223"/>
      <c r="T784" s="223"/>
      <c r="U784" s="223"/>
      <c r="V784" s="223"/>
      <c r="W784" s="223"/>
      <c r="X784" s="223"/>
      <c r="Y784" s="200"/>
      <c r="Z784" s="200"/>
      <c r="AA784" s="522"/>
      <c r="AB784" s="200"/>
      <c r="AC784" s="223"/>
      <c r="AD784" s="223"/>
      <c r="AE784" s="223"/>
      <c r="AF784" s="223"/>
      <c r="AG784" s="223"/>
      <c r="AH784" s="223"/>
      <c r="AI784" s="200"/>
      <c r="AJ784" s="200"/>
      <c r="AK784" s="522"/>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2"/>
      <c r="BF784" s="200"/>
      <c r="BG784" s="223"/>
      <c r="BH784" s="223"/>
      <c r="BI784" s="223"/>
      <c r="BJ784" s="223"/>
      <c r="BK784" s="223"/>
      <c r="BL784" s="223"/>
      <c r="BM784" s="200"/>
      <c r="BN784" s="200"/>
      <c r="BO784" s="522"/>
      <c r="BP784" s="200"/>
      <c r="BQ784" s="223"/>
      <c r="BR784" s="223"/>
      <c r="BS784" s="223"/>
      <c r="BT784" s="223"/>
      <c r="BU784" s="223"/>
      <c r="BV784" s="223"/>
      <c r="BW784" s="223"/>
      <c r="BX784" s="200"/>
      <c r="BY784" s="522"/>
      <c r="BZ784" s="200"/>
      <c r="CA784" s="223"/>
      <c r="CB784" s="223"/>
      <c r="CC784" s="223"/>
      <c r="CD784" s="223"/>
      <c r="CE784" s="223"/>
      <c r="CF784" s="223"/>
      <c r="CG784" s="200"/>
      <c r="CH784" s="200"/>
      <c r="CI784" s="522"/>
      <c r="CJ784" s="200"/>
      <c r="CK784" s="223"/>
      <c r="CL784" s="223"/>
      <c r="CM784" s="223"/>
      <c r="CN784" s="223"/>
      <c r="CO784" s="223"/>
      <c r="CP784" s="223"/>
      <c r="CQ784" s="200"/>
      <c r="CR784" s="200"/>
      <c r="CS784" s="522"/>
      <c r="CT784" s="200"/>
      <c r="CU784" s="223"/>
      <c r="CV784" s="223"/>
      <c r="CW784" s="223"/>
      <c r="CX784" s="223"/>
      <c r="CY784" s="223"/>
      <c r="CZ784" s="223"/>
      <c r="DA784" s="223"/>
      <c r="DB784" s="200"/>
      <c r="DC784" s="522"/>
      <c r="DD784" s="200"/>
      <c r="DE784" s="223"/>
      <c r="DF784" s="223"/>
      <c r="DG784" s="223"/>
      <c r="DH784" s="223"/>
      <c r="DI784" s="223"/>
      <c r="DJ784" s="223"/>
      <c r="DK784" s="200"/>
      <c r="DL784" s="200"/>
      <c r="DM784" s="522"/>
      <c r="DN784" s="200"/>
      <c r="DO784" s="223"/>
      <c r="DP784" s="223"/>
      <c r="DQ784" s="223"/>
      <c r="DR784" s="223"/>
      <c r="DS784" s="223"/>
      <c r="DT784" s="223"/>
      <c r="DU784" s="200"/>
      <c r="DV784" s="200"/>
      <c r="DW784" s="522"/>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2"/>
      <c r="R785" s="200"/>
      <c r="S785" s="223"/>
      <c r="T785" s="223"/>
      <c r="U785" s="223"/>
      <c r="V785" s="223"/>
      <c r="W785" s="223"/>
      <c r="X785" s="223"/>
      <c r="Y785" s="200"/>
      <c r="Z785" s="200"/>
      <c r="AA785" s="522"/>
      <c r="AB785" s="200"/>
      <c r="AC785" s="223"/>
      <c r="AD785" s="223"/>
      <c r="AE785" s="223"/>
      <c r="AF785" s="223"/>
      <c r="AG785" s="223"/>
      <c r="AH785" s="223"/>
      <c r="AI785" s="200"/>
      <c r="AJ785" s="200"/>
      <c r="AK785" s="522"/>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2"/>
      <c r="BF785" s="200"/>
      <c r="BG785" s="223"/>
      <c r="BH785" s="223"/>
      <c r="BI785" s="223"/>
      <c r="BJ785" s="223"/>
      <c r="BK785" s="223"/>
      <c r="BL785" s="223"/>
      <c r="BM785" s="200"/>
      <c r="BN785" s="200"/>
      <c r="BO785" s="522"/>
      <c r="BP785" s="200"/>
      <c r="BQ785" s="223"/>
      <c r="BR785" s="223"/>
      <c r="BS785" s="223"/>
      <c r="BT785" s="223"/>
      <c r="BU785" s="223"/>
      <c r="BV785" s="223"/>
      <c r="BW785" s="223"/>
      <c r="BX785" s="200"/>
      <c r="BY785" s="522"/>
      <c r="BZ785" s="200"/>
      <c r="CA785" s="223"/>
      <c r="CB785" s="223"/>
      <c r="CC785" s="223"/>
      <c r="CD785" s="223"/>
      <c r="CE785" s="223"/>
      <c r="CF785" s="223"/>
      <c r="CG785" s="200"/>
      <c r="CH785" s="200"/>
      <c r="CI785" s="522"/>
      <c r="CJ785" s="200"/>
      <c r="CK785" s="223"/>
      <c r="CL785" s="223"/>
      <c r="CM785" s="223"/>
      <c r="CN785" s="223"/>
      <c r="CO785" s="223"/>
      <c r="CP785" s="223"/>
      <c r="CQ785" s="200"/>
      <c r="CR785" s="200"/>
      <c r="CS785" s="522"/>
      <c r="CT785" s="200"/>
      <c r="CU785" s="223"/>
      <c r="CV785" s="223"/>
      <c r="CW785" s="223"/>
      <c r="CX785" s="223"/>
      <c r="CY785" s="223"/>
      <c r="CZ785" s="223"/>
      <c r="DA785" s="223"/>
      <c r="DB785" s="200"/>
      <c r="DC785" s="522"/>
      <c r="DD785" s="200"/>
      <c r="DE785" s="223"/>
      <c r="DF785" s="223"/>
      <c r="DG785" s="223"/>
      <c r="DH785" s="223"/>
      <c r="DI785" s="223"/>
      <c r="DJ785" s="223"/>
      <c r="DK785" s="200"/>
      <c r="DL785" s="200"/>
      <c r="DM785" s="522"/>
      <c r="DN785" s="200"/>
      <c r="DO785" s="223"/>
      <c r="DP785" s="223"/>
      <c r="DQ785" s="223"/>
      <c r="DR785" s="223"/>
      <c r="DS785" s="223"/>
      <c r="DT785" s="223"/>
      <c r="DU785" s="200"/>
      <c r="DV785" s="200"/>
      <c r="DW785" s="522"/>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2"/>
      <c r="R786" s="200"/>
      <c r="S786" s="223"/>
      <c r="T786" s="223"/>
      <c r="U786" s="223"/>
      <c r="V786" s="223"/>
      <c r="W786" s="223"/>
      <c r="X786" s="223"/>
      <c r="Y786" s="200"/>
      <c r="Z786" s="200"/>
      <c r="AA786" s="522"/>
      <c r="AB786" s="200"/>
      <c r="AC786" s="223"/>
      <c r="AD786" s="223"/>
      <c r="AE786" s="223"/>
      <c r="AF786" s="223"/>
      <c r="AG786" s="223"/>
      <c r="AH786" s="223"/>
      <c r="AI786" s="200"/>
      <c r="AJ786" s="200"/>
      <c r="AK786" s="522"/>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2"/>
      <c r="BF786" s="200"/>
      <c r="BG786" s="223"/>
      <c r="BH786" s="223"/>
      <c r="BI786" s="223"/>
      <c r="BJ786" s="223"/>
      <c r="BK786" s="223"/>
      <c r="BL786" s="223"/>
      <c r="BM786" s="200"/>
      <c r="BN786" s="200"/>
      <c r="BO786" s="522"/>
      <c r="BP786" s="200"/>
      <c r="BQ786" s="223"/>
      <c r="BR786" s="223"/>
      <c r="BS786" s="223"/>
      <c r="BT786" s="223"/>
      <c r="BU786" s="223"/>
      <c r="BV786" s="223"/>
      <c r="BW786" s="223"/>
      <c r="BX786" s="200"/>
      <c r="BY786" s="522"/>
      <c r="BZ786" s="200"/>
      <c r="CA786" s="223"/>
      <c r="CB786" s="223"/>
      <c r="CC786" s="223"/>
      <c r="CD786" s="223"/>
      <c r="CE786" s="223"/>
      <c r="CF786" s="223"/>
      <c r="CG786" s="200"/>
      <c r="CH786" s="200"/>
      <c r="CI786" s="522"/>
      <c r="CJ786" s="200"/>
      <c r="CK786" s="223"/>
      <c r="CL786" s="223"/>
      <c r="CM786" s="223"/>
      <c r="CN786" s="223"/>
      <c r="CO786" s="223"/>
      <c r="CP786" s="223"/>
      <c r="CQ786" s="200"/>
      <c r="CR786" s="200"/>
      <c r="CS786" s="522"/>
      <c r="CT786" s="200"/>
      <c r="CU786" s="223"/>
      <c r="CV786" s="223"/>
      <c r="CW786" s="223"/>
      <c r="CX786" s="223"/>
      <c r="CY786" s="223"/>
      <c r="CZ786" s="223"/>
      <c r="DA786" s="223"/>
      <c r="DB786" s="200"/>
      <c r="DC786" s="522"/>
      <c r="DD786" s="200"/>
      <c r="DE786" s="223"/>
      <c r="DF786" s="223"/>
      <c r="DG786" s="223"/>
      <c r="DH786" s="223"/>
      <c r="DI786" s="223"/>
      <c r="DJ786" s="223"/>
      <c r="DK786" s="200"/>
      <c r="DL786" s="200"/>
      <c r="DM786" s="522"/>
      <c r="DN786" s="200"/>
      <c r="DO786" s="223"/>
      <c r="DP786" s="223"/>
      <c r="DQ786" s="223"/>
      <c r="DR786" s="223"/>
      <c r="DS786" s="223"/>
      <c r="DT786" s="223"/>
      <c r="DU786" s="200"/>
      <c r="DV786" s="200"/>
      <c r="DW786" s="522"/>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2"/>
      <c r="R787" s="200"/>
      <c r="S787" s="223"/>
      <c r="T787" s="223"/>
      <c r="U787" s="223"/>
      <c r="V787" s="223"/>
      <c r="W787" s="223"/>
      <c r="X787" s="223"/>
      <c r="Y787" s="200"/>
      <c r="Z787" s="200"/>
      <c r="AA787" s="522"/>
      <c r="AB787" s="200"/>
      <c r="AC787" s="223"/>
      <c r="AD787" s="223"/>
      <c r="AE787" s="223"/>
      <c r="AF787" s="223"/>
      <c r="AG787" s="223"/>
      <c r="AH787" s="223"/>
      <c r="AI787" s="200"/>
      <c r="AJ787" s="200"/>
      <c r="AK787" s="522"/>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2"/>
      <c r="BF787" s="200"/>
      <c r="BG787" s="223"/>
      <c r="BH787" s="223"/>
      <c r="BI787" s="223"/>
      <c r="BJ787" s="223"/>
      <c r="BK787" s="223"/>
      <c r="BL787" s="223"/>
      <c r="BM787" s="200"/>
      <c r="BN787" s="200"/>
      <c r="BO787" s="522"/>
      <c r="BP787" s="200"/>
      <c r="BQ787" s="223"/>
      <c r="BR787" s="223"/>
      <c r="BS787" s="223"/>
      <c r="BT787" s="223"/>
      <c r="BU787" s="223"/>
      <c r="BV787" s="223"/>
      <c r="BW787" s="223"/>
      <c r="BX787" s="200"/>
      <c r="BY787" s="522"/>
      <c r="BZ787" s="200"/>
      <c r="CA787" s="223"/>
      <c r="CB787" s="223"/>
      <c r="CC787" s="223"/>
      <c r="CD787" s="223"/>
      <c r="CE787" s="223"/>
      <c r="CF787" s="223"/>
      <c r="CG787" s="200"/>
      <c r="CH787" s="200"/>
      <c r="CI787" s="522"/>
      <c r="CJ787" s="200"/>
      <c r="CK787" s="223"/>
      <c r="CL787" s="223"/>
      <c r="CM787" s="223"/>
      <c r="CN787" s="223"/>
      <c r="CO787" s="223"/>
      <c r="CP787" s="223"/>
      <c r="CQ787" s="200"/>
      <c r="CR787" s="200"/>
      <c r="CS787" s="522"/>
      <c r="CT787" s="200"/>
      <c r="CU787" s="223"/>
      <c r="CV787" s="223"/>
      <c r="CW787" s="223"/>
      <c r="CX787" s="223"/>
      <c r="CY787" s="223"/>
      <c r="CZ787" s="223"/>
      <c r="DA787" s="223"/>
      <c r="DB787" s="200"/>
      <c r="DC787" s="522"/>
      <c r="DD787" s="200"/>
      <c r="DE787" s="223"/>
      <c r="DF787" s="223"/>
      <c r="DG787" s="223"/>
      <c r="DH787" s="223"/>
      <c r="DI787" s="223"/>
      <c r="DJ787" s="223"/>
      <c r="DK787" s="200"/>
      <c r="DL787" s="200"/>
      <c r="DM787" s="522"/>
      <c r="DN787" s="200"/>
      <c r="DO787" s="223"/>
      <c r="DP787" s="223"/>
      <c r="DQ787" s="223"/>
      <c r="DR787" s="223"/>
      <c r="DS787" s="223"/>
      <c r="DT787" s="223"/>
      <c r="DU787" s="200"/>
      <c r="DV787" s="200"/>
      <c r="DW787" s="522"/>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2"/>
      <c r="R788" s="200"/>
      <c r="S788" s="223"/>
      <c r="T788" s="223"/>
      <c r="U788" s="223"/>
      <c r="V788" s="223"/>
      <c r="W788" s="223"/>
      <c r="X788" s="223"/>
      <c r="Y788" s="200"/>
      <c r="Z788" s="200"/>
      <c r="AA788" s="522"/>
      <c r="AB788" s="200"/>
      <c r="AC788" s="223"/>
      <c r="AD788" s="223"/>
      <c r="AE788" s="223"/>
      <c r="AF788" s="223"/>
      <c r="AG788" s="223"/>
      <c r="AH788" s="223"/>
      <c r="AI788" s="200"/>
      <c r="AJ788" s="200"/>
      <c r="AK788" s="522"/>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2"/>
      <c r="BF788" s="200"/>
      <c r="BG788" s="223"/>
      <c r="BH788" s="223"/>
      <c r="BI788" s="223"/>
      <c r="BJ788" s="223"/>
      <c r="BK788" s="223"/>
      <c r="BL788" s="223"/>
      <c r="BM788" s="200"/>
      <c r="BN788" s="200"/>
      <c r="BO788" s="522"/>
      <c r="BP788" s="200"/>
      <c r="BQ788" s="223"/>
      <c r="BR788" s="223"/>
      <c r="BS788" s="223"/>
      <c r="BT788" s="223"/>
      <c r="BU788" s="223"/>
      <c r="BV788" s="223"/>
      <c r="BW788" s="223"/>
      <c r="BX788" s="200"/>
      <c r="BY788" s="522"/>
      <c r="BZ788" s="200"/>
      <c r="CA788" s="223"/>
      <c r="CB788" s="223"/>
      <c r="CC788" s="223"/>
      <c r="CD788" s="223"/>
      <c r="CE788" s="223"/>
      <c r="CF788" s="223"/>
      <c r="CG788" s="200"/>
      <c r="CH788" s="200"/>
      <c r="CI788" s="522"/>
      <c r="CJ788" s="200"/>
      <c r="CK788" s="223"/>
      <c r="CL788" s="223"/>
      <c r="CM788" s="223"/>
      <c r="CN788" s="223"/>
      <c r="CO788" s="223"/>
      <c r="CP788" s="223"/>
      <c r="CQ788" s="200"/>
      <c r="CR788" s="200"/>
      <c r="CS788" s="522"/>
      <c r="CT788" s="200"/>
      <c r="CU788" s="223"/>
      <c r="CV788" s="223"/>
      <c r="CW788" s="223"/>
      <c r="CX788" s="223"/>
      <c r="CY788" s="223"/>
      <c r="CZ788" s="223"/>
      <c r="DA788" s="223"/>
      <c r="DB788" s="200"/>
      <c r="DC788" s="522"/>
      <c r="DD788" s="200"/>
      <c r="DE788" s="223"/>
      <c r="DF788" s="223"/>
      <c r="DG788" s="223"/>
      <c r="DH788" s="223"/>
      <c r="DI788" s="223"/>
      <c r="DJ788" s="223"/>
      <c r="DK788" s="200"/>
      <c r="DL788" s="200"/>
      <c r="DM788" s="522"/>
      <c r="DN788" s="200"/>
      <c r="DO788" s="223"/>
      <c r="DP788" s="223"/>
      <c r="DQ788" s="223"/>
      <c r="DR788" s="223"/>
      <c r="DS788" s="223"/>
      <c r="DT788" s="223"/>
      <c r="DU788" s="200"/>
      <c r="DV788" s="200"/>
      <c r="DW788" s="522"/>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2"/>
      <c r="R789" s="200"/>
      <c r="S789" s="223"/>
      <c r="T789" s="223"/>
      <c r="U789" s="223"/>
      <c r="V789" s="223"/>
      <c r="W789" s="223"/>
      <c r="X789" s="223"/>
      <c r="Y789" s="200"/>
      <c r="Z789" s="200"/>
      <c r="AA789" s="522"/>
      <c r="AB789" s="200"/>
      <c r="AC789" s="223"/>
      <c r="AD789" s="223"/>
      <c r="AE789" s="223"/>
      <c r="AF789" s="223"/>
      <c r="AG789" s="223"/>
      <c r="AH789" s="223"/>
      <c r="AI789" s="200"/>
      <c r="AJ789" s="200"/>
      <c r="AK789" s="522"/>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2"/>
      <c r="BF789" s="200"/>
      <c r="BG789" s="223"/>
      <c r="BH789" s="223"/>
      <c r="BI789" s="223"/>
      <c r="BJ789" s="223"/>
      <c r="BK789" s="223"/>
      <c r="BL789" s="223"/>
      <c r="BM789" s="200"/>
      <c r="BN789" s="200"/>
      <c r="BO789" s="522"/>
      <c r="BP789" s="200"/>
      <c r="BQ789" s="223"/>
      <c r="BR789" s="223"/>
      <c r="BS789" s="223"/>
      <c r="BT789" s="223"/>
      <c r="BU789" s="223"/>
      <c r="BV789" s="223"/>
      <c r="BW789" s="223"/>
      <c r="BX789" s="200"/>
      <c r="BY789" s="522"/>
      <c r="BZ789" s="200"/>
      <c r="CA789" s="223"/>
      <c r="CB789" s="223"/>
      <c r="CC789" s="223"/>
      <c r="CD789" s="223"/>
      <c r="CE789" s="223"/>
      <c r="CF789" s="223"/>
      <c r="CG789" s="200"/>
      <c r="CH789" s="200"/>
      <c r="CI789" s="522"/>
      <c r="CJ789" s="200"/>
      <c r="CK789" s="223"/>
      <c r="CL789" s="223"/>
      <c r="CM789" s="223"/>
      <c r="CN789" s="223"/>
      <c r="CO789" s="223"/>
      <c r="CP789" s="223"/>
      <c r="CQ789" s="200"/>
      <c r="CR789" s="200"/>
      <c r="CS789" s="522"/>
      <c r="CT789" s="200"/>
      <c r="CU789" s="223"/>
      <c r="CV789" s="223"/>
      <c r="CW789" s="223"/>
      <c r="CX789" s="223"/>
      <c r="CY789" s="223"/>
      <c r="CZ789" s="223"/>
      <c r="DA789" s="223"/>
      <c r="DB789" s="200"/>
      <c r="DC789" s="522"/>
      <c r="DD789" s="200"/>
      <c r="DE789" s="223"/>
      <c r="DF789" s="223"/>
      <c r="DG789" s="223"/>
      <c r="DH789" s="223"/>
      <c r="DI789" s="223"/>
      <c r="DJ789" s="223"/>
      <c r="DK789" s="200"/>
      <c r="DL789" s="200"/>
      <c r="DM789" s="522"/>
      <c r="DN789" s="200"/>
      <c r="DO789" s="223"/>
      <c r="DP789" s="223"/>
      <c r="DQ789" s="223"/>
      <c r="DR789" s="223"/>
      <c r="DS789" s="223"/>
      <c r="DT789" s="223"/>
      <c r="DU789" s="200"/>
      <c r="DV789" s="200"/>
      <c r="DW789" s="522"/>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2"/>
      <c r="R790" s="200"/>
      <c r="S790" s="223"/>
      <c r="T790" s="223"/>
      <c r="U790" s="223"/>
      <c r="V790" s="223"/>
      <c r="W790" s="223"/>
      <c r="X790" s="223"/>
      <c r="Y790" s="200"/>
      <c r="Z790" s="200"/>
      <c r="AA790" s="522"/>
      <c r="AB790" s="200"/>
      <c r="AC790" s="223"/>
      <c r="AD790" s="223"/>
      <c r="AE790" s="223"/>
      <c r="AF790" s="223"/>
      <c r="AG790" s="223"/>
      <c r="AH790" s="223"/>
      <c r="AI790" s="200"/>
      <c r="AJ790" s="200"/>
      <c r="AK790" s="522"/>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2"/>
      <c r="BF790" s="200"/>
      <c r="BG790" s="223"/>
      <c r="BH790" s="223"/>
      <c r="BI790" s="223"/>
      <c r="BJ790" s="223"/>
      <c r="BK790" s="223"/>
      <c r="BL790" s="223"/>
      <c r="BM790" s="200"/>
      <c r="BN790" s="200"/>
      <c r="BO790" s="522"/>
      <c r="BP790" s="200"/>
      <c r="BQ790" s="223"/>
      <c r="BR790" s="223"/>
      <c r="BS790" s="223"/>
      <c r="BT790" s="223"/>
      <c r="BU790" s="223"/>
      <c r="BV790" s="223"/>
      <c r="BW790" s="223"/>
      <c r="BX790" s="200"/>
      <c r="BY790" s="522"/>
      <c r="BZ790" s="200"/>
      <c r="CA790" s="223"/>
      <c r="CB790" s="223"/>
      <c r="CC790" s="223"/>
      <c r="CD790" s="223"/>
      <c r="CE790" s="223"/>
      <c r="CF790" s="223"/>
      <c r="CG790" s="200"/>
      <c r="CH790" s="200"/>
      <c r="CI790" s="522"/>
      <c r="CJ790" s="200"/>
      <c r="CK790" s="223"/>
      <c r="CL790" s="223"/>
      <c r="CM790" s="223"/>
      <c r="CN790" s="223"/>
      <c r="CO790" s="223"/>
      <c r="CP790" s="223"/>
      <c r="CQ790" s="200"/>
      <c r="CR790" s="200"/>
      <c r="CS790" s="522"/>
      <c r="CT790" s="200"/>
      <c r="CU790" s="223"/>
      <c r="CV790" s="223"/>
      <c r="CW790" s="223"/>
      <c r="CX790" s="223"/>
      <c r="CY790" s="223"/>
      <c r="CZ790" s="223"/>
      <c r="DA790" s="223"/>
      <c r="DB790" s="200"/>
      <c r="DC790" s="522"/>
      <c r="DD790" s="200"/>
      <c r="DE790" s="223"/>
      <c r="DF790" s="223"/>
      <c r="DG790" s="223"/>
      <c r="DH790" s="223"/>
      <c r="DI790" s="223"/>
      <c r="DJ790" s="223"/>
      <c r="DK790" s="200"/>
      <c r="DL790" s="200"/>
      <c r="DM790" s="522"/>
      <c r="DN790" s="200"/>
      <c r="DO790" s="223"/>
      <c r="DP790" s="223"/>
      <c r="DQ790" s="223"/>
      <c r="DR790" s="223"/>
      <c r="DS790" s="223"/>
      <c r="DT790" s="223"/>
      <c r="DU790" s="200"/>
      <c r="DV790" s="200"/>
      <c r="DW790" s="522"/>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2"/>
      <c r="R791" s="200"/>
      <c r="S791" s="223"/>
      <c r="T791" s="223"/>
      <c r="U791" s="223"/>
      <c r="V791" s="223"/>
      <c r="W791" s="223"/>
      <c r="X791" s="223"/>
      <c r="Y791" s="200"/>
      <c r="Z791" s="200"/>
      <c r="AA791" s="522"/>
      <c r="AB791" s="200"/>
      <c r="AC791" s="223"/>
      <c r="AD791" s="223"/>
      <c r="AE791" s="223"/>
      <c r="AF791" s="223"/>
      <c r="AG791" s="223"/>
      <c r="AH791" s="223"/>
      <c r="AI791" s="200"/>
      <c r="AJ791" s="200"/>
      <c r="AK791" s="522"/>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2"/>
      <c r="BF791" s="200"/>
      <c r="BG791" s="223"/>
      <c r="BH791" s="223"/>
      <c r="BI791" s="223"/>
      <c r="BJ791" s="223"/>
      <c r="BK791" s="223"/>
      <c r="BL791" s="223"/>
      <c r="BM791" s="200"/>
      <c r="BN791" s="200"/>
      <c r="BO791" s="522"/>
      <c r="BP791" s="200"/>
      <c r="BQ791" s="223"/>
      <c r="BR791" s="223"/>
      <c r="BS791" s="223"/>
      <c r="BT791" s="223"/>
      <c r="BU791" s="223"/>
      <c r="BV791" s="223"/>
      <c r="BW791" s="223"/>
      <c r="BX791" s="200"/>
      <c r="BY791" s="522"/>
      <c r="BZ791" s="200"/>
      <c r="CA791" s="223"/>
      <c r="CB791" s="223"/>
      <c r="CC791" s="223"/>
      <c r="CD791" s="223"/>
      <c r="CE791" s="223"/>
      <c r="CF791" s="223"/>
      <c r="CG791" s="200"/>
      <c r="CH791" s="200"/>
      <c r="CI791" s="522"/>
      <c r="CJ791" s="200"/>
      <c r="CK791" s="223"/>
      <c r="CL791" s="223"/>
      <c r="CM791" s="223"/>
      <c r="CN791" s="223"/>
      <c r="CO791" s="223"/>
      <c r="CP791" s="223"/>
      <c r="CQ791" s="200"/>
      <c r="CR791" s="200"/>
      <c r="CS791" s="522"/>
      <c r="CT791" s="200"/>
      <c r="CU791" s="223"/>
      <c r="CV791" s="223"/>
      <c r="CW791" s="223"/>
      <c r="CX791" s="223"/>
      <c r="CY791" s="223"/>
      <c r="CZ791" s="223"/>
      <c r="DA791" s="223"/>
      <c r="DB791" s="200"/>
      <c r="DC791" s="522"/>
      <c r="DD791" s="200"/>
      <c r="DE791" s="223"/>
      <c r="DF791" s="223"/>
      <c r="DG791" s="223"/>
      <c r="DH791" s="223"/>
      <c r="DI791" s="223"/>
      <c r="DJ791" s="223"/>
      <c r="DK791" s="200"/>
      <c r="DL791" s="200"/>
      <c r="DM791" s="522"/>
      <c r="DN791" s="200"/>
      <c r="DO791" s="223"/>
      <c r="DP791" s="223"/>
      <c r="DQ791" s="223"/>
      <c r="DR791" s="223"/>
      <c r="DS791" s="223"/>
      <c r="DT791" s="223"/>
      <c r="DU791" s="200"/>
      <c r="DV791" s="200"/>
      <c r="DW791" s="522"/>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2"/>
      <c r="R792" s="200"/>
      <c r="S792" s="223"/>
      <c r="T792" s="223"/>
      <c r="U792" s="223"/>
      <c r="V792" s="223"/>
      <c r="W792" s="223"/>
      <c r="X792" s="223"/>
      <c r="Y792" s="200"/>
      <c r="Z792" s="200"/>
      <c r="AA792" s="522"/>
      <c r="AB792" s="200"/>
      <c r="AC792" s="223"/>
      <c r="AD792" s="223"/>
      <c r="AE792" s="223"/>
      <c r="AF792" s="223"/>
      <c r="AG792" s="223"/>
      <c r="AH792" s="223"/>
      <c r="AI792" s="200"/>
      <c r="AJ792" s="200"/>
      <c r="AK792" s="522"/>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2"/>
      <c r="BF792" s="200"/>
      <c r="BG792" s="223"/>
      <c r="BH792" s="223"/>
      <c r="BI792" s="223"/>
      <c r="BJ792" s="223"/>
      <c r="BK792" s="223"/>
      <c r="BL792" s="223"/>
      <c r="BM792" s="200"/>
      <c r="BN792" s="200"/>
      <c r="BO792" s="522"/>
      <c r="BP792" s="200"/>
      <c r="BQ792" s="223"/>
      <c r="BR792" s="223"/>
      <c r="BS792" s="223"/>
      <c r="BT792" s="223"/>
      <c r="BU792" s="223"/>
      <c r="BV792" s="223"/>
      <c r="BW792" s="223"/>
      <c r="BX792" s="200"/>
      <c r="BY792" s="522"/>
      <c r="BZ792" s="200"/>
      <c r="CA792" s="223"/>
      <c r="CB792" s="223"/>
      <c r="CC792" s="223"/>
      <c r="CD792" s="223"/>
      <c r="CE792" s="223"/>
      <c r="CF792" s="223"/>
      <c r="CG792" s="200"/>
      <c r="CH792" s="200"/>
      <c r="CI792" s="522"/>
      <c r="CJ792" s="200"/>
      <c r="CK792" s="223"/>
      <c r="CL792" s="223"/>
      <c r="CM792" s="223"/>
      <c r="CN792" s="223"/>
      <c r="CO792" s="223"/>
      <c r="CP792" s="223"/>
      <c r="CQ792" s="200"/>
      <c r="CR792" s="200"/>
      <c r="CS792" s="522"/>
      <c r="CT792" s="200"/>
      <c r="CU792" s="223"/>
      <c r="CV792" s="223"/>
      <c r="CW792" s="223"/>
      <c r="CX792" s="223"/>
      <c r="CY792" s="223"/>
      <c r="CZ792" s="223"/>
      <c r="DA792" s="223"/>
      <c r="DB792" s="200"/>
      <c r="DC792" s="522"/>
      <c r="DD792" s="200"/>
      <c r="DE792" s="223"/>
      <c r="DF792" s="223"/>
      <c r="DG792" s="223"/>
      <c r="DH792" s="223"/>
      <c r="DI792" s="223"/>
      <c r="DJ792" s="223"/>
      <c r="DK792" s="200"/>
      <c r="DL792" s="200"/>
      <c r="DM792" s="522"/>
      <c r="DN792" s="200"/>
      <c r="DO792" s="223"/>
      <c r="DP792" s="223"/>
      <c r="DQ792" s="223"/>
      <c r="DR792" s="223"/>
      <c r="DS792" s="223"/>
      <c r="DT792" s="223"/>
      <c r="DU792" s="200"/>
      <c r="DV792" s="200"/>
      <c r="DW792" s="522"/>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2"/>
      <c r="R793" s="200"/>
      <c r="S793" s="223"/>
      <c r="T793" s="223"/>
      <c r="U793" s="223"/>
      <c r="V793" s="223"/>
      <c r="W793" s="223"/>
      <c r="X793" s="223"/>
      <c r="Y793" s="200"/>
      <c r="Z793" s="200"/>
      <c r="AA793" s="522"/>
      <c r="AB793" s="200"/>
      <c r="AC793" s="223"/>
      <c r="AD793" s="223"/>
      <c r="AE793" s="223"/>
      <c r="AF793" s="223"/>
      <c r="AG793" s="223"/>
      <c r="AH793" s="223"/>
      <c r="AI793" s="200"/>
      <c r="AJ793" s="200"/>
      <c r="AK793" s="522"/>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2"/>
      <c r="BF793" s="200"/>
      <c r="BG793" s="223"/>
      <c r="BH793" s="223"/>
      <c r="BI793" s="223"/>
      <c r="BJ793" s="223"/>
      <c r="BK793" s="223"/>
      <c r="BL793" s="223"/>
      <c r="BM793" s="200"/>
      <c r="BN793" s="200"/>
      <c r="BO793" s="522"/>
      <c r="BP793" s="200"/>
      <c r="BQ793" s="223"/>
      <c r="BR793" s="223"/>
      <c r="BS793" s="223"/>
      <c r="BT793" s="223"/>
      <c r="BU793" s="223"/>
      <c r="BV793" s="223"/>
      <c r="BW793" s="223"/>
      <c r="BX793" s="200"/>
      <c r="BY793" s="522"/>
      <c r="BZ793" s="200"/>
      <c r="CA793" s="223"/>
      <c r="CB793" s="223"/>
      <c r="CC793" s="223"/>
      <c r="CD793" s="223"/>
      <c r="CE793" s="223"/>
      <c r="CF793" s="223"/>
      <c r="CG793" s="200"/>
      <c r="CH793" s="200"/>
      <c r="CI793" s="522"/>
      <c r="CJ793" s="200"/>
      <c r="CK793" s="223"/>
      <c r="CL793" s="223"/>
      <c r="CM793" s="223"/>
      <c r="CN793" s="223"/>
      <c r="CO793" s="223"/>
      <c r="CP793" s="223"/>
      <c r="CQ793" s="200"/>
      <c r="CR793" s="200"/>
      <c r="CS793" s="522"/>
      <c r="CT793" s="200"/>
      <c r="CU793" s="223"/>
      <c r="CV793" s="223"/>
      <c r="CW793" s="223"/>
      <c r="CX793" s="223"/>
      <c r="CY793" s="223"/>
      <c r="CZ793" s="223"/>
      <c r="DA793" s="223"/>
      <c r="DB793" s="200"/>
      <c r="DC793" s="522"/>
      <c r="DD793" s="200"/>
      <c r="DE793" s="223"/>
      <c r="DF793" s="223"/>
      <c r="DG793" s="223"/>
      <c r="DH793" s="223"/>
      <c r="DI793" s="223"/>
      <c r="DJ793" s="223"/>
      <c r="DK793" s="200"/>
      <c r="DL793" s="200"/>
      <c r="DM793" s="522"/>
      <c r="DN793" s="200"/>
      <c r="DO793" s="223"/>
      <c r="DP793" s="223"/>
      <c r="DQ793" s="223"/>
      <c r="DR793" s="223"/>
      <c r="DS793" s="223"/>
      <c r="DT793" s="223"/>
      <c r="DU793" s="200"/>
      <c r="DV793" s="200"/>
      <c r="DW793" s="522"/>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2"/>
      <c r="R794" s="200"/>
      <c r="S794" s="223"/>
      <c r="T794" s="223"/>
      <c r="U794" s="223"/>
      <c r="V794" s="223"/>
      <c r="W794" s="223"/>
      <c r="X794" s="223"/>
      <c r="Y794" s="200"/>
      <c r="Z794" s="200"/>
      <c r="AA794" s="522"/>
      <c r="AB794" s="200"/>
      <c r="AC794" s="223"/>
      <c r="AD794" s="223"/>
      <c r="AE794" s="223"/>
      <c r="AF794" s="223"/>
      <c r="AG794" s="223"/>
      <c r="AH794" s="223"/>
      <c r="AI794" s="200"/>
      <c r="AJ794" s="200"/>
      <c r="AK794" s="522"/>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2"/>
      <c r="BF794" s="200"/>
      <c r="BG794" s="223"/>
      <c r="BH794" s="223"/>
      <c r="BI794" s="223"/>
      <c r="BJ794" s="223"/>
      <c r="BK794" s="223"/>
      <c r="BL794" s="223"/>
      <c r="BM794" s="200"/>
      <c r="BN794" s="200"/>
      <c r="BO794" s="522"/>
      <c r="BP794" s="200"/>
      <c r="BQ794" s="223"/>
      <c r="BR794" s="223"/>
      <c r="BS794" s="223"/>
      <c r="BT794" s="223"/>
      <c r="BU794" s="223"/>
      <c r="BV794" s="223"/>
      <c r="BW794" s="223"/>
      <c r="BX794" s="200"/>
      <c r="BY794" s="522"/>
      <c r="BZ794" s="200"/>
      <c r="CA794" s="223"/>
      <c r="CB794" s="223"/>
      <c r="CC794" s="223"/>
      <c r="CD794" s="223"/>
      <c r="CE794" s="223"/>
      <c r="CF794" s="223"/>
      <c r="CG794" s="200"/>
      <c r="CH794" s="200"/>
      <c r="CI794" s="522"/>
      <c r="CJ794" s="200"/>
      <c r="CK794" s="223"/>
      <c r="CL794" s="223"/>
      <c r="CM794" s="223"/>
      <c r="CN794" s="223"/>
      <c r="CO794" s="223"/>
      <c r="CP794" s="223"/>
      <c r="CQ794" s="200"/>
      <c r="CR794" s="200"/>
      <c r="CS794" s="522"/>
      <c r="CT794" s="200"/>
      <c r="CU794" s="223"/>
      <c r="CV794" s="223"/>
      <c r="CW794" s="223"/>
      <c r="CX794" s="223"/>
      <c r="CY794" s="223"/>
      <c r="CZ794" s="223"/>
      <c r="DA794" s="223"/>
      <c r="DB794" s="200"/>
      <c r="DC794" s="522"/>
      <c r="DD794" s="200"/>
      <c r="DE794" s="223"/>
      <c r="DF794" s="223"/>
      <c r="DG794" s="223"/>
      <c r="DH794" s="223"/>
      <c r="DI794" s="223"/>
      <c r="DJ794" s="223"/>
      <c r="DK794" s="200"/>
      <c r="DL794" s="200"/>
      <c r="DM794" s="522"/>
      <c r="DN794" s="200"/>
      <c r="DO794" s="223"/>
      <c r="DP794" s="223"/>
      <c r="DQ794" s="223"/>
      <c r="DR794" s="223"/>
      <c r="DS794" s="223"/>
      <c r="DT794" s="223"/>
      <c r="DU794" s="200"/>
      <c r="DV794" s="200"/>
      <c r="DW794" s="522"/>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2"/>
      <c r="R795" s="200"/>
      <c r="S795" s="223"/>
      <c r="T795" s="223"/>
      <c r="U795" s="223"/>
      <c r="V795" s="223"/>
      <c r="W795" s="223"/>
      <c r="X795" s="223"/>
      <c r="Y795" s="200"/>
      <c r="Z795" s="200"/>
      <c r="AA795" s="522"/>
      <c r="AB795" s="200"/>
      <c r="AC795" s="223"/>
      <c r="AD795" s="223"/>
      <c r="AE795" s="223"/>
      <c r="AF795" s="223"/>
      <c r="AG795" s="223"/>
      <c r="AH795" s="223"/>
      <c r="AI795" s="200"/>
      <c r="AJ795" s="200"/>
      <c r="AK795" s="522"/>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2"/>
      <c r="BF795" s="200"/>
      <c r="BG795" s="223"/>
      <c r="BH795" s="223"/>
      <c r="BI795" s="223"/>
      <c r="BJ795" s="223"/>
      <c r="BK795" s="223"/>
      <c r="BL795" s="223"/>
      <c r="BM795" s="200"/>
      <c r="BN795" s="200"/>
      <c r="BO795" s="522"/>
      <c r="BP795" s="200"/>
      <c r="BQ795" s="223"/>
      <c r="BR795" s="223"/>
      <c r="BS795" s="223"/>
      <c r="BT795" s="223"/>
      <c r="BU795" s="223"/>
      <c r="BV795" s="223"/>
      <c r="BW795" s="223"/>
      <c r="BX795" s="200"/>
      <c r="BY795" s="522"/>
      <c r="BZ795" s="200"/>
      <c r="CA795" s="223"/>
      <c r="CB795" s="223"/>
      <c r="CC795" s="223"/>
      <c r="CD795" s="223"/>
      <c r="CE795" s="223"/>
      <c r="CF795" s="223"/>
      <c r="CG795" s="200"/>
      <c r="CH795" s="200"/>
      <c r="CI795" s="522"/>
      <c r="CJ795" s="200"/>
      <c r="CK795" s="223"/>
      <c r="CL795" s="223"/>
      <c r="CM795" s="223"/>
      <c r="CN795" s="223"/>
      <c r="CO795" s="223"/>
      <c r="CP795" s="223"/>
      <c r="CQ795" s="200"/>
      <c r="CR795" s="200"/>
      <c r="CS795" s="522"/>
      <c r="CT795" s="200"/>
      <c r="CU795" s="223"/>
      <c r="CV795" s="223"/>
      <c r="CW795" s="223"/>
      <c r="CX795" s="223"/>
      <c r="CY795" s="223"/>
      <c r="CZ795" s="223"/>
      <c r="DA795" s="223"/>
      <c r="DB795" s="200"/>
      <c r="DC795" s="522"/>
      <c r="DD795" s="200"/>
      <c r="DE795" s="223"/>
      <c r="DF795" s="223"/>
      <c r="DG795" s="223"/>
      <c r="DH795" s="223"/>
      <c r="DI795" s="223"/>
      <c r="DJ795" s="223"/>
      <c r="DK795" s="200"/>
      <c r="DL795" s="200"/>
      <c r="DM795" s="522"/>
      <c r="DN795" s="200"/>
      <c r="DO795" s="223"/>
      <c r="DP795" s="223"/>
      <c r="DQ795" s="223"/>
      <c r="DR795" s="223"/>
      <c r="DS795" s="223"/>
      <c r="DT795" s="223"/>
      <c r="DU795" s="200"/>
      <c r="DV795" s="200"/>
      <c r="DW795" s="522"/>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2"/>
      <c r="R796" s="200"/>
      <c r="S796" s="223"/>
      <c r="T796" s="223"/>
      <c r="U796" s="223"/>
      <c r="V796" s="223"/>
      <c r="W796" s="223"/>
      <c r="X796" s="223"/>
      <c r="Y796" s="200"/>
      <c r="Z796" s="200"/>
      <c r="AA796" s="522"/>
      <c r="AB796" s="200"/>
      <c r="AC796" s="223"/>
      <c r="AD796" s="223"/>
      <c r="AE796" s="223"/>
      <c r="AF796" s="223"/>
      <c r="AG796" s="223"/>
      <c r="AH796" s="223"/>
      <c r="AI796" s="200"/>
      <c r="AJ796" s="200"/>
      <c r="AK796" s="522"/>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2"/>
      <c r="BF796" s="200"/>
      <c r="BG796" s="223"/>
      <c r="BH796" s="223"/>
      <c r="BI796" s="223"/>
      <c r="BJ796" s="223"/>
      <c r="BK796" s="223"/>
      <c r="BL796" s="223"/>
      <c r="BM796" s="200"/>
      <c r="BN796" s="200"/>
      <c r="BO796" s="522"/>
      <c r="BP796" s="200"/>
      <c r="BQ796" s="223"/>
      <c r="BR796" s="223"/>
      <c r="BS796" s="223"/>
      <c r="BT796" s="223"/>
      <c r="BU796" s="223"/>
      <c r="BV796" s="223"/>
      <c r="BW796" s="223"/>
      <c r="BX796" s="200"/>
      <c r="BY796" s="522"/>
      <c r="BZ796" s="200"/>
      <c r="CA796" s="223"/>
      <c r="CB796" s="223"/>
      <c r="CC796" s="223"/>
      <c r="CD796" s="223"/>
      <c r="CE796" s="223"/>
      <c r="CF796" s="223"/>
      <c r="CG796" s="200"/>
      <c r="CH796" s="200"/>
      <c r="CI796" s="522"/>
      <c r="CJ796" s="200"/>
      <c r="CK796" s="223"/>
      <c r="CL796" s="223"/>
      <c r="CM796" s="223"/>
      <c r="CN796" s="223"/>
      <c r="CO796" s="223"/>
      <c r="CP796" s="223"/>
      <c r="CQ796" s="200"/>
      <c r="CR796" s="200"/>
      <c r="CS796" s="522"/>
      <c r="CT796" s="200"/>
      <c r="CU796" s="223"/>
      <c r="CV796" s="223"/>
      <c r="CW796" s="223"/>
      <c r="CX796" s="223"/>
      <c r="CY796" s="223"/>
      <c r="CZ796" s="223"/>
      <c r="DA796" s="223"/>
      <c r="DB796" s="200"/>
      <c r="DC796" s="522"/>
      <c r="DD796" s="200"/>
      <c r="DE796" s="223"/>
      <c r="DF796" s="223"/>
      <c r="DG796" s="223"/>
      <c r="DH796" s="223"/>
      <c r="DI796" s="223"/>
      <c r="DJ796" s="223"/>
      <c r="DK796" s="200"/>
      <c r="DL796" s="200"/>
      <c r="DM796" s="522"/>
      <c r="DN796" s="200"/>
      <c r="DO796" s="223"/>
      <c r="DP796" s="223"/>
      <c r="DQ796" s="223"/>
      <c r="DR796" s="223"/>
      <c r="DS796" s="223"/>
      <c r="DT796" s="223"/>
      <c r="DU796" s="200"/>
      <c r="DV796" s="200"/>
      <c r="DW796" s="522"/>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2"/>
      <c r="R797" s="200"/>
      <c r="S797" s="223"/>
      <c r="T797" s="223"/>
      <c r="U797" s="223"/>
      <c r="V797" s="223"/>
      <c r="W797" s="223"/>
      <c r="X797" s="223"/>
      <c r="Y797" s="200"/>
      <c r="Z797" s="200"/>
      <c r="AA797" s="522"/>
      <c r="AB797" s="200"/>
      <c r="AC797" s="223"/>
      <c r="AD797" s="223"/>
      <c r="AE797" s="223"/>
      <c r="AF797" s="223"/>
      <c r="AG797" s="223"/>
      <c r="AH797" s="223"/>
      <c r="AI797" s="200"/>
      <c r="AJ797" s="200"/>
      <c r="AK797" s="522"/>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2"/>
      <c r="BF797" s="200"/>
      <c r="BG797" s="223"/>
      <c r="BH797" s="223"/>
      <c r="BI797" s="223"/>
      <c r="BJ797" s="223"/>
      <c r="BK797" s="223"/>
      <c r="BL797" s="223"/>
      <c r="BM797" s="200"/>
      <c r="BN797" s="200"/>
      <c r="BO797" s="522"/>
      <c r="BP797" s="200"/>
      <c r="BQ797" s="223"/>
      <c r="BR797" s="223"/>
      <c r="BS797" s="223"/>
      <c r="BT797" s="223"/>
      <c r="BU797" s="223"/>
      <c r="BV797" s="223"/>
      <c r="BW797" s="223"/>
      <c r="BX797" s="200"/>
      <c r="BY797" s="522"/>
      <c r="BZ797" s="200"/>
      <c r="CA797" s="223"/>
      <c r="CB797" s="223"/>
      <c r="CC797" s="223"/>
      <c r="CD797" s="223"/>
      <c r="CE797" s="223"/>
      <c r="CF797" s="223"/>
      <c r="CG797" s="200"/>
      <c r="CH797" s="200"/>
      <c r="CI797" s="522"/>
      <c r="CJ797" s="200"/>
      <c r="CK797" s="223"/>
      <c r="CL797" s="223"/>
      <c r="CM797" s="223"/>
      <c r="CN797" s="223"/>
      <c r="CO797" s="223"/>
      <c r="CP797" s="223"/>
      <c r="CQ797" s="200"/>
      <c r="CR797" s="200"/>
      <c r="CS797" s="522"/>
      <c r="CT797" s="200"/>
      <c r="CU797" s="223"/>
      <c r="CV797" s="223"/>
      <c r="CW797" s="223"/>
      <c r="CX797" s="223"/>
      <c r="CY797" s="223"/>
      <c r="CZ797" s="223"/>
      <c r="DA797" s="223"/>
      <c r="DB797" s="200"/>
      <c r="DC797" s="522"/>
      <c r="DD797" s="200"/>
      <c r="DE797" s="223"/>
      <c r="DF797" s="223"/>
      <c r="DG797" s="223"/>
      <c r="DH797" s="223"/>
      <c r="DI797" s="223"/>
      <c r="DJ797" s="223"/>
      <c r="DK797" s="200"/>
      <c r="DL797" s="200"/>
      <c r="DM797" s="522"/>
      <c r="DN797" s="200"/>
      <c r="DO797" s="223"/>
      <c r="DP797" s="223"/>
      <c r="DQ797" s="223"/>
      <c r="DR797" s="223"/>
      <c r="DS797" s="223"/>
      <c r="DT797" s="223"/>
      <c r="DU797" s="200"/>
      <c r="DV797" s="200"/>
      <c r="DW797" s="522"/>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2"/>
      <c r="R798" s="200"/>
      <c r="S798" s="223"/>
      <c r="T798" s="223"/>
      <c r="U798" s="223"/>
      <c r="V798" s="223"/>
      <c r="W798" s="223"/>
      <c r="X798" s="223"/>
      <c r="Y798" s="200"/>
      <c r="Z798" s="200"/>
      <c r="AA798" s="522"/>
      <c r="AB798" s="200"/>
      <c r="AC798" s="223"/>
      <c r="AD798" s="223"/>
      <c r="AE798" s="223"/>
      <c r="AF798" s="223"/>
      <c r="AG798" s="223"/>
      <c r="AH798" s="223"/>
      <c r="AI798" s="200"/>
      <c r="AJ798" s="200"/>
      <c r="AK798" s="522"/>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2"/>
      <c r="BF798" s="200"/>
      <c r="BG798" s="223"/>
      <c r="BH798" s="223"/>
      <c r="BI798" s="223"/>
      <c r="BJ798" s="223"/>
      <c r="BK798" s="223"/>
      <c r="BL798" s="223"/>
      <c r="BM798" s="200"/>
      <c r="BN798" s="200"/>
      <c r="BO798" s="522"/>
      <c r="BP798" s="200"/>
      <c r="BQ798" s="223"/>
      <c r="BR798" s="223"/>
      <c r="BS798" s="223"/>
      <c r="BT798" s="223"/>
      <c r="BU798" s="223"/>
      <c r="BV798" s="223"/>
      <c r="BW798" s="223"/>
      <c r="BX798" s="200"/>
      <c r="BY798" s="522"/>
      <c r="BZ798" s="200"/>
      <c r="CA798" s="223"/>
      <c r="CB798" s="223"/>
      <c r="CC798" s="223"/>
      <c r="CD798" s="223"/>
      <c r="CE798" s="223"/>
      <c r="CF798" s="223"/>
      <c r="CG798" s="200"/>
      <c r="CH798" s="200"/>
      <c r="CI798" s="522"/>
      <c r="CJ798" s="200"/>
      <c r="CK798" s="223"/>
      <c r="CL798" s="223"/>
      <c r="CM798" s="223"/>
      <c r="CN798" s="223"/>
      <c r="CO798" s="223"/>
      <c r="CP798" s="223"/>
      <c r="CQ798" s="200"/>
      <c r="CR798" s="200"/>
      <c r="CS798" s="522"/>
      <c r="CT798" s="200"/>
      <c r="CU798" s="223"/>
      <c r="CV798" s="223"/>
      <c r="CW798" s="223"/>
      <c r="CX798" s="223"/>
      <c r="CY798" s="223"/>
      <c r="CZ798" s="223"/>
      <c r="DA798" s="223"/>
      <c r="DB798" s="200"/>
      <c r="DC798" s="522"/>
      <c r="DD798" s="200"/>
      <c r="DE798" s="223"/>
      <c r="DF798" s="223"/>
      <c r="DG798" s="223"/>
      <c r="DH798" s="223"/>
      <c r="DI798" s="223"/>
      <c r="DJ798" s="223"/>
      <c r="DK798" s="200"/>
      <c r="DL798" s="200"/>
      <c r="DM798" s="522"/>
      <c r="DN798" s="200"/>
      <c r="DO798" s="223"/>
      <c r="DP798" s="223"/>
      <c r="DQ798" s="223"/>
      <c r="DR798" s="223"/>
      <c r="DS798" s="223"/>
      <c r="DT798" s="223"/>
      <c r="DU798" s="200"/>
      <c r="DV798" s="200"/>
      <c r="DW798" s="522"/>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2"/>
      <c r="R799" s="200"/>
      <c r="S799" s="223"/>
      <c r="T799" s="223"/>
      <c r="U799" s="223"/>
      <c r="V799" s="223"/>
      <c r="W799" s="223"/>
      <c r="X799" s="223"/>
      <c r="Y799" s="200"/>
      <c r="Z799" s="200"/>
      <c r="AA799" s="522"/>
      <c r="AB799" s="200"/>
      <c r="AC799" s="223"/>
      <c r="AD799" s="223"/>
      <c r="AE799" s="223"/>
      <c r="AF799" s="223"/>
      <c r="AG799" s="223"/>
      <c r="AH799" s="223"/>
      <c r="AI799" s="200"/>
      <c r="AJ799" s="200"/>
      <c r="AK799" s="522"/>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2"/>
      <c r="BF799" s="200"/>
      <c r="BG799" s="223"/>
      <c r="BH799" s="223"/>
      <c r="BI799" s="223"/>
      <c r="BJ799" s="223"/>
      <c r="BK799" s="223"/>
      <c r="BL799" s="223"/>
      <c r="BM799" s="200"/>
      <c r="BN799" s="200"/>
      <c r="BO799" s="522"/>
      <c r="BP799" s="200"/>
      <c r="BQ799" s="223"/>
      <c r="BR799" s="223"/>
      <c r="BS799" s="223"/>
      <c r="BT799" s="223"/>
      <c r="BU799" s="223"/>
      <c r="BV799" s="223"/>
      <c r="BW799" s="223"/>
      <c r="BX799" s="200"/>
      <c r="BY799" s="522"/>
      <c r="BZ799" s="200"/>
      <c r="CA799" s="223"/>
      <c r="CB799" s="223"/>
      <c r="CC799" s="223"/>
      <c r="CD799" s="223"/>
      <c r="CE799" s="223"/>
      <c r="CF799" s="223"/>
      <c r="CG799" s="200"/>
      <c r="CH799" s="200"/>
      <c r="CI799" s="522"/>
      <c r="CJ799" s="200"/>
      <c r="CK799" s="223"/>
      <c r="CL799" s="223"/>
      <c r="CM799" s="223"/>
      <c r="CN799" s="223"/>
      <c r="CO799" s="223"/>
      <c r="CP799" s="223"/>
      <c r="CQ799" s="200"/>
      <c r="CR799" s="200"/>
      <c r="CS799" s="522"/>
      <c r="CT799" s="200"/>
      <c r="CU799" s="223"/>
      <c r="CV799" s="223"/>
      <c r="CW799" s="223"/>
      <c r="CX799" s="223"/>
      <c r="CY799" s="223"/>
      <c r="CZ799" s="223"/>
      <c r="DA799" s="223"/>
      <c r="DB799" s="200"/>
      <c r="DC799" s="522"/>
      <c r="DD799" s="200"/>
      <c r="DE799" s="223"/>
      <c r="DF799" s="223"/>
      <c r="DG799" s="223"/>
      <c r="DH799" s="223"/>
      <c r="DI799" s="223"/>
      <c r="DJ799" s="223"/>
      <c r="DK799" s="200"/>
      <c r="DL799" s="200"/>
      <c r="DM799" s="522"/>
      <c r="DN799" s="200"/>
      <c r="DO799" s="223"/>
      <c r="DP799" s="223"/>
      <c r="DQ799" s="223"/>
      <c r="DR799" s="223"/>
      <c r="DS799" s="223"/>
      <c r="DT799" s="223"/>
      <c r="DU799" s="200"/>
      <c r="DV799" s="200"/>
      <c r="DW799" s="522"/>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2"/>
      <c r="R800" s="200"/>
      <c r="S800" s="223"/>
      <c r="T800" s="223"/>
      <c r="U800" s="223"/>
      <c r="V800" s="223"/>
      <c r="W800" s="223"/>
      <c r="X800" s="223"/>
      <c r="Y800" s="200"/>
      <c r="Z800" s="200"/>
      <c r="AA800" s="522"/>
      <c r="AB800" s="200"/>
      <c r="AC800" s="223"/>
      <c r="AD800" s="223"/>
      <c r="AE800" s="223"/>
      <c r="AF800" s="223"/>
      <c r="AG800" s="223"/>
      <c r="AH800" s="223"/>
      <c r="AI800" s="200"/>
      <c r="AJ800" s="200"/>
      <c r="AK800" s="522"/>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2"/>
      <c r="BF800" s="200"/>
      <c r="BG800" s="223"/>
      <c r="BH800" s="223"/>
      <c r="BI800" s="223"/>
      <c r="BJ800" s="223"/>
      <c r="BK800" s="223"/>
      <c r="BL800" s="223"/>
      <c r="BM800" s="200"/>
      <c r="BN800" s="200"/>
      <c r="BO800" s="522"/>
      <c r="BP800" s="200"/>
      <c r="BQ800" s="223"/>
      <c r="BR800" s="223"/>
      <c r="BS800" s="223"/>
      <c r="BT800" s="223"/>
      <c r="BU800" s="223"/>
      <c r="BV800" s="223"/>
      <c r="BW800" s="223"/>
      <c r="BX800" s="200"/>
      <c r="BY800" s="522"/>
      <c r="BZ800" s="200"/>
      <c r="CA800" s="223"/>
      <c r="CB800" s="223"/>
      <c r="CC800" s="223"/>
      <c r="CD800" s="223"/>
      <c r="CE800" s="223"/>
      <c r="CF800" s="223"/>
      <c r="CG800" s="200"/>
      <c r="CH800" s="200"/>
      <c r="CI800" s="522"/>
      <c r="CJ800" s="200"/>
      <c r="CK800" s="223"/>
      <c r="CL800" s="223"/>
      <c r="CM800" s="223"/>
      <c r="CN800" s="223"/>
      <c r="CO800" s="223"/>
      <c r="CP800" s="223"/>
      <c r="CQ800" s="200"/>
      <c r="CR800" s="200"/>
      <c r="CS800" s="522"/>
      <c r="CT800" s="200"/>
      <c r="CU800" s="223"/>
      <c r="CV800" s="223"/>
      <c r="CW800" s="223"/>
      <c r="CX800" s="223"/>
      <c r="CY800" s="223"/>
      <c r="CZ800" s="223"/>
      <c r="DA800" s="223"/>
      <c r="DB800" s="200"/>
      <c r="DC800" s="522"/>
      <c r="DD800" s="200"/>
      <c r="DE800" s="223"/>
      <c r="DF800" s="223"/>
      <c r="DG800" s="223"/>
      <c r="DH800" s="223"/>
      <c r="DI800" s="223"/>
      <c r="DJ800" s="223"/>
      <c r="DK800" s="200"/>
      <c r="DL800" s="200"/>
      <c r="DM800" s="522"/>
      <c r="DN800" s="200"/>
      <c r="DO800" s="223"/>
      <c r="DP800" s="223"/>
      <c r="DQ800" s="223"/>
      <c r="DR800" s="223"/>
      <c r="DS800" s="223"/>
      <c r="DT800" s="223"/>
      <c r="DU800" s="200"/>
      <c r="DV800" s="200"/>
      <c r="DW800" s="522"/>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2"/>
      <c r="R801" s="200"/>
      <c r="S801" s="223"/>
      <c r="T801" s="223"/>
      <c r="U801" s="223"/>
      <c r="V801" s="223"/>
      <c r="W801" s="223"/>
      <c r="X801" s="223"/>
      <c r="Y801" s="200"/>
      <c r="Z801" s="200"/>
      <c r="AA801" s="522"/>
      <c r="AB801" s="200"/>
      <c r="AC801" s="223"/>
      <c r="AD801" s="223"/>
      <c r="AE801" s="223"/>
      <c r="AF801" s="223"/>
      <c r="AG801" s="223"/>
      <c r="AH801" s="223"/>
      <c r="AI801" s="200"/>
      <c r="AJ801" s="200"/>
      <c r="AK801" s="522"/>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2"/>
      <c r="BF801" s="200"/>
      <c r="BG801" s="223"/>
      <c r="BH801" s="223"/>
      <c r="BI801" s="223"/>
      <c r="BJ801" s="223"/>
      <c r="BK801" s="223"/>
      <c r="BL801" s="223"/>
      <c r="BM801" s="200"/>
      <c r="BN801" s="200"/>
      <c r="BO801" s="522"/>
      <c r="BP801" s="200"/>
      <c r="BQ801" s="223"/>
      <c r="BR801" s="223"/>
      <c r="BS801" s="223"/>
      <c r="BT801" s="223"/>
      <c r="BU801" s="223"/>
      <c r="BV801" s="223"/>
      <c r="BW801" s="223"/>
      <c r="BX801" s="200"/>
      <c r="BY801" s="522"/>
      <c r="BZ801" s="200"/>
      <c r="CA801" s="223"/>
      <c r="CB801" s="223"/>
      <c r="CC801" s="223"/>
      <c r="CD801" s="223"/>
      <c r="CE801" s="223"/>
      <c r="CF801" s="223"/>
      <c r="CG801" s="200"/>
      <c r="CH801" s="200"/>
      <c r="CI801" s="522"/>
      <c r="CJ801" s="200"/>
      <c r="CK801" s="223"/>
      <c r="CL801" s="223"/>
      <c r="CM801" s="223"/>
      <c r="CN801" s="223"/>
      <c r="CO801" s="223"/>
      <c r="CP801" s="223"/>
      <c r="CQ801" s="200"/>
      <c r="CR801" s="200"/>
      <c r="CS801" s="522"/>
      <c r="CT801" s="200"/>
      <c r="CU801" s="223"/>
      <c r="CV801" s="223"/>
      <c r="CW801" s="223"/>
      <c r="CX801" s="223"/>
      <c r="CY801" s="223"/>
      <c r="CZ801" s="223"/>
      <c r="DA801" s="223"/>
      <c r="DB801" s="200"/>
      <c r="DC801" s="522"/>
      <c r="DD801" s="200"/>
      <c r="DE801" s="223"/>
      <c r="DF801" s="223"/>
      <c r="DG801" s="223"/>
      <c r="DH801" s="223"/>
      <c r="DI801" s="223"/>
      <c r="DJ801" s="223"/>
      <c r="DK801" s="200"/>
      <c r="DL801" s="200"/>
      <c r="DM801" s="522"/>
      <c r="DN801" s="200"/>
      <c r="DO801" s="223"/>
      <c r="DP801" s="223"/>
      <c r="DQ801" s="223"/>
      <c r="DR801" s="223"/>
      <c r="DS801" s="223"/>
      <c r="DT801" s="223"/>
      <c r="DU801" s="200"/>
      <c r="DV801" s="200"/>
      <c r="DW801" s="522"/>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2"/>
      <c r="R802" s="200"/>
      <c r="S802" s="223"/>
      <c r="T802" s="223"/>
      <c r="U802" s="223"/>
      <c r="V802" s="223"/>
      <c r="W802" s="223"/>
      <c r="X802" s="223"/>
      <c r="Y802" s="200"/>
      <c r="Z802" s="200"/>
      <c r="AA802" s="522"/>
      <c r="AB802" s="200"/>
      <c r="AC802" s="223"/>
      <c r="AD802" s="223"/>
      <c r="AE802" s="223"/>
      <c r="AF802" s="223"/>
      <c r="AG802" s="223"/>
      <c r="AH802" s="223"/>
      <c r="AI802" s="200"/>
      <c r="AJ802" s="200"/>
      <c r="AK802" s="522"/>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2"/>
      <c r="BF802" s="200"/>
      <c r="BG802" s="223"/>
      <c r="BH802" s="223"/>
      <c r="BI802" s="223"/>
      <c r="BJ802" s="223"/>
      <c r="BK802" s="223"/>
      <c r="BL802" s="223"/>
      <c r="BM802" s="200"/>
      <c r="BN802" s="200"/>
      <c r="BO802" s="522"/>
      <c r="BP802" s="200"/>
      <c r="BQ802" s="223"/>
      <c r="BR802" s="223"/>
      <c r="BS802" s="223"/>
      <c r="BT802" s="223"/>
      <c r="BU802" s="223"/>
      <c r="BV802" s="223"/>
      <c r="BW802" s="223"/>
      <c r="BX802" s="200"/>
      <c r="BY802" s="522"/>
      <c r="BZ802" s="200"/>
      <c r="CA802" s="223"/>
      <c r="CB802" s="223"/>
      <c r="CC802" s="223"/>
      <c r="CD802" s="223"/>
      <c r="CE802" s="223"/>
      <c r="CF802" s="223"/>
      <c r="CG802" s="200"/>
      <c r="CH802" s="200"/>
      <c r="CI802" s="522"/>
      <c r="CJ802" s="200"/>
      <c r="CK802" s="223"/>
      <c r="CL802" s="223"/>
      <c r="CM802" s="223"/>
      <c r="CN802" s="223"/>
      <c r="CO802" s="223"/>
      <c r="CP802" s="223"/>
      <c r="CQ802" s="200"/>
      <c r="CR802" s="200"/>
      <c r="CS802" s="522"/>
      <c r="CT802" s="200"/>
      <c r="CU802" s="223"/>
      <c r="CV802" s="223"/>
      <c r="CW802" s="223"/>
      <c r="CX802" s="223"/>
      <c r="CY802" s="223"/>
      <c r="CZ802" s="223"/>
      <c r="DA802" s="223"/>
      <c r="DB802" s="200"/>
      <c r="DC802" s="522"/>
      <c r="DD802" s="200"/>
      <c r="DE802" s="223"/>
      <c r="DF802" s="223"/>
      <c r="DG802" s="223"/>
      <c r="DH802" s="223"/>
      <c r="DI802" s="223"/>
      <c r="DJ802" s="223"/>
      <c r="DK802" s="200"/>
      <c r="DL802" s="200"/>
      <c r="DM802" s="522"/>
      <c r="DN802" s="200"/>
      <c r="DO802" s="223"/>
      <c r="DP802" s="223"/>
      <c r="DQ802" s="223"/>
      <c r="DR802" s="223"/>
      <c r="DS802" s="223"/>
      <c r="DT802" s="223"/>
      <c r="DU802" s="200"/>
      <c r="DV802" s="200"/>
      <c r="DW802" s="522"/>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2"/>
      <c r="R803" s="200"/>
      <c r="S803" s="223"/>
      <c r="T803" s="223"/>
      <c r="U803" s="223"/>
      <c r="V803" s="223"/>
      <c r="W803" s="223"/>
      <c r="X803" s="223"/>
      <c r="Y803" s="200"/>
      <c r="Z803" s="200"/>
      <c r="AA803" s="522"/>
      <c r="AB803" s="200"/>
      <c r="AC803" s="223"/>
      <c r="AD803" s="223"/>
      <c r="AE803" s="223"/>
      <c r="AF803" s="223"/>
      <c r="AG803" s="223"/>
      <c r="AH803" s="223"/>
      <c r="AI803" s="200"/>
      <c r="AJ803" s="200"/>
      <c r="AK803" s="522"/>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2"/>
      <c r="BF803" s="200"/>
      <c r="BG803" s="223"/>
      <c r="BH803" s="223"/>
      <c r="BI803" s="223"/>
      <c r="BJ803" s="223"/>
      <c r="BK803" s="223"/>
      <c r="BL803" s="223"/>
      <c r="BM803" s="200"/>
      <c r="BN803" s="200"/>
      <c r="BO803" s="522"/>
      <c r="BP803" s="200"/>
      <c r="BQ803" s="223"/>
      <c r="BR803" s="223"/>
      <c r="BS803" s="223"/>
      <c r="BT803" s="223"/>
      <c r="BU803" s="223"/>
      <c r="BV803" s="223"/>
      <c r="BW803" s="223"/>
      <c r="BX803" s="200"/>
      <c r="BY803" s="522"/>
      <c r="BZ803" s="200"/>
      <c r="CA803" s="223"/>
      <c r="CB803" s="223"/>
      <c r="CC803" s="223"/>
      <c r="CD803" s="223"/>
      <c r="CE803" s="223"/>
      <c r="CF803" s="223"/>
      <c r="CG803" s="200"/>
      <c r="CH803" s="200"/>
      <c r="CI803" s="522"/>
      <c r="CJ803" s="200"/>
      <c r="CK803" s="223"/>
      <c r="CL803" s="223"/>
      <c r="CM803" s="223"/>
      <c r="CN803" s="223"/>
      <c r="CO803" s="223"/>
      <c r="CP803" s="223"/>
      <c r="CQ803" s="200"/>
      <c r="CR803" s="200"/>
      <c r="CS803" s="522"/>
      <c r="CT803" s="200"/>
      <c r="CU803" s="223"/>
      <c r="CV803" s="223"/>
      <c r="CW803" s="223"/>
      <c r="CX803" s="223"/>
      <c r="CY803" s="223"/>
      <c r="CZ803" s="223"/>
      <c r="DA803" s="223"/>
      <c r="DB803" s="200"/>
      <c r="DC803" s="522"/>
      <c r="DD803" s="200"/>
      <c r="DE803" s="223"/>
      <c r="DF803" s="223"/>
      <c r="DG803" s="223"/>
      <c r="DH803" s="223"/>
      <c r="DI803" s="223"/>
      <c r="DJ803" s="223"/>
      <c r="DK803" s="200"/>
      <c r="DL803" s="200"/>
      <c r="DM803" s="522"/>
      <c r="DN803" s="200"/>
      <c r="DO803" s="223"/>
      <c r="DP803" s="223"/>
      <c r="DQ803" s="223"/>
      <c r="DR803" s="223"/>
      <c r="DS803" s="223"/>
      <c r="DT803" s="223"/>
      <c r="DU803" s="200"/>
      <c r="DV803" s="200"/>
      <c r="DW803" s="522"/>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2"/>
      <c r="R804" s="200"/>
      <c r="S804" s="223"/>
      <c r="T804" s="223"/>
      <c r="U804" s="223"/>
      <c r="V804" s="223"/>
      <c r="W804" s="223"/>
      <c r="X804" s="223"/>
      <c r="Y804" s="200"/>
      <c r="Z804" s="200"/>
      <c r="AA804" s="522"/>
      <c r="AB804" s="200"/>
      <c r="AC804" s="223"/>
      <c r="AD804" s="223"/>
      <c r="AE804" s="223"/>
      <c r="AF804" s="223"/>
      <c r="AG804" s="223"/>
      <c r="AH804" s="223"/>
      <c r="AI804" s="200"/>
      <c r="AJ804" s="200"/>
      <c r="AK804" s="522"/>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2"/>
      <c r="BF804" s="200"/>
      <c r="BG804" s="223"/>
      <c r="BH804" s="223"/>
      <c r="BI804" s="223"/>
      <c r="BJ804" s="223"/>
      <c r="BK804" s="223"/>
      <c r="BL804" s="223"/>
      <c r="BM804" s="200"/>
      <c r="BN804" s="200"/>
      <c r="BO804" s="522"/>
      <c r="BP804" s="200"/>
      <c r="BQ804" s="223"/>
      <c r="BR804" s="223"/>
      <c r="BS804" s="223"/>
      <c r="BT804" s="223"/>
      <c r="BU804" s="223"/>
      <c r="BV804" s="223"/>
      <c r="BW804" s="223"/>
      <c r="BX804" s="200"/>
      <c r="BY804" s="522"/>
      <c r="BZ804" s="200"/>
      <c r="CA804" s="223"/>
      <c r="CB804" s="223"/>
      <c r="CC804" s="223"/>
      <c r="CD804" s="223"/>
      <c r="CE804" s="223"/>
      <c r="CF804" s="223"/>
      <c r="CG804" s="200"/>
      <c r="CH804" s="200"/>
      <c r="CI804" s="522"/>
      <c r="CJ804" s="200"/>
      <c r="CK804" s="223"/>
      <c r="CL804" s="223"/>
      <c r="CM804" s="223"/>
      <c r="CN804" s="223"/>
      <c r="CO804" s="223"/>
      <c r="CP804" s="223"/>
      <c r="CQ804" s="200"/>
      <c r="CR804" s="200"/>
      <c r="CS804" s="522"/>
      <c r="CT804" s="200"/>
      <c r="CU804" s="223"/>
      <c r="CV804" s="223"/>
      <c r="CW804" s="223"/>
      <c r="CX804" s="223"/>
      <c r="CY804" s="223"/>
      <c r="CZ804" s="223"/>
      <c r="DA804" s="223"/>
      <c r="DB804" s="200"/>
      <c r="DC804" s="522"/>
      <c r="DD804" s="200"/>
      <c r="DE804" s="223"/>
      <c r="DF804" s="223"/>
      <c r="DG804" s="223"/>
      <c r="DH804" s="223"/>
      <c r="DI804" s="223"/>
      <c r="DJ804" s="223"/>
      <c r="DK804" s="200"/>
      <c r="DL804" s="200"/>
      <c r="DM804" s="522"/>
      <c r="DN804" s="200"/>
      <c r="DO804" s="223"/>
      <c r="DP804" s="223"/>
      <c r="DQ804" s="223"/>
      <c r="DR804" s="223"/>
      <c r="DS804" s="223"/>
      <c r="DT804" s="223"/>
      <c r="DU804" s="200"/>
      <c r="DV804" s="200"/>
      <c r="DW804" s="522"/>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2"/>
      <c r="R805" s="200"/>
      <c r="S805" s="223"/>
      <c r="T805" s="223"/>
      <c r="U805" s="223"/>
      <c r="V805" s="223"/>
      <c r="W805" s="223"/>
      <c r="X805" s="223"/>
      <c r="Y805" s="200"/>
      <c r="Z805" s="200"/>
      <c r="AA805" s="522"/>
      <c r="AB805" s="200"/>
      <c r="AC805" s="223"/>
      <c r="AD805" s="223"/>
      <c r="AE805" s="223"/>
      <c r="AF805" s="223"/>
      <c r="AG805" s="223"/>
      <c r="AH805" s="223"/>
      <c r="AI805" s="200"/>
      <c r="AJ805" s="200"/>
      <c r="AK805" s="522"/>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2"/>
      <c r="BF805" s="200"/>
      <c r="BG805" s="223"/>
      <c r="BH805" s="223"/>
      <c r="BI805" s="223"/>
      <c r="BJ805" s="223"/>
      <c r="BK805" s="223"/>
      <c r="BL805" s="223"/>
      <c r="BM805" s="200"/>
      <c r="BN805" s="200"/>
      <c r="BO805" s="522"/>
      <c r="BP805" s="200"/>
      <c r="BQ805" s="223"/>
      <c r="BR805" s="223"/>
      <c r="BS805" s="223"/>
      <c r="BT805" s="223"/>
      <c r="BU805" s="223"/>
      <c r="BV805" s="223"/>
      <c r="BW805" s="223"/>
      <c r="BX805" s="200"/>
      <c r="BY805" s="522"/>
      <c r="BZ805" s="200"/>
      <c r="CA805" s="223"/>
      <c r="CB805" s="223"/>
      <c r="CC805" s="223"/>
      <c r="CD805" s="223"/>
      <c r="CE805" s="223"/>
      <c r="CF805" s="223"/>
      <c r="CG805" s="200"/>
      <c r="CH805" s="200"/>
      <c r="CI805" s="522"/>
      <c r="CJ805" s="200"/>
      <c r="CK805" s="223"/>
      <c r="CL805" s="223"/>
      <c r="CM805" s="223"/>
      <c r="CN805" s="223"/>
      <c r="CO805" s="223"/>
      <c r="CP805" s="223"/>
      <c r="CQ805" s="200"/>
      <c r="CR805" s="200"/>
      <c r="CS805" s="522"/>
      <c r="CT805" s="200"/>
      <c r="CU805" s="223"/>
      <c r="CV805" s="223"/>
      <c r="CW805" s="223"/>
      <c r="CX805" s="223"/>
      <c r="CY805" s="223"/>
      <c r="CZ805" s="223"/>
      <c r="DA805" s="223"/>
      <c r="DB805" s="200"/>
      <c r="DC805" s="522"/>
      <c r="DD805" s="200"/>
      <c r="DE805" s="223"/>
      <c r="DF805" s="223"/>
      <c r="DG805" s="223"/>
      <c r="DH805" s="223"/>
      <c r="DI805" s="223"/>
      <c r="DJ805" s="223"/>
      <c r="DK805" s="200"/>
      <c r="DL805" s="200"/>
      <c r="DM805" s="522"/>
      <c r="DN805" s="200"/>
      <c r="DO805" s="223"/>
      <c r="DP805" s="223"/>
      <c r="DQ805" s="223"/>
      <c r="DR805" s="223"/>
      <c r="DS805" s="223"/>
      <c r="DT805" s="223"/>
      <c r="DU805" s="200"/>
      <c r="DV805" s="200"/>
      <c r="DW805" s="522"/>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2"/>
      <c r="R806" s="200"/>
      <c r="S806" s="223"/>
      <c r="T806" s="223"/>
      <c r="U806" s="223"/>
      <c r="V806" s="223"/>
      <c r="W806" s="223"/>
      <c r="X806" s="223"/>
      <c r="Y806" s="200"/>
      <c r="Z806" s="200"/>
      <c r="AA806" s="522"/>
      <c r="AB806" s="200"/>
      <c r="AC806" s="223"/>
      <c r="AD806" s="223"/>
      <c r="AE806" s="223"/>
      <c r="AF806" s="223"/>
      <c r="AG806" s="223"/>
      <c r="AH806" s="223"/>
      <c r="AI806" s="200"/>
      <c r="AJ806" s="200"/>
      <c r="AK806" s="522"/>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2"/>
      <c r="BF806" s="200"/>
      <c r="BG806" s="223"/>
      <c r="BH806" s="223"/>
      <c r="BI806" s="223"/>
      <c r="BJ806" s="223"/>
      <c r="BK806" s="223"/>
      <c r="BL806" s="223"/>
      <c r="BM806" s="200"/>
      <c r="BN806" s="200"/>
      <c r="BO806" s="522"/>
      <c r="BP806" s="200"/>
      <c r="BQ806" s="223"/>
      <c r="BR806" s="223"/>
      <c r="BS806" s="223"/>
      <c r="BT806" s="223"/>
      <c r="BU806" s="223"/>
      <c r="BV806" s="223"/>
      <c r="BW806" s="223"/>
      <c r="BX806" s="200"/>
      <c r="BY806" s="522"/>
      <c r="BZ806" s="200"/>
      <c r="CA806" s="223"/>
      <c r="CB806" s="223"/>
      <c r="CC806" s="223"/>
      <c r="CD806" s="223"/>
      <c r="CE806" s="223"/>
      <c r="CF806" s="223"/>
      <c r="CG806" s="200"/>
      <c r="CH806" s="200"/>
      <c r="CI806" s="522"/>
      <c r="CJ806" s="200"/>
      <c r="CK806" s="223"/>
      <c r="CL806" s="223"/>
      <c r="CM806" s="223"/>
      <c r="CN806" s="223"/>
      <c r="CO806" s="223"/>
      <c r="CP806" s="223"/>
      <c r="CQ806" s="200"/>
      <c r="CR806" s="200"/>
      <c r="CS806" s="522"/>
      <c r="CT806" s="200"/>
      <c r="CU806" s="223"/>
      <c r="CV806" s="223"/>
      <c r="CW806" s="223"/>
      <c r="CX806" s="223"/>
      <c r="CY806" s="223"/>
      <c r="CZ806" s="223"/>
      <c r="DA806" s="223"/>
      <c r="DB806" s="200"/>
      <c r="DC806" s="522"/>
      <c r="DD806" s="200"/>
      <c r="DE806" s="223"/>
      <c r="DF806" s="223"/>
      <c r="DG806" s="223"/>
      <c r="DH806" s="223"/>
      <c r="DI806" s="223"/>
      <c r="DJ806" s="223"/>
      <c r="DK806" s="200"/>
      <c r="DL806" s="200"/>
      <c r="DM806" s="522"/>
      <c r="DN806" s="200"/>
      <c r="DO806" s="223"/>
      <c r="DP806" s="223"/>
      <c r="DQ806" s="223"/>
      <c r="DR806" s="223"/>
      <c r="DS806" s="223"/>
      <c r="DT806" s="223"/>
      <c r="DU806" s="200"/>
      <c r="DV806" s="200"/>
      <c r="DW806" s="522"/>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2"/>
      <c r="R807" s="200"/>
      <c r="S807" s="223"/>
      <c r="T807" s="223"/>
      <c r="U807" s="223"/>
      <c r="V807" s="223"/>
      <c r="W807" s="223"/>
      <c r="X807" s="223"/>
      <c r="Y807" s="200"/>
      <c r="Z807" s="200"/>
      <c r="AA807" s="522"/>
      <c r="AB807" s="200"/>
      <c r="AC807" s="223"/>
      <c r="AD807" s="223"/>
      <c r="AE807" s="223"/>
      <c r="AF807" s="223"/>
      <c r="AG807" s="223"/>
      <c r="AH807" s="223"/>
      <c r="AI807" s="200"/>
      <c r="AJ807" s="200"/>
      <c r="AK807" s="522"/>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2"/>
      <c r="BF807" s="200"/>
      <c r="BG807" s="223"/>
      <c r="BH807" s="223"/>
      <c r="BI807" s="223"/>
      <c r="BJ807" s="223"/>
      <c r="BK807" s="223"/>
      <c r="BL807" s="223"/>
      <c r="BM807" s="200"/>
      <c r="BN807" s="200"/>
      <c r="BO807" s="522"/>
      <c r="BP807" s="200"/>
      <c r="BQ807" s="223"/>
      <c r="BR807" s="223"/>
      <c r="BS807" s="223"/>
      <c r="BT807" s="223"/>
      <c r="BU807" s="223"/>
      <c r="BV807" s="223"/>
      <c r="BW807" s="223"/>
      <c r="BX807" s="200"/>
      <c r="BY807" s="522"/>
      <c r="BZ807" s="200"/>
      <c r="CA807" s="223"/>
      <c r="CB807" s="223"/>
      <c r="CC807" s="223"/>
      <c r="CD807" s="223"/>
      <c r="CE807" s="223"/>
      <c r="CF807" s="223"/>
      <c r="CG807" s="200"/>
      <c r="CH807" s="200"/>
      <c r="CI807" s="522"/>
      <c r="CJ807" s="200"/>
      <c r="CK807" s="223"/>
      <c r="CL807" s="223"/>
      <c r="CM807" s="223"/>
      <c r="CN807" s="223"/>
      <c r="CO807" s="223"/>
      <c r="CP807" s="223"/>
      <c r="CQ807" s="200"/>
      <c r="CR807" s="200"/>
      <c r="CS807" s="522"/>
      <c r="CT807" s="200"/>
      <c r="CU807" s="223"/>
      <c r="CV807" s="223"/>
      <c r="CW807" s="223"/>
      <c r="CX807" s="223"/>
      <c r="CY807" s="223"/>
      <c r="CZ807" s="223"/>
      <c r="DA807" s="223"/>
      <c r="DB807" s="200"/>
      <c r="DC807" s="522"/>
      <c r="DD807" s="200"/>
      <c r="DE807" s="223"/>
      <c r="DF807" s="223"/>
      <c r="DG807" s="223"/>
      <c r="DH807" s="223"/>
      <c r="DI807" s="223"/>
      <c r="DJ807" s="223"/>
      <c r="DK807" s="200"/>
      <c r="DL807" s="200"/>
      <c r="DM807" s="522"/>
      <c r="DN807" s="200"/>
      <c r="DO807" s="223"/>
      <c r="DP807" s="223"/>
      <c r="DQ807" s="223"/>
      <c r="DR807" s="223"/>
      <c r="DS807" s="223"/>
      <c r="DT807" s="223"/>
      <c r="DU807" s="200"/>
      <c r="DV807" s="200"/>
      <c r="DW807" s="522"/>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2"/>
      <c r="R808" s="200"/>
      <c r="S808" s="223"/>
      <c r="T808" s="223"/>
      <c r="U808" s="223"/>
      <c r="V808" s="223"/>
      <c r="W808" s="223"/>
      <c r="X808" s="223"/>
      <c r="Y808" s="200"/>
      <c r="Z808" s="200"/>
      <c r="AA808" s="522"/>
      <c r="AB808" s="200"/>
      <c r="AC808" s="223"/>
      <c r="AD808" s="223"/>
      <c r="AE808" s="223"/>
      <c r="AF808" s="223"/>
      <c r="AG808" s="223"/>
      <c r="AH808" s="223"/>
      <c r="AI808" s="200"/>
      <c r="AJ808" s="200"/>
      <c r="AK808" s="522"/>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2"/>
      <c r="BF808" s="200"/>
      <c r="BG808" s="223"/>
      <c r="BH808" s="223"/>
      <c r="BI808" s="223"/>
      <c r="BJ808" s="223"/>
      <c r="BK808" s="223"/>
      <c r="BL808" s="223"/>
      <c r="BM808" s="200"/>
      <c r="BN808" s="200"/>
      <c r="BO808" s="522"/>
      <c r="BP808" s="200"/>
      <c r="BQ808" s="223"/>
      <c r="BR808" s="223"/>
      <c r="BS808" s="223"/>
      <c r="BT808" s="223"/>
      <c r="BU808" s="223"/>
      <c r="BV808" s="223"/>
      <c r="BW808" s="223"/>
      <c r="BX808" s="200"/>
      <c r="BY808" s="522"/>
      <c r="BZ808" s="200"/>
      <c r="CA808" s="223"/>
      <c r="CB808" s="223"/>
      <c r="CC808" s="223"/>
      <c r="CD808" s="223"/>
      <c r="CE808" s="223"/>
      <c r="CF808" s="223"/>
      <c r="CG808" s="200"/>
      <c r="CH808" s="200"/>
      <c r="CI808" s="522"/>
      <c r="CJ808" s="200"/>
      <c r="CK808" s="223"/>
      <c r="CL808" s="223"/>
      <c r="CM808" s="223"/>
      <c r="CN808" s="223"/>
      <c r="CO808" s="223"/>
      <c r="CP808" s="223"/>
      <c r="CQ808" s="200"/>
      <c r="CR808" s="200"/>
      <c r="CS808" s="522"/>
      <c r="CT808" s="200"/>
      <c r="CU808" s="223"/>
      <c r="CV808" s="223"/>
      <c r="CW808" s="223"/>
      <c r="CX808" s="223"/>
      <c r="CY808" s="223"/>
      <c r="CZ808" s="223"/>
      <c r="DA808" s="223"/>
      <c r="DB808" s="200"/>
      <c r="DC808" s="522"/>
      <c r="DD808" s="200"/>
      <c r="DE808" s="223"/>
      <c r="DF808" s="223"/>
      <c r="DG808" s="223"/>
      <c r="DH808" s="223"/>
      <c r="DI808" s="223"/>
      <c r="DJ808" s="223"/>
      <c r="DK808" s="200"/>
      <c r="DL808" s="200"/>
      <c r="DM808" s="522"/>
      <c r="DN808" s="200"/>
      <c r="DO808" s="223"/>
      <c r="DP808" s="223"/>
      <c r="DQ808" s="223"/>
      <c r="DR808" s="223"/>
      <c r="DS808" s="223"/>
      <c r="DT808" s="223"/>
      <c r="DU808" s="200"/>
      <c r="DV808" s="200"/>
      <c r="DW808" s="522"/>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2"/>
      <c r="R809" s="200"/>
      <c r="S809" s="223"/>
      <c r="T809" s="223"/>
      <c r="U809" s="223"/>
      <c r="V809" s="223"/>
      <c r="W809" s="223"/>
      <c r="X809" s="223"/>
      <c r="Y809" s="200"/>
      <c r="Z809" s="200"/>
      <c r="AA809" s="522"/>
      <c r="AB809" s="200"/>
      <c r="AC809" s="223"/>
      <c r="AD809" s="223"/>
      <c r="AE809" s="223"/>
      <c r="AF809" s="223"/>
      <c r="AG809" s="223"/>
      <c r="AH809" s="223"/>
      <c r="AI809" s="200"/>
      <c r="AJ809" s="200"/>
      <c r="AK809" s="522"/>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2"/>
      <c r="BF809" s="200"/>
      <c r="BG809" s="223"/>
      <c r="BH809" s="223"/>
      <c r="BI809" s="223"/>
      <c r="BJ809" s="223"/>
      <c r="BK809" s="223"/>
      <c r="BL809" s="223"/>
      <c r="BM809" s="200"/>
      <c r="BN809" s="200"/>
      <c r="BO809" s="522"/>
      <c r="BP809" s="200"/>
      <c r="BQ809" s="223"/>
      <c r="BR809" s="223"/>
      <c r="BS809" s="223"/>
      <c r="BT809" s="223"/>
      <c r="BU809" s="223"/>
      <c r="BV809" s="223"/>
      <c r="BW809" s="223"/>
      <c r="BX809" s="200"/>
      <c r="BY809" s="522"/>
      <c r="BZ809" s="200"/>
      <c r="CA809" s="223"/>
      <c r="CB809" s="223"/>
      <c r="CC809" s="223"/>
      <c r="CD809" s="223"/>
      <c r="CE809" s="223"/>
      <c r="CF809" s="223"/>
      <c r="CG809" s="200"/>
      <c r="CH809" s="200"/>
      <c r="CI809" s="522"/>
      <c r="CJ809" s="200"/>
      <c r="CK809" s="223"/>
      <c r="CL809" s="223"/>
      <c r="CM809" s="223"/>
      <c r="CN809" s="223"/>
      <c r="CO809" s="223"/>
      <c r="CP809" s="223"/>
      <c r="CQ809" s="200"/>
      <c r="CR809" s="200"/>
      <c r="CS809" s="522"/>
      <c r="CT809" s="200"/>
      <c r="CU809" s="223"/>
      <c r="CV809" s="223"/>
      <c r="CW809" s="223"/>
      <c r="CX809" s="223"/>
      <c r="CY809" s="223"/>
      <c r="CZ809" s="223"/>
      <c r="DA809" s="223"/>
      <c r="DB809" s="200"/>
      <c r="DC809" s="522"/>
      <c r="DD809" s="200"/>
      <c r="DE809" s="223"/>
      <c r="DF809" s="223"/>
      <c r="DG809" s="223"/>
      <c r="DH809" s="223"/>
      <c r="DI809" s="223"/>
      <c r="DJ809" s="223"/>
      <c r="DK809" s="200"/>
      <c r="DL809" s="200"/>
      <c r="DM809" s="522"/>
      <c r="DN809" s="200"/>
      <c r="DO809" s="223"/>
      <c r="DP809" s="223"/>
      <c r="DQ809" s="223"/>
      <c r="DR809" s="223"/>
      <c r="DS809" s="223"/>
      <c r="DT809" s="223"/>
      <c r="DU809" s="200"/>
      <c r="DV809" s="200"/>
      <c r="DW809" s="522"/>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2"/>
      <c r="R810" s="200"/>
      <c r="S810" s="223"/>
      <c r="T810" s="223"/>
      <c r="U810" s="223"/>
      <c r="V810" s="223"/>
      <c r="W810" s="223"/>
      <c r="X810" s="223"/>
      <c r="Y810" s="200"/>
      <c r="Z810" s="200"/>
      <c r="AA810" s="522"/>
      <c r="AB810" s="200"/>
      <c r="AC810" s="223"/>
      <c r="AD810" s="223"/>
      <c r="AE810" s="223"/>
      <c r="AF810" s="223"/>
      <c r="AG810" s="223"/>
      <c r="AH810" s="223"/>
      <c r="AI810" s="200"/>
      <c r="AJ810" s="200"/>
      <c r="AK810" s="522"/>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2"/>
      <c r="BF810" s="200"/>
      <c r="BG810" s="223"/>
      <c r="BH810" s="223"/>
      <c r="BI810" s="223"/>
      <c r="BJ810" s="223"/>
      <c r="BK810" s="223"/>
      <c r="BL810" s="223"/>
      <c r="BM810" s="200"/>
      <c r="BN810" s="200"/>
      <c r="BO810" s="522"/>
      <c r="BP810" s="200"/>
      <c r="BQ810" s="223"/>
      <c r="BR810" s="223"/>
      <c r="BS810" s="223"/>
      <c r="BT810" s="223"/>
      <c r="BU810" s="223"/>
      <c r="BV810" s="223"/>
      <c r="BW810" s="223"/>
      <c r="BX810" s="200"/>
      <c r="BY810" s="522"/>
      <c r="BZ810" s="200"/>
      <c r="CA810" s="223"/>
      <c r="CB810" s="223"/>
      <c r="CC810" s="223"/>
      <c r="CD810" s="223"/>
      <c r="CE810" s="223"/>
      <c r="CF810" s="223"/>
      <c r="CG810" s="200"/>
      <c r="CH810" s="200"/>
      <c r="CI810" s="522"/>
      <c r="CJ810" s="200"/>
      <c r="CK810" s="223"/>
      <c r="CL810" s="223"/>
      <c r="CM810" s="223"/>
      <c r="CN810" s="223"/>
      <c r="CO810" s="223"/>
      <c r="CP810" s="223"/>
      <c r="CQ810" s="200"/>
      <c r="CR810" s="200"/>
      <c r="CS810" s="522"/>
      <c r="CT810" s="200"/>
      <c r="CU810" s="223"/>
      <c r="CV810" s="223"/>
      <c r="CW810" s="223"/>
      <c r="CX810" s="223"/>
      <c r="CY810" s="223"/>
      <c r="CZ810" s="223"/>
      <c r="DA810" s="223"/>
      <c r="DB810" s="200"/>
      <c r="DC810" s="522"/>
      <c r="DD810" s="200"/>
      <c r="DE810" s="223"/>
      <c r="DF810" s="223"/>
      <c r="DG810" s="223"/>
      <c r="DH810" s="223"/>
      <c r="DI810" s="223"/>
      <c r="DJ810" s="223"/>
      <c r="DK810" s="200"/>
      <c r="DL810" s="200"/>
      <c r="DM810" s="522"/>
      <c r="DN810" s="200"/>
      <c r="DO810" s="223"/>
      <c r="DP810" s="223"/>
      <c r="DQ810" s="223"/>
      <c r="DR810" s="223"/>
      <c r="DS810" s="223"/>
      <c r="DT810" s="223"/>
      <c r="DU810" s="200"/>
      <c r="DV810" s="200"/>
      <c r="DW810" s="522"/>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2"/>
      <c r="R811" s="200"/>
      <c r="S811" s="223"/>
      <c r="T811" s="223"/>
      <c r="U811" s="223"/>
      <c r="V811" s="223"/>
      <c r="W811" s="223"/>
      <c r="X811" s="223"/>
      <c r="Y811" s="200"/>
      <c r="Z811" s="200"/>
      <c r="AA811" s="522"/>
      <c r="AB811" s="200"/>
      <c r="AC811" s="223"/>
      <c r="AD811" s="223"/>
      <c r="AE811" s="223"/>
      <c r="AF811" s="223"/>
      <c r="AG811" s="223"/>
      <c r="AH811" s="223"/>
      <c r="AI811" s="200"/>
      <c r="AJ811" s="200"/>
      <c r="AK811" s="522"/>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2"/>
      <c r="BF811" s="200"/>
      <c r="BG811" s="223"/>
      <c r="BH811" s="223"/>
      <c r="BI811" s="223"/>
      <c r="BJ811" s="223"/>
      <c r="BK811" s="223"/>
      <c r="BL811" s="223"/>
      <c r="BM811" s="200"/>
      <c r="BN811" s="200"/>
      <c r="BO811" s="522"/>
      <c r="BP811" s="200"/>
      <c r="BQ811" s="223"/>
      <c r="BR811" s="223"/>
      <c r="BS811" s="223"/>
      <c r="BT811" s="223"/>
      <c r="BU811" s="223"/>
      <c r="BV811" s="223"/>
      <c r="BW811" s="223"/>
      <c r="BX811" s="200"/>
      <c r="BY811" s="522"/>
      <c r="BZ811" s="200"/>
      <c r="CA811" s="223"/>
      <c r="CB811" s="223"/>
      <c r="CC811" s="223"/>
      <c r="CD811" s="223"/>
      <c r="CE811" s="223"/>
      <c r="CF811" s="223"/>
      <c r="CG811" s="200"/>
      <c r="CH811" s="200"/>
      <c r="CI811" s="522"/>
      <c r="CJ811" s="200"/>
      <c r="CK811" s="223"/>
      <c r="CL811" s="223"/>
      <c r="CM811" s="223"/>
      <c r="CN811" s="223"/>
      <c r="CO811" s="223"/>
      <c r="CP811" s="223"/>
      <c r="CQ811" s="200"/>
      <c r="CR811" s="200"/>
      <c r="CS811" s="522"/>
      <c r="CT811" s="200"/>
      <c r="CU811" s="223"/>
      <c r="CV811" s="223"/>
      <c r="CW811" s="223"/>
      <c r="CX811" s="223"/>
      <c r="CY811" s="223"/>
      <c r="CZ811" s="223"/>
      <c r="DA811" s="223"/>
      <c r="DB811" s="200"/>
      <c r="DC811" s="522"/>
      <c r="DD811" s="200"/>
      <c r="DE811" s="223"/>
      <c r="DF811" s="223"/>
      <c r="DG811" s="223"/>
      <c r="DH811" s="223"/>
      <c r="DI811" s="223"/>
      <c r="DJ811" s="223"/>
      <c r="DK811" s="200"/>
      <c r="DL811" s="200"/>
      <c r="DM811" s="522"/>
      <c r="DN811" s="200"/>
      <c r="DO811" s="223"/>
      <c r="DP811" s="223"/>
      <c r="DQ811" s="223"/>
      <c r="DR811" s="223"/>
      <c r="DS811" s="223"/>
      <c r="DT811" s="223"/>
      <c r="DU811" s="200"/>
      <c r="DV811" s="200"/>
      <c r="DW811" s="522"/>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2"/>
      <c r="R812" s="200"/>
      <c r="S812" s="223"/>
      <c r="T812" s="223"/>
      <c r="U812" s="223"/>
      <c r="V812" s="223"/>
      <c r="W812" s="223"/>
      <c r="X812" s="223"/>
      <c r="Y812" s="200"/>
      <c r="Z812" s="200"/>
      <c r="AA812" s="522"/>
      <c r="AB812" s="200"/>
      <c r="AC812" s="223"/>
      <c r="AD812" s="223"/>
      <c r="AE812" s="223"/>
      <c r="AF812" s="223"/>
      <c r="AG812" s="223"/>
      <c r="AH812" s="223"/>
      <c r="AI812" s="200"/>
      <c r="AJ812" s="200"/>
      <c r="AK812" s="522"/>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2"/>
      <c r="BF812" s="200"/>
      <c r="BG812" s="223"/>
      <c r="BH812" s="223"/>
      <c r="BI812" s="223"/>
      <c r="BJ812" s="223"/>
      <c r="BK812" s="223"/>
      <c r="BL812" s="223"/>
      <c r="BM812" s="200"/>
      <c r="BN812" s="200"/>
      <c r="BO812" s="522"/>
      <c r="BP812" s="200"/>
      <c r="BQ812" s="223"/>
      <c r="BR812" s="223"/>
      <c r="BS812" s="223"/>
      <c r="BT812" s="223"/>
      <c r="BU812" s="223"/>
      <c r="BV812" s="223"/>
      <c r="BW812" s="223"/>
      <c r="BX812" s="200"/>
      <c r="BY812" s="522"/>
      <c r="BZ812" s="200"/>
      <c r="CA812" s="223"/>
      <c r="CB812" s="223"/>
      <c r="CC812" s="223"/>
      <c r="CD812" s="223"/>
      <c r="CE812" s="223"/>
      <c r="CF812" s="223"/>
      <c r="CG812" s="200"/>
      <c r="CH812" s="200"/>
      <c r="CI812" s="522"/>
      <c r="CJ812" s="200"/>
      <c r="CK812" s="223"/>
      <c r="CL812" s="223"/>
      <c r="CM812" s="223"/>
      <c r="CN812" s="223"/>
      <c r="CO812" s="223"/>
      <c r="CP812" s="223"/>
      <c r="CQ812" s="200"/>
      <c r="CR812" s="200"/>
      <c r="CS812" s="522"/>
      <c r="CT812" s="200"/>
      <c r="CU812" s="223"/>
      <c r="CV812" s="223"/>
      <c r="CW812" s="223"/>
      <c r="CX812" s="223"/>
      <c r="CY812" s="223"/>
      <c r="CZ812" s="223"/>
      <c r="DA812" s="223"/>
      <c r="DB812" s="200"/>
      <c r="DC812" s="522"/>
      <c r="DD812" s="200"/>
      <c r="DE812" s="223"/>
      <c r="DF812" s="223"/>
      <c r="DG812" s="223"/>
      <c r="DH812" s="223"/>
      <c r="DI812" s="223"/>
      <c r="DJ812" s="223"/>
      <c r="DK812" s="200"/>
      <c r="DL812" s="200"/>
      <c r="DM812" s="522"/>
      <c r="DN812" s="200"/>
      <c r="DO812" s="223"/>
      <c r="DP812" s="223"/>
      <c r="DQ812" s="223"/>
      <c r="DR812" s="223"/>
      <c r="DS812" s="223"/>
      <c r="DT812" s="223"/>
      <c r="DU812" s="200"/>
      <c r="DV812" s="200"/>
      <c r="DW812" s="522"/>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2"/>
      <c r="R813" s="200"/>
      <c r="S813" s="223"/>
      <c r="T813" s="223"/>
      <c r="U813" s="223"/>
      <c r="V813" s="223"/>
      <c r="W813" s="223"/>
      <c r="X813" s="223"/>
      <c r="Y813" s="200"/>
      <c r="Z813" s="200"/>
      <c r="AA813" s="522"/>
      <c r="AB813" s="200"/>
      <c r="AC813" s="223"/>
      <c r="AD813" s="223"/>
      <c r="AE813" s="223"/>
      <c r="AF813" s="223"/>
      <c r="AG813" s="223"/>
      <c r="AH813" s="223"/>
      <c r="AI813" s="200"/>
      <c r="AJ813" s="200"/>
      <c r="AK813" s="522"/>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2"/>
      <c r="BF813" s="200"/>
      <c r="BG813" s="223"/>
      <c r="BH813" s="223"/>
      <c r="BI813" s="223"/>
      <c r="BJ813" s="223"/>
      <c r="BK813" s="223"/>
      <c r="BL813" s="223"/>
      <c r="BM813" s="200"/>
      <c r="BN813" s="200"/>
      <c r="BO813" s="522"/>
      <c r="BP813" s="200"/>
      <c r="BQ813" s="223"/>
      <c r="BR813" s="223"/>
      <c r="BS813" s="223"/>
      <c r="BT813" s="223"/>
      <c r="BU813" s="223"/>
      <c r="BV813" s="223"/>
      <c r="BW813" s="223"/>
      <c r="BX813" s="200"/>
      <c r="BY813" s="522"/>
      <c r="BZ813" s="200"/>
      <c r="CA813" s="223"/>
      <c r="CB813" s="223"/>
      <c r="CC813" s="223"/>
      <c r="CD813" s="223"/>
      <c r="CE813" s="223"/>
      <c r="CF813" s="223"/>
      <c r="CG813" s="200"/>
      <c r="CH813" s="200"/>
      <c r="CI813" s="522"/>
      <c r="CJ813" s="200"/>
      <c r="CK813" s="223"/>
      <c r="CL813" s="223"/>
      <c r="CM813" s="223"/>
      <c r="CN813" s="223"/>
      <c r="CO813" s="223"/>
      <c r="CP813" s="223"/>
      <c r="CQ813" s="200"/>
      <c r="CR813" s="200"/>
      <c r="CS813" s="522"/>
      <c r="CT813" s="200"/>
      <c r="CU813" s="223"/>
      <c r="CV813" s="223"/>
      <c r="CW813" s="223"/>
      <c r="CX813" s="223"/>
      <c r="CY813" s="223"/>
      <c r="CZ813" s="223"/>
      <c r="DA813" s="223"/>
      <c r="DB813" s="200"/>
      <c r="DC813" s="522"/>
      <c r="DD813" s="200"/>
      <c r="DE813" s="223"/>
      <c r="DF813" s="223"/>
      <c r="DG813" s="223"/>
      <c r="DH813" s="223"/>
      <c r="DI813" s="223"/>
      <c r="DJ813" s="223"/>
      <c r="DK813" s="200"/>
      <c r="DL813" s="200"/>
      <c r="DM813" s="522"/>
      <c r="DN813" s="200"/>
      <c r="DO813" s="223"/>
      <c r="DP813" s="223"/>
      <c r="DQ813" s="223"/>
      <c r="DR813" s="223"/>
      <c r="DS813" s="223"/>
      <c r="DT813" s="223"/>
      <c r="DU813" s="200"/>
      <c r="DV813" s="200"/>
      <c r="DW813" s="522"/>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2"/>
      <c r="R814" s="200"/>
      <c r="S814" s="223"/>
      <c r="T814" s="223"/>
      <c r="U814" s="223"/>
      <c r="V814" s="223"/>
      <c r="W814" s="223"/>
      <c r="X814" s="223"/>
      <c r="Y814" s="200"/>
      <c r="Z814" s="200"/>
      <c r="AA814" s="522"/>
      <c r="AB814" s="200"/>
      <c r="AC814" s="223"/>
      <c r="AD814" s="223"/>
      <c r="AE814" s="223"/>
      <c r="AF814" s="223"/>
      <c r="AG814" s="223"/>
      <c r="AH814" s="223"/>
      <c r="AI814" s="200"/>
      <c r="AJ814" s="200"/>
      <c r="AK814" s="522"/>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2"/>
      <c r="BF814" s="200"/>
      <c r="BG814" s="223"/>
      <c r="BH814" s="223"/>
      <c r="BI814" s="223"/>
      <c r="BJ814" s="223"/>
      <c r="BK814" s="223"/>
      <c r="BL814" s="223"/>
      <c r="BM814" s="200"/>
      <c r="BN814" s="200"/>
      <c r="BO814" s="522"/>
      <c r="BP814" s="200"/>
      <c r="BQ814" s="223"/>
      <c r="BR814" s="223"/>
      <c r="BS814" s="223"/>
      <c r="BT814" s="223"/>
      <c r="BU814" s="223"/>
      <c r="BV814" s="223"/>
      <c r="BW814" s="223"/>
      <c r="BX814" s="200"/>
      <c r="BY814" s="522"/>
      <c r="BZ814" s="200"/>
      <c r="CA814" s="223"/>
      <c r="CB814" s="223"/>
      <c r="CC814" s="223"/>
      <c r="CD814" s="223"/>
      <c r="CE814" s="223"/>
      <c r="CF814" s="223"/>
      <c r="CG814" s="200"/>
      <c r="CH814" s="200"/>
      <c r="CI814" s="522"/>
      <c r="CJ814" s="200"/>
      <c r="CK814" s="223"/>
      <c r="CL814" s="223"/>
      <c r="CM814" s="223"/>
      <c r="CN814" s="223"/>
      <c r="CO814" s="223"/>
      <c r="CP814" s="223"/>
      <c r="CQ814" s="200"/>
      <c r="CR814" s="200"/>
      <c r="CS814" s="522"/>
      <c r="CT814" s="200"/>
      <c r="CU814" s="223"/>
      <c r="CV814" s="223"/>
      <c r="CW814" s="223"/>
      <c r="CX814" s="223"/>
      <c r="CY814" s="223"/>
      <c r="CZ814" s="223"/>
      <c r="DA814" s="223"/>
      <c r="DB814" s="200"/>
      <c r="DC814" s="522"/>
      <c r="DD814" s="200"/>
      <c r="DE814" s="223"/>
      <c r="DF814" s="223"/>
      <c r="DG814" s="223"/>
      <c r="DH814" s="223"/>
      <c r="DI814" s="223"/>
      <c r="DJ814" s="223"/>
      <c r="DK814" s="200"/>
      <c r="DL814" s="200"/>
      <c r="DM814" s="522"/>
      <c r="DN814" s="200"/>
      <c r="DO814" s="223"/>
      <c r="DP814" s="223"/>
      <c r="DQ814" s="223"/>
      <c r="DR814" s="223"/>
      <c r="DS814" s="223"/>
      <c r="DT814" s="223"/>
      <c r="DU814" s="200"/>
      <c r="DV814" s="200"/>
      <c r="DW814" s="522"/>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2"/>
      <c r="R815" s="200"/>
      <c r="S815" s="223"/>
      <c r="T815" s="223"/>
      <c r="U815" s="223"/>
      <c r="V815" s="223"/>
      <c r="W815" s="223"/>
      <c r="X815" s="223"/>
      <c r="Y815" s="200"/>
      <c r="Z815" s="200"/>
      <c r="AA815" s="522"/>
      <c r="AB815" s="200"/>
      <c r="AC815" s="223"/>
      <c r="AD815" s="223"/>
      <c r="AE815" s="223"/>
      <c r="AF815" s="223"/>
      <c r="AG815" s="223"/>
      <c r="AH815" s="223"/>
      <c r="AI815" s="200"/>
      <c r="AJ815" s="200"/>
      <c r="AK815" s="522"/>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2"/>
      <c r="BF815" s="200"/>
      <c r="BG815" s="223"/>
      <c r="BH815" s="223"/>
      <c r="BI815" s="223"/>
      <c r="BJ815" s="223"/>
      <c r="BK815" s="223"/>
      <c r="BL815" s="223"/>
      <c r="BM815" s="200"/>
      <c r="BN815" s="200"/>
      <c r="BO815" s="522"/>
      <c r="BP815" s="200"/>
      <c r="BQ815" s="223"/>
      <c r="BR815" s="223"/>
      <c r="BS815" s="223"/>
      <c r="BT815" s="223"/>
      <c r="BU815" s="223"/>
      <c r="BV815" s="223"/>
      <c r="BW815" s="223"/>
      <c r="BX815" s="200"/>
      <c r="BY815" s="522"/>
      <c r="BZ815" s="200"/>
      <c r="CA815" s="223"/>
      <c r="CB815" s="223"/>
      <c r="CC815" s="223"/>
      <c r="CD815" s="223"/>
      <c r="CE815" s="223"/>
      <c r="CF815" s="223"/>
      <c r="CG815" s="200"/>
      <c r="CH815" s="200"/>
      <c r="CI815" s="522"/>
      <c r="CJ815" s="200"/>
      <c r="CK815" s="223"/>
      <c r="CL815" s="223"/>
      <c r="CM815" s="223"/>
      <c r="CN815" s="223"/>
      <c r="CO815" s="223"/>
      <c r="CP815" s="223"/>
      <c r="CQ815" s="200"/>
      <c r="CR815" s="200"/>
      <c r="CS815" s="522"/>
      <c r="CT815" s="200"/>
      <c r="CU815" s="223"/>
      <c r="CV815" s="223"/>
      <c r="CW815" s="223"/>
      <c r="CX815" s="223"/>
      <c r="CY815" s="223"/>
      <c r="CZ815" s="223"/>
      <c r="DA815" s="223"/>
      <c r="DB815" s="200"/>
      <c r="DC815" s="522"/>
      <c r="DD815" s="200"/>
      <c r="DE815" s="223"/>
      <c r="DF815" s="223"/>
      <c r="DG815" s="223"/>
      <c r="DH815" s="223"/>
      <c r="DI815" s="223"/>
      <c r="DJ815" s="223"/>
      <c r="DK815" s="200"/>
      <c r="DL815" s="200"/>
      <c r="DM815" s="522"/>
      <c r="DN815" s="200"/>
      <c r="DO815" s="223"/>
      <c r="DP815" s="223"/>
      <c r="DQ815" s="223"/>
      <c r="DR815" s="223"/>
      <c r="DS815" s="223"/>
      <c r="DT815" s="223"/>
      <c r="DU815" s="200"/>
      <c r="DV815" s="200"/>
      <c r="DW815" s="522"/>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2"/>
      <c r="R816" s="200"/>
      <c r="S816" s="223"/>
      <c r="T816" s="223"/>
      <c r="U816" s="223"/>
      <c r="V816" s="223"/>
      <c r="W816" s="223"/>
      <c r="X816" s="223"/>
      <c r="Y816" s="200"/>
      <c r="Z816" s="200"/>
      <c r="AA816" s="522"/>
      <c r="AB816" s="200"/>
      <c r="AC816" s="223"/>
      <c r="AD816" s="223"/>
      <c r="AE816" s="223"/>
      <c r="AF816" s="223"/>
      <c r="AG816" s="223"/>
      <c r="AH816" s="223"/>
      <c r="AI816" s="200"/>
      <c r="AJ816" s="200"/>
      <c r="AK816" s="522"/>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2"/>
      <c r="BF816" s="200"/>
      <c r="BG816" s="223"/>
      <c r="BH816" s="223"/>
      <c r="BI816" s="223"/>
      <c r="BJ816" s="223"/>
      <c r="BK816" s="223"/>
      <c r="BL816" s="223"/>
      <c r="BM816" s="200"/>
      <c r="BN816" s="200"/>
      <c r="BO816" s="522"/>
      <c r="BP816" s="200"/>
      <c r="BQ816" s="223"/>
      <c r="BR816" s="223"/>
      <c r="BS816" s="223"/>
      <c r="BT816" s="223"/>
      <c r="BU816" s="223"/>
      <c r="BV816" s="223"/>
      <c r="BW816" s="223"/>
      <c r="BX816" s="200"/>
      <c r="BY816" s="522"/>
      <c r="BZ816" s="200"/>
      <c r="CA816" s="223"/>
      <c r="CB816" s="223"/>
      <c r="CC816" s="223"/>
      <c r="CD816" s="223"/>
      <c r="CE816" s="223"/>
      <c r="CF816" s="223"/>
      <c r="CG816" s="200"/>
      <c r="CH816" s="200"/>
      <c r="CI816" s="522"/>
      <c r="CJ816" s="200"/>
      <c r="CK816" s="223"/>
      <c r="CL816" s="223"/>
      <c r="CM816" s="223"/>
      <c r="CN816" s="223"/>
      <c r="CO816" s="223"/>
      <c r="CP816" s="223"/>
      <c r="CQ816" s="200"/>
      <c r="CR816" s="200"/>
      <c r="CS816" s="522"/>
      <c r="CT816" s="200"/>
      <c r="CU816" s="223"/>
      <c r="CV816" s="223"/>
      <c r="CW816" s="223"/>
      <c r="CX816" s="223"/>
      <c r="CY816" s="223"/>
      <c r="CZ816" s="223"/>
      <c r="DA816" s="223"/>
      <c r="DB816" s="200"/>
      <c r="DC816" s="522"/>
      <c r="DD816" s="200"/>
      <c r="DE816" s="223"/>
      <c r="DF816" s="223"/>
      <c r="DG816" s="223"/>
      <c r="DH816" s="223"/>
      <c r="DI816" s="223"/>
      <c r="DJ816" s="223"/>
      <c r="DK816" s="200"/>
      <c r="DL816" s="200"/>
      <c r="DM816" s="522"/>
      <c r="DN816" s="200"/>
      <c r="DO816" s="223"/>
      <c r="DP816" s="223"/>
      <c r="DQ816" s="223"/>
      <c r="DR816" s="223"/>
      <c r="DS816" s="223"/>
      <c r="DT816" s="223"/>
      <c r="DU816" s="200"/>
      <c r="DV816" s="200"/>
      <c r="DW816" s="522"/>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2"/>
      <c r="R817" s="200"/>
      <c r="S817" s="223"/>
      <c r="T817" s="223"/>
      <c r="U817" s="223"/>
      <c r="V817" s="223"/>
      <c r="W817" s="223"/>
      <c r="X817" s="223"/>
      <c r="Y817" s="200"/>
      <c r="Z817" s="200"/>
      <c r="AA817" s="522"/>
      <c r="AB817" s="200"/>
      <c r="AC817" s="223"/>
      <c r="AD817" s="223"/>
      <c r="AE817" s="223"/>
      <c r="AF817" s="223"/>
      <c r="AG817" s="223"/>
      <c r="AH817" s="223"/>
      <c r="AI817" s="200"/>
      <c r="AJ817" s="200"/>
      <c r="AK817" s="522"/>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2"/>
      <c r="BF817" s="200"/>
      <c r="BG817" s="223"/>
      <c r="BH817" s="223"/>
      <c r="BI817" s="223"/>
      <c r="BJ817" s="223"/>
      <c r="BK817" s="223"/>
      <c r="BL817" s="223"/>
      <c r="BM817" s="200"/>
      <c r="BN817" s="200"/>
      <c r="BO817" s="522"/>
      <c r="BP817" s="200"/>
      <c r="BQ817" s="223"/>
      <c r="BR817" s="223"/>
      <c r="BS817" s="223"/>
      <c r="BT817" s="223"/>
      <c r="BU817" s="223"/>
      <c r="BV817" s="223"/>
      <c r="BW817" s="223"/>
      <c r="BX817" s="200"/>
      <c r="BY817" s="522"/>
      <c r="BZ817" s="200"/>
      <c r="CA817" s="223"/>
      <c r="CB817" s="223"/>
      <c r="CC817" s="223"/>
      <c r="CD817" s="223"/>
      <c r="CE817" s="223"/>
      <c r="CF817" s="223"/>
      <c r="CG817" s="200"/>
      <c r="CH817" s="200"/>
      <c r="CI817" s="522"/>
      <c r="CJ817" s="200"/>
      <c r="CK817" s="223"/>
      <c r="CL817" s="223"/>
      <c r="CM817" s="223"/>
      <c r="CN817" s="223"/>
      <c r="CO817" s="223"/>
      <c r="CP817" s="223"/>
      <c r="CQ817" s="200"/>
      <c r="CR817" s="200"/>
      <c r="CS817" s="522"/>
      <c r="CT817" s="200"/>
      <c r="CU817" s="223"/>
      <c r="CV817" s="223"/>
      <c r="CW817" s="223"/>
      <c r="CX817" s="223"/>
      <c r="CY817" s="223"/>
      <c r="CZ817" s="223"/>
      <c r="DA817" s="223"/>
      <c r="DB817" s="200"/>
      <c r="DC817" s="522"/>
      <c r="DD817" s="200"/>
      <c r="DE817" s="223"/>
      <c r="DF817" s="223"/>
      <c r="DG817" s="223"/>
      <c r="DH817" s="223"/>
      <c r="DI817" s="223"/>
      <c r="DJ817" s="223"/>
      <c r="DK817" s="200"/>
      <c r="DL817" s="200"/>
      <c r="DM817" s="522"/>
      <c r="DN817" s="200"/>
      <c r="DO817" s="223"/>
      <c r="DP817" s="223"/>
      <c r="DQ817" s="223"/>
      <c r="DR817" s="223"/>
      <c r="DS817" s="223"/>
      <c r="DT817" s="223"/>
      <c r="DU817" s="200"/>
      <c r="DV817" s="200"/>
      <c r="DW817" s="522"/>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2"/>
      <c r="R818" s="200"/>
      <c r="S818" s="223"/>
      <c r="T818" s="223"/>
      <c r="U818" s="223"/>
      <c r="V818" s="223"/>
      <c r="W818" s="223"/>
      <c r="X818" s="223"/>
      <c r="Y818" s="200"/>
      <c r="Z818" s="200"/>
      <c r="AA818" s="522"/>
      <c r="AB818" s="200"/>
      <c r="AC818" s="223"/>
      <c r="AD818" s="223"/>
      <c r="AE818" s="223"/>
      <c r="AF818" s="223"/>
      <c r="AG818" s="223"/>
      <c r="AH818" s="223"/>
      <c r="AI818" s="200"/>
      <c r="AJ818" s="200"/>
      <c r="AK818" s="522"/>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2"/>
      <c r="BF818" s="200"/>
      <c r="BG818" s="223"/>
      <c r="BH818" s="223"/>
      <c r="BI818" s="223"/>
      <c r="BJ818" s="223"/>
      <c r="BK818" s="223"/>
      <c r="BL818" s="223"/>
      <c r="BM818" s="200"/>
      <c r="BN818" s="200"/>
      <c r="BO818" s="522"/>
      <c r="BP818" s="200"/>
      <c r="BQ818" s="223"/>
      <c r="BR818" s="223"/>
      <c r="BS818" s="223"/>
      <c r="BT818" s="223"/>
      <c r="BU818" s="223"/>
      <c r="BV818" s="223"/>
      <c r="BW818" s="223"/>
      <c r="BX818" s="200"/>
      <c r="BY818" s="522"/>
      <c r="BZ818" s="200"/>
      <c r="CA818" s="223"/>
      <c r="CB818" s="223"/>
      <c r="CC818" s="223"/>
      <c r="CD818" s="223"/>
      <c r="CE818" s="223"/>
      <c r="CF818" s="223"/>
      <c r="CG818" s="200"/>
      <c r="CH818" s="200"/>
      <c r="CI818" s="522"/>
      <c r="CJ818" s="200"/>
      <c r="CK818" s="223"/>
      <c r="CL818" s="223"/>
      <c r="CM818" s="223"/>
      <c r="CN818" s="223"/>
      <c r="CO818" s="223"/>
      <c r="CP818" s="223"/>
      <c r="CQ818" s="200"/>
      <c r="CR818" s="200"/>
      <c r="CS818" s="522"/>
      <c r="CT818" s="200"/>
      <c r="CU818" s="223"/>
      <c r="CV818" s="223"/>
      <c r="CW818" s="223"/>
      <c r="CX818" s="223"/>
      <c r="CY818" s="223"/>
      <c r="CZ818" s="223"/>
      <c r="DA818" s="223"/>
      <c r="DB818" s="200"/>
      <c r="DC818" s="522"/>
      <c r="DD818" s="200"/>
      <c r="DE818" s="223"/>
      <c r="DF818" s="223"/>
      <c r="DG818" s="223"/>
      <c r="DH818" s="223"/>
      <c r="DI818" s="223"/>
      <c r="DJ818" s="223"/>
      <c r="DK818" s="200"/>
      <c r="DL818" s="200"/>
      <c r="DM818" s="522"/>
      <c r="DN818" s="200"/>
      <c r="DO818" s="223"/>
      <c r="DP818" s="223"/>
      <c r="DQ818" s="223"/>
      <c r="DR818" s="223"/>
      <c r="DS818" s="223"/>
      <c r="DT818" s="223"/>
      <c r="DU818" s="200"/>
      <c r="DV818" s="200"/>
      <c r="DW818" s="522"/>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2"/>
      <c r="R819" s="200"/>
      <c r="S819" s="223"/>
      <c r="T819" s="223"/>
      <c r="U819" s="223"/>
      <c r="V819" s="223"/>
      <c r="W819" s="223"/>
      <c r="X819" s="223"/>
      <c r="Y819" s="200"/>
      <c r="Z819" s="200"/>
      <c r="AA819" s="522"/>
      <c r="AB819" s="200"/>
      <c r="AC819" s="223"/>
      <c r="AD819" s="223"/>
      <c r="AE819" s="223"/>
      <c r="AF819" s="223"/>
      <c r="AG819" s="223"/>
      <c r="AH819" s="223"/>
      <c r="AI819" s="200"/>
      <c r="AJ819" s="200"/>
      <c r="AK819" s="522"/>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2"/>
      <c r="BF819" s="200"/>
      <c r="BG819" s="223"/>
      <c r="BH819" s="223"/>
      <c r="BI819" s="223"/>
      <c r="BJ819" s="223"/>
      <c r="BK819" s="223"/>
      <c r="BL819" s="223"/>
      <c r="BM819" s="200"/>
      <c r="BN819" s="200"/>
      <c r="BO819" s="522"/>
      <c r="BP819" s="200"/>
      <c r="BQ819" s="223"/>
      <c r="BR819" s="223"/>
      <c r="BS819" s="223"/>
      <c r="BT819" s="223"/>
      <c r="BU819" s="223"/>
      <c r="BV819" s="223"/>
      <c r="BW819" s="223"/>
      <c r="BX819" s="200"/>
      <c r="BY819" s="522"/>
      <c r="BZ819" s="200"/>
      <c r="CA819" s="223"/>
      <c r="CB819" s="223"/>
      <c r="CC819" s="223"/>
      <c r="CD819" s="223"/>
      <c r="CE819" s="223"/>
      <c r="CF819" s="223"/>
      <c r="CG819" s="200"/>
      <c r="CH819" s="200"/>
      <c r="CI819" s="522"/>
      <c r="CJ819" s="200"/>
      <c r="CK819" s="223"/>
      <c r="CL819" s="223"/>
      <c r="CM819" s="223"/>
      <c r="CN819" s="223"/>
      <c r="CO819" s="223"/>
      <c r="CP819" s="223"/>
      <c r="CQ819" s="200"/>
      <c r="CR819" s="200"/>
      <c r="CS819" s="522"/>
      <c r="CT819" s="200"/>
      <c r="CU819" s="223"/>
      <c r="CV819" s="223"/>
      <c r="CW819" s="223"/>
      <c r="CX819" s="223"/>
      <c r="CY819" s="223"/>
      <c r="CZ819" s="223"/>
      <c r="DA819" s="223"/>
      <c r="DB819" s="200"/>
      <c r="DC819" s="522"/>
      <c r="DD819" s="200"/>
      <c r="DE819" s="223"/>
      <c r="DF819" s="223"/>
      <c r="DG819" s="223"/>
      <c r="DH819" s="223"/>
      <c r="DI819" s="223"/>
      <c r="DJ819" s="223"/>
      <c r="DK819" s="200"/>
      <c r="DL819" s="200"/>
      <c r="DM819" s="522"/>
      <c r="DN819" s="200"/>
      <c r="DO819" s="223"/>
      <c r="DP819" s="223"/>
      <c r="DQ819" s="223"/>
      <c r="DR819" s="223"/>
      <c r="DS819" s="223"/>
      <c r="DT819" s="223"/>
      <c r="DU819" s="200"/>
      <c r="DV819" s="200"/>
      <c r="DW819" s="522"/>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2"/>
      <c r="R820" s="200"/>
      <c r="S820" s="223"/>
      <c r="T820" s="223"/>
      <c r="U820" s="223"/>
      <c r="V820" s="223"/>
      <c r="W820" s="223"/>
      <c r="X820" s="223"/>
      <c r="Y820" s="200"/>
      <c r="Z820" s="200"/>
      <c r="AA820" s="522"/>
      <c r="AB820" s="200"/>
      <c r="AC820" s="223"/>
      <c r="AD820" s="223"/>
      <c r="AE820" s="223"/>
      <c r="AF820" s="223"/>
      <c r="AG820" s="223"/>
      <c r="AH820" s="223"/>
      <c r="AI820" s="200"/>
      <c r="AJ820" s="200"/>
      <c r="AK820" s="522"/>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2"/>
      <c r="BF820" s="200"/>
      <c r="BG820" s="223"/>
      <c r="BH820" s="223"/>
      <c r="BI820" s="223"/>
      <c r="BJ820" s="223"/>
      <c r="BK820" s="223"/>
      <c r="BL820" s="223"/>
      <c r="BM820" s="200"/>
      <c r="BN820" s="200"/>
      <c r="BO820" s="522"/>
      <c r="BP820" s="200"/>
      <c r="BQ820" s="223"/>
      <c r="BR820" s="223"/>
      <c r="BS820" s="223"/>
      <c r="BT820" s="223"/>
      <c r="BU820" s="223"/>
      <c r="BV820" s="223"/>
      <c r="BW820" s="223"/>
      <c r="BX820" s="200"/>
      <c r="BY820" s="522"/>
      <c r="BZ820" s="200"/>
      <c r="CA820" s="223"/>
      <c r="CB820" s="223"/>
      <c r="CC820" s="223"/>
      <c r="CD820" s="223"/>
      <c r="CE820" s="223"/>
      <c r="CF820" s="223"/>
      <c r="CG820" s="200"/>
      <c r="CH820" s="200"/>
      <c r="CI820" s="522"/>
      <c r="CJ820" s="200"/>
      <c r="CK820" s="223"/>
      <c r="CL820" s="223"/>
      <c r="CM820" s="223"/>
      <c r="CN820" s="223"/>
      <c r="CO820" s="223"/>
      <c r="CP820" s="223"/>
      <c r="CQ820" s="200"/>
      <c r="CR820" s="200"/>
      <c r="CS820" s="522"/>
      <c r="CT820" s="200"/>
      <c r="CU820" s="223"/>
      <c r="CV820" s="223"/>
      <c r="CW820" s="223"/>
      <c r="CX820" s="223"/>
      <c r="CY820" s="223"/>
      <c r="CZ820" s="223"/>
      <c r="DA820" s="223"/>
      <c r="DB820" s="200"/>
      <c r="DC820" s="522"/>
      <c r="DD820" s="200"/>
      <c r="DE820" s="223"/>
      <c r="DF820" s="223"/>
      <c r="DG820" s="223"/>
      <c r="DH820" s="223"/>
      <c r="DI820" s="223"/>
      <c r="DJ820" s="223"/>
      <c r="DK820" s="200"/>
      <c r="DL820" s="200"/>
      <c r="DM820" s="522"/>
      <c r="DN820" s="200"/>
      <c r="DO820" s="223"/>
      <c r="DP820" s="223"/>
      <c r="DQ820" s="223"/>
      <c r="DR820" s="223"/>
      <c r="DS820" s="223"/>
      <c r="DT820" s="223"/>
      <c r="DU820" s="200"/>
      <c r="DV820" s="200"/>
      <c r="DW820" s="522"/>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2"/>
      <c r="R821" s="200"/>
      <c r="S821" s="223"/>
      <c r="T821" s="223"/>
      <c r="U821" s="223"/>
      <c r="V821" s="223"/>
      <c r="W821" s="223"/>
      <c r="X821" s="223"/>
      <c r="Y821" s="200"/>
      <c r="Z821" s="200"/>
      <c r="AA821" s="522"/>
      <c r="AB821" s="200"/>
      <c r="AC821" s="223"/>
      <c r="AD821" s="223"/>
      <c r="AE821" s="223"/>
      <c r="AF821" s="223"/>
      <c r="AG821" s="223"/>
      <c r="AH821" s="223"/>
      <c r="AI821" s="200"/>
      <c r="AJ821" s="200"/>
      <c r="AK821" s="522"/>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2"/>
      <c r="BF821" s="200"/>
      <c r="BG821" s="223"/>
      <c r="BH821" s="223"/>
      <c r="BI821" s="223"/>
      <c r="BJ821" s="223"/>
      <c r="BK821" s="223"/>
      <c r="BL821" s="223"/>
      <c r="BM821" s="200"/>
      <c r="BN821" s="200"/>
      <c r="BO821" s="522"/>
      <c r="BP821" s="200"/>
      <c r="BQ821" s="223"/>
      <c r="BR821" s="223"/>
      <c r="BS821" s="223"/>
      <c r="BT821" s="223"/>
      <c r="BU821" s="223"/>
      <c r="BV821" s="223"/>
      <c r="BW821" s="223"/>
      <c r="BX821" s="200"/>
      <c r="BY821" s="522"/>
      <c r="BZ821" s="200"/>
      <c r="CA821" s="223"/>
      <c r="CB821" s="223"/>
      <c r="CC821" s="223"/>
      <c r="CD821" s="223"/>
      <c r="CE821" s="223"/>
      <c r="CF821" s="223"/>
      <c r="CG821" s="200"/>
      <c r="CH821" s="200"/>
      <c r="CI821" s="522"/>
      <c r="CJ821" s="200"/>
      <c r="CK821" s="223"/>
      <c r="CL821" s="223"/>
      <c r="CM821" s="223"/>
      <c r="CN821" s="223"/>
      <c r="CO821" s="223"/>
      <c r="CP821" s="223"/>
      <c r="CQ821" s="200"/>
      <c r="CR821" s="200"/>
      <c r="CS821" s="522"/>
      <c r="CT821" s="200"/>
      <c r="CU821" s="223"/>
      <c r="CV821" s="223"/>
      <c r="CW821" s="223"/>
      <c r="CX821" s="223"/>
      <c r="CY821" s="223"/>
      <c r="CZ821" s="223"/>
      <c r="DA821" s="223"/>
      <c r="DB821" s="200"/>
      <c r="DC821" s="522"/>
      <c r="DD821" s="200"/>
      <c r="DE821" s="223"/>
      <c r="DF821" s="223"/>
      <c r="DG821" s="223"/>
      <c r="DH821" s="223"/>
      <c r="DI821" s="223"/>
      <c r="DJ821" s="223"/>
      <c r="DK821" s="200"/>
      <c r="DL821" s="200"/>
      <c r="DM821" s="522"/>
      <c r="DN821" s="200"/>
      <c r="DO821" s="223"/>
      <c r="DP821" s="223"/>
      <c r="DQ821" s="223"/>
      <c r="DR821" s="223"/>
      <c r="DS821" s="223"/>
      <c r="DT821" s="223"/>
      <c r="DU821" s="200"/>
      <c r="DV821" s="200"/>
      <c r="DW821" s="522"/>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2"/>
      <c r="R822" s="200"/>
      <c r="S822" s="223"/>
      <c r="T822" s="223"/>
      <c r="U822" s="223"/>
      <c r="V822" s="223"/>
      <c r="W822" s="223"/>
      <c r="X822" s="223"/>
      <c r="Y822" s="200"/>
      <c r="Z822" s="200"/>
      <c r="AA822" s="522"/>
      <c r="AB822" s="200"/>
      <c r="AC822" s="223"/>
      <c r="AD822" s="223"/>
      <c r="AE822" s="223"/>
      <c r="AF822" s="223"/>
      <c r="AG822" s="223"/>
      <c r="AH822" s="223"/>
      <c r="AI822" s="200"/>
      <c r="AJ822" s="200"/>
      <c r="AK822" s="522"/>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2"/>
      <c r="BF822" s="200"/>
      <c r="BG822" s="223"/>
      <c r="BH822" s="223"/>
      <c r="BI822" s="223"/>
      <c r="BJ822" s="223"/>
      <c r="BK822" s="223"/>
      <c r="BL822" s="223"/>
      <c r="BM822" s="200"/>
      <c r="BN822" s="200"/>
      <c r="BO822" s="522"/>
      <c r="BP822" s="200"/>
      <c r="BQ822" s="223"/>
      <c r="BR822" s="223"/>
      <c r="BS822" s="223"/>
      <c r="BT822" s="223"/>
      <c r="BU822" s="223"/>
      <c r="BV822" s="223"/>
      <c r="BW822" s="223"/>
      <c r="BX822" s="200"/>
      <c r="BY822" s="522"/>
      <c r="BZ822" s="200"/>
      <c r="CA822" s="223"/>
      <c r="CB822" s="223"/>
      <c r="CC822" s="223"/>
      <c r="CD822" s="223"/>
      <c r="CE822" s="223"/>
      <c r="CF822" s="223"/>
      <c r="CG822" s="200"/>
      <c r="CH822" s="200"/>
      <c r="CI822" s="522"/>
      <c r="CJ822" s="200"/>
      <c r="CK822" s="223"/>
      <c r="CL822" s="223"/>
      <c r="CM822" s="223"/>
      <c r="CN822" s="223"/>
      <c r="CO822" s="223"/>
      <c r="CP822" s="223"/>
      <c r="CQ822" s="200"/>
      <c r="CR822" s="200"/>
      <c r="CS822" s="522"/>
      <c r="CT822" s="200"/>
      <c r="CU822" s="223"/>
      <c r="CV822" s="223"/>
      <c r="CW822" s="223"/>
      <c r="CX822" s="223"/>
      <c r="CY822" s="223"/>
      <c r="CZ822" s="223"/>
      <c r="DA822" s="223"/>
      <c r="DB822" s="200"/>
      <c r="DC822" s="522"/>
      <c r="DD822" s="200"/>
      <c r="DE822" s="223"/>
      <c r="DF822" s="223"/>
      <c r="DG822" s="223"/>
      <c r="DH822" s="223"/>
      <c r="DI822" s="223"/>
      <c r="DJ822" s="223"/>
      <c r="DK822" s="200"/>
      <c r="DL822" s="200"/>
      <c r="DM822" s="522"/>
      <c r="DN822" s="200"/>
      <c r="DO822" s="223"/>
      <c r="DP822" s="223"/>
      <c r="DQ822" s="223"/>
      <c r="DR822" s="223"/>
      <c r="DS822" s="223"/>
      <c r="DT822" s="223"/>
      <c r="DU822" s="200"/>
      <c r="DV822" s="200"/>
      <c r="DW822" s="522"/>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2"/>
      <c r="R823" s="200"/>
      <c r="S823" s="223"/>
      <c r="T823" s="223"/>
      <c r="U823" s="223"/>
      <c r="V823" s="223"/>
      <c r="W823" s="223"/>
      <c r="X823" s="223"/>
      <c r="Y823" s="200"/>
      <c r="Z823" s="200"/>
      <c r="AA823" s="522"/>
      <c r="AB823" s="200"/>
      <c r="AC823" s="223"/>
      <c r="AD823" s="223"/>
      <c r="AE823" s="223"/>
      <c r="AF823" s="223"/>
      <c r="AG823" s="223"/>
      <c r="AH823" s="223"/>
      <c r="AI823" s="200"/>
      <c r="AJ823" s="200"/>
      <c r="AK823" s="522"/>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2"/>
      <c r="BF823" s="200"/>
      <c r="BG823" s="223"/>
      <c r="BH823" s="223"/>
      <c r="BI823" s="223"/>
      <c r="BJ823" s="223"/>
      <c r="BK823" s="223"/>
      <c r="BL823" s="223"/>
      <c r="BM823" s="200"/>
      <c r="BN823" s="200"/>
      <c r="BO823" s="522"/>
      <c r="BP823" s="200"/>
      <c r="BQ823" s="223"/>
      <c r="BR823" s="223"/>
      <c r="BS823" s="223"/>
      <c r="BT823" s="223"/>
      <c r="BU823" s="223"/>
      <c r="BV823" s="223"/>
      <c r="BW823" s="223"/>
      <c r="BX823" s="200"/>
      <c r="BY823" s="522"/>
      <c r="BZ823" s="200"/>
      <c r="CA823" s="223"/>
      <c r="CB823" s="223"/>
      <c r="CC823" s="223"/>
      <c r="CD823" s="223"/>
      <c r="CE823" s="223"/>
      <c r="CF823" s="223"/>
      <c r="CG823" s="200"/>
      <c r="CH823" s="200"/>
      <c r="CI823" s="522"/>
      <c r="CJ823" s="200"/>
      <c r="CK823" s="223"/>
      <c r="CL823" s="223"/>
      <c r="CM823" s="223"/>
      <c r="CN823" s="223"/>
      <c r="CO823" s="223"/>
      <c r="CP823" s="223"/>
      <c r="CQ823" s="200"/>
      <c r="CR823" s="200"/>
      <c r="CS823" s="522"/>
      <c r="CT823" s="200"/>
      <c r="CU823" s="223"/>
      <c r="CV823" s="223"/>
      <c r="CW823" s="223"/>
      <c r="CX823" s="223"/>
      <c r="CY823" s="223"/>
      <c r="CZ823" s="223"/>
      <c r="DA823" s="223"/>
      <c r="DB823" s="200"/>
      <c r="DC823" s="522"/>
      <c r="DD823" s="200"/>
      <c r="DE823" s="223"/>
      <c r="DF823" s="223"/>
      <c r="DG823" s="223"/>
      <c r="DH823" s="223"/>
      <c r="DI823" s="223"/>
      <c r="DJ823" s="223"/>
      <c r="DK823" s="200"/>
      <c r="DL823" s="200"/>
      <c r="DM823" s="522"/>
      <c r="DN823" s="200"/>
      <c r="DO823" s="223"/>
      <c r="DP823" s="223"/>
      <c r="DQ823" s="223"/>
      <c r="DR823" s="223"/>
      <c r="DS823" s="223"/>
      <c r="DT823" s="223"/>
      <c r="DU823" s="200"/>
      <c r="DV823" s="200"/>
      <c r="DW823" s="522"/>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2"/>
      <c r="R824" s="200"/>
      <c r="S824" s="223"/>
      <c r="T824" s="223"/>
      <c r="U824" s="223"/>
      <c r="V824" s="223"/>
      <c r="W824" s="223"/>
      <c r="X824" s="223"/>
      <c r="Y824" s="200"/>
      <c r="Z824" s="200"/>
      <c r="AA824" s="522"/>
      <c r="AB824" s="200"/>
      <c r="AC824" s="223"/>
      <c r="AD824" s="223"/>
      <c r="AE824" s="223"/>
      <c r="AF824" s="223"/>
      <c r="AG824" s="223"/>
      <c r="AH824" s="223"/>
      <c r="AI824" s="200"/>
      <c r="AJ824" s="200"/>
      <c r="AK824" s="522"/>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2"/>
      <c r="BF824" s="200"/>
      <c r="BG824" s="223"/>
      <c r="BH824" s="223"/>
      <c r="BI824" s="223"/>
      <c r="BJ824" s="223"/>
      <c r="BK824" s="223"/>
      <c r="BL824" s="223"/>
      <c r="BM824" s="200"/>
      <c r="BN824" s="200"/>
      <c r="BO824" s="522"/>
      <c r="BP824" s="200"/>
      <c r="BQ824" s="223"/>
      <c r="BR824" s="223"/>
      <c r="BS824" s="223"/>
      <c r="BT824" s="223"/>
      <c r="BU824" s="223"/>
      <c r="BV824" s="223"/>
      <c r="BW824" s="223"/>
      <c r="BX824" s="200"/>
      <c r="BY824" s="522"/>
      <c r="BZ824" s="200"/>
      <c r="CA824" s="223"/>
      <c r="CB824" s="223"/>
      <c r="CC824" s="223"/>
      <c r="CD824" s="223"/>
      <c r="CE824" s="223"/>
      <c r="CF824" s="223"/>
      <c r="CG824" s="200"/>
      <c r="CH824" s="200"/>
      <c r="CI824" s="522"/>
      <c r="CJ824" s="200"/>
      <c r="CK824" s="223"/>
      <c r="CL824" s="223"/>
      <c r="CM824" s="223"/>
      <c r="CN824" s="223"/>
      <c r="CO824" s="223"/>
      <c r="CP824" s="223"/>
      <c r="CQ824" s="200"/>
      <c r="CR824" s="200"/>
      <c r="CS824" s="522"/>
      <c r="CT824" s="200"/>
      <c r="CU824" s="223"/>
      <c r="CV824" s="223"/>
      <c r="CW824" s="223"/>
      <c r="CX824" s="223"/>
      <c r="CY824" s="223"/>
      <c r="CZ824" s="223"/>
      <c r="DA824" s="223"/>
      <c r="DB824" s="200"/>
      <c r="DC824" s="522"/>
      <c r="DD824" s="200"/>
      <c r="DE824" s="223"/>
      <c r="DF824" s="223"/>
      <c r="DG824" s="223"/>
      <c r="DH824" s="223"/>
      <c r="DI824" s="223"/>
      <c r="DJ824" s="223"/>
      <c r="DK824" s="200"/>
      <c r="DL824" s="200"/>
      <c r="DM824" s="522"/>
      <c r="DN824" s="200"/>
      <c r="DO824" s="223"/>
      <c r="DP824" s="223"/>
      <c r="DQ824" s="223"/>
      <c r="DR824" s="223"/>
      <c r="DS824" s="223"/>
      <c r="DT824" s="223"/>
      <c r="DU824" s="200"/>
      <c r="DV824" s="200"/>
      <c r="DW824" s="522"/>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2"/>
      <c r="R825" s="200"/>
      <c r="S825" s="223"/>
      <c r="T825" s="223"/>
      <c r="U825" s="223"/>
      <c r="V825" s="223"/>
      <c r="W825" s="223"/>
      <c r="X825" s="223"/>
      <c r="Y825" s="200"/>
      <c r="Z825" s="200"/>
      <c r="AA825" s="522"/>
      <c r="AB825" s="200"/>
      <c r="AC825" s="223"/>
      <c r="AD825" s="223"/>
      <c r="AE825" s="223"/>
      <c r="AF825" s="223"/>
      <c r="AG825" s="223"/>
      <c r="AH825" s="223"/>
      <c r="AI825" s="200"/>
      <c r="AJ825" s="200"/>
      <c r="AK825" s="522"/>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2"/>
      <c r="BF825" s="200"/>
      <c r="BG825" s="223"/>
      <c r="BH825" s="223"/>
      <c r="BI825" s="223"/>
      <c r="BJ825" s="223"/>
      <c r="BK825" s="223"/>
      <c r="BL825" s="223"/>
      <c r="BM825" s="200"/>
      <c r="BN825" s="200"/>
      <c r="BO825" s="522"/>
      <c r="BP825" s="200"/>
      <c r="BQ825" s="223"/>
      <c r="BR825" s="223"/>
      <c r="BS825" s="223"/>
      <c r="BT825" s="223"/>
      <c r="BU825" s="223"/>
      <c r="BV825" s="223"/>
      <c r="BW825" s="223"/>
      <c r="BX825" s="200"/>
      <c r="BY825" s="522"/>
      <c r="BZ825" s="200"/>
      <c r="CA825" s="223"/>
      <c r="CB825" s="223"/>
      <c r="CC825" s="223"/>
      <c r="CD825" s="223"/>
      <c r="CE825" s="223"/>
      <c r="CF825" s="223"/>
      <c r="CG825" s="200"/>
      <c r="CH825" s="200"/>
      <c r="CI825" s="522"/>
      <c r="CJ825" s="200"/>
      <c r="CK825" s="223"/>
      <c r="CL825" s="223"/>
      <c r="CM825" s="223"/>
      <c r="CN825" s="223"/>
      <c r="CO825" s="223"/>
      <c r="CP825" s="223"/>
      <c r="CQ825" s="200"/>
      <c r="CR825" s="200"/>
      <c r="CS825" s="522"/>
      <c r="CT825" s="200"/>
      <c r="CU825" s="223"/>
      <c r="CV825" s="223"/>
      <c r="CW825" s="223"/>
      <c r="CX825" s="223"/>
      <c r="CY825" s="223"/>
      <c r="CZ825" s="223"/>
      <c r="DA825" s="223"/>
      <c r="DB825" s="200"/>
      <c r="DC825" s="522"/>
      <c r="DD825" s="200"/>
      <c r="DE825" s="223"/>
      <c r="DF825" s="223"/>
      <c r="DG825" s="223"/>
      <c r="DH825" s="223"/>
      <c r="DI825" s="223"/>
      <c r="DJ825" s="223"/>
      <c r="DK825" s="200"/>
      <c r="DL825" s="200"/>
      <c r="DM825" s="522"/>
      <c r="DN825" s="200"/>
      <c r="DO825" s="223"/>
      <c r="DP825" s="223"/>
      <c r="DQ825" s="223"/>
      <c r="DR825" s="223"/>
      <c r="DS825" s="223"/>
      <c r="DT825" s="223"/>
      <c r="DU825" s="200"/>
      <c r="DV825" s="200"/>
      <c r="DW825" s="522"/>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2"/>
      <c r="R826" s="200"/>
      <c r="S826" s="223"/>
      <c r="T826" s="223"/>
      <c r="U826" s="223"/>
      <c r="V826" s="223"/>
      <c r="W826" s="223"/>
      <c r="X826" s="223"/>
      <c r="Y826" s="200"/>
      <c r="Z826" s="200"/>
      <c r="AA826" s="522"/>
      <c r="AB826" s="200"/>
      <c r="AC826" s="223"/>
      <c r="AD826" s="223"/>
      <c r="AE826" s="223"/>
      <c r="AF826" s="223"/>
      <c r="AG826" s="223"/>
      <c r="AH826" s="223"/>
      <c r="AI826" s="200"/>
      <c r="AJ826" s="200"/>
      <c r="AK826" s="522"/>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2"/>
      <c r="BF826" s="200"/>
      <c r="BG826" s="223"/>
      <c r="BH826" s="223"/>
      <c r="BI826" s="223"/>
      <c r="BJ826" s="223"/>
      <c r="BK826" s="223"/>
      <c r="BL826" s="223"/>
      <c r="BM826" s="200"/>
      <c r="BN826" s="200"/>
      <c r="BO826" s="522"/>
      <c r="BP826" s="200"/>
      <c r="BQ826" s="223"/>
      <c r="BR826" s="223"/>
      <c r="BS826" s="223"/>
      <c r="BT826" s="223"/>
      <c r="BU826" s="223"/>
      <c r="BV826" s="223"/>
      <c r="BW826" s="223"/>
      <c r="BX826" s="200"/>
      <c r="BY826" s="522"/>
      <c r="BZ826" s="200"/>
      <c r="CA826" s="223"/>
      <c r="CB826" s="223"/>
      <c r="CC826" s="223"/>
      <c r="CD826" s="223"/>
      <c r="CE826" s="223"/>
      <c r="CF826" s="223"/>
      <c r="CG826" s="200"/>
      <c r="CH826" s="200"/>
      <c r="CI826" s="522"/>
      <c r="CJ826" s="200"/>
      <c r="CK826" s="223"/>
      <c r="CL826" s="223"/>
      <c r="CM826" s="223"/>
      <c r="CN826" s="223"/>
      <c r="CO826" s="223"/>
      <c r="CP826" s="223"/>
      <c r="CQ826" s="200"/>
      <c r="CR826" s="200"/>
      <c r="CS826" s="522"/>
      <c r="CT826" s="200"/>
      <c r="CU826" s="223"/>
      <c r="CV826" s="223"/>
      <c r="CW826" s="223"/>
      <c r="CX826" s="223"/>
      <c r="CY826" s="223"/>
      <c r="CZ826" s="223"/>
      <c r="DA826" s="223"/>
      <c r="DB826" s="200"/>
      <c r="DC826" s="522"/>
      <c r="DD826" s="200"/>
      <c r="DE826" s="223"/>
      <c r="DF826" s="223"/>
      <c r="DG826" s="223"/>
      <c r="DH826" s="223"/>
      <c r="DI826" s="223"/>
      <c r="DJ826" s="223"/>
      <c r="DK826" s="200"/>
      <c r="DL826" s="200"/>
      <c r="DM826" s="522"/>
      <c r="DN826" s="200"/>
      <c r="DO826" s="223"/>
      <c r="DP826" s="223"/>
      <c r="DQ826" s="223"/>
      <c r="DR826" s="223"/>
      <c r="DS826" s="223"/>
      <c r="DT826" s="223"/>
      <c r="DU826" s="200"/>
      <c r="DV826" s="200"/>
      <c r="DW826" s="522"/>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2"/>
      <c r="R827" s="200"/>
      <c r="S827" s="223"/>
      <c r="T827" s="223"/>
      <c r="U827" s="223"/>
      <c r="V827" s="223"/>
      <c r="W827" s="223"/>
      <c r="X827" s="223"/>
      <c r="Y827" s="200"/>
      <c r="Z827" s="200"/>
      <c r="AA827" s="522"/>
      <c r="AB827" s="200"/>
      <c r="AC827" s="223"/>
      <c r="AD827" s="223"/>
      <c r="AE827" s="223"/>
      <c r="AF827" s="223"/>
      <c r="AG827" s="223"/>
      <c r="AH827" s="223"/>
      <c r="AI827" s="200"/>
      <c r="AJ827" s="200"/>
      <c r="AK827" s="522"/>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2"/>
      <c r="BF827" s="200"/>
      <c r="BG827" s="223"/>
      <c r="BH827" s="223"/>
      <c r="BI827" s="223"/>
      <c r="BJ827" s="223"/>
      <c r="BK827" s="223"/>
      <c r="BL827" s="223"/>
      <c r="BM827" s="200"/>
      <c r="BN827" s="200"/>
      <c r="BO827" s="522"/>
      <c r="BP827" s="200"/>
      <c r="BQ827" s="223"/>
      <c r="BR827" s="223"/>
      <c r="BS827" s="223"/>
      <c r="BT827" s="223"/>
      <c r="BU827" s="223"/>
      <c r="BV827" s="223"/>
      <c r="BW827" s="223"/>
      <c r="BX827" s="200"/>
      <c r="BY827" s="522"/>
      <c r="BZ827" s="200"/>
      <c r="CA827" s="223"/>
      <c r="CB827" s="223"/>
      <c r="CC827" s="223"/>
      <c r="CD827" s="223"/>
      <c r="CE827" s="223"/>
      <c r="CF827" s="223"/>
      <c r="CG827" s="200"/>
      <c r="CH827" s="200"/>
      <c r="CI827" s="522"/>
      <c r="CJ827" s="200"/>
      <c r="CK827" s="223"/>
      <c r="CL827" s="223"/>
      <c r="CM827" s="223"/>
      <c r="CN827" s="223"/>
      <c r="CO827" s="223"/>
      <c r="CP827" s="223"/>
      <c r="CQ827" s="200"/>
      <c r="CR827" s="200"/>
      <c r="CS827" s="522"/>
      <c r="CT827" s="200"/>
      <c r="CU827" s="223"/>
      <c r="CV827" s="223"/>
      <c r="CW827" s="223"/>
      <c r="CX827" s="223"/>
      <c r="CY827" s="223"/>
      <c r="CZ827" s="223"/>
      <c r="DA827" s="223"/>
      <c r="DB827" s="200"/>
      <c r="DC827" s="522"/>
      <c r="DD827" s="200"/>
      <c r="DE827" s="223"/>
      <c r="DF827" s="223"/>
      <c r="DG827" s="223"/>
      <c r="DH827" s="223"/>
      <c r="DI827" s="223"/>
      <c r="DJ827" s="223"/>
      <c r="DK827" s="200"/>
      <c r="DL827" s="200"/>
      <c r="DM827" s="522"/>
      <c r="DN827" s="200"/>
      <c r="DO827" s="223"/>
      <c r="DP827" s="223"/>
      <c r="DQ827" s="223"/>
      <c r="DR827" s="223"/>
      <c r="DS827" s="223"/>
      <c r="DT827" s="223"/>
      <c r="DU827" s="200"/>
      <c r="DV827" s="200"/>
      <c r="DW827" s="522"/>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2"/>
      <c r="R828" s="200"/>
      <c r="S828" s="223"/>
      <c r="T828" s="223"/>
      <c r="U828" s="223"/>
      <c r="V828" s="223"/>
      <c r="W828" s="223"/>
      <c r="X828" s="223"/>
      <c r="Y828" s="200"/>
      <c r="Z828" s="200"/>
      <c r="AA828" s="522"/>
      <c r="AB828" s="200"/>
      <c r="AC828" s="223"/>
      <c r="AD828" s="223"/>
      <c r="AE828" s="223"/>
      <c r="AF828" s="223"/>
      <c r="AG828" s="223"/>
      <c r="AH828" s="223"/>
      <c r="AI828" s="200"/>
      <c r="AJ828" s="200"/>
      <c r="AK828" s="522"/>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2"/>
      <c r="BF828" s="200"/>
      <c r="BG828" s="223"/>
      <c r="BH828" s="223"/>
      <c r="BI828" s="223"/>
      <c r="BJ828" s="223"/>
      <c r="BK828" s="223"/>
      <c r="BL828" s="223"/>
      <c r="BM828" s="200"/>
      <c r="BN828" s="200"/>
      <c r="BO828" s="522"/>
      <c r="BP828" s="200"/>
      <c r="BQ828" s="223"/>
      <c r="BR828" s="223"/>
      <c r="BS828" s="223"/>
      <c r="BT828" s="223"/>
      <c r="BU828" s="223"/>
      <c r="BV828" s="223"/>
      <c r="BW828" s="223"/>
      <c r="BX828" s="200"/>
      <c r="BY828" s="522"/>
      <c r="BZ828" s="200"/>
      <c r="CA828" s="223"/>
      <c r="CB828" s="223"/>
      <c r="CC828" s="223"/>
      <c r="CD828" s="223"/>
      <c r="CE828" s="223"/>
      <c r="CF828" s="223"/>
      <c r="CG828" s="200"/>
      <c r="CH828" s="200"/>
      <c r="CI828" s="522"/>
      <c r="CJ828" s="200"/>
      <c r="CK828" s="223"/>
      <c r="CL828" s="223"/>
      <c r="CM828" s="223"/>
      <c r="CN828" s="223"/>
      <c r="CO828" s="223"/>
      <c r="CP828" s="223"/>
      <c r="CQ828" s="200"/>
      <c r="CR828" s="200"/>
      <c r="CS828" s="522"/>
      <c r="CT828" s="200"/>
      <c r="CU828" s="223"/>
      <c r="CV828" s="223"/>
      <c r="CW828" s="223"/>
      <c r="CX828" s="223"/>
      <c r="CY828" s="223"/>
      <c r="CZ828" s="223"/>
      <c r="DA828" s="223"/>
      <c r="DB828" s="200"/>
      <c r="DC828" s="522"/>
      <c r="DD828" s="200"/>
      <c r="DE828" s="223"/>
      <c r="DF828" s="223"/>
      <c r="DG828" s="223"/>
      <c r="DH828" s="223"/>
      <c r="DI828" s="223"/>
      <c r="DJ828" s="223"/>
      <c r="DK828" s="200"/>
      <c r="DL828" s="200"/>
      <c r="DM828" s="522"/>
      <c r="DN828" s="200"/>
      <c r="DO828" s="223"/>
      <c r="DP828" s="223"/>
      <c r="DQ828" s="223"/>
      <c r="DR828" s="223"/>
      <c r="DS828" s="223"/>
      <c r="DT828" s="223"/>
      <c r="DU828" s="200"/>
      <c r="DV828" s="200"/>
      <c r="DW828" s="522"/>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2"/>
      <c r="R829" s="200"/>
      <c r="S829" s="223"/>
      <c r="T829" s="223"/>
      <c r="U829" s="223"/>
      <c r="V829" s="223"/>
      <c r="W829" s="223"/>
      <c r="X829" s="223"/>
      <c r="Y829" s="200"/>
      <c r="Z829" s="200"/>
      <c r="AA829" s="522"/>
      <c r="AB829" s="200"/>
      <c r="AC829" s="223"/>
      <c r="AD829" s="223"/>
      <c r="AE829" s="223"/>
      <c r="AF829" s="223"/>
      <c r="AG829" s="223"/>
      <c r="AH829" s="223"/>
      <c r="AI829" s="200"/>
      <c r="AJ829" s="200"/>
      <c r="AK829" s="522"/>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2"/>
      <c r="BF829" s="200"/>
      <c r="BG829" s="223"/>
      <c r="BH829" s="223"/>
      <c r="BI829" s="223"/>
      <c r="BJ829" s="223"/>
      <c r="BK829" s="223"/>
      <c r="BL829" s="223"/>
      <c r="BM829" s="200"/>
      <c r="BN829" s="200"/>
      <c r="BO829" s="522"/>
      <c r="BP829" s="200"/>
      <c r="BQ829" s="223"/>
      <c r="BR829" s="223"/>
      <c r="BS829" s="223"/>
      <c r="BT829" s="223"/>
      <c r="BU829" s="223"/>
      <c r="BV829" s="223"/>
      <c r="BW829" s="223"/>
      <c r="BX829" s="200"/>
      <c r="BY829" s="522"/>
      <c r="BZ829" s="200"/>
      <c r="CA829" s="223"/>
      <c r="CB829" s="223"/>
      <c r="CC829" s="223"/>
      <c r="CD829" s="223"/>
      <c r="CE829" s="223"/>
      <c r="CF829" s="223"/>
      <c r="CG829" s="200"/>
      <c r="CH829" s="200"/>
      <c r="CI829" s="522"/>
      <c r="CJ829" s="200"/>
      <c r="CK829" s="223"/>
      <c r="CL829" s="223"/>
      <c r="CM829" s="223"/>
      <c r="CN829" s="223"/>
      <c r="CO829" s="223"/>
      <c r="CP829" s="223"/>
      <c r="CQ829" s="200"/>
      <c r="CR829" s="200"/>
      <c r="CS829" s="522"/>
      <c r="CT829" s="200"/>
      <c r="CU829" s="223"/>
      <c r="CV829" s="223"/>
      <c r="CW829" s="223"/>
      <c r="CX829" s="223"/>
      <c r="CY829" s="223"/>
      <c r="CZ829" s="223"/>
      <c r="DA829" s="223"/>
      <c r="DB829" s="200"/>
      <c r="DC829" s="522"/>
      <c r="DD829" s="200"/>
      <c r="DE829" s="223"/>
      <c r="DF829" s="223"/>
      <c r="DG829" s="223"/>
      <c r="DH829" s="223"/>
      <c r="DI829" s="223"/>
      <c r="DJ829" s="223"/>
      <c r="DK829" s="200"/>
      <c r="DL829" s="200"/>
      <c r="DM829" s="522"/>
      <c r="DN829" s="200"/>
      <c r="DO829" s="223"/>
      <c r="DP829" s="223"/>
      <c r="DQ829" s="223"/>
      <c r="DR829" s="223"/>
      <c r="DS829" s="223"/>
      <c r="DT829" s="223"/>
      <c r="DU829" s="200"/>
      <c r="DV829" s="200"/>
      <c r="DW829" s="522"/>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2"/>
      <c r="R830" s="200"/>
      <c r="S830" s="223"/>
      <c r="T830" s="223"/>
      <c r="U830" s="223"/>
      <c r="V830" s="223"/>
      <c r="W830" s="223"/>
      <c r="X830" s="223"/>
      <c r="Y830" s="200"/>
      <c r="Z830" s="200"/>
      <c r="AA830" s="522"/>
      <c r="AB830" s="200"/>
      <c r="AC830" s="223"/>
      <c r="AD830" s="223"/>
      <c r="AE830" s="223"/>
      <c r="AF830" s="223"/>
      <c r="AG830" s="223"/>
      <c r="AH830" s="223"/>
      <c r="AI830" s="200"/>
      <c r="AJ830" s="200"/>
      <c r="AK830" s="522"/>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2"/>
      <c r="BF830" s="200"/>
      <c r="BG830" s="223"/>
      <c r="BH830" s="223"/>
      <c r="BI830" s="223"/>
      <c r="BJ830" s="223"/>
      <c r="BK830" s="223"/>
      <c r="BL830" s="223"/>
      <c r="BM830" s="200"/>
      <c r="BN830" s="200"/>
      <c r="BO830" s="522"/>
      <c r="BP830" s="200"/>
      <c r="BQ830" s="223"/>
      <c r="BR830" s="223"/>
      <c r="BS830" s="223"/>
      <c r="BT830" s="223"/>
      <c r="BU830" s="223"/>
      <c r="BV830" s="223"/>
      <c r="BW830" s="223"/>
      <c r="BX830" s="200"/>
      <c r="BY830" s="522"/>
      <c r="BZ830" s="200"/>
      <c r="CA830" s="223"/>
      <c r="CB830" s="223"/>
      <c r="CC830" s="223"/>
      <c r="CD830" s="223"/>
      <c r="CE830" s="223"/>
      <c r="CF830" s="223"/>
      <c r="CG830" s="200"/>
      <c r="CH830" s="200"/>
      <c r="CI830" s="522"/>
      <c r="CJ830" s="200"/>
      <c r="CK830" s="223"/>
      <c r="CL830" s="223"/>
      <c r="CM830" s="223"/>
      <c r="CN830" s="223"/>
      <c r="CO830" s="223"/>
      <c r="CP830" s="223"/>
      <c r="CQ830" s="200"/>
      <c r="CR830" s="200"/>
      <c r="CS830" s="522"/>
      <c r="CT830" s="200"/>
      <c r="CU830" s="223"/>
      <c r="CV830" s="223"/>
      <c r="CW830" s="223"/>
      <c r="CX830" s="223"/>
      <c r="CY830" s="223"/>
      <c r="CZ830" s="223"/>
      <c r="DA830" s="223"/>
      <c r="DB830" s="200"/>
      <c r="DC830" s="522"/>
      <c r="DD830" s="200"/>
      <c r="DE830" s="223"/>
      <c r="DF830" s="223"/>
      <c r="DG830" s="223"/>
      <c r="DH830" s="223"/>
      <c r="DI830" s="223"/>
      <c r="DJ830" s="223"/>
      <c r="DK830" s="200"/>
      <c r="DL830" s="200"/>
      <c r="DM830" s="522"/>
      <c r="DN830" s="200"/>
      <c r="DO830" s="223"/>
      <c r="DP830" s="223"/>
      <c r="DQ830" s="223"/>
      <c r="DR830" s="223"/>
      <c r="DS830" s="223"/>
      <c r="DT830" s="223"/>
      <c r="DU830" s="200"/>
      <c r="DV830" s="200"/>
      <c r="DW830" s="522"/>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2"/>
      <c r="R831" s="200"/>
      <c r="S831" s="223"/>
      <c r="T831" s="223"/>
      <c r="U831" s="223"/>
      <c r="V831" s="223"/>
      <c r="W831" s="223"/>
      <c r="X831" s="223"/>
      <c r="Y831" s="200"/>
      <c r="Z831" s="200"/>
      <c r="AA831" s="522"/>
      <c r="AB831" s="200"/>
      <c r="AC831" s="223"/>
      <c r="AD831" s="223"/>
      <c r="AE831" s="223"/>
      <c r="AF831" s="223"/>
      <c r="AG831" s="223"/>
      <c r="AH831" s="223"/>
      <c r="AI831" s="200"/>
      <c r="AJ831" s="200"/>
      <c r="AK831" s="522"/>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2"/>
      <c r="BF831" s="200"/>
      <c r="BG831" s="223"/>
      <c r="BH831" s="223"/>
      <c r="BI831" s="223"/>
      <c r="BJ831" s="223"/>
      <c r="BK831" s="223"/>
      <c r="BL831" s="223"/>
      <c r="BM831" s="200"/>
      <c r="BN831" s="200"/>
      <c r="BO831" s="522"/>
      <c r="BP831" s="200"/>
      <c r="BQ831" s="223"/>
      <c r="BR831" s="223"/>
      <c r="BS831" s="223"/>
      <c r="BT831" s="223"/>
      <c r="BU831" s="223"/>
      <c r="BV831" s="223"/>
      <c r="BW831" s="223"/>
      <c r="BX831" s="200"/>
      <c r="BY831" s="522"/>
      <c r="BZ831" s="200"/>
      <c r="CA831" s="223"/>
      <c r="CB831" s="223"/>
      <c r="CC831" s="223"/>
      <c r="CD831" s="223"/>
      <c r="CE831" s="223"/>
      <c r="CF831" s="223"/>
      <c r="CG831" s="200"/>
      <c r="CH831" s="200"/>
      <c r="CI831" s="522"/>
      <c r="CJ831" s="200"/>
      <c r="CK831" s="223"/>
      <c r="CL831" s="223"/>
      <c r="CM831" s="223"/>
      <c r="CN831" s="223"/>
      <c r="CO831" s="223"/>
      <c r="CP831" s="223"/>
      <c r="CQ831" s="200"/>
      <c r="CR831" s="200"/>
      <c r="CS831" s="522"/>
      <c r="CT831" s="200"/>
      <c r="CU831" s="223"/>
      <c r="CV831" s="223"/>
      <c r="CW831" s="223"/>
      <c r="CX831" s="223"/>
      <c r="CY831" s="223"/>
      <c r="CZ831" s="223"/>
      <c r="DA831" s="223"/>
      <c r="DB831" s="200"/>
      <c r="DC831" s="522"/>
      <c r="DD831" s="200"/>
      <c r="DE831" s="223"/>
      <c r="DF831" s="223"/>
      <c r="DG831" s="223"/>
      <c r="DH831" s="223"/>
      <c r="DI831" s="223"/>
      <c r="DJ831" s="223"/>
      <c r="DK831" s="200"/>
      <c r="DL831" s="200"/>
      <c r="DM831" s="522"/>
      <c r="DN831" s="200"/>
      <c r="DO831" s="223"/>
      <c r="DP831" s="223"/>
      <c r="DQ831" s="223"/>
      <c r="DR831" s="223"/>
      <c r="DS831" s="223"/>
      <c r="DT831" s="223"/>
      <c r="DU831" s="200"/>
      <c r="DV831" s="200"/>
      <c r="DW831" s="522"/>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2"/>
      <c r="R832" s="200"/>
      <c r="S832" s="223"/>
      <c r="T832" s="223"/>
      <c r="U832" s="223"/>
      <c r="V832" s="223"/>
      <c r="W832" s="223"/>
      <c r="X832" s="223"/>
      <c r="Y832" s="200"/>
      <c r="Z832" s="200"/>
      <c r="AA832" s="522"/>
      <c r="AB832" s="200"/>
      <c r="AC832" s="223"/>
      <c r="AD832" s="223"/>
      <c r="AE832" s="223"/>
      <c r="AF832" s="223"/>
      <c r="AG832" s="223"/>
      <c r="AH832" s="223"/>
      <c r="AI832" s="200"/>
      <c r="AJ832" s="200"/>
      <c r="AK832" s="522"/>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2"/>
      <c r="BF832" s="200"/>
      <c r="BG832" s="223"/>
      <c r="BH832" s="223"/>
      <c r="BI832" s="223"/>
      <c r="BJ832" s="223"/>
      <c r="BK832" s="223"/>
      <c r="BL832" s="223"/>
      <c r="BM832" s="200"/>
      <c r="BN832" s="200"/>
      <c r="BO832" s="522"/>
      <c r="BP832" s="200"/>
      <c r="BQ832" s="223"/>
      <c r="BR832" s="223"/>
      <c r="BS832" s="223"/>
      <c r="BT832" s="223"/>
      <c r="BU832" s="223"/>
      <c r="BV832" s="223"/>
      <c r="BW832" s="223"/>
      <c r="BX832" s="200"/>
      <c r="BY832" s="522"/>
      <c r="BZ832" s="200"/>
      <c r="CA832" s="223"/>
      <c r="CB832" s="223"/>
      <c r="CC832" s="223"/>
      <c r="CD832" s="223"/>
      <c r="CE832" s="223"/>
      <c r="CF832" s="223"/>
      <c r="CG832" s="200"/>
      <c r="CH832" s="200"/>
      <c r="CI832" s="522"/>
      <c r="CJ832" s="200"/>
      <c r="CK832" s="223"/>
      <c r="CL832" s="223"/>
      <c r="CM832" s="223"/>
      <c r="CN832" s="223"/>
      <c r="CO832" s="223"/>
      <c r="CP832" s="223"/>
      <c r="CQ832" s="200"/>
      <c r="CR832" s="200"/>
      <c r="CS832" s="522"/>
      <c r="CT832" s="200"/>
      <c r="CU832" s="223"/>
      <c r="CV832" s="223"/>
      <c r="CW832" s="223"/>
      <c r="CX832" s="223"/>
      <c r="CY832" s="223"/>
      <c r="CZ832" s="223"/>
      <c r="DA832" s="223"/>
      <c r="DB832" s="200"/>
      <c r="DC832" s="522"/>
      <c r="DD832" s="200"/>
      <c r="DE832" s="223"/>
      <c r="DF832" s="223"/>
      <c r="DG832" s="223"/>
      <c r="DH832" s="223"/>
      <c r="DI832" s="223"/>
      <c r="DJ832" s="223"/>
      <c r="DK832" s="200"/>
      <c r="DL832" s="200"/>
      <c r="DM832" s="522"/>
      <c r="DN832" s="200"/>
      <c r="DO832" s="223"/>
      <c r="DP832" s="223"/>
      <c r="DQ832" s="223"/>
      <c r="DR832" s="223"/>
      <c r="DS832" s="223"/>
      <c r="DT832" s="223"/>
      <c r="DU832" s="200"/>
      <c r="DV832" s="200"/>
      <c r="DW832" s="522"/>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2"/>
      <c r="R833" s="200"/>
      <c r="S833" s="223"/>
      <c r="T833" s="223"/>
      <c r="U833" s="223"/>
      <c r="V833" s="223"/>
      <c r="W833" s="223"/>
      <c r="X833" s="223"/>
      <c r="Y833" s="200"/>
      <c r="Z833" s="200"/>
      <c r="AA833" s="522"/>
      <c r="AB833" s="200"/>
      <c r="AC833" s="223"/>
      <c r="AD833" s="223"/>
      <c r="AE833" s="223"/>
      <c r="AF833" s="223"/>
      <c r="AG833" s="223"/>
      <c r="AH833" s="223"/>
      <c r="AI833" s="200"/>
      <c r="AJ833" s="200"/>
      <c r="AK833" s="522"/>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2"/>
      <c r="BF833" s="200"/>
      <c r="BG833" s="223"/>
      <c r="BH833" s="223"/>
      <c r="BI833" s="223"/>
      <c r="BJ833" s="223"/>
      <c r="BK833" s="223"/>
      <c r="BL833" s="223"/>
      <c r="BM833" s="200"/>
      <c r="BN833" s="200"/>
      <c r="BO833" s="522"/>
      <c r="BP833" s="200"/>
      <c r="BQ833" s="223"/>
      <c r="BR833" s="223"/>
      <c r="BS833" s="223"/>
      <c r="BT833" s="223"/>
      <c r="BU833" s="223"/>
      <c r="BV833" s="223"/>
      <c r="BW833" s="223"/>
      <c r="BX833" s="200"/>
      <c r="BY833" s="522"/>
      <c r="BZ833" s="200"/>
      <c r="CA833" s="223"/>
      <c r="CB833" s="223"/>
      <c r="CC833" s="223"/>
      <c r="CD833" s="223"/>
      <c r="CE833" s="223"/>
      <c r="CF833" s="223"/>
      <c r="CG833" s="200"/>
      <c r="CH833" s="200"/>
      <c r="CI833" s="522"/>
      <c r="CJ833" s="200"/>
      <c r="CK833" s="223"/>
      <c r="CL833" s="223"/>
      <c r="CM833" s="223"/>
      <c r="CN833" s="223"/>
      <c r="CO833" s="223"/>
      <c r="CP833" s="223"/>
      <c r="CQ833" s="200"/>
      <c r="CR833" s="200"/>
      <c r="CS833" s="522"/>
      <c r="CT833" s="200"/>
      <c r="CU833" s="223"/>
      <c r="CV833" s="223"/>
      <c r="CW833" s="223"/>
      <c r="CX833" s="223"/>
      <c r="CY833" s="223"/>
      <c r="CZ833" s="223"/>
      <c r="DA833" s="223"/>
      <c r="DB833" s="200"/>
      <c r="DC833" s="522"/>
      <c r="DD833" s="200"/>
      <c r="DE833" s="223"/>
      <c r="DF833" s="223"/>
      <c r="DG833" s="223"/>
      <c r="DH833" s="223"/>
      <c r="DI833" s="223"/>
      <c r="DJ833" s="223"/>
      <c r="DK833" s="200"/>
      <c r="DL833" s="200"/>
      <c r="DM833" s="522"/>
      <c r="DN833" s="200"/>
      <c r="DO833" s="223"/>
      <c r="DP833" s="223"/>
      <c r="DQ833" s="223"/>
      <c r="DR833" s="223"/>
      <c r="DS833" s="223"/>
      <c r="DT833" s="223"/>
      <c r="DU833" s="200"/>
      <c r="DV833" s="200"/>
      <c r="DW833" s="522"/>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2"/>
      <c r="R834" s="200"/>
      <c r="S834" s="223"/>
      <c r="T834" s="223"/>
      <c r="U834" s="223"/>
      <c r="V834" s="223"/>
      <c r="W834" s="223"/>
      <c r="X834" s="223"/>
      <c r="Y834" s="200"/>
      <c r="Z834" s="200"/>
      <c r="AA834" s="522"/>
      <c r="AB834" s="200"/>
      <c r="AC834" s="223"/>
      <c r="AD834" s="223"/>
      <c r="AE834" s="223"/>
      <c r="AF834" s="223"/>
      <c r="AG834" s="223"/>
      <c r="AH834" s="223"/>
      <c r="AI834" s="200"/>
      <c r="AJ834" s="200"/>
      <c r="AK834" s="522"/>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2"/>
      <c r="BF834" s="200"/>
      <c r="BG834" s="223"/>
      <c r="BH834" s="223"/>
      <c r="BI834" s="223"/>
      <c r="BJ834" s="223"/>
      <c r="BK834" s="223"/>
      <c r="BL834" s="223"/>
      <c r="BM834" s="200"/>
      <c r="BN834" s="200"/>
      <c r="BO834" s="522"/>
      <c r="BP834" s="200"/>
      <c r="BQ834" s="223"/>
      <c r="BR834" s="223"/>
      <c r="BS834" s="223"/>
      <c r="BT834" s="223"/>
      <c r="BU834" s="223"/>
      <c r="BV834" s="223"/>
      <c r="BW834" s="223"/>
      <c r="BX834" s="200"/>
      <c r="BY834" s="522"/>
      <c r="BZ834" s="200"/>
      <c r="CA834" s="223"/>
      <c r="CB834" s="223"/>
      <c r="CC834" s="223"/>
      <c r="CD834" s="223"/>
      <c r="CE834" s="223"/>
      <c r="CF834" s="223"/>
      <c r="CG834" s="200"/>
      <c r="CH834" s="200"/>
      <c r="CI834" s="522"/>
      <c r="CJ834" s="200"/>
      <c r="CK834" s="223"/>
      <c r="CL834" s="223"/>
      <c r="CM834" s="223"/>
      <c r="CN834" s="223"/>
      <c r="CO834" s="223"/>
      <c r="CP834" s="223"/>
      <c r="CQ834" s="200"/>
      <c r="CR834" s="200"/>
      <c r="CS834" s="522"/>
      <c r="CT834" s="200"/>
      <c r="CU834" s="223"/>
      <c r="CV834" s="223"/>
      <c r="CW834" s="223"/>
      <c r="CX834" s="223"/>
      <c r="CY834" s="223"/>
      <c r="CZ834" s="223"/>
      <c r="DA834" s="223"/>
      <c r="DB834" s="200"/>
      <c r="DC834" s="522"/>
      <c r="DD834" s="200"/>
      <c r="DE834" s="223"/>
      <c r="DF834" s="223"/>
      <c r="DG834" s="223"/>
      <c r="DH834" s="223"/>
      <c r="DI834" s="223"/>
      <c r="DJ834" s="223"/>
      <c r="DK834" s="200"/>
      <c r="DL834" s="200"/>
      <c r="DM834" s="522"/>
      <c r="DN834" s="200"/>
      <c r="DO834" s="223"/>
      <c r="DP834" s="223"/>
      <c r="DQ834" s="223"/>
      <c r="DR834" s="223"/>
      <c r="DS834" s="223"/>
      <c r="DT834" s="223"/>
      <c r="DU834" s="200"/>
      <c r="DV834" s="200"/>
      <c r="DW834" s="522"/>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2"/>
      <c r="R835" s="200"/>
      <c r="S835" s="223"/>
      <c r="T835" s="223"/>
      <c r="U835" s="223"/>
      <c r="V835" s="223"/>
      <c r="W835" s="223"/>
      <c r="X835" s="223"/>
      <c r="Y835" s="200"/>
      <c r="Z835" s="200"/>
      <c r="AA835" s="522"/>
      <c r="AB835" s="200"/>
      <c r="AC835" s="223"/>
      <c r="AD835" s="223"/>
      <c r="AE835" s="223"/>
      <c r="AF835" s="223"/>
      <c r="AG835" s="223"/>
      <c r="AH835" s="223"/>
      <c r="AI835" s="200"/>
      <c r="AJ835" s="200"/>
      <c r="AK835" s="522"/>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2"/>
      <c r="BF835" s="200"/>
      <c r="BG835" s="223"/>
      <c r="BH835" s="223"/>
      <c r="BI835" s="223"/>
      <c r="BJ835" s="223"/>
      <c r="BK835" s="223"/>
      <c r="BL835" s="223"/>
      <c r="BM835" s="200"/>
      <c r="BN835" s="200"/>
      <c r="BO835" s="522"/>
      <c r="BP835" s="200"/>
      <c r="BQ835" s="223"/>
      <c r="BR835" s="223"/>
      <c r="BS835" s="223"/>
      <c r="BT835" s="223"/>
      <c r="BU835" s="223"/>
      <c r="BV835" s="223"/>
      <c r="BW835" s="223"/>
      <c r="BX835" s="200"/>
      <c r="BY835" s="522"/>
      <c r="BZ835" s="200"/>
      <c r="CA835" s="223"/>
      <c r="CB835" s="223"/>
      <c r="CC835" s="223"/>
      <c r="CD835" s="223"/>
      <c r="CE835" s="223"/>
      <c r="CF835" s="223"/>
      <c r="CG835" s="200"/>
      <c r="CH835" s="200"/>
      <c r="CI835" s="522"/>
      <c r="CJ835" s="200"/>
      <c r="CK835" s="223"/>
      <c r="CL835" s="223"/>
      <c r="CM835" s="223"/>
      <c r="CN835" s="223"/>
      <c r="CO835" s="223"/>
      <c r="CP835" s="223"/>
      <c r="CQ835" s="200"/>
      <c r="CR835" s="200"/>
      <c r="CS835" s="522"/>
      <c r="CT835" s="200"/>
      <c r="CU835" s="223"/>
      <c r="CV835" s="223"/>
      <c r="CW835" s="223"/>
      <c r="CX835" s="223"/>
      <c r="CY835" s="223"/>
      <c r="CZ835" s="223"/>
      <c r="DA835" s="223"/>
      <c r="DB835" s="200"/>
      <c r="DC835" s="522"/>
      <c r="DD835" s="200"/>
      <c r="DE835" s="223"/>
      <c r="DF835" s="223"/>
      <c r="DG835" s="223"/>
      <c r="DH835" s="223"/>
      <c r="DI835" s="223"/>
      <c r="DJ835" s="223"/>
      <c r="DK835" s="200"/>
      <c r="DL835" s="200"/>
      <c r="DM835" s="522"/>
      <c r="DN835" s="200"/>
      <c r="DO835" s="223"/>
      <c r="DP835" s="223"/>
      <c r="DQ835" s="223"/>
      <c r="DR835" s="223"/>
      <c r="DS835" s="223"/>
      <c r="DT835" s="223"/>
      <c r="DU835" s="200"/>
      <c r="DV835" s="200"/>
      <c r="DW835" s="522"/>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2"/>
      <c r="R836" s="200"/>
      <c r="S836" s="223"/>
      <c r="T836" s="223"/>
      <c r="U836" s="223"/>
      <c r="V836" s="223"/>
      <c r="W836" s="223"/>
      <c r="X836" s="223"/>
      <c r="Y836" s="200"/>
      <c r="Z836" s="200"/>
      <c r="AA836" s="522"/>
      <c r="AB836" s="200"/>
      <c r="AC836" s="223"/>
      <c r="AD836" s="223"/>
      <c r="AE836" s="223"/>
      <c r="AF836" s="223"/>
      <c r="AG836" s="223"/>
      <c r="AH836" s="223"/>
      <c r="AI836" s="200"/>
      <c r="AJ836" s="200"/>
      <c r="AK836" s="522"/>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2"/>
      <c r="BF836" s="200"/>
      <c r="BG836" s="223"/>
      <c r="BH836" s="223"/>
      <c r="BI836" s="223"/>
      <c r="BJ836" s="223"/>
      <c r="BK836" s="223"/>
      <c r="BL836" s="223"/>
      <c r="BM836" s="200"/>
      <c r="BN836" s="200"/>
      <c r="BO836" s="522"/>
      <c r="BP836" s="200"/>
      <c r="BQ836" s="223"/>
      <c r="BR836" s="223"/>
      <c r="BS836" s="223"/>
      <c r="BT836" s="223"/>
      <c r="BU836" s="223"/>
      <c r="BV836" s="223"/>
      <c r="BW836" s="223"/>
      <c r="BX836" s="200"/>
      <c r="BY836" s="522"/>
      <c r="BZ836" s="200"/>
      <c r="CA836" s="223"/>
      <c r="CB836" s="223"/>
      <c r="CC836" s="223"/>
      <c r="CD836" s="223"/>
      <c r="CE836" s="223"/>
      <c r="CF836" s="223"/>
      <c r="CG836" s="200"/>
      <c r="CH836" s="200"/>
      <c r="CI836" s="522"/>
      <c r="CJ836" s="200"/>
      <c r="CK836" s="223"/>
      <c r="CL836" s="223"/>
      <c r="CM836" s="223"/>
      <c r="CN836" s="223"/>
      <c r="CO836" s="223"/>
      <c r="CP836" s="223"/>
      <c r="CQ836" s="200"/>
      <c r="CR836" s="200"/>
      <c r="CS836" s="522"/>
      <c r="CT836" s="200"/>
      <c r="CU836" s="223"/>
      <c r="CV836" s="223"/>
      <c r="CW836" s="223"/>
      <c r="CX836" s="223"/>
      <c r="CY836" s="223"/>
      <c r="CZ836" s="223"/>
      <c r="DA836" s="223"/>
      <c r="DB836" s="200"/>
      <c r="DC836" s="522"/>
      <c r="DD836" s="200"/>
      <c r="DE836" s="223"/>
      <c r="DF836" s="223"/>
      <c r="DG836" s="223"/>
      <c r="DH836" s="223"/>
      <c r="DI836" s="223"/>
      <c r="DJ836" s="223"/>
      <c r="DK836" s="200"/>
      <c r="DL836" s="200"/>
      <c r="DM836" s="522"/>
      <c r="DN836" s="200"/>
      <c r="DO836" s="223"/>
      <c r="DP836" s="223"/>
      <c r="DQ836" s="223"/>
      <c r="DR836" s="223"/>
      <c r="DS836" s="223"/>
      <c r="DT836" s="223"/>
      <c r="DU836" s="200"/>
      <c r="DV836" s="200"/>
      <c r="DW836" s="522"/>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2"/>
      <c r="R837" s="200"/>
      <c r="S837" s="223"/>
      <c r="T837" s="223"/>
      <c r="U837" s="223"/>
      <c r="V837" s="223"/>
      <c r="W837" s="223"/>
      <c r="X837" s="223"/>
      <c r="Y837" s="200"/>
      <c r="Z837" s="200"/>
      <c r="AA837" s="522"/>
      <c r="AB837" s="200"/>
      <c r="AC837" s="223"/>
      <c r="AD837" s="223"/>
      <c r="AE837" s="223"/>
      <c r="AF837" s="223"/>
      <c r="AG837" s="223"/>
      <c r="AH837" s="223"/>
      <c r="AI837" s="200"/>
      <c r="AJ837" s="200"/>
      <c r="AK837" s="522"/>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2"/>
      <c r="BF837" s="200"/>
      <c r="BG837" s="223"/>
      <c r="BH837" s="223"/>
      <c r="BI837" s="223"/>
      <c r="BJ837" s="223"/>
      <c r="BK837" s="223"/>
      <c r="BL837" s="223"/>
      <c r="BM837" s="200"/>
      <c r="BN837" s="200"/>
      <c r="BO837" s="522"/>
      <c r="BP837" s="200"/>
      <c r="BQ837" s="223"/>
      <c r="BR837" s="223"/>
      <c r="BS837" s="223"/>
      <c r="BT837" s="223"/>
      <c r="BU837" s="223"/>
      <c r="BV837" s="223"/>
      <c r="BW837" s="223"/>
      <c r="BX837" s="200"/>
      <c r="BY837" s="522"/>
      <c r="BZ837" s="200"/>
      <c r="CA837" s="223"/>
      <c r="CB837" s="223"/>
      <c r="CC837" s="223"/>
      <c r="CD837" s="223"/>
      <c r="CE837" s="223"/>
      <c r="CF837" s="223"/>
      <c r="CG837" s="200"/>
      <c r="CH837" s="200"/>
      <c r="CI837" s="522"/>
      <c r="CJ837" s="200"/>
      <c r="CK837" s="223"/>
      <c r="CL837" s="223"/>
      <c r="CM837" s="223"/>
      <c r="CN837" s="223"/>
      <c r="CO837" s="223"/>
      <c r="CP837" s="223"/>
      <c r="CQ837" s="200"/>
      <c r="CR837" s="200"/>
      <c r="CS837" s="522"/>
      <c r="CT837" s="200"/>
      <c r="CU837" s="223"/>
      <c r="CV837" s="223"/>
      <c r="CW837" s="223"/>
      <c r="CX837" s="223"/>
      <c r="CY837" s="223"/>
      <c r="CZ837" s="223"/>
      <c r="DA837" s="223"/>
      <c r="DB837" s="200"/>
      <c r="DC837" s="522"/>
      <c r="DD837" s="200"/>
      <c r="DE837" s="223"/>
      <c r="DF837" s="223"/>
      <c r="DG837" s="223"/>
      <c r="DH837" s="223"/>
      <c r="DI837" s="223"/>
      <c r="DJ837" s="223"/>
      <c r="DK837" s="200"/>
      <c r="DL837" s="200"/>
      <c r="DM837" s="522"/>
      <c r="DN837" s="200"/>
      <c r="DO837" s="223"/>
      <c r="DP837" s="223"/>
      <c r="DQ837" s="223"/>
      <c r="DR837" s="223"/>
      <c r="DS837" s="223"/>
      <c r="DT837" s="223"/>
      <c r="DU837" s="200"/>
      <c r="DV837" s="200"/>
      <c r="DW837" s="522"/>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2"/>
      <c r="R838" s="200"/>
      <c r="S838" s="223"/>
      <c r="T838" s="223"/>
      <c r="U838" s="223"/>
      <c r="V838" s="223"/>
      <c r="W838" s="223"/>
      <c r="X838" s="223"/>
      <c r="Y838" s="200"/>
      <c r="Z838" s="200"/>
      <c r="AA838" s="522"/>
      <c r="AB838" s="200"/>
      <c r="AC838" s="223"/>
      <c r="AD838" s="223"/>
      <c r="AE838" s="223"/>
      <c r="AF838" s="223"/>
      <c r="AG838" s="223"/>
      <c r="AH838" s="223"/>
      <c r="AI838" s="200"/>
      <c r="AJ838" s="200"/>
      <c r="AK838" s="522"/>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2"/>
      <c r="BF838" s="200"/>
      <c r="BG838" s="223"/>
      <c r="BH838" s="223"/>
      <c r="BI838" s="223"/>
      <c r="BJ838" s="223"/>
      <c r="BK838" s="223"/>
      <c r="BL838" s="223"/>
      <c r="BM838" s="200"/>
      <c r="BN838" s="200"/>
      <c r="BO838" s="522"/>
      <c r="BP838" s="200"/>
      <c r="BQ838" s="223"/>
      <c r="BR838" s="223"/>
      <c r="BS838" s="223"/>
      <c r="BT838" s="223"/>
      <c r="BU838" s="223"/>
      <c r="BV838" s="223"/>
      <c r="BW838" s="223"/>
      <c r="BX838" s="200"/>
      <c r="BY838" s="522"/>
      <c r="BZ838" s="200"/>
      <c r="CA838" s="223"/>
      <c r="CB838" s="223"/>
      <c r="CC838" s="223"/>
      <c r="CD838" s="223"/>
      <c r="CE838" s="223"/>
      <c r="CF838" s="223"/>
      <c r="CG838" s="200"/>
      <c r="CH838" s="200"/>
      <c r="CI838" s="522"/>
      <c r="CJ838" s="200"/>
      <c r="CK838" s="223"/>
      <c r="CL838" s="223"/>
      <c r="CM838" s="223"/>
      <c r="CN838" s="223"/>
      <c r="CO838" s="223"/>
      <c r="CP838" s="223"/>
      <c r="CQ838" s="200"/>
      <c r="CR838" s="200"/>
      <c r="CS838" s="522"/>
      <c r="CT838" s="200"/>
      <c r="CU838" s="223"/>
      <c r="CV838" s="223"/>
      <c r="CW838" s="223"/>
      <c r="CX838" s="223"/>
      <c r="CY838" s="223"/>
      <c r="CZ838" s="223"/>
      <c r="DA838" s="223"/>
      <c r="DB838" s="200"/>
      <c r="DC838" s="522"/>
      <c r="DD838" s="200"/>
      <c r="DE838" s="223"/>
      <c r="DF838" s="223"/>
      <c r="DG838" s="223"/>
      <c r="DH838" s="223"/>
      <c r="DI838" s="223"/>
      <c r="DJ838" s="223"/>
      <c r="DK838" s="200"/>
      <c r="DL838" s="200"/>
      <c r="DM838" s="522"/>
      <c r="DN838" s="200"/>
      <c r="DO838" s="223"/>
      <c r="DP838" s="223"/>
      <c r="DQ838" s="223"/>
      <c r="DR838" s="223"/>
      <c r="DS838" s="223"/>
      <c r="DT838" s="223"/>
      <c r="DU838" s="200"/>
      <c r="DV838" s="200"/>
      <c r="DW838" s="522"/>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2"/>
      <c r="R839" s="200"/>
      <c r="S839" s="223"/>
      <c r="T839" s="223"/>
      <c r="U839" s="223"/>
      <c r="V839" s="223"/>
      <c r="W839" s="223"/>
      <c r="X839" s="223"/>
      <c r="Y839" s="200"/>
      <c r="Z839" s="200"/>
      <c r="AA839" s="522"/>
      <c r="AB839" s="200"/>
      <c r="AC839" s="223"/>
      <c r="AD839" s="223"/>
      <c r="AE839" s="223"/>
      <c r="AF839" s="223"/>
      <c r="AG839" s="223"/>
      <c r="AH839" s="223"/>
      <c r="AI839" s="200"/>
      <c r="AJ839" s="200"/>
      <c r="AK839" s="522"/>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2"/>
      <c r="BF839" s="200"/>
      <c r="BG839" s="223"/>
      <c r="BH839" s="223"/>
      <c r="BI839" s="223"/>
      <c r="BJ839" s="223"/>
      <c r="BK839" s="223"/>
      <c r="BL839" s="223"/>
      <c r="BM839" s="200"/>
      <c r="BN839" s="200"/>
      <c r="BO839" s="522"/>
      <c r="BP839" s="200"/>
      <c r="BQ839" s="223"/>
      <c r="BR839" s="223"/>
      <c r="BS839" s="223"/>
      <c r="BT839" s="223"/>
      <c r="BU839" s="223"/>
      <c r="BV839" s="223"/>
      <c r="BW839" s="223"/>
      <c r="BX839" s="200"/>
      <c r="BY839" s="522"/>
      <c r="BZ839" s="200"/>
      <c r="CA839" s="223"/>
      <c r="CB839" s="223"/>
      <c r="CC839" s="223"/>
      <c r="CD839" s="223"/>
      <c r="CE839" s="223"/>
      <c r="CF839" s="223"/>
      <c r="CG839" s="200"/>
      <c r="CH839" s="200"/>
      <c r="CI839" s="522"/>
      <c r="CJ839" s="200"/>
      <c r="CK839" s="223"/>
      <c r="CL839" s="223"/>
      <c r="CM839" s="223"/>
      <c r="CN839" s="223"/>
      <c r="CO839" s="223"/>
      <c r="CP839" s="223"/>
      <c r="CQ839" s="200"/>
      <c r="CR839" s="200"/>
      <c r="CS839" s="522"/>
      <c r="CT839" s="200"/>
      <c r="CU839" s="223"/>
      <c r="CV839" s="223"/>
      <c r="CW839" s="223"/>
      <c r="CX839" s="223"/>
      <c r="CY839" s="223"/>
      <c r="CZ839" s="223"/>
      <c r="DA839" s="223"/>
      <c r="DB839" s="200"/>
      <c r="DC839" s="522"/>
      <c r="DD839" s="200"/>
      <c r="DE839" s="223"/>
      <c r="DF839" s="223"/>
      <c r="DG839" s="223"/>
      <c r="DH839" s="223"/>
      <c r="DI839" s="223"/>
      <c r="DJ839" s="223"/>
      <c r="DK839" s="200"/>
      <c r="DL839" s="200"/>
      <c r="DM839" s="522"/>
      <c r="DN839" s="200"/>
      <c r="DO839" s="223"/>
      <c r="DP839" s="223"/>
      <c r="DQ839" s="223"/>
      <c r="DR839" s="223"/>
      <c r="DS839" s="223"/>
      <c r="DT839" s="223"/>
      <c r="DU839" s="200"/>
      <c r="DV839" s="200"/>
      <c r="DW839" s="522"/>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2"/>
      <c r="R840" s="200"/>
      <c r="S840" s="223"/>
      <c r="T840" s="223"/>
      <c r="U840" s="223"/>
      <c r="V840" s="223"/>
      <c r="W840" s="223"/>
      <c r="X840" s="223"/>
      <c r="Y840" s="200"/>
      <c r="Z840" s="200"/>
      <c r="AA840" s="522"/>
      <c r="AB840" s="200"/>
      <c r="AC840" s="223"/>
      <c r="AD840" s="223"/>
      <c r="AE840" s="223"/>
      <c r="AF840" s="223"/>
      <c r="AG840" s="223"/>
      <c r="AH840" s="223"/>
      <c r="AI840" s="200"/>
      <c r="AJ840" s="200"/>
      <c r="AK840" s="522"/>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2"/>
      <c r="BF840" s="200"/>
      <c r="BG840" s="223"/>
      <c r="BH840" s="223"/>
      <c r="BI840" s="223"/>
      <c r="BJ840" s="223"/>
      <c r="BK840" s="223"/>
      <c r="BL840" s="223"/>
      <c r="BM840" s="200"/>
      <c r="BN840" s="200"/>
      <c r="BO840" s="522"/>
      <c r="BP840" s="200"/>
      <c r="BQ840" s="223"/>
      <c r="BR840" s="223"/>
      <c r="BS840" s="223"/>
      <c r="BT840" s="223"/>
      <c r="BU840" s="223"/>
      <c r="BV840" s="223"/>
      <c r="BW840" s="223"/>
      <c r="BX840" s="200"/>
      <c r="BY840" s="522"/>
      <c r="BZ840" s="200"/>
      <c r="CA840" s="223"/>
      <c r="CB840" s="223"/>
      <c r="CC840" s="223"/>
      <c r="CD840" s="223"/>
      <c r="CE840" s="223"/>
      <c r="CF840" s="223"/>
      <c r="CG840" s="200"/>
      <c r="CH840" s="200"/>
      <c r="CI840" s="522"/>
      <c r="CJ840" s="200"/>
      <c r="CK840" s="223"/>
      <c r="CL840" s="223"/>
      <c r="CM840" s="223"/>
      <c r="CN840" s="223"/>
      <c r="CO840" s="223"/>
      <c r="CP840" s="223"/>
      <c r="CQ840" s="200"/>
      <c r="CR840" s="200"/>
      <c r="CS840" s="522"/>
      <c r="CT840" s="200"/>
      <c r="CU840" s="223"/>
      <c r="CV840" s="223"/>
      <c r="CW840" s="223"/>
      <c r="CX840" s="223"/>
      <c r="CY840" s="223"/>
      <c r="CZ840" s="223"/>
      <c r="DA840" s="223"/>
      <c r="DB840" s="200"/>
      <c r="DC840" s="522"/>
      <c r="DD840" s="200"/>
      <c r="DE840" s="223"/>
      <c r="DF840" s="223"/>
      <c r="DG840" s="223"/>
      <c r="DH840" s="223"/>
      <c r="DI840" s="223"/>
      <c r="DJ840" s="223"/>
      <c r="DK840" s="200"/>
      <c r="DL840" s="200"/>
      <c r="DM840" s="522"/>
      <c r="DN840" s="200"/>
      <c r="DO840" s="223"/>
      <c r="DP840" s="223"/>
      <c r="DQ840" s="223"/>
      <c r="DR840" s="223"/>
      <c r="DS840" s="223"/>
      <c r="DT840" s="223"/>
      <c r="DU840" s="200"/>
      <c r="DV840" s="200"/>
      <c r="DW840" s="522"/>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2"/>
      <c r="R841" s="200"/>
      <c r="S841" s="223"/>
      <c r="T841" s="223"/>
      <c r="U841" s="223"/>
      <c r="V841" s="223"/>
      <c r="W841" s="223"/>
      <c r="X841" s="223"/>
      <c r="Y841" s="200"/>
      <c r="Z841" s="200"/>
      <c r="AA841" s="522"/>
      <c r="AB841" s="200"/>
      <c r="AC841" s="223"/>
      <c r="AD841" s="223"/>
      <c r="AE841" s="223"/>
      <c r="AF841" s="223"/>
      <c r="AG841" s="223"/>
      <c r="AH841" s="223"/>
      <c r="AI841" s="200"/>
      <c r="AJ841" s="200"/>
      <c r="AK841" s="522"/>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2"/>
      <c r="BF841" s="200"/>
      <c r="BG841" s="223"/>
      <c r="BH841" s="223"/>
      <c r="BI841" s="223"/>
      <c r="BJ841" s="223"/>
      <c r="BK841" s="223"/>
      <c r="BL841" s="223"/>
      <c r="BM841" s="200"/>
      <c r="BN841" s="200"/>
      <c r="BO841" s="522"/>
      <c r="BP841" s="200"/>
      <c r="BQ841" s="223"/>
      <c r="BR841" s="223"/>
      <c r="BS841" s="223"/>
      <c r="BT841" s="223"/>
      <c r="BU841" s="223"/>
      <c r="BV841" s="223"/>
      <c r="BW841" s="223"/>
      <c r="BX841" s="200"/>
      <c r="BY841" s="522"/>
      <c r="BZ841" s="200"/>
      <c r="CA841" s="223"/>
      <c r="CB841" s="223"/>
      <c r="CC841" s="223"/>
      <c r="CD841" s="223"/>
      <c r="CE841" s="223"/>
      <c r="CF841" s="223"/>
      <c r="CG841" s="200"/>
      <c r="CH841" s="200"/>
      <c r="CI841" s="522"/>
      <c r="CJ841" s="200"/>
      <c r="CK841" s="223"/>
      <c r="CL841" s="223"/>
      <c r="CM841" s="223"/>
      <c r="CN841" s="223"/>
      <c r="CO841" s="223"/>
      <c r="CP841" s="223"/>
      <c r="CQ841" s="200"/>
      <c r="CR841" s="200"/>
      <c r="CS841" s="522"/>
      <c r="CT841" s="200"/>
      <c r="CU841" s="223"/>
      <c r="CV841" s="223"/>
      <c r="CW841" s="223"/>
      <c r="CX841" s="223"/>
      <c r="CY841" s="223"/>
      <c r="CZ841" s="223"/>
      <c r="DA841" s="223"/>
      <c r="DB841" s="200"/>
      <c r="DC841" s="522"/>
      <c r="DD841" s="200"/>
      <c r="DE841" s="223"/>
      <c r="DF841" s="223"/>
      <c r="DG841" s="223"/>
      <c r="DH841" s="223"/>
      <c r="DI841" s="223"/>
      <c r="DJ841" s="223"/>
      <c r="DK841" s="200"/>
      <c r="DL841" s="200"/>
      <c r="DM841" s="522"/>
      <c r="DN841" s="200"/>
      <c r="DO841" s="223"/>
      <c r="DP841" s="223"/>
      <c r="DQ841" s="223"/>
      <c r="DR841" s="223"/>
      <c r="DS841" s="223"/>
      <c r="DT841" s="223"/>
      <c r="DU841" s="200"/>
      <c r="DV841" s="200"/>
      <c r="DW841" s="522"/>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2"/>
      <c r="R842" s="200"/>
      <c r="S842" s="223"/>
      <c r="T842" s="223"/>
      <c r="U842" s="223"/>
      <c r="V842" s="223"/>
      <c r="W842" s="223"/>
      <c r="X842" s="223"/>
      <c r="Y842" s="200"/>
      <c r="Z842" s="200"/>
      <c r="AA842" s="522"/>
      <c r="AB842" s="200"/>
      <c r="AC842" s="223"/>
      <c r="AD842" s="223"/>
      <c r="AE842" s="223"/>
      <c r="AF842" s="223"/>
      <c r="AG842" s="223"/>
      <c r="AH842" s="223"/>
      <c r="AI842" s="200"/>
      <c r="AJ842" s="200"/>
      <c r="AK842" s="522"/>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2"/>
      <c r="BF842" s="200"/>
      <c r="BG842" s="223"/>
      <c r="BH842" s="223"/>
      <c r="BI842" s="223"/>
      <c r="BJ842" s="223"/>
      <c r="BK842" s="223"/>
      <c r="BL842" s="223"/>
      <c r="BM842" s="200"/>
      <c r="BN842" s="200"/>
      <c r="BO842" s="522"/>
      <c r="BP842" s="200"/>
      <c r="BQ842" s="223"/>
      <c r="BR842" s="223"/>
      <c r="BS842" s="223"/>
      <c r="BT842" s="223"/>
      <c r="BU842" s="223"/>
      <c r="BV842" s="223"/>
      <c r="BW842" s="223"/>
      <c r="BX842" s="200"/>
      <c r="BY842" s="522"/>
      <c r="BZ842" s="200"/>
      <c r="CA842" s="223"/>
      <c r="CB842" s="223"/>
      <c r="CC842" s="223"/>
      <c r="CD842" s="223"/>
      <c r="CE842" s="223"/>
      <c r="CF842" s="223"/>
      <c r="CG842" s="200"/>
      <c r="CH842" s="200"/>
      <c r="CI842" s="522"/>
      <c r="CJ842" s="200"/>
      <c r="CK842" s="223"/>
      <c r="CL842" s="223"/>
      <c r="CM842" s="223"/>
      <c r="CN842" s="223"/>
      <c r="CO842" s="223"/>
      <c r="CP842" s="223"/>
      <c r="CQ842" s="200"/>
      <c r="CR842" s="200"/>
      <c r="CS842" s="522"/>
      <c r="CT842" s="200"/>
      <c r="CU842" s="223"/>
      <c r="CV842" s="223"/>
      <c r="CW842" s="223"/>
      <c r="CX842" s="223"/>
      <c r="CY842" s="223"/>
      <c r="CZ842" s="223"/>
      <c r="DA842" s="223"/>
      <c r="DB842" s="200"/>
      <c r="DC842" s="522"/>
      <c r="DD842" s="200"/>
      <c r="DE842" s="223"/>
      <c r="DF842" s="223"/>
      <c r="DG842" s="223"/>
      <c r="DH842" s="223"/>
      <c r="DI842" s="223"/>
      <c r="DJ842" s="223"/>
      <c r="DK842" s="200"/>
      <c r="DL842" s="200"/>
      <c r="DM842" s="522"/>
      <c r="DN842" s="200"/>
      <c r="DO842" s="223"/>
      <c r="DP842" s="223"/>
      <c r="DQ842" s="223"/>
      <c r="DR842" s="223"/>
      <c r="DS842" s="223"/>
      <c r="DT842" s="223"/>
      <c r="DU842" s="200"/>
      <c r="DV842" s="200"/>
      <c r="DW842" s="522"/>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2"/>
      <c r="R843" s="200"/>
      <c r="S843" s="223"/>
      <c r="T843" s="223"/>
      <c r="U843" s="223"/>
      <c r="V843" s="223"/>
      <c r="W843" s="223"/>
      <c r="X843" s="223"/>
      <c r="Y843" s="200"/>
      <c r="Z843" s="200"/>
      <c r="AA843" s="522"/>
      <c r="AB843" s="200"/>
      <c r="AC843" s="223"/>
      <c r="AD843" s="223"/>
      <c r="AE843" s="223"/>
      <c r="AF843" s="223"/>
      <c r="AG843" s="223"/>
      <c r="AH843" s="223"/>
      <c r="AI843" s="200"/>
      <c r="AJ843" s="200"/>
      <c r="AK843" s="522"/>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2"/>
      <c r="BF843" s="200"/>
      <c r="BG843" s="223"/>
      <c r="BH843" s="223"/>
      <c r="BI843" s="223"/>
      <c r="BJ843" s="223"/>
      <c r="BK843" s="223"/>
      <c r="BL843" s="223"/>
      <c r="BM843" s="200"/>
      <c r="BN843" s="200"/>
      <c r="BO843" s="522"/>
      <c r="BP843" s="200"/>
      <c r="BQ843" s="223"/>
      <c r="BR843" s="223"/>
      <c r="BS843" s="223"/>
      <c r="BT843" s="223"/>
      <c r="BU843" s="223"/>
      <c r="BV843" s="223"/>
      <c r="BW843" s="223"/>
      <c r="BX843" s="200"/>
      <c r="BY843" s="522"/>
      <c r="BZ843" s="200"/>
      <c r="CA843" s="223"/>
      <c r="CB843" s="223"/>
      <c r="CC843" s="223"/>
      <c r="CD843" s="223"/>
      <c r="CE843" s="223"/>
      <c r="CF843" s="223"/>
      <c r="CG843" s="200"/>
      <c r="CH843" s="200"/>
      <c r="CI843" s="522"/>
      <c r="CJ843" s="200"/>
      <c r="CK843" s="223"/>
      <c r="CL843" s="223"/>
      <c r="CM843" s="223"/>
      <c r="CN843" s="223"/>
      <c r="CO843" s="223"/>
      <c r="CP843" s="223"/>
      <c r="CQ843" s="200"/>
      <c r="CR843" s="200"/>
      <c r="CS843" s="522"/>
      <c r="CT843" s="200"/>
      <c r="CU843" s="223"/>
      <c r="CV843" s="223"/>
      <c r="CW843" s="223"/>
      <c r="CX843" s="223"/>
      <c r="CY843" s="223"/>
      <c r="CZ843" s="223"/>
      <c r="DA843" s="223"/>
      <c r="DB843" s="200"/>
      <c r="DC843" s="522"/>
      <c r="DD843" s="200"/>
      <c r="DE843" s="223"/>
      <c r="DF843" s="223"/>
      <c r="DG843" s="223"/>
      <c r="DH843" s="223"/>
      <c r="DI843" s="223"/>
      <c r="DJ843" s="223"/>
      <c r="DK843" s="200"/>
      <c r="DL843" s="200"/>
      <c r="DM843" s="522"/>
      <c r="DN843" s="200"/>
      <c r="DO843" s="223"/>
      <c r="DP843" s="223"/>
      <c r="DQ843" s="223"/>
      <c r="DR843" s="223"/>
      <c r="DS843" s="223"/>
      <c r="DT843" s="223"/>
      <c r="DU843" s="200"/>
      <c r="DV843" s="200"/>
      <c r="DW843" s="522"/>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2"/>
      <c r="R844" s="200"/>
      <c r="S844" s="223"/>
      <c r="T844" s="223"/>
      <c r="U844" s="223"/>
      <c r="V844" s="223"/>
      <c r="W844" s="223"/>
      <c r="X844" s="223"/>
      <c r="Y844" s="200"/>
      <c r="Z844" s="200"/>
      <c r="AA844" s="522"/>
      <c r="AB844" s="200"/>
      <c r="AC844" s="223"/>
      <c r="AD844" s="223"/>
      <c r="AE844" s="223"/>
      <c r="AF844" s="223"/>
      <c r="AG844" s="223"/>
      <c r="AH844" s="223"/>
      <c r="AI844" s="200"/>
      <c r="AJ844" s="200"/>
      <c r="AK844" s="522"/>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2"/>
      <c r="BF844" s="200"/>
      <c r="BG844" s="223"/>
      <c r="BH844" s="223"/>
      <c r="BI844" s="223"/>
      <c r="BJ844" s="223"/>
      <c r="BK844" s="223"/>
      <c r="BL844" s="223"/>
      <c r="BM844" s="200"/>
      <c r="BN844" s="200"/>
      <c r="BO844" s="522"/>
      <c r="BP844" s="200"/>
      <c r="BQ844" s="223"/>
      <c r="BR844" s="223"/>
      <c r="BS844" s="223"/>
      <c r="BT844" s="223"/>
      <c r="BU844" s="223"/>
      <c r="BV844" s="223"/>
      <c r="BW844" s="223"/>
      <c r="BX844" s="200"/>
      <c r="BY844" s="522"/>
      <c r="BZ844" s="200"/>
      <c r="CA844" s="223"/>
      <c r="CB844" s="223"/>
      <c r="CC844" s="223"/>
      <c r="CD844" s="223"/>
      <c r="CE844" s="223"/>
      <c r="CF844" s="223"/>
      <c r="CG844" s="200"/>
      <c r="CH844" s="200"/>
      <c r="CI844" s="522"/>
      <c r="CJ844" s="200"/>
      <c r="CK844" s="223"/>
      <c r="CL844" s="223"/>
      <c r="CM844" s="223"/>
      <c r="CN844" s="223"/>
      <c r="CO844" s="223"/>
      <c r="CP844" s="223"/>
      <c r="CQ844" s="200"/>
      <c r="CR844" s="200"/>
      <c r="CS844" s="522"/>
      <c r="CT844" s="200"/>
      <c r="CU844" s="223"/>
      <c r="CV844" s="223"/>
      <c r="CW844" s="223"/>
      <c r="CX844" s="223"/>
      <c r="CY844" s="223"/>
      <c r="CZ844" s="223"/>
      <c r="DA844" s="223"/>
      <c r="DB844" s="200"/>
      <c r="DC844" s="522"/>
      <c r="DD844" s="200"/>
      <c r="DE844" s="223"/>
      <c r="DF844" s="223"/>
      <c r="DG844" s="223"/>
      <c r="DH844" s="223"/>
      <c r="DI844" s="223"/>
      <c r="DJ844" s="223"/>
      <c r="DK844" s="200"/>
      <c r="DL844" s="200"/>
      <c r="DM844" s="522"/>
      <c r="DN844" s="200"/>
      <c r="DO844" s="223"/>
      <c r="DP844" s="223"/>
      <c r="DQ844" s="223"/>
      <c r="DR844" s="223"/>
      <c r="DS844" s="223"/>
      <c r="DT844" s="223"/>
      <c r="DU844" s="200"/>
      <c r="DV844" s="200"/>
      <c r="DW844" s="522"/>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2"/>
      <c r="R845" s="200"/>
      <c r="S845" s="223"/>
      <c r="T845" s="223"/>
      <c r="U845" s="223"/>
      <c r="V845" s="223"/>
      <c r="W845" s="223"/>
      <c r="X845" s="223"/>
      <c r="Y845" s="200"/>
      <c r="Z845" s="200"/>
      <c r="AA845" s="522"/>
      <c r="AB845" s="200"/>
      <c r="AC845" s="223"/>
      <c r="AD845" s="223"/>
      <c r="AE845" s="223"/>
      <c r="AF845" s="223"/>
      <c r="AG845" s="223"/>
      <c r="AH845" s="223"/>
      <c r="AI845" s="200"/>
      <c r="AJ845" s="200"/>
      <c r="AK845" s="522"/>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2"/>
      <c r="BF845" s="200"/>
      <c r="BG845" s="223"/>
      <c r="BH845" s="223"/>
      <c r="BI845" s="223"/>
      <c r="BJ845" s="223"/>
      <c r="BK845" s="223"/>
      <c r="BL845" s="223"/>
      <c r="BM845" s="200"/>
      <c r="BN845" s="200"/>
      <c r="BO845" s="522"/>
      <c r="BP845" s="200"/>
      <c r="BQ845" s="223"/>
      <c r="BR845" s="223"/>
      <c r="BS845" s="223"/>
      <c r="BT845" s="223"/>
      <c r="BU845" s="223"/>
      <c r="BV845" s="223"/>
      <c r="BW845" s="223"/>
      <c r="BX845" s="200"/>
      <c r="BY845" s="522"/>
      <c r="BZ845" s="200"/>
      <c r="CA845" s="223"/>
      <c r="CB845" s="223"/>
      <c r="CC845" s="223"/>
      <c r="CD845" s="223"/>
      <c r="CE845" s="223"/>
      <c r="CF845" s="223"/>
      <c r="CG845" s="200"/>
      <c r="CH845" s="200"/>
      <c r="CI845" s="522"/>
      <c r="CJ845" s="200"/>
      <c r="CK845" s="223"/>
      <c r="CL845" s="223"/>
      <c r="CM845" s="223"/>
      <c r="CN845" s="223"/>
      <c r="CO845" s="223"/>
      <c r="CP845" s="223"/>
      <c r="CQ845" s="200"/>
      <c r="CR845" s="200"/>
      <c r="CS845" s="522"/>
      <c r="CT845" s="200"/>
      <c r="CU845" s="223"/>
      <c r="CV845" s="223"/>
      <c r="CW845" s="223"/>
      <c r="CX845" s="223"/>
      <c r="CY845" s="223"/>
      <c r="CZ845" s="223"/>
      <c r="DA845" s="223"/>
      <c r="DB845" s="200"/>
      <c r="DC845" s="522"/>
      <c r="DD845" s="200"/>
      <c r="DE845" s="223"/>
      <c r="DF845" s="223"/>
      <c r="DG845" s="223"/>
      <c r="DH845" s="223"/>
      <c r="DI845" s="223"/>
      <c r="DJ845" s="223"/>
      <c r="DK845" s="200"/>
      <c r="DL845" s="200"/>
      <c r="DM845" s="522"/>
      <c r="DN845" s="200"/>
      <c r="DO845" s="223"/>
      <c r="DP845" s="223"/>
      <c r="DQ845" s="223"/>
      <c r="DR845" s="223"/>
      <c r="DS845" s="223"/>
      <c r="DT845" s="223"/>
      <c r="DU845" s="200"/>
      <c r="DV845" s="200"/>
      <c r="DW845" s="522"/>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2"/>
      <c r="R846" s="200"/>
      <c r="S846" s="223"/>
      <c r="T846" s="223"/>
      <c r="U846" s="223"/>
      <c r="V846" s="223"/>
      <c r="W846" s="223"/>
      <c r="X846" s="223"/>
      <c r="Y846" s="200"/>
      <c r="Z846" s="200"/>
      <c r="AA846" s="522"/>
      <c r="AB846" s="200"/>
      <c r="AC846" s="223"/>
      <c r="AD846" s="223"/>
      <c r="AE846" s="223"/>
      <c r="AF846" s="223"/>
      <c r="AG846" s="223"/>
      <c r="AH846" s="223"/>
      <c r="AI846" s="200"/>
      <c r="AJ846" s="200"/>
      <c r="AK846" s="522"/>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2"/>
      <c r="BF846" s="200"/>
      <c r="BG846" s="223"/>
      <c r="BH846" s="223"/>
      <c r="BI846" s="223"/>
      <c r="BJ846" s="223"/>
      <c r="BK846" s="223"/>
      <c r="BL846" s="223"/>
      <c r="BM846" s="200"/>
      <c r="BN846" s="200"/>
      <c r="BO846" s="522"/>
      <c r="BP846" s="200"/>
      <c r="BQ846" s="223"/>
      <c r="BR846" s="223"/>
      <c r="BS846" s="223"/>
      <c r="BT846" s="223"/>
      <c r="BU846" s="223"/>
      <c r="BV846" s="223"/>
      <c r="BW846" s="223"/>
      <c r="BX846" s="200"/>
      <c r="BY846" s="522"/>
      <c r="BZ846" s="200"/>
      <c r="CA846" s="223"/>
      <c r="CB846" s="223"/>
      <c r="CC846" s="223"/>
      <c r="CD846" s="223"/>
      <c r="CE846" s="223"/>
      <c r="CF846" s="223"/>
      <c r="CG846" s="200"/>
      <c r="CH846" s="200"/>
      <c r="CI846" s="522"/>
      <c r="CJ846" s="200"/>
      <c r="CK846" s="223"/>
      <c r="CL846" s="223"/>
      <c r="CM846" s="223"/>
      <c r="CN846" s="223"/>
      <c r="CO846" s="223"/>
      <c r="CP846" s="223"/>
      <c r="CQ846" s="200"/>
      <c r="CR846" s="200"/>
      <c r="CS846" s="522"/>
      <c r="CT846" s="200"/>
      <c r="CU846" s="223"/>
      <c r="CV846" s="223"/>
      <c r="CW846" s="223"/>
      <c r="CX846" s="223"/>
      <c r="CY846" s="223"/>
      <c r="CZ846" s="223"/>
      <c r="DA846" s="223"/>
      <c r="DB846" s="200"/>
      <c r="DC846" s="522"/>
      <c r="DD846" s="200"/>
      <c r="DE846" s="223"/>
      <c r="DF846" s="223"/>
      <c r="DG846" s="223"/>
      <c r="DH846" s="223"/>
      <c r="DI846" s="223"/>
      <c r="DJ846" s="223"/>
      <c r="DK846" s="200"/>
      <c r="DL846" s="200"/>
      <c r="DM846" s="522"/>
      <c r="DN846" s="200"/>
      <c r="DO846" s="223"/>
      <c r="DP846" s="223"/>
      <c r="DQ846" s="223"/>
      <c r="DR846" s="223"/>
      <c r="DS846" s="223"/>
      <c r="DT846" s="223"/>
      <c r="DU846" s="200"/>
      <c r="DV846" s="200"/>
      <c r="DW846" s="522"/>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2"/>
      <c r="R847" s="200"/>
      <c r="S847" s="223"/>
      <c r="T847" s="223"/>
      <c r="U847" s="223"/>
      <c r="V847" s="223"/>
      <c r="W847" s="223"/>
      <c r="X847" s="223"/>
      <c r="Y847" s="200"/>
      <c r="Z847" s="200"/>
      <c r="AA847" s="522"/>
      <c r="AB847" s="200"/>
      <c r="AC847" s="223"/>
      <c r="AD847" s="223"/>
      <c r="AE847" s="223"/>
      <c r="AF847" s="223"/>
      <c r="AG847" s="223"/>
      <c r="AH847" s="223"/>
      <c r="AI847" s="200"/>
      <c r="AJ847" s="200"/>
      <c r="AK847" s="522"/>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2"/>
      <c r="BF847" s="200"/>
      <c r="BG847" s="223"/>
      <c r="BH847" s="223"/>
      <c r="BI847" s="223"/>
      <c r="BJ847" s="223"/>
      <c r="BK847" s="223"/>
      <c r="BL847" s="223"/>
      <c r="BM847" s="200"/>
      <c r="BN847" s="200"/>
      <c r="BO847" s="522"/>
      <c r="BP847" s="200"/>
      <c r="BQ847" s="223"/>
      <c r="BR847" s="223"/>
      <c r="BS847" s="223"/>
      <c r="BT847" s="223"/>
      <c r="BU847" s="223"/>
      <c r="BV847" s="223"/>
      <c r="BW847" s="223"/>
      <c r="BX847" s="200"/>
      <c r="BY847" s="522"/>
      <c r="BZ847" s="200"/>
      <c r="CA847" s="223"/>
      <c r="CB847" s="223"/>
      <c r="CC847" s="223"/>
      <c r="CD847" s="223"/>
      <c r="CE847" s="223"/>
      <c r="CF847" s="223"/>
      <c r="CG847" s="200"/>
      <c r="CH847" s="200"/>
      <c r="CI847" s="522"/>
      <c r="CJ847" s="200"/>
      <c r="CK847" s="223"/>
      <c r="CL847" s="223"/>
      <c r="CM847" s="223"/>
      <c r="CN847" s="223"/>
      <c r="CO847" s="223"/>
      <c r="CP847" s="223"/>
      <c r="CQ847" s="200"/>
      <c r="CR847" s="200"/>
      <c r="CS847" s="522"/>
      <c r="CT847" s="200"/>
      <c r="CU847" s="223"/>
      <c r="CV847" s="223"/>
      <c r="CW847" s="223"/>
      <c r="CX847" s="223"/>
      <c r="CY847" s="223"/>
      <c r="CZ847" s="223"/>
      <c r="DA847" s="223"/>
      <c r="DB847" s="200"/>
      <c r="DC847" s="522"/>
      <c r="DD847" s="200"/>
      <c r="DE847" s="223"/>
      <c r="DF847" s="223"/>
      <c r="DG847" s="223"/>
      <c r="DH847" s="223"/>
      <c r="DI847" s="223"/>
      <c r="DJ847" s="223"/>
      <c r="DK847" s="200"/>
      <c r="DL847" s="200"/>
      <c r="DM847" s="522"/>
      <c r="DN847" s="200"/>
      <c r="DO847" s="223"/>
      <c r="DP847" s="223"/>
      <c r="DQ847" s="223"/>
      <c r="DR847" s="223"/>
      <c r="DS847" s="223"/>
      <c r="DT847" s="223"/>
      <c r="DU847" s="200"/>
      <c r="DV847" s="200"/>
      <c r="DW847" s="522"/>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2"/>
      <c r="R848" s="200"/>
      <c r="S848" s="223"/>
      <c r="T848" s="223"/>
      <c r="U848" s="223"/>
      <c r="V848" s="223"/>
      <c r="W848" s="223"/>
      <c r="X848" s="223"/>
      <c r="Y848" s="200"/>
      <c r="Z848" s="200"/>
      <c r="AA848" s="522"/>
      <c r="AB848" s="200"/>
      <c r="AC848" s="223"/>
      <c r="AD848" s="223"/>
      <c r="AE848" s="223"/>
      <c r="AF848" s="223"/>
      <c r="AG848" s="223"/>
      <c r="AH848" s="223"/>
      <c r="AI848" s="200"/>
      <c r="AJ848" s="200"/>
      <c r="AK848" s="522"/>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2"/>
      <c r="BF848" s="200"/>
      <c r="BG848" s="223"/>
      <c r="BH848" s="223"/>
      <c r="BI848" s="223"/>
      <c r="BJ848" s="223"/>
      <c r="BK848" s="223"/>
      <c r="BL848" s="223"/>
      <c r="BM848" s="200"/>
      <c r="BN848" s="200"/>
      <c r="BO848" s="522"/>
      <c r="BP848" s="200"/>
      <c r="BQ848" s="223"/>
      <c r="BR848" s="223"/>
      <c r="BS848" s="223"/>
      <c r="BT848" s="223"/>
      <c r="BU848" s="223"/>
      <c r="BV848" s="223"/>
      <c r="BW848" s="223"/>
      <c r="BX848" s="200"/>
      <c r="BY848" s="522"/>
      <c r="BZ848" s="200"/>
      <c r="CA848" s="223"/>
      <c r="CB848" s="223"/>
      <c r="CC848" s="223"/>
      <c r="CD848" s="223"/>
      <c r="CE848" s="223"/>
      <c r="CF848" s="223"/>
      <c r="CG848" s="200"/>
      <c r="CH848" s="200"/>
      <c r="CI848" s="522"/>
      <c r="CJ848" s="200"/>
      <c r="CK848" s="223"/>
      <c r="CL848" s="223"/>
      <c r="CM848" s="223"/>
      <c r="CN848" s="223"/>
      <c r="CO848" s="223"/>
      <c r="CP848" s="223"/>
      <c r="CQ848" s="200"/>
      <c r="CR848" s="200"/>
      <c r="CS848" s="522"/>
      <c r="CT848" s="200"/>
      <c r="CU848" s="223"/>
      <c r="CV848" s="223"/>
      <c r="CW848" s="223"/>
      <c r="CX848" s="223"/>
      <c r="CY848" s="223"/>
      <c r="CZ848" s="223"/>
      <c r="DA848" s="223"/>
      <c r="DB848" s="200"/>
      <c r="DC848" s="522"/>
      <c r="DD848" s="200"/>
      <c r="DE848" s="223"/>
      <c r="DF848" s="223"/>
      <c r="DG848" s="223"/>
      <c r="DH848" s="223"/>
      <c r="DI848" s="223"/>
      <c r="DJ848" s="223"/>
      <c r="DK848" s="200"/>
      <c r="DL848" s="200"/>
      <c r="DM848" s="522"/>
      <c r="DN848" s="200"/>
      <c r="DO848" s="223"/>
      <c r="DP848" s="223"/>
      <c r="DQ848" s="223"/>
      <c r="DR848" s="223"/>
      <c r="DS848" s="223"/>
      <c r="DT848" s="223"/>
      <c r="DU848" s="200"/>
      <c r="DV848" s="200"/>
      <c r="DW848" s="522"/>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2"/>
      <c r="R849" s="200"/>
      <c r="S849" s="223"/>
      <c r="T849" s="223"/>
      <c r="U849" s="223"/>
      <c r="V849" s="223"/>
      <c r="W849" s="223"/>
      <c r="X849" s="223"/>
      <c r="Y849" s="200"/>
      <c r="Z849" s="200"/>
      <c r="AA849" s="522"/>
      <c r="AB849" s="200"/>
      <c r="AC849" s="223"/>
      <c r="AD849" s="223"/>
      <c r="AE849" s="223"/>
      <c r="AF849" s="223"/>
      <c r="AG849" s="223"/>
      <c r="AH849" s="223"/>
      <c r="AI849" s="200"/>
      <c r="AJ849" s="200"/>
      <c r="AK849" s="522"/>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2"/>
      <c r="BF849" s="200"/>
      <c r="BG849" s="223"/>
      <c r="BH849" s="223"/>
      <c r="BI849" s="223"/>
      <c r="BJ849" s="223"/>
      <c r="BK849" s="223"/>
      <c r="BL849" s="223"/>
      <c r="BM849" s="200"/>
      <c r="BN849" s="200"/>
      <c r="BO849" s="522"/>
      <c r="BP849" s="200"/>
      <c r="BQ849" s="223"/>
      <c r="BR849" s="223"/>
      <c r="BS849" s="223"/>
      <c r="BT849" s="223"/>
      <c r="BU849" s="223"/>
      <c r="BV849" s="223"/>
      <c r="BW849" s="223"/>
      <c r="BX849" s="200"/>
      <c r="BY849" s="522"/>
      <c r="BZ849" s="200"/>
      <c r="CA849" s="223"/>
      <c r="CB849" s="223"/>
      <c r="CC849" s="223"/>
      <c r="CD849" s="223"/>
      <c r="CE849" s="223"/>
      <c r="CF849" s="223"/>
      <c r="CG849" s="200"/>
      <c r="CH849" s="200"/>
      <c r="CI849" s="522"/>
      <c r="CJ849" s="200"/>
      <c r="CK849" s="223"/>
      <c r="CL849" s="223"/>
      <c r="CM849" s="223"/>
      <c r="CN849" s="223"/>
      <c r="CO849" s="223"/>
      <c r="CP849" s="223"/>
      <c r="CQ849" s="200"/>
      <c r="CR849" s="200"/>
      <c r="CS849" s="522"/>
      <c r="CT849" s="200"/>
      <c r="CU849" s="223"/>
      <c r="CV849" s="223"/>
      <c r="CW849" s="223"/>
      <c r="CX849" s="223"/>
      <c r="CY849" s="223"/>
      <c r="CZ849" s="223"/>
      <c r="DA849" s="223"/>
      <c r="DB849" s="200"/>
      <c r="DC849" s="522"/>
      <c r="DD849" s="200"/>
      <c r="DE849" s="223"/>
      <c r="DF849" s="223"/>
      <c r="DG849" s="223"/>
      <c r="DH849" s="223"/>
      <c r="DI849" s="223"/>
      <c r="DJ849" s="223"/>
      <c r="DK849" s="200"/>
      <c r="DL849" s="200"/>
      <c r="DM849" s="522"/>
      <c r="DN849" s="200"/>
      <c r="DO849" s="223"/>
      <c r="DP849" s="223"/>
      <c r="DQ849" s="223"/>
      <c r="DR849" s="223"/>
      <c r="DS849" s="223"/>
      <c r="DT849" s="223"/>
      <c r="DU849" s="200"/>
      <c r="DV849" s="200"/>
      <c r="DW849" s="522"/>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2"/>
      <c r="R850" s="200"/>
      <c r="S850" s="223"/>
      <c r="T850" s="223"/>
      <c r="U850" s="223"/>
      <c r="V850" s="223"/>
      <c r="W850" s="223"/>
      <c r="X850" s="223"/>
      <c r="Y850" s="200"/>
      <c r="Z850" s="200"/>
      <c r="AA850" s="522"/>
      <c r="AB850" s="200"/>
      <c r="AC850" s="223"/>
      <c r="AD850" s="223"/>
      <c r="AE850" s="223"/>
      <c r="AF850" s="223"/>
      <c r="AG850" s="223"/>
      <c r="AH850" s="223"/>
      <c r="AI850" s="200"/>
      <c r="AJ850" s="200"/>
      <c r="AK850" s="522"/>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2"/>
      <c r="BF850" s="200"/>
      <c r="BG850" s="223"/>
      <c r="BH850" s="223"/>
      <c r="BI850" s="223"/>
      <c r="BJ850" s="223"/>
      <c r="BK850" s="223"/>
      <c r="BL850" s="223"/>
      <c r="BM850" s="200"/>
      <c r="BN850" s="200"/>
      <c r="BO850" s="522"/>
      <c r="BP850" s="200"/>
      <c r="BQ850" s="223"/>
      <c r="BR850" s="223"/>
      <c r="BS850" s="223"/>
      <c r="BT850" s="223"/>
      <c r="BU850" s="223"/>
      <c r="BV850" s="223"/>
      <c r="BW850" s="223"/>
      <c r="BX850" s="200"/>
      <c r="BY850" s="522"/>
      <c r="BZ850" s="200"/>
      <c r="CA850" s="223"/>
      <c r="CB850" s="223"/>
      <c r="CC850" s="223"/>
      <c r="CD850" s="223"/>
      <c r="CE850" s="223"/>
      <c r="CF850" s="223"/>
      <c r="CG850" s="200"/>
      <c r="CH850" s="200"/>
      <c r="CI850" s="522"/>
      <c r="CJ850" s="200"/>
      <c r="CK850" s="223"/>
      <c r="CL850" s="223"/>
      <c r="CM850" s="223"/>
      <c r="CN850" s="223"/>
      <c r="CO850" s="223"/>
      <c r="CP850" s="223"/>
      <c r="CQ850" s="200"/>
      <c r="CR850" s="200"/>
      <c r="CS850" s="522"/>
      <c r="CT850" s="200"/>
      <c r="CU850" s="223"/>
      <c r="CV850" s="223"/>
      <c r="CW850" s="223"/>
      <c r="CX850" s="223"/>
      <c r="CY850" s="223"/>
      <c r="CZ850" s="223"/>
      <c r="DA850" s="223"/>
      <c r="DB850" s="200"/>
      <c r="DC850" s="522"/>
      <c r="DD850" s="200"/>
      <c r="DE850" s="223"/>
      <c r="DF850" s="223"/>
      <c r="DG850" s="223"/>
      <c r="DH850" s="223"/>
      <c r="DI850" s="223"/>
      <c r="DJ850" s="223"/>
      <c r="DK850" s="200"/>
      <c r="DL850" s="200"/>
      <c r="DM850" s="522"/>
      <c r="DN850" s="200"/>
      <c r="DO850" s="223"/>
      <c r="DP850" s="223"/>
      <c r="DQ850" s="223"/>
      <c r="DR850" s="223"/>
      <c r="DS850" s="223"/>
      <c r="DT850" s="223"/>
      <c r="DU850" s="200"/>
      <c r="DV850" s="200"/>
      <c r="DW850" s="522"/>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2"/>
      <c r="R851" s="200"/>
      <c r="S851" s="223"/>
      <c r="T851" s="223"/>
      <c r="U851" s="223"/>
      <c r="V851" s="223"/>
      <c r="W851" s="223"/>
      <c r="X851" s="223"/>
      <c r="Y851" s="200"/>
      <c r="Z851" s="200"/>
      <c r="AA851" s="522"/>
      <c r="AB851" s="200"/>
      <c r="AC851" s="223"/>
      <c r="AD851" s="223"/>
      <c r="AE851" s="223"/>
      <c r="AF851" s="223"/>
      <c r="AG851" s="223"/>
      <c r="AH851" s="223"/>
      <c r="AI851" s="200"/>
      <c r="AJ851" s="200"/>
      <c r="AK851" s="522"/>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2"/>
      <c r="BF851" s="200"/>
      <c r="BG851" s="223"/>
      <c r="BH851" s="223"/>
      <c r="BI851" s="223"/>
      <c r="BJ851" s="223"/>
      <c r="BK851" s="223"/>
      <c r="BL851" s="223"/>
      <c r="BM851" s="200"/>
      <c r="BN851" s="200"/>
      <c r="BO851" s="522"/>
      <c r="BP851" s="200"/>
      <c r="BQ851" s="223"/>
      <c r="BR851" s="223"/>
      <c r="BS851" s="223"/>
      <c r="BT851" s="223"/>
      <c r="BU851" s="223"/>
      <c r="BV851" s="223"/>
      <c r="BW851" s="223"/>
      <c r="BX851" s="200"/>
      <c r="BY851" s="522"/>
      <c r="BZ851" s="200"/>
      <c r="CA851" s="223"/>
      <c r="CB851" s="223"/>
      <c r="CC851" s="223"/>
      <c r="CD851" s="223"/>
      <c r="CE851" s="223"/>
      <c r="CF851" s="223"/>
      <c r="CG851" s="200"/>
      <c r="CH851" s="200"/>
      <c r="CI851" s="522"/>
      <c r="CJ851" s="200"/>
      <c r="CK851" s="223"/>
      <c r="CL851" s="223"/>
      <c r="CM851" s="223"/>
      <c r="CN851" s="223"/>
      <c r="CO851" s="223"/>
      <c r="CP851" s="223"/>
      <c r="CQ851" s="200"/>
      <c r="CR851" s="200"/>
      <c r="CS851" s="522"/>
      <c r="CT851" s="200"/>
      <c r="CU851" s="223"/>
      <c r="CV851" s="223"/>
      <c r="CW851" s="223"/>
      <c r="CX851" s="223"/>
      <c r="CY851" s="223"/>
      <c r="CZ851" s="223"/>
      <c r="DA851" s="223"/>
      <c r="DB851" s="200"/>
      <c r="DC851" s="522"/>
      <c r="DD851" s="200"/>
      <c r="DE851" s="223"/>
      <c r="DF851" s="223"/>
      <c r="DG851" s="223"/>
      <c r="DH851" s="223"/>
      <c r="DI851" s="223"/>
      <c r="DJ851" s="223"/>
      <c r="DK851" s="200"/>
      <c r="DL851" s="200"/>
      <c r="DM851" s="522"/>
      <c r="DN851" s="200"/>
      <c r="DO851" s="223"/>
      <c r="DP851" s="223"/>
      <c r="DQ851" s="223"/>
      <c r="DR851" s="223"/>
      <c r="DS851" s="223"/>
      <c r="DT851" s="223"/>
      <c r="DU851" s="200"/>
      <c r="DV851" s="200"/>
      <c r="DW851" s="522"/>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2"/>
      <c r="R852" s="200"/>
      <c r="S852" s="223"/>
      <c r="T852" s="223"/>
      <c r="U852" s="223"/>
      <c r="V852" s="223"/>
      <c r="W852" s="223"/>
      <c r="X852" s="223"/>
      <c r="Y852" s="200"/>
      <c r="Z852" s="200"/>
      <c r="AA852" s="522"/>
      <c r="AB852" s="200"/>
      <c r="AC852" s="223"/>
      <c r="AD852" s="223"/>
      <c r="AE852" s="223"/>
      <c r="AF852" s="223"/>
      <c r="AG852" s="223"/>
      <c r="AH852" s="223"/>
      <c r="AI852" s="200"/>
      <c r="AJ852" s="200"/>
      <c r="AK852" s="522"/>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2"/>
      <c r="BF852" s="200"/>
      <c r="BG852" s="223"/>
      <c r="BH852" s="223"/>
      <c r="BI852" s="223"/>
      <c r="BJ852" s="223"/>
      <c r="BK852" s="223"/>
      <c r="BL852" s="223"/>
      <c r="BM852" s="200"/>
      <c r="BN852" s="200"/>
      <c r="BO852" s="522"/>
      <c r="BP852" s="200"/>
      <c r="BQ852" s="223"/>
      <c r="BR852" s="223"/>
      <c r="BS852" s="223"/>
      <c r="BT852" s="223"/>
      <c r="BU852" s="223"/>
      <c r="BV852" s="223"/>
      <c r="BW852" s="223"/>
      <c r="BX852" s="200"/>
      <c r="BY852" s="522"/>
      <c r="BZ852" s="200"/>
      <c r="CA852" s="223"/>
      <c r="CB852" s="223"/>
      <c r="CC852" s="223"/>
      <c r="CD852" s="223"/>
      <c r="CE852" s="223"/>
      <c r="CF852" s="223"/>
      <c r="CG852" s="200"/>
      <c r="CH852" s="200"/>
      <c r="CI852" s="522"/>
      <c r="CJ852" s="200"/>
      <c r="CK852" s="223"/>
      <c r="CL852" s="223"/>
      <c r="CM852" s="223"/>
      <c r="CN852" s="223"/>
      <c r="CO852" s="223"/>
      <c r="CP852" s="223"/>
      <c r="CQ852" s="200"/>
      <c r="CR852" s="200"/>
      <c r="CS852" s="522"/>
      <c r="CT852" s="200"/>
      <c r="CU852" s="223"/>
      <c r="CV852" s="223"/>
      <c r="CW852" s="223"/>
      <c r="CX852" s="223"/>
      <c r="CY852" s="223"/>
      <c r="CZ852" s="223"/>
      <c r="DA852" s="223"/>
      <c r="DB852" s="200"/>
      <c r="DC852" s="522"/>
      <c r="DD852" s="200"/>
      <c r="DE852" s="223"/>
      <c r="DF852" s="223"/>
      <c r="DG852" s="223"/>
      <c r="DH852" s="223"/>
      <c r="DI852" s="223"/>
      <c r="DJ852" s="223"/>
      <c r="DK852" s="200"/>
      <c r="DL852" s="200"/>
      <c r="DM852" s="522"/>
      <c r="DN852" s="200"/>
      <c r="DO852" s="223"/>
      <c r="DP852" s="223"/>
      <c r="DQ852" s="223"/>
      <c r="DR852" s="223"/>
      <c r="DS852" s="223"/>
      <c r="DT852" s="223"/>
      <c r="DU852" s="200"/>
      <c r="DV852" s="200"/>
      <c r="DW852" s="522"/>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2"/>
      <c r="R853" s="200"/>
      <c r="S853" s="223"/>
      <c r="T853" s="223"/>
      <c r="U853" s="223"/>
      <c r="V853" s="223"/>
      <c r="W853" s="223"/>
      <c r="X853" s="223"/>
      <c r="Y853" s="200"/>
      <c r="Z853" s="200"/>
      <c r="AA853" s="522"/>
      <c r="AB853" s="200"/>
      <c r="AC853" s="223"/>
      <c r="AD853" s="223"/>
      <c r="AE853" s="223"/>
      <c r="AF853" s="223"/>
      <c r="AG853" s="223"/>
      <c r="AH853" s="223"/>
      <c r="AI853" s="200"/>
      <c r="AJ853" s="200"/>
      <c r="AK853" s="522"/>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2"/>
      <c r="BF853" s="200"/>
      <c r="BG853" s="223"/>
      <c r="BH853" s="223"/>
      <c r="BI853" s="223"/>
      <c r="BJ853" s="223"/>
      <c r="BK853" s="223"/>
      <c r="BL853" s="223"/>
      <c r="BM853" s="200"/>
      <c r="BN853" s="200"/>
      <c r="BO853" s="522"/>
      <c r="BP853" s="200"/>
      <c r="BQ853" s="223"/>
      <c r="BR853" s="223"/>
      <c r="BS853" s="223"/>
      <c r="BT853" s="223"/>
      <c r="BU853" s="223"/>
      <c r="BV853" s="223"/>
      <c r="BW853" s="223"/>
      <c r="BX853" s="200"/>
      <c r="BY853" s="522"/>
      <c r="BZ853" s="200"/>
      <c r="CA853" s="223"/>
      <c r="CB853" s="223"/>
      <c r="CC853" s="223"/>
      <c r="CD853" s="223"/>
      <c r="CE853" s="223"/>
      <c r="CF853" s="223"/>
      <c r="CG853" s="200"/>
      <c r="CH853" s="200"/>
      <c r="CI853" s="522"/>
      <c r="CJ853" s="200"/>
      <c r="CK853" s="223"/>
      <c r="CL853" s="223"/>
      <c r="CM853" s="223"/>
      <c r="CN853" s="223"/>
      <c r="CO853" s="223"/>
      <c r="CP853" s="223"/>
      <c r="CQ853" s="200"/>
      <c r="CR853" s="200"/>
      <c r="CS853" s="522"/>
      <c r="CT853" s="200"/>
      <c r="CU853" s="223"/>
      <c r="CV853" s="223"/>
      <c r="CW853" s="223"/>
      <c r="CX853" s="223"/>
      <c r="CY853" s="223"/>
      <c r="CZ853" s="223"/>
      <c r="DA853" s="223"/>
      <c r="DB853" s="200"/>
      <c r="DC853" s="522"/>
      <c r="DD853" s="200"/>
      <c r="DE853" s="223"/>
      <c r="DF853" s="223"/>
      <c r="DG853" s="223"/>
      <c r="DH853" s="223"/>
      <c r="DI853" s="223"/>
      <c r="DJ853" s="223"/>
      <c r="DK853" s="200"/>
      <c r="DL853" s="200"/>
      <c r="DM853" s="522"/>
      <c r="DN853" s="200"/>
      <c r="DO853" s="223"/>
      <c r="DP853" s="223"/>
      <c r="DQ853" s="223"/>
      <c r="DR853" s="223"/>
      <c r="DS853" s="223"/>
      <c r="DT853" s="223"/>
      <c r="DU853" s="200"/>
      <c r="DV853" s="200"/>
      <c r="DW853" s="522"/>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2"/>
      <c r="R854" s="200"/>
      <c r="S854" s="223"/>
      <c r="T854" s="223"/>
      <c r="U854" s="223"/>
      <c r="V854" s="223"/>
      <c r="W854" s="223"/>
      <c r="X854" s="223"/>
      <c r="Y854" s="200"/>
      <c r="Z854" s="200"/>
      <c r="AA854" s="522"/>
      <c r="AB854" s="200"/>
      <c r="AC854" s="223"/>
      <c r="AD854" s="223"/>
      <c r="AE854" s="223"/>
      <c r="AF854" s="223"/>
      <c r="AG854" s="223"/>
      <c r="AH854" s="223"/>
      <c r="AI854" s="200"/>
      <c r="AJ854" s="200"/>
      <c r="AK854" s="522"/>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2"/>
      <c r="BF854" s="200"/>
      <c r="BG854" s="223"/>
      <c r="BH854" s="223"/>
      <c r="BI854" s="223"/>
      <c r="BJ854" s="223"/>
      <c r="BK854" s="223"/>
      <c r="BL854" s="223"/>
      <c r="BM854" s="200"/>
      <c r="BN854" s="200"/>
      <c r="BO854" s="522"/>
      <c r="BP854" s="200"/>
      <c r="BQ854" s="223"/>
      <c r="BR854" s="223"/>
      <c r="BS854" s="223"/>
      <c r="BT854" s="223"/>
      <c r="BU854" s="223"/>
      <c r="BV854" s="223"/>
      <c r="BW854" s="223"/>
      <c r="BX854" s="200"/>
      <c r="BY854" s="522"/>
      <c r="BZ854" s="200"/>
      <c r="CA854" s="223"/>
      <c r="CB854" s="223"/>
      <c r="CC854" s="223"/>
      <c r="CD854" s="223"/>
      <c r="CE854" s="223"/>
      <c r="CF854" s="223"/>
      <c r="CG854" s="200"/>
      <c r="CH854" s="200"/>
      <c r="CI854" s="522"/>
      <c r="CJ854" s="200"/>
      <c r="CK854" s="223"/>
      <c r="CL854" s="223"/>
      <c r="CM854" s="223"/>
      <c r="CN854" s="223"/>
      <c r="CO854" s="223"/>
      <c r="CP854" s="223"/>
      <c r="CQ854" s="200"/>
      <c r="CR854" s="200"/>
      <c r="CS854" s="522"/>
      <c r="CT854" s="200"/>
      <c r="CU854" s="223"/>
      <c r="CV854" s="223"/>
      <c r="CW854" s="223"/>
      <c r="CX854" s="223"/>
      <c r="CY854" s="223"/>
      <c r="CZ854" s="223"/>
      <c r="DA854" s="223"/>
      <c r="DB854" s="200"/>
      <c r="DC854" s="522"/>
      <c r="DD854" s="200"/>
      <c r="DE854" s="223"/>
      <c r="DF854" s="223"/>
      <c r="DG854" s="223"/>
      <c r="DH854" s="223"/>
      <c r="DI854" s="223"/>
      <c r="DJ854" s="223"/>
      <c r="DK854" s="200"/>
      <c r="DL854" s="200"/>
      <c r="DM854" s="522"/>
      <c r="DN854" s="200"/>
      <c r="DO854" s="223"/>
      <c r="DP854" s="223"/>
      <c r="DQ854" s="223"/>
      <c r="DR854" s="223"/>
      <c r="DS854" s="223"/>
      <c r="DT854" s="223"/>
      <c r="DU854" s="200"/>
      <c r="DV854" s="200"/>
      <c r="DW854" s="522"/>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2"/>
      <c r="R855" s="200"/>
      <c r="S855" s="223"/>
      <c r="T855" s="223"/>
      <c r="U855" s="223"/>
      <c r="V855" s="223"/>
      <c r="W855" s="223"/>
      <c r="X855" s="223"/>
      <c r="Y855" s="200"/>
      <c r="Z855" s="200"/>
      <c r="AA855" s="522"/>
      <c r="AB855" s="200"/>
      <c r="AC855" s="223"/>
      <c r="AD855" s="223"/>
      <c r="AE855" s="223"/>
      <c r="AF855" s="223"/>
      <c r="AG855" s="223"/>
      <c r="AH855" s="223"/>
      <c r="AI855" s="200"/>
      <c r="AJ855" s="200"/>
      <c r="AK855" s="522"/>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2"/>
      <c r="BF855" s="200"/>
      <c r="BG855" s="223"/>
      <c r="BH855" s="223"/>
      <c r="BI855" s="223"/>
      <c r="BJ855" s="223"/>
      <c r="BK855" s="223"/>
      <c r="BL855" s="223"/>
      <c r="BM855" s="200"/>
      <c r="BN855" s="200"/>
      <c r="BO855" s="522"/>
      <c r="BP855" s="200"/>
      <c r="BQ855" s="223"/>
      <c r="BR855" s="223"/>
      <c r="BS855" s="223"/>
      <c r="BT855" s="223"/>
      <c r="BU855" s="223"/>
      <c r="BV855" s="223"/>
      <c r="BW855" s="223"/>
      <c r="BX855" s="200"/>
      <c r="BY855" s="522"/>
      <c r="BZ855" s="200"/>
      <c r="CA855" s="223"/>
      <c r="CB855" s="223"/>
      <c r="CC855" s="223"/>
      <c r="CD855" s="223"/>
      <c r="CE855" s="223"/>
      <c r="CF855" s="223"/>
      <c r="CG855" s="200"/>
      <c r="CH855" s="200"/>
      <c r="CI855" s="522"/>
      <c r="CJ855" s="200"/>
      <c r="CK855" s="223"/>
      <c r="CL855" s="223"/>
      <c r="CM855" s="223"/>
      <c r="CN855" s="223"/>
      <c r="CO855" s="223"/>
      <c r="CP855" s="223"/>
      <c r="CQ855" s="200"/>
      <c r="CR855" s="200"/>
      <c r="CS855" s="522"/>
      <c r="CT855" s="200"/>
      <c r="CU855" s="223"/>
      <c r="CV855" s="223"/>
      <c r="CW855" s="223"/>
      <c r="CX855" s="223"/>
      <c r="CY855" s="223"/>
      <c r="CZ855" s="223"/>
      <c r="DA855" s="223"/>
      <c r="DB855" s="200"/>
      <c r="DC855" s="522"/>
      <c r="DD855" s="200"/>
      <c r="DE855" s="223"/>
      <c r="DF855" s="223"/>
      <c r="DG855" s="223"/>
      <c r="DH855" s="223"/>
      <c r="DI855" s="223"/>
      <c r="DJ855" s="223"/>
      <c r="DK855" s="200"/>
      <c r="DL855" s="200"/>
      <c r="DM855" s="522"/>
      <c r="DN855" s="200"/>
      <c r="DO855" s="223"/>
      <c r="DP855" s="223"/>
      <c r="DQ855" s="223"/>
      <c r="DR855" s="223"/>
      <c r="DS855" s="223"/>
      <c r="DT855" s="223"/>
      <c r="DU855" s="200"/>
      <c r="DV855" s="200"/>
      <c r="DW855" s="522"/>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2"/>
      <c r="R856" s="200"/>
      <c r="S856" s="223"/>
      <c r="T856" s="223"/>
      <c r="U856" s="223"/>
      <c r="V856" s="223"/>
      <c r="W856" s="223"/>
      <c r="X856" s="223"/>
      <c r="Y856" s="200"/>
      <c r="Z856" s="200"/>
      <c r="AA856" s="522"/>
      <c r="AB856" s="200"/>
      <c r="AC856" s="223"/>
      <c r="AD856" s="223"/>
      <c r="AE856" s="223"/>
      <c r="AF856" s="223"/>
      <c r="AG856" s="223"/>
      <c r="AH856" s="223"/>
      <c r="AI856" s="200"/>
      <c r="AJ856" s="200"/>
      <c r="AK856" s="522"/>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2"/>
      <c r="BF856" s="200"/>
      <c r="BG856" s="223"/>
      <c r="BH856" s="223"/>
      <c r="BI856" s="223"/>
      <c r="BJ856" s="223"/>
      <c r="BK856" s="223"/>
      <c r="BL856" s="223"/>
      <c r="BM856" s="200"/>
      <c r="BN856" s="200"/>
      <c r="BO856" s="522"/>
      <c r="BP856" s="200"/>
      <c r="BQ856" s="223"/>
      <c r="BR856" s="223"/>
      <c r="BS856" s="223"/>
      <c r="BT856" s="223"/>
      <c r="BU856" s="223"/>
      <c r="BV856" s="223"/>
      <c r="BW856" s="223"/>
      <c r="BX856" s="200"/>
      <c r="BY856" s="522"/>
      <c r="BZ856" s="200"/>
      <c r="CA856" s="223"/>
      <c r="CB856" s="223"/>
      <c r="CC856" s="223"/>
      <c r="CD856" s="223"/>
      <c r="CE856" s="223"/>
      <c r="CF856" s="223"/>
      <c r="CG856" s="200"/>
      <c r="CH856" s="200"/>
      <c r="CI856" s="522"/>
      <c r="CJ856" s="200"/>
      <c r="CK856" s="223"/>
      <c r="CL856" s="223"/>
      <c r="CM856" s="223"/>
      <c r="CN856" s="223"/>
      <c r="CO856" s="223"/>
      <c r="CP856" s="223"/>
      <c r="CQ856" s="200"/>
      <c r="CR856" s="200"/>
      <c r="CS856" s="522"/>
      <c r="CT856" s="200"/>
      <c r="CU856" s="223"/>
      <c r="CV856" s="223"/>
      <c r="CW856" s="223"/>
      <c r="CX856" s="223"/>
      <c r="CY856" s="223"/>
      <c r="CZ856" s="223"/>
      <c r="DA856" s="223"/>
      <c r="DB856" s="200"/>
      <c r="DC856" s="522"/>
      <c r="DD856" s="200"/>
      <c r="DE856" s="223"/>
      <c r="DF856" s="223"/>
      <c r="DG856" s="223"/>
      <c r="DH856" s="223"/>
      <c r="DI856" s="223"/>
      <c r="DJ856" s="223"/>
      <c r="DK856" s="200"/>
      <c r="DL856" s="200"/>
      <c r="DM856" s="522"/>
      <c r="DN856" s="200"/>
      <c r="DO856" s="223"/>
      <c r="DP856" s="223"/>
      <c r="DQ856" s="223"/>
      <c r="DR856" s="223"/>
      <c r="DS856" s="223"/>
      <c r="DT856" s="223"/>
      <c r="DU856" s="200"/>
      <c r="DV856" s="200"/>
      <c r="DW856" s="522"/>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2"/>
      <c r="R857" s="200"/>
      <c r="S857" s="223"/>
      <c r="T857" s="223"/>
      <c r="U857" s="223"/>
      <c r="V857" s="223"/>
      <c r="W857" s="223"/>
      <c r="X857" s="223"/>
      <c r="Y857" s="200"/>
      <c r="Z857" s="200"/>
      <c r="AA857" s="522"/>
      <c r="AB857" s="200"/>
      <c r="AC857" s="223"/>
      <c r="AD857" s="223"/>
      <c r="AE857" s="223"/>
      <c r="AF857" s="223"/>
      <c r="AG857" s="223"/>
      <c r="AH857" s="223"/>
      <c r="AI857" s="200"/>
      <c r="AJ857" s="200"/>
      <c r="AK857" s="522"/>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2"/>
      <c r="BF857" s="200"/>
      <c r="BG857" s="223"/>
      <c r="BH857" s="223"/>
      <c r="BI857" s="223"/>
      <c r="BJ857" s="223"/>
      <c r="BK857" s="223"/>
      <c r="BL857" s="223"/>
      <c r="BM857" s="200"/>
      <c r="BN857" s="200"/>
      <c r="BO857" s="522"/>
      <c r="BP857" s="200"/>
      <c r="BQ857" s="223"/>
      <c r="BR857" s="223"/>
      <c r="BS857" s="223"/>
      <c r="BT857" s="223"/>
      <c r="BU857" s="223"/>
      <c r="BV857" s="223"/>
      <c r="BW857" s="223"/>
      <c r="BX857" s="200"/>
      <c r="BY857" s="522"/>
      <c r="BZ857" s="200"/>
      <c r="CA857" s="223"/>
      <c r="CB857" s="223"/>
      <c r="CC857" s="223"/>
      <c r="CD857" s="223"/>
      <c r="CE857" s="223"/>
      <c r="CF857" s="223"/>
      <c r="CG857" s="200"/>
      <c r="CH857" s="200"/>
      <c r="CI857" s="522"/>
      <c r="CJ857" s="200"/>
      <c r="CK857" s="223"/>
      <c r="CL857" s="223"/>
      <c r="CM857" s="223"/>
      <c r="CN857" s="223"/>
      <c r="CO857" s="223"/>
      <c r="CP857" s="223"/>
      <c r="CQ857" s="200"/>
      <c r="CR857" s="200"/>
      <c r="CS857" s="522"/>
      <c r="CT857" s="200"/>
      <c r="CU857" s="223"/>
      <c r="CV857" s="223"/>
      <c r="CW857" s="223"/>
      <c r="CX857" s="223"/>
      <c r="CY857" s="223"/>
      <c r="CZ857" s="223"/>
      <c r="DA857" s="223"/>
      <c r="DB857" s="200"/>
      <c r="DC857" s="522"/>
      <c r="DD857" s="200"/>
      <c r="DE857" s="223"/>
      <c r="DF857" s="223"/>
      <c r="DG857" s="223"/>
      <c r="DH857" s="223"/>
      <c r="DI857" s="223"/>
      <c r="DJ857" s="223"/>
      <c r="DK857" s="200"/>
      <c r="DL857" s="200"/>
      <c r="DM857" s="522"/>
      <c r="DN857" s="200"/>
      <c r="DO857" s="223"/>
      <c r="DP857" s="223"/>
      <c r="DQ857" s="223"/>
      <c r="DR857" s="223"/>
      <c r="DS857" s="223"/>
      <c r="DT857" s="223"/>
      <c r="DU857" s="200"/>
      <c r="DV857" s="200"/>
      <c r="DW857" s="522"/>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2"/>
      <c r="R858" s="200"/>
      <c r="S858" s="223"/>
      <c r="T858" s="223"/>
      <c r="U858" s="223"/>
      <c r="V858" s="223"/>
      <c r="W858" s="223"/>
      <c r="X858" s="223"/>
      <c r="Y858" s="200"/>
      <c r="Z858" s="200"/>
      <c r="AA858" s="522"/>
      <c r="AB858" s="200"/>
      <c r="AC858" s="223"/>
      <c r="AD858" s="223"/>
      <c r="AE858" s="223"/>
      <c r="AF858" s="223"/>
      <c r="AG858" s="223"/>
      <c r="AH858" s="223"/>
      <c r="AI858" s="200"/>
      <c r="AJ858" s="200"/>
      <c r="AK858" s="522"/>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2"/>
      <c r="BF858" s="200"/>
      <c r="BG858" s="223"/>
      <c r="BH858" s="223"/>
      <c r="BI858" s="223"/>
      <c r="BJ858" s="223"/>
      <c r="BK858" s="223"/>
      <c r="BL858" s="223"/>
      <c r="BM858" s="200"/>
      <c r="BN858" s="200"/>
      <c r="BO858" s="522"/>
      <c r="BP858" s="200"/>
      <c r="BQ858" s="223"/>
      <c r="BR858" s="223"/>
      <c r="BS858" s="223"/>
      <c r="BT858" s="223"/>
      <c r="BU858" s="223"/>
      <c r="BV858" s="223"/>
      <c r="BW858" s="223"/>
      <c r="BX858" s="200"/>
      <c r="BY858" s="522"/>
      <c r="BZ858" s="200"/>
      <c r="CA858" s="223"/>
      <c r="CB858" s="223"/>
      <c r="CC858" s="223"/>
      <c r="CD858" s="223"/>
      <c r="CE858" s="223"/>
      <c r="CF858" s="223"/>
      <c r="CG858" s="200"/>
      <c r="CH858" s="200"/>
      <c r="CI858" s="522"/>
      <c r="CJ858" s="200"/>
      <c r="CK858" s="223"/>
      <c r="CL858" s="223"/>
      <c r="CM858" s="223"/>
      <c r="CN858" s="223"/>
      <c r="CO858" s="223"/>
      <c r="CP858" s="223"/>
      <c r="CQ858" s="200"/>
      <c r="CR858" s="200"/>
      <c r="CS858" s="522"/>
      <c r="CT858" s="200"/>
      <c r="CU858" s="223"/>
      <c r="CV858" s="223"/>
      <c r="CW858" s="223"/>
      <c r="CX858" s="223"/>
      <c r="CY858" s="223"/>
      <c r="CZ858" s="223"/>
      <c r="DA858" s="223"/>
      <c r="DB858" s="200"/>
      <c r="DC858" s="522"/>
      <c r="DD858" s="200"/>
      <c r="DE858" s="223"/>
      <c r="DF858" s="223"/>
      <c r="DG858" s="223"/>
      <c r="DH858" s="223"/>
      <c r="DI858" s="223"/>
      <c r="DJ858" s="223"/>
      <c r="DK858" s="200"/>
      <c r="DL858" s="200"/>
      <c r="DM858" s="522"/>
      <c r="DN858" s="200"/>
      <c r="DO858" s="223"/>
      <c r="DP858" s="223"/>
      <c r="DQ858" s="223"/>
      <c r="DR858" s="223"/>
      <c r="DS858" s="223"/>
      <c r="DT858" s="223"/>
      <c r="DU858" s="200"/>
      <c r="DV858" s="200"/>
      <c r="DW858" s="522"/>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2"/>
      <c r="R859" s="200"/>
      <c r="S859" s="223"/>
      <c r="T859" s="223"/>
      <c r="U859" s="223"/>
      <c r="V859" s="223"/>
      <c r="W859" s="223"/>
      <c r="X859" s="223"/>
      <c r="Y859" s="200"/>
      <c r="Z859" s="200"/>
      <c r="AA859" s="522"/>
      <c r="AB859" s="200"/>
      <c r="AC859" s="223"/>
      <c r="AD859" s="223"/>
      <c r="AE859" s="223"/>
      <c r="AF859" s="223"/>
      <c r="AG859" s="223"/>
      <c r="AH859" s="223"/>
      <c r="AI859" s="200"/>
      <c r="AJ859" s="200"/>
      <c r="AK859" s="522"/>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2"/>
      <c r="BF859" s="200"/>
      <c r="BG859" s="223"/>
      <c r="BH859" s="223"/>
      <c r="BI859" s="223"/>
      <c r="BJ859" s="223"/>
      <c r="BK859" s="223"/>
      <c r="BL859" s="223"/>
      <c r="BM859" s="200"/>
      <c r="BN859" s="200"/>
      <c r="BO859" s="522"/>
      <c r="BP859" s="200"/>
      <c r="BQ859" s="223"/>
      <c r="BR859" s="223"/>
      <c r="BS859" s="223"/>
      <c r="BT859" s="223"/>
      <c r="BU859" s="223"/>
      <c r="BV859" s="223"/>
      <c r="BW859" s="223"/>
      <c r="BX859" s="200"/>
      <c r="BY859" s="522"/>
      <c r="BZ859" s="200"/>
      <c r="CA859" s="223"/>
      <c r="CB859" s="223"/>
      <c r="CC859" s="223"/>
      <c r="CD859" s="223"/>
      <c r="CE859" s="223"/>
      <c r="CF859" s="223"/>
      <c r="CG859" s="200"/>
      <c r="CH859" s="200"/>
      <c r="CI859" s="522"/>
      <c r="CJ859" s="200"/>
      <c r="CK859" s="223"/>
      <c r="CL859" s="223"/>
      <c r="CM859" s="223"/>
      <c r="CN859" s="223"/>
      <c r="CO859" s="223"/>
      <c r="CP859" s="223"/>
      <c r="CQ859" s="200"/>
      <c r="CR859" s="200"/>
      <c r="CS859" s="522"/>
      <c r="CT859" s="200"/>
      <c r="CU859" s="223"/>
      <c r="CV859" s="223"/>
      <c r="CW859" s="223"/>
      <c r="CX859" s="223"/>
      <c r="CY859" s="223"/>
      <c r="CZ859" s="223"/>
      <c r="DA859" s="223"/>
      <c r="DB859" s="200"/>
      <c r="DC859" s="522"/>
      <c r="DD859" s="200"/>
      <c r="DE859" s="223"/>
      <c r="DF859" s="223"/>
      <c r="DG859" s="223"/>
      <c r="DH859" s="223"/>
      <c r="DI859" s="223"/>
      <c r="DJ859" s="223"/>
      <c r="DK859" s="200"/>
      <c r="DL859" s="200"/>
      <c r="DM859" s="522"/>
      <c r="DN859" s="200"/>
      <c r="DO859" s="223"/>
      <c r="DP859" s="223"/>
      <c r="DQ859" s="223"/>
      <c r="DR859" s="223"/>
      <c r="DS859" s="223"/>
      <c r="DT859" s="223"/>
      <c r="DU859" s="200"/>
      <c r="DV859" s="200"/>
      <c r="DW859" s="522"/>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2"/>
      <c r="R860" s="200"/>
      <c r="S860" s="223"/>
      <c r="T860" s="223"/>
      <c r="U860" s="223"/>
      <c r="V860" s="223"/>
      <c r="W860" s="223"/>
      <c r="X860" s="223"/>
      <c r="Y860" s="200"/>
      <c r="Z860" s="200"/>
      <c r="AA860" s="522"/>
      <c r="AB860" s="200"/>
      <c r="AC860" s="223"/>
      <c r="AD860" s="223"/>
      <c r="AE860" s="223"/>
      <c r="AF860" s="223"/>
      <c r="AG860" s="223"/>
      <c r="AH860" s="223"/>
      <c r="AI860" s="200"/>
      <c r="AJ860" s="200"/>
      <c r="AK860" s="522"/>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2"/>
      <c r="BF860" s="200"/>
      <c r="BG860" s="223"/>
      <c r="BH860" s="223"/>
      <c r="BI860" s="223"/>
      <c r="BJ860" s="223"/>
      <c r="BK860" s="223"/>
      <c r="BL860" s="223"/>
      <c r="BM860" s="200"/>
      <c r="BN860" s="200"/>
      <c r="BO860" s="522"/>
      <c r="BP860" s="200"/>
      <c r="BQ860" s="223"/>
      <c r="BR860" s="223"/>
      <c r="BS860" s="223"/>
      <c r="BT860" s="223"/>
      <c r="BU860" s="223"/>
      <c r="BV860" s="223"/>
      <c r="BW860" s="223"/>
      <c r="BX860" s="200"/>
      <c r="BY860" s="522"/>
      <c r="BZ860" s="200"/>
      <c r="CA860" s="223"/>
      <c r="CB860" s="223"/>
      <c r="CC860" s="223"/>
      <c r="CD860" s="223"/>
      <c r="CE860" s="223"/>
      <c r="CF860" s="223"/>
      <c r="CG860" s="200"/>
      <c r="CH860" s="200"/>
      <c r="CI860" s="522"/>
      <c r="CJ860" s="200"/>
      <c r="CK860" s="223"/>
      <c r="CL860" s="223"/>
      <c r="CM860" s="223"/>
      <c r="CN860" s="223"/>
      <c r="CO860" s="223"/>
      <c r="CP860" s="223"/>
      <c r="CQ860" s="200"/>
      <c r="CR860" s="200"/>
      <c r="CS860" s="522"/>
      <c r="CT860" s="200"/>
      <c r="CU860" s="223"/>
      <c r="CV860" s="223"/>
      <c r="CW860" s="223"/>
      <c r="CX860" s="223"/>
      <c r="CY860" s="223"/>
      <c r="CZ860" s="223"/>
      <c r="DA860" s="223"/>
      <c r="DB860" s="200"/>
      <c r="DC860" s="522"/>
      <c r="DD860" s="200"/>
      <c r="DE860" s="223"/>
      <c r="DF860" s="223"/>
      <c r="DG860" s="223"/>
      <c r="DH860" s="223"/>
      <c r="DI860" s="223"/>
      <c r="DJ860" s="223"/>
      <c r="DK860" s="200"/>
      <c r="DL860" s="200"/>
      <c r="DM860" s="522"/>
      <c r="DN860" s="200"/>
      <c r="DO860" s="223"/>
      <c r="DP860" s="223"/>
      <c r="DQ860" s="223"/>
      <c r="DR860" s="223"/>
      <c r="DS860" s="223"/>
      <c r="DT860" s="223"/>
      <c r="DU860" s="200"/>
      <c r="DV860" s="200"/>
      <c r="DW860" s="522"/>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2"/>
      <c r="R861" s="200"/>
      <c r="S861" s="223"/>
      <c r="T861" s="223"/>
      <c r="U861" s="223"/>
      <c r="V861" s="223"/>
      <c r="W861" s="223"/>
      <c r="X861" s="223"/>
      <c r="Y861" s="200"/>
      <c r="Z861" s="200"/>
      <c r="AA861" s="522"/>
      <c r="AB861" s="200"/>
      <c r="AC861" s="223"/>
      <c r="AD861" s="223"/>
      <c r="AE861" s="223"/>
      <c r="AF861" s="223"/>
      <c r="AG861" s="223"/>
      <c r="AH861" s="223"/>
      <c r="AI861" s="200"/>
      <c r="AJ861" s="200"/>
      <c r="AK861" s="522"/>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2"/>
      <c r="BF861" s="200"/>
      <c r="BG861" s="223"/>
      <c r="BH861" s="223"/>
      <c r="BI861" s="223"/>
      <c r="BJ861" s="223"/>
      <c r="BK861" s="223"/>
      <c r="BL861" s="223"/>
      <c r="BM861" s="200"/>
      <c r="BN861" s="200"/>
      <c r="BO861" s="522"/>
      <c r="BP861" s="200"/>
      <c r="BQ861" s="223"/>
      <c r="BR861" s="223"/>
      <c r="BS861" s="223"/>
      <c r="BT861" s="223"/>
      <c r="BU861" s="223"/>
      <c r="BV861" s="223"/>
      <c r="BW861" s="223"/>
      <c r="BX861" s="200"/>
      <c r="BY861" s="522"/>
      <c r="BZ861" s="200"/>
      <c r="CA861" s="223"/>
      <c r="CB861" s="223"/>
      <c r="CC861" s="223"/>
      <c r="CD861" s="223"/>
      <c r="CE861" s="223"/>
      <c r="CF861" s="223"/>
      <c r="CG861" s="200"/>
      <c r="CH861" s="200"/>
      <c r="CI861" s="522"/>
      <c r="CJ861" s="200"/>
      <c r="CK861" s="223"/>
      <c r="CL861" s="223"/>
      <c r="CM861" s="223"/>
      <c r="CN861" s="223"/>
      <c r="CO861" s="223"/>
      <c r="CP861" s="223"/>
      <c r="CQ861" s="200"/>
      <c r="CR861" s="200"/>
      <c r="CS861" s="522"/>
      <c r="CT861" s="200"/>
      <c r="CU861" s="223"/>
      <c r="CV861" s="223"/>
      <c r="CW861" s="223"/>
      <c r="CX861" s="223"/>
      <c r="CY861" s="223"/>
      <c r="CZ861" s="223"/>
      <c r="DA861" s="223"/>
      <c r="DB861" s="200"/>
      <c r="DC861" s="522"/>
      <c r="DD861" s="200"/>
      <c r="DE861" s="223"/>
      <c r="DF861" s="223"/>
      <c r="DG861" s="223"/>
      <c r="DH861" s="223"/>
      <c r="DI861" s="223"/>
      <c r="DJ861" s="223"/>
      <c r="DK861" s="200"/>
      <c r="DL861" s="200"/>
      <c r="DM861" s="522"/>
      <c r="DN861" s="200"/>
      <c r="DO861" s="223"/>
      <c r="DP861" s="223"/>
      <c r="DQ861" s="223"/>
      <c r="DR861" s="223"/>
      <c r="DS861" s="223"/>
      <c r="DT861" s="223"/>
      <c r="DU861" s="200"/>
      <c r="DV861" s="200"/>
      <c r="DW861" s="522"/>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2"/>
      <c r="R862" s="200"/>
      <c r="S862" s="223"/>
      <c r="T862" s="223"/>
      <c r="U862" s="223"/>
      <c r="V862" s="223"/>
      <c r="W862" s="223"/>
      <c r="X862" s="223"/>
      <c r="Y862" s="200"/>
      <c r="Z862" s="200"/>
      <c r="AA862" s="522"/>
      <c r="AB862" s="200"/>
      <c r="AC862" s="223"/>
      <c r="AD862" s="223"/>
      <c r="AE862" s="223"/>
      <c r="AF862" s="223"/>
      <c r="AG862" s="223"/>
      <c r="AH862" s="223"/>
      <c r="AI862" s="200"/>
      <c r="AJ862" s="200"/>
      <c r="AK862" s="522"/>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2"/>
      <c r="BF862" s="200"/>
      <c r="BG862" s="223"/>
      <c r="BH862" s="223"/>
      <c r="BI862" s="223"/>
      <c r="BJ862" s="223"/>
      <c r="BK862" s="223"/>
      <c r="BL862" s="223"/>
      <c r="BM862" s="200"/>
      <c r="BN862" s="200"/>
      <c r="BO862" s="522"/>
      <c r="BP862" s="200"/>
      <c r="BQ862" s="223"/>
      <c r="BR862" s="223"/>
      <c r="BS862" s="223"/>
      <c r="BT862" s="223"/>
      <c r="BU862" s="223"/>
      <c r="BV862" s="223"/>
      <c r="BW862" s="223"/>
      <c r="BX862" s="200"/>
      <c r="BY862" s="522"/>
      <c r="BZ862" s="200"/>
      <c r="CA862" s="223"/>
      <c r="CB862" s="223"/>
      <c r="CC862" s="223"/>
      <c r="CD862" s="223"/>
      <c r="CE862" s="223"/>
      <c r="CF862" s="223"/>
      <c r="CG862" s="200"/>
      <c r="CH862" s="200"/>
      <c r="CI862" s="522"/>
      <c r="CJ862" s="200"/>
      <c r="CK862" s="223"/>
      <c r="CL862" s="223"/>
      <c r="CM862" s="223"/>
      <c r="CN862" s="223"/>
      <c r="CO862" s="223"/>
      <c r="CP862" s="223"/>
      <c r="CQ862" s="200"/>
      <c r="CR862" s="200"/>
      <c r="CS862" s="522"/>
      <c r="CT862" s="200"/>
      <c r="CU862" s="223"/>
      <c r="CV862" s="223"/>
      <c r="CW862" s="223"/>
      <c r="CX862" s="223"/>
      <c r="CY862" s="223"/>
      <c r="CZ862" s="223"/>
      <c r="DA862" s="223"/>
      <c r="DB862" s="200"/>
      <c r="DC862" s="522"/>
      <c r="DD862" s="200"/>
      <c r="DE862" s="223"/>
      <c r="DF862" s="223"/>
      <c r="DG862" s="223"/>
      <c r="DH862" s="223"/>
      <c r="DI862" s="223"/>
      <c r="DJ862" s="223"/>
      <c r="DK862" s="200"/>
      <c r="DL862" s="200"/>
      <c r="DM862" s="522"/>
      <c r="DN862" s="200"/>
      <c r="DO862" s="223"/>
      <c r="DP862" s="223"/>
      <c r="DQ862" s="223"/>
      <c r="DR862" s="223"/>
      <c r="DS862" s="223"/>
      <c r="DT862" s="223"/>
      <c r="DU862" s="200"/>
      <c r="DV862" s="200"/>
      <c r="DW862" s="522"/>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2"/>
      <c r="R863" s="200"/>
      <c r="S863" s="223"/>
      <c r="T863" s="223"/>
      <c r="U863" s="223"/>
      <c r="V863" s="223"/>
      <c r="W863" s="223"/>
      <c r="X863" s="223"/>
      <c r="Y863" s="200"/>
      <c r="Z863" s="200"/>
      <c r="AA863" s="522"/>
      <c r="AB863" s="200"/>
      <c r="AC863" s="223"/>
      <c r="AD863" s="223"/>
      <c r="AE863" s="223"/>
      <c r="AF863" s="223"/>
      <c r="AG863" s="223"/>
      <c r="AH863" s="223"/>
      <c r="AI863" s="200"/>
      <c r="AJ863" s="200"/>
      <c r="AK863" s="522"/>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2"/>
      <c r="BF863" s="200"/>
      <c r="BG863" s="223"/>
      <c r="BH863" s="223"/>
      <c r="BI863" s="223"/>
      <c r="BJ863" s="223"/>
      <c r="BK863" s="223"/>
      <c r="BL863" s="223"/>
      <c r="BM863" s="200"/>
      <c r="BN863" s="200"/>
      <c r="BO863" s="522"/>
      <c r="BP863" s="200"/>
      <c r="BQ863" s="223"/>
      <c r="BR863" s="223"/>
      <c r="BS863" s="223"/>
      <c r="BT863" s="223"/>
      <c r="BU863" s="223"/>
      <c r="BV863" s="223"/>
      <c r="BW863" s="223"/>
      <c r="BX863" s="200"/>
      <c r="BY863" s="522"/>
      <c r="BZ863" s="200"/>
      <c r="CA863" s="223"/>
      <c r="CB863" s="223"/>
      <c r="CC863" s="223"/>
      <c r="CD863" s="223"/>
      <c r="CE863" s="223"/>
      <c r="CF863" s="223"/>
      <c r="CG863" s="200"/>
      <c r="CH863" s="200"/>
      <c r="CI863" s="522"/>
      <c r="CJ863" s="200"/>
      <c r="CK863" s="223"/>
      <c r="CL863" s="223"/>
      <c r="CM863" s="223"/>
      <c r="CN863" s="223"/>
      <c r="CO863" s="223"/>
      <c r="CP863" s="223"/>
      <c r="CQ863" s="200"/>
      <c r="CR863" s="200"/>
      <c r="CS863" s="522"/>
      <c r="CT863" s="200"/>
      <c r="CU863" s="223"/>
      <c r="CV863" s="223"/>
      <c r="CW863" s="223"/>
      <c r="CX863" s="223"/>
      <c r="CY863" s="223"/>
      <c r="CZ863" s="223"/>
      <c r="DA863" s="223"/>
      <c r="DB863" s="200"/>
      <c r="DC863" s="522"/>
      <c r="DD863" s="200"/>
      <c r="DE863" s="223"/>
      <c r="DF863" s="223"/>
      <c r="DG863" s="223"/>
      <c r="DH863" s="223"/>
      <c r="DI863" s="223"/>
      <c r="DJ863" s="223"/>
      <c r="DK863" s="200"/>
      <c r="DL863" s="200"/>
      <c r="DM863" s="522"/>
      <c r="DN863" s="200"/>
      <c r="DO863" s="223"/>
      <c r="DP863" s="223"/>
      <c r="DQ863" s="223"/>
      <c r="DR863" s="223"/>
      <c r="DS863" s="223"/>
      <c r="DT863" s="223"/>
      <c r="DU863" s="200"/>
      <c r="DV863" s="200"/>
      <c r="DW863" s="522"/>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2"/>
      <c r="R864" s="200"/>
      <c r="S864" s="223"/>
      <c r="T864" s="223"/>
      <c r="U864" s="223"/>
      <c r="V864" s="223"/>
      <c r="W864" s="223"/>
      <c r="X864" s="223"/>
      <c r="Y864" s="200"/>
      <c r="Z864" s="200"/>
      <c r="AA864" s="522"/>
      <c r="AB864" s="200"/>
      <c r="AC864" s="223"/>
      <c r="AD864" s="223"/>
      <c r="AE864" s="223"/>
      <c r="AF864" s="223"/>
      <c r="AG864" s="223"/>
      <c r="AH864" s="223"/>
      <c r="AI864" s="200"/>
      <c r="AJ864" s="200"/>
      <c r="AK864" s="522"/>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2"/>
      <c r="BF864" s="200"/>
      <c r="BG864" s="223"/>
      <c r="BH864" s="223"/>
      <c r="BI864" s="223"/>
      <c r="BJ864" s="223"/>
      <c r="BK864" s="223"/>
      <c r="BL864" s="223"/>
      <c r="BM864" s="200"/>
      <c r="BN864" s="200"/>
      <c r="BO864" s="522"/>
      <c r="BP864" s="200"/>
      <c r="BQ864" s="223"/>
      <c r="BR864" s="223"/>
      <c r="BS864" s="223"/>
      <c r="BT864" s="223"/>
      <c r="BU864" s="223"/>
      <c r="BV864" s="223"/>
      <c r="BW864" s="223"/>
      <c r="BX864" s="200"/>
      <c r="BY864" s="522"/>
      <c r="BZ864" s="200"/>
      <c r="CA864" s="223"/>
      <c r="CB864" s="223"/>
      <c r="CC864" s="223"/>
      <c r="CD864" s="223"/>
      <c r="CE864" s="223"/>
      <c r="CF864" s="223"/>
      <c r="CG864" s="200"/>
      <c r="CH864" s="200"/>
      <c r="CI864" s="522"/>
      <c r="CJ864" s="200"/>
      <c r="CK864" s="223"/>
      <c r="CL864" s="223"/>
      <c r="CM864" s="223"/>
      <c r="CN864" s="223"/>
      <c r="CO864" s="223"/>
      <c r="CP864" s="223"/>
      <c r="CQ864" s="200"/>
      <c r="CR864" s="200"/>
      <c r="CS864" s="522"/>
      <c r="CT864" s="200"/>
      <c r="CU864" s="223"/>
      <c r="CV864" s="223"/>
      <c r="CW864" s="223"/>
      <c r="CX864" s="223"/>
      <c r="CY864" s="223"/>
      <c r="CZ864" s="223"/>
      <c r="DA864" s="223"/>
      <c r="DB864" s="200"/>
      <c r="DC864" s="522"/>
      <c r="DD864" s="200"/>
      <c r="DE864" s="223"/>
      <c r="DF864" s="223"/>
      <c r="DG864" s="223"/>
      <c r="DH864" s="223"/>
      <c r="DI864" s="223"/>
      <c r="DJ864" s="223"/>
      <c r="DK864" s="200"/>
      <c r="DL864" s="200"/>
      <c r="DM864" s="522"/>
      <c r="DN864" s="200"/>
      <c r="DO864" s="223"/>
      <c r="DP864" s="223"/>
      <c r="DQ864" s="223"/>
      <c r="DR864" s="223"/>
      <c r="DS864" s="223"/>
      <c r="DT864" s="223"/>
      <c r="DU864" s="200"/>
      <c r="DV864" s="200"/>
      <c r="DW864" s="522"/>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2"/>
      <c r="R865" s="200"/>
      <c r="S865" s="223"/>
      <c r="T865" s="223"/>
      <c r="U865" s="223"/>
      <c r="V865" s="223"/>
      <c r="W865" s="223"/>
      <c r="X865" s="223"/>
      <c r="Y865" s="200"/>
      <c r="Z865" s="200"/>
      <c r="AA865" s="522"/>
      <c r="AB865" s="200"/>
      <c r="AC865" s="223"/>
      <c r="AD865" s="223"/>
      <c r="AE865" s="223"/>
      <c r="AF865" s="223"/>
      <c r="AG865" s="223"/>
      <c r="AH865" s="223"/>
      <c r="AI865" s="200"/>
      <c r="AJ865" s="200"/>
      <c r="AK865" s="522"/>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2"/>
      <c r="BF865" s="200"/>
      <c r="BG865" s="223"/>
      <c r="BH865" s="223"/>
      <c r="BI865" s="223"/>
      <c r="BJ865" s="223"/>
      <c r="BK865" s="223"/>
      <c r="BL865" s="223"/>
      <c r="BM865" s="200"/>
      <c r="BN865" s="200"/>
      <c r="BO865" s="522"/>
      <c r="BP865" s="200"/>
      <c r="BQ865" s="223"/>
      <c r="BR865" s="223"/>
      <c r="BS865" s="223"/>
      <c r="BT865" s="223"/>
      <c r="BU865" s="223"/>
      <c r="BV865" s="223"/>
      <c r="BW865" s="223"/>
      <c r="BX865" s="200"/>
      <c r="BY865" s="522"/>
      <c r="BZ865" s="200"/>
      <c r="CA865" s="223"/>
      <c r="CB865" s="223"/>
      <c r="CC865" s="223"/>
      <c r="CD865" s="223"/>
      <c r="CE865" s="223"/>
      <c r="CF865" s="223"/>
      <c r="CG865" s="200"/>
      <c r="CH865" s="200"/>
      <c r="CI865" s="522"/>
      <c r="CJ865" s="200"/>
      <c r="CK865" s="223"/>
      <c r="CL865" s="223"/>
      <c r="CM865" s="223"/>
      <c r="CN865" s="223"/>
      <c r="CO865" s="223"/>
      <c r="CP865" s="223"/>
      <c r="CQ865" s="200"/>
      <c r="CR865" s="200"/>
      <c r="CS865" s="522"/>
      <c r="CT865" s="200"/>
      <c r="CU865" s="223"/>
      <c r="CV865" s="223"/>
      <c r="CW865" s="223"/>
      <c r="CX865" s="223"/>
      <c r="CY865" s="223"/>
      <c r="CZ865" s="223"/>
      <c r="DA865" s="223"/>
      <c r="DB865" s="200"/>
      <c r="DC865" s="522"/>
      <c r="DD865" s="200"/>
      <c r="DE865" s="223"/>
      <c r="DF865" s="223"/>
      <c r="DG865" s="223"/>
      <c r="DH865" s="223"/>
      <c r="DI865" s="223"/>
      <c r="DJ865" s="223"/>
      <c r="DK865" s="200"/>
      <c r="DL865" s="200"/>
      <c r="DM865" s="522"/>
      <c r="DN865" s="200"/>
      <c r="DO865" s="223"/>
      <c r="DP865" s="223"/>
      <c r="DQ865" s="223"/>
      <c r="DR865" s="223"/>
      <c r="DS865" s="223"/>
      <c r="DT865" s="223"/>
      <c r="DU865" s="200"/>
      <c r="DV865" s="200"/>
      <c r="DW865" s="522"/>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2"/>
      <c r="R866" s="200"/>
      <c r="S866" s="223"/>
      <c r="T866" s="223"/>
      <c r="U866" s="223"/>
      <c r="V866" s="223"/>
      <c r="W866" s="223"/>
      <c r="X866" s="223"/>
      <c r="Y866" s="200"/>
      <c r="Z866" s="200"/>
      <c r="AA866" s="522"/>
      <c r="AB866" s="200"/>
      <c r="AC866" s="223"/>
      <c r="AD866" s="223"/>
      <c r="AE866" s="223"/>
      <c r="AF866" s="223"/>
      <c r="AG866" s="223"/>
      <c r="AH866" s="223"/>
      <c r="AI866" s="200"/>
      <c r="AJ866" s="200"/>
      <c r="AK866" s="522"/>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2"/>
      <c r="BF866" s="200"/>
      <c r="BG866" s="223"/>
      <c r="BH866" s="223"/>
      <c r="BI866" s="223"/>
      <c r="BJ866" s="223"/>
      <c r="BK866" s="223"/>
      <c r="BL866" s="223"/>
      <c r="BM866" s="200"/>
      <c r="BN866" s="200"/>
      <c r="BO866" s="522"/>
      <c r="BP866" s="200"/>
      <c r="BQ866" s="223"/>
      <c r="BR866" s="223"/>
      <c r="BS866" s="223"/>
      <c r="BT866" s="223"/>
      <c r="BU866" s="223"/>
      <c r="BV866" s="223"/>
      <c r="BW866" s="223"/>
      <c r="BX866" s="200"/>
      <c r="BY866" s="522"/>
      <c r="BZ866" s="200"/>
      <c r="CA866" s="223"/>
      <c r="CB866" s="223"/>
      <c r="CC866" s="223"/>
      <c r="CD866" s="223"/>
      <c r="CE866" s="223"/>
      <c r="CF866" s="223"/>
      <c r="CG866" s="200"/>
      <c r="CH866" s="200"/>
      <c r="CI866" s="522"/>
      <c r="CJ866" s="200"/>
      <c r="CK866" s="223"/>
      <c r="CL866" s="223"/>
      <c r="CM866" s="223"/>
      <c r="CN866" s="223"/>
      <c r="CO866" s="223"/>
      <c r="CP866" s="223"/>
      <c r="CQ866" s="200"/>
      <c r="CR866" s="200"/>
      <c r="CS866" s="522"/>
      <c r="CT866" s="200"/>
      <c r="CU866" s="223"/>
      <c r="CV866" s="223"/>
      <c r="CW866" s="223"/>
      <c r="CX866" s="223"/>
      <c r="CY866" s="223"/>
      <c r="CZ866" s="223"/>
      <c r="DA866" s="223"/>
      <c r="DB866" s="200"/>
      <c r="DC866" s="522"/>
      <c r="DD866" s="200"/>
      <c r="DE866" s="223"/>
      <c r="DF866" s="223"/>
      <c r="DG866" s="223"/>
      <c r="DH866" s="223"/>
      <c r="DI866" s="223"/>
      <c r="DJ866" s="223"/>
      <c r="DK866" s="200"/>
      <c r="DL866" s="200"/>
      <c r="DM866" s="522"/>
      <c r="DN866" s="200"/>
      <c r="DO866" s="223"/>
      <c r="DP866" s="223"/>
      <c r="DQ866" s="223"/>
      <c r="DR866" s="223"/>
      <c r="DS866" s="223"/>
      <c r="DT866" s="223"/>
      <c r="DU866" s="200"/>
      <c r="DV866" s="200"/>
      <c r="DW866" s="522"/>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2"/>
      <c r="R867" s="200"/>
      <c r="S867" s="223"/>
      <c r="T867" s="223"/>
      <c r="U867" s="223"/>
      <c r="V867" s="223"/>
      <c r="W867" s="223"/>
      <c r="X867" s="223"/>
      <c r="Y867" s="200"/>
      <c r="Z867" s="200"/>
      <c r="AA867" s="522"/>
      <c r="AB867" s="200"/>
      <c r="AC867" s="223"/>
      <c r="AD867" s="223"/>
      <c r="AE867" s="223"/>
      <c r="AF867" s="223"/>
      <c r="AG867" s="223"/>
      <c r="AH867" s="223"/>
      <c r="AI867" s="200"/>
      <c r="AJ867" s="200"/>
      <c r="AK867" s="522"/>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2"/>
      <c r="BF867" s="200"/>
      <c r="BG867" s="223"/>
      <c r="BH867" s="223"/>
      <c r="BI867" s="223"/>
      <c r="BJ867" s="223"/>
      <c r="BK867" s="223"/>
      <c r="BL867" s="223"/>
      <c r="BM867" s="200"/>
      <c r="BN867" s="200"/>
      <c r="BO867" s="522"/>
      <c r="BP867" s="200"/>
      <c r="BQ867" s="223"/>
      <c r="BR867" s="223"/>
      <c r="BS867" s="223"/>
      <c r="BT867" s="223"/>
      <c r="BU867" s="223"/>
      <c r="BV867" s="223"/>
      <c r="BW867" s="223"/>
      <c r="BX867" s="200"/>
      <c r="BY867" s="522"/>
      <c r="BZ867" s="200"/>
      <c r="CA867" s="223"/>
      <c r="CB867" s="223"/>
      <c r="CC867" s="223"/>
      <c r="CD867" s="223"/>
      <c r="CE867" s="223"/>
      <c r="CF867" s="223"/>
      <c r="CG867" s="200"/>
      <c r="CH867" s="200"/>
      <c r="CI867" s="522"/>
      <c r="CJ867" s="200"/>
      <c r="CK867" s="223"/>
      <c r="CL867" s="223"/>
      <c r="CM867" s="223"/>
      <c r="CN867" s="223"/>
      <c r="CO867" s="223"/>
      <c r="CP867" s="223"/>
      <c r="CQ867" s="200"/>
      <c r="CR867" s="200"/>
      <c r="CS867" s="522"/>
      <c r="CT867" s="200"/>
      <c r="CU867" s="223"/>
      <c r="CV867" s="223"/>
      <c r="CW867" s="223"/>
      <c r="CX867" s="223"/>
      <c r="CY867" s="223"/>
      <c r="CZ867" s="223"/>
      <c r="DA867" s="223"/>
      <c r="DB867" s="200"/>
      <c r="DC867" s="522"/>
      <c r="DD867" s="200"/>
      <c r="DE867" s="223"/>
      <c r="DF867" s="223"/>
      <c r="DG867" s="223"/>
      <c r="DH867" s="223"/>
      <c r="DI867" s="223"/>
      <c r="DJ867" s="223"/>
      <c r="DK867" s="200"/>
      <c r="DL867" s="200"/>
      <c r="DM867" s="522"/>
      <c r="DN867" s="200"/>
      <c r="DO867" s="223"/>
      <c r="DP867" s="223"/>
      <c r="DQ867" s="223"/>
      <c r="DR867" s="223"/>
      <c r="DS867" s="223"/>
      <c r="DT867" s="223"/>
      <c r="DU867" s="200"/>
      <c r="DV867" s="200"/>
      <c r="DW867" s="522"/>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2"/>
      <c r="R868" s="200"/>
      <c r="S868" s="223"/>
      <c r="T868" s="223"/>
      <c r="U868" s="223"/>
      <c r="V868" s="223"/>
      <c r="W868" s="223"/>
      <c r="X868" s="223"/>
      <c r="Y868" s="200"/>
      <c r="Z868" s="200"/>
      <c r="AA868" s="522"/>
      <c r="AB868" s="200"/>
      <c r="AC868" s="223"/>
      <c r="AD868" s="223"/>
      <c r="AE868" s="223"/>
      <c r="AF868" s="223"/>
      <c r="AG868" s="223"/>
      <c r="AH868" s="223"/>
      <c r="AI868" s="200"/>
      <c r="AJ868" s="200"/>
      <c r="AK868" s="522"/>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2"/>
      <c r="BF868" s="200"/>
      <c r="BG868" s="223"/>
      <c r="BH868" s="223"/>
      <c r="BI868" s="223"/>
      <c r="BJ868" s="223"/>
      <c r="BK868" s="223"/>
      <c r="BL868" s="223"/>
      <c r="BM868" s="200"/>
      <c r="BN868" s="200"/>
      <c r="BO868" s="522"/>
      <c r="BP868" s="200"/>
      <c r="BQ868" s="223"/>
      <c r="BR868" s="223"/>
      <c r="BS868" s="223"/>
      <c r="BT868" s="223"/>
      <c r="BU868" s="223"/>
      <c r="BV868" s="223"/>
      <c r="BW868" s="223"/>
      <c r="BX868" s="200"/>
      <c r="BY868" s="522"/>
      <c r="BZ868" s="200"/>
      <c r="CA868" s="223"/>
      <c r="CB868" s="223"/>
      <c r="CC868" s="223"/>
      <c r="CD868" s="223"/>
      <c r="CE868" s="223"/>
      <c r="CF868" s="223"/>
      <c r="CG868" s="200"/>
      <c r="CH868" s="200"/>
      <c r="CI868" s="522"/>
      <c r="CJ868" s="200"/>
      <c r="CK868" s="223"/>
      <c r="CL868" s="223"/>
      <c r="CM868" s="223"/>
      <c r="CN868" s="223"/>
      <c r="CO868" s="223"/>
      <c r="CP868" s="223"/>
      <c r="CQ868" s="200"/>
      <c r="CR868" s="200"/>
      <c r="CS868" s="522"/>
      <c r="CT868" s="200"/>
      <c r="CU868" s="223"/>
      <c r="CV868" s="223"/>
      <c r="CW868" s="223"/>
      <c r="CX868" s="223"/>
      <c r="CY868" s="223"/>
      <c r="CZ868" s="223"/>
      <c r="DA868" s="223"/>
      <c r="DB868" s="200"/>
      <c r="DC868" s="522"/>
      <c r="DD868" s="200"/>
      <c r="DE868" s="223"/>
      <c r="DF868" s="223"/>
      <c r="DG868" s="223"/>
      <c r="DH868" s="223"/>
      <c r="DI868" s="223"/>
      <c r="DJ868" s="223"/>
      <c r="DK868" s="200"/>
      <c r="DL868" s="200"/>
      <c r="DM868" s="522"/>
      <c r="DN868" s="200"/>
      <c r="DO868" s="223"/>
      <c r="DP868" s="223"/>
      <c r="DQ868" s="223"/>
      <c r="DR868" s="223"/>
      <c r="DS868" s="223"/>
      <c r="DT868" s="223"/>
      <c r="DU868" s="200"/>
      <c r="DV868" s="200"/>
      <c r="DW868" s="522"/>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2"/>
      <c r="R869" s="200"/>
      <c r="S869" s="223"/>
      <c r="T869" s="223"/>
      <c r="U869" s="223"/>
      <c r="V869" s="223"/>
      <c r="W869" s="223"/>
      <c r="X869" s="223"/>
      <c r="Y869" s="200"/>
      <c r="Z869" s="200"/>
      <c r="AA869" s="522"/>
      <c r="AB869" s="200"/>
      <c r="AC869" s="223"/>
      <c r="AD869" s="223"/>
      <c r="AE869" s="223"/>
      <c r="AF869" s="223"/>
      <c r="AG869" s="223"/>
      <c r="AH869" s="223"/>
      <c r="AI869" s="200"/>
      <c r="AJ869" s="200"/>
      <c r="AK869" s="522"/>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2"/>
      <c r="BF869" s="200"/>
      <c r="BG869" s="223"/>
      <c r="BH869" s="223"/>
      <c r="BI869" s="223"/>
      <c r="BJ869" s="223"/>
      <c r="BK869" s="223"/>
      <c r="BL869" s="223"/>
      <c r="BM869" s="200"/>
      <c r="BN869" s="200"/>
      <c r="BO869" s="522"/>
      <c r="BP869" s="200"/>
      <c r="BQ869" s="223"/>
      <c r="BR869" s="223"/>
      <c r="BS869" s="223"/>
      <c r="BT869" s="223"/>
      <c r="BU869" s="223"/>
      <c r="BV869" s="223"/>
      <c r="BW869" s="223"/>
      <c r="BX869" s="200"/>
      <c r="BY869" s="522"/>
      <c r="BZ869" s="200"/>
      <c r="CA869" s="223"/>
      <c r="CB869" s="223"/>
      <c r="CC869" s="223"/>
      <c r="CD869" s="223"/>
      <c r="CE869" s="223"/>
      <c r="CF869" s="223"/>
      <c r="CG869" s="200"/>
      <c r="CH869" s="200"/>
      <c r="CI869" s="522"/>
      <c r="CJ869" s="200"/>
      <c r="CK869" s="223"/>
      <c r="CL869" s="223"/>
      <c r="CM869" s="223"/>
      <c r="CN869" s="223"/>
      <c r="CO869" s="223"/>
      <c r="CP869" s="223"/>
      <c r="CQ869" s="200"/>
      <c r="CR869" s="200"/>
      <c r="CS869" s="522"/>
      <c r="CT869" s="200"/>
      <c r="CU869" s="223"/>
      <c r="CV869" s="223"/>
      <c r="CW869" s="223"/>
      <c r="CX869" s="223"/>
      <c r="CY869" s="223"/>
      <c r="CZ869" s="223"/>
      <c r="DA869" s="223"/>
      <c r="DB869" s="200"/>
      <c r="DC869" s="522"/>
      <c r="DD869" s="200"/>
      <c r="DE869" s="223"/>
      <c r="DF869" s="223"/>
      <c r="DG869" s="223"/>
      <c r="DH869" s="223"/>
      <c r="DI869" s="223"/>
      <c r="DJ869" s="223"/>
      <c r="DK869" s="200"/>
      <c r="DL869" s="200"/>
      <c r="DM869" s="522"/>
      <c r="DN869" s="200"/>
      <c r="DO869" s="223"/>
      <c r="DP869" s="223"/>
      <c r="DQ869" s="223"/>
      <c r="DR869" s="223"/>
      <c r="DS869" s="223"/>
      <c r="DT869" s="223"/>
      <c r="DU869" s="200"/>
      <c r="DV869" s="200"/>
      <c r="DW869" s="522"/>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2"/>
      <c r="R870" s="200"/>
      <c r="S870" s="223"/>
      <c r="T870" s="223"/>
      <c r="U870" s="223"/>
      <c r="V870" s="223"/>
      <c r="W870" s="223"/>
      <c r="X870" s="223"/>
      <c r="Y870" s="200"/>
      <c r="Z870" s="200"/>
      <c r="AA870" s="522"/>
      <c r="AB870" s="200"/>
      <c r="AC870" s="223"/>
      <c r="AD870" s="223"/>
      <c r="AE870" s="223"/>
      <c r="AF870" s="223"/>
      <c r="AG870" s="223"/>
      <c r="AH870" s="223"/>
      <c r="AI870" s="200"/>
      <c r="AJ870" s="200"/>
      <c r="AK870" s="522"/>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2"/>
      <c r="BF870" s="200"/>
      <c r="BG870" s="223"/>
      <c r="BH870" s="223"/>
      <c r="BI870" s="223"/>
      <c r="BJ870" s="223"/>
      <c r="BK870" s="223"/>
      <c r="BL870" s="223"/>
      <c r="BM870" s="200"/>
      <c r="BN870" s="200"/>
      <c r="BO870" s="522"/>
      <c r="BP870" s="200"/>
      <c r="BQ870" s="223"/>
      <c r="BR870" s="223"/>
      <c r="BS870" s="223"/>
      <c r="BT870" s="223"/>
      <c r="BU870" s="223"/>
      <c r="BV870" s="223"/>
      <c r="BW870" s="223"/>
      <c r="BX870" s="200"/>
      <c r="BY870" s="522"/>
      <c r="BZ870" s="200"/>
      <c r="CA870" s="223"/>
      <c r="CB870" s="223"/>
      <c r="CC870" s="223"/>
      <c r="CD870" s="223"/>
      <c r="CE870" s="223"/>
      <c r="CF870" s="223"/>
      <c r="CG870" s="200"/>
      <c r="CH870" s="200"/>
      <c r="CI870" s="522"/>
      <c r="CJ870" s="200"/>
      <c r="CK870" s="223"/>
      <c r="CL870" s="223"/>
      <c r="CM870" s="223"/>
      <c r="CN870" s="223"/>
      <c r="CO870" s="223"/>
      <c r="CP870" s="223"/>
      <c r="CQ870" s="200"/>
      <c r="CR870" s="200"/>
      <c r="CS870" s="522"/>
      <c r="CT870" s="200"/>
      <c r="CU870" s="223"/>
      <c r="CV870" s="223"/>
      <c r="CW870" s="223"/>
      <c r="CX870" s="223"/>
      <c r="CY870" s="223"/>
      <c r="CZ870" s="223"/>
      <c r="DA870" s="223"/>
      <c r="DB870" s="200"/>
      <c r="DC870" s="522"/>
      <c r="DD870" s="200"/>
      <c r="DE870" s="223"/>
      <c r="DF870" s="223"/>
      <c r="DG870" s="223"/>
      <c r="DH870" s="223"/>
      <c r="DI870" s="223"/>
      <c r="DJ870" s="223"/>
      <c r="DK870" s="200"/>
      <c r="DL870" s="200"/>
      <c r="DM870" s="522"/>
      <c r="DN870" s="200"/>
      <c r="DO870" s="223"/>
      <c r="DP870" s="223"/>
      <c r="DQ870" s="223"/>
      <c r="DR870" s="223"/>
      <c r="DS870" s="223"/>
      <c r="DT870" s="223"/>
      <c r="DU870" s="200"/>
      <c r="DV870" s="200"/>
      <c r="DW870" s="522"/>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2"/>
      <c r="R871" s="200"/>
      <c r="S871" s="223"/>
      <c r="T871" s="223"/>
      <c r="U871" s="223"/>
      <c r="V871" s="223"/>
      <c r="W871" s="223"/>
      <c r="X871" s="223"/>
      <c r="Y871" s="200"/>
      <c r="Z871" s="200"/>
      <c r="AA871" s="522"/>
      <c r="AB871" s="200"/>
      <c r="AC871" s="223"/>
      <c r="AD871" s="223"/>
      <c r="AE871" s="223"/>
      <c r="AF871" s="223"/>
      <c r="AG871" s="223"/>
      <c r="AH871" s="223"/>
      <c r="AI871" s="200"/>
      <c r="AJ871" s="200"/>
      <c r="AK871" s="522"/>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2"/>
      <c r="BF871" s="200"/>
      <c r="BG871" s="223"/>
      <c r="BH871" s="223"/>
      <c r="BI871" s="223"/>
      <c r="BJ871" s="223"/>
      <c r="BK871" s="223"/>
      <c r="BL871" s="223"/>
      <c r="BM871" s="200"/>
      <c r="BN871" s="200"/>
      <c r="BO871" s="522"/>
      <c r="BP871" s="200"/>
      <c r="BQ871" s="223"/>
      <c r="BR871" s="223"/>
      <c r="BS871" s="223"/>
      <c r="BT871" s="223"/>
      <c r="BU871" s="223"/>
      <c r="BV871" s="223"/>
      <c r="BW871" s="223"/>
      <c r="BX871" s="200"/>
      <c r="BY871" s="522"/>
      <c r="BZ871" s="200"/>
      <c r="CA871" s="223"/>
      <c r="CB871" s="223"/>
      <c r="CC871" s="223"/>
      <c r="CD871" s="223"/>
      <c r="CE871" s="223"/>
      <c r="CF871" s="223"/>
      <c r="CG871" s="200"/>
      <c r="CH871" s="200"/>
      <c r="CI871" s="522"/>
      <c r="CJ871" s="200"/>
      <c r="CK871" s="223"/>
      <c r="CL871" s="223"/>
      <c r="CM871" s="223"/>
      <c r="CN871" s="223"/>
      <c r="CO871" s="223"/>
      <c r="CP871" s="223"/>
      <c r="CQ871" s="200"/>
      <c r="CR871" s="200"/>
      <c r="CS871" s="522"/>
      <c r="CT871" s="200"/>
      <c r="CU871" s="223"/>
      <c r="CV871" s="223"/>
      <c r="CW871" s="223"/>
      <c r="CX871" s="223"/>
      <c r="CY871" s="223"/>
      <c r="CZ871" s="223"/>
      <c r="DA871" s="223"/>
      <c r="DB871" s="200"/>
      <c r="DC871" s="522"/>
      <c r="DD871" s="200"/>
      <c r="DE871" s="223"/>
      <c r="DF871" s="223"/>
      <c r="DG871" s="223"/>
      <c r="DH871" s="223"/>
      <c r="DI871" s="223"/>
      <c r="DJ871" s="223"/>
      <c r="DK871" s="200"/>
      <c r="DL871" s="200"/>
      <c r="DM871" s="522"/>
      <c r="DN871" s="200"/>
      <c r="DO871" s="223"/>
      <c r="DP871" s="223"/>
      <c r="DQ871" s="223"/>
      <c r="DR871" s="223"/>
      <c r="DS871" s="223"/>
      <c r="DT871" s="223"/>
      <c r="DU871" s="200"/>
      <c r="DV871" s="200"/>
      <c r="DW871" s="522"/>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2"/>
      <c r="R872" s="200"/>
      <c r="S872" s="223"/>
      <c r="T872" s="223"/>
      <c r="U872" s="223"/>
      <c r="V872" s="223"/>
      <c r="W872" s="223"/>
      <c r="X872" s="223"/>
      <c r="Y872" s="200"/>
      <c r="Z872" s="200"/>
      <c r="AA872" s="522"/>
      <c r="AB872" s="200"/>
      <c r="AC872" s="223"/>
      <c r="AD872" s="223"/>
      <c r="AE872" s="223"/>
      <c r="AF872" s="223"/>
      <c r="AG872" s="223"/>
      <c r="AH872" s="223"/>
      <c r="AI872" s="200"/>
      <c r="AJ872" s="200"/>
      <c r="AK872" s="522"/>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2"/>
      <c r="BF872" s="200"/>
      <c r="BG872" s="223"/>
      <c r="BH872" s="223"/>
      <c r="BI872" s="223"/>
      <c r="BJ872" s="223"/>
      <c r="BK872" s="223"/>
      <c r="BL872" s="223"/>
      <c r="BM872" s="200"/>
      <c r="BN872" s="200"/>
      <c r="BO872" s="522"/>
      <c r="BP872" s="200"/>
      <c r="BQ872" s="223"/>
      <c r="BR872" s="223"/>
      <c r="BS872" s="223"/>
      <c r="BT872" s="223"/>
      <c r="BU872" s="223"/>
      <c r="BV872" s="223"/>
      <c r="BW872" s="223"/>
      <c r="BX872" s="200"/>
      <c r="BY872" s="522"/>
      <c r="BZ872" s="200"/>
      <c r="CA872" s="223"/>
      <c r="CB872" s="223"/>
      <c r="CC872" s="223"/>
      <c r="CD872" s="223"/>
      <c r="CE872" s="223"/>
      <c r="CF872" s="223"/>
      <c r="CG872" s="200"/>
      <c r="CH872" s="200"/>
      <c r="CI872" s="522"/>
      <c r="CJ872" s="200"/>
      <c r="CK872" s="223"/>
      <c r="CL872" s="223"/>
      <c r="CM872" s="223"/>
      <c r="CN872" s="223"/>
      <c r="CO872" s="223"/>
      <c r="CP872" s="223"/>
      <c r="CQ872" s="200"/>
      <c r="CR872" s="200"/>
      <c r="CS872" s="522"/>
      <c r="CT872" s="200"/>
      <c r="CU872" s="223"/>
      <c r="CV872" s="223"/>
      <c r="CW872" s="223"/>
      <c r="CX872" s="223"/>
      <c r="CY872" s="223"/>
      <c r="CZ872" s="223"/>
      <c r="DA872" s="223"/>
      <c r="DB872" s="200"/>
      <c r="DC872" s="522"/>
      <c r="DD872" s="200"/>
      <c r="DE872" s="223"/>
      <c r="DF872" s="223"/>
      <c r="DG872" s="223"/>
      <c r="DH872" s="223"/>
      <c r="DI872" s="223"/>
      <c r="DJ872" s="223"/>
      <c r="DK872" s="200"/>
      <c r="DL872" s="200"/>
      <c r="DM872" s="522"/>
      <c r="DN872" s="200"/>
      <c r="DO872" s="223"/>
      <c r="DP872" s="223"/>
      <c r="DQ872" s="223"/>
      <c r="DR872" s="223"/>
      <c r="DS872" s="223"/>
      <c r="DT872" s="223"/>
      <c r="DU872" s="200"/>
      <c r="DV872" s="200"/>
      <c r="DW872" s="522"/>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2"/>
      <c r="R873" s="200"/>
      <c r="S873" s="223"/>
      <c r="T873" s="223"/>
      <c r="U873" s="223"/>
      <c r="V873" s="223"/>
      <c r="W873" s="223"/>
      <c r="X873" s="223"/>
      <c r="Y873" s="200"/>
      <c r="Z873" s="200"/>
      <c r="AA873" s="522"/>
      <c r="AB873" s="200"/>
      <c r="AC873" s="223"/>
      <c r="AD873" s="223"/>
      <c r="AE873" s="223"/>
      <c r="AF873" s="223"/>
      <c r="AG873" s="223"/>
      <c r="AH873" s="223"/>
      <c r="AI873" s="200"/>
      <c r="AJ873" s="200"/>
      <c r="AK873" s="522"/>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2"/>
      <c r="BF873" s="200"/>
      <c r="BG873" s="223"/>
      <c r="BH873" s="223"/>
      <c r="BI873" s="223"/>
      <c r="BJ873" s="223"/>
      <c r="BK873" s="223"/>
      <c r="BL873" s="223"/>
      <c r="BM873" s="200"/>
      <c r="BN873" s="200"/>
      <c r="BO873" s="522"/>
      <c r="BP873" s="200"/>
      <c r="BQ873" s="223"/>
      <c r="BR873" s="223"/>
      <c r="BS873" s="223"/>
      <c r="BT873" s="223"/>
      <c r="BU873" s="223"/>
      <c r="BV873" s="223"/>
      <c r="BW873" s="223"/>
      <c r="BX873" s="200"/>
      <c r="BY873" s="522"/>
      <c r="BZ873" s="200"/>
      <c r="CA873" s="223"/>
      <c r="CB873" s="223"/>
      <c r="CC873" s="223"/>
      <c r="CD873" s="223"/>
      <c r="CE873" s="223"/>
      <c r="CF873" s="223"/>
      <c r="CG873" s="200"/>
      <c r="CH873" s="200"/>
      <c r="CI873" s="522"/>
      <c r="CJ873" s="200"/>
      <c r="CK873" s="223"/>
      <c r="CL873" s="223"/>
      <c r="CM873" s="223"/>
      <c r="CN873" s="223"/>
      <c r="CO873" s="223"/>
      <c r="CP873" s="223"/>
      <c r="CQ873" s="200"/>
      <c r="CR873" s="200"/>
      <c r="CS873" s="522"/>
      <c r="CT873" s="200"/>
      <c r="CU873" s="223"/>
      <c r="CV873" s="223"/>
      <c r="CW873" s="223"/>
      <c r="CX873" s="223"/>
      <c r="CY873" s="223"/>
      <c r="CZ873" s="223"/>
      <c r="DA873" s="223"/>
      <c r="DB873" s="200"/>
      <c r="DC873" s="522"/>
      <c r="DD873" s="200"/>
      <c r="DE873" s="223"/>
      <c r="DF873" s="223"/>
      <c r="DG873" s="223"/>
      <c r="DH873" s="223"/>
      <c r="DI873" s="223"/>
      <c r="DJ873" s="223"/>
      <c r="DK873" s="200"/>
      <c r="DL873" s="200"/>
      <c r="DM873" s="522"/>
      <c r="DN873" s="200"/>
      <c r="DO873" s="223"/>
      <c r="DP873" s="223"/>
      <c r="DQ873" s="223"/>
      <c r="DR873" s="223"/>
      <c r="DS873" s="223"/>
      <c r="DT873" s="223"/>
      <c r="DU873" s="200"/>
      <c r="DV873" s="200"/>
      <c r="DW873" s="522"/>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2"/>
      <c r="R874" s="200"/>
      <c r="S874" s="223"/>
      <c r="T874" s="223"/>
      <c r="U874" s="223"/>
      <c r="V874" s="223"/>
      <c r="W874" s="223"/>
      <c r="X874" s="223"/>
      <c r="Y874" s="200"/>
      <c r="Z874" s="200"/>
      <c r="AA874" s="522"/>
      <c r="AB874" s="200"/>
      <c r="AC874" s="223"/>
      <c r="AD874" s="223"/>
      <c r="AE874" s="223"/>
      <c r="AF874" s="223"/>
      <c r="AG874" s="223"/>
      <c r="AH874" s="223"/>
      <c r="AI874" s="200"/>
      <c r="AJ874" s="200"/>
      <c r="AK874" s="522"/>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2"/>
      <c r="BF874" s="200"/>
      <c r="BG874" s="223"/>
      <c r="BH874" s="223"/>
      <c r="BI874" s="223"/>
      <c r="BJ874" s="223"/>
      <c r="BK874" s="223"/>
      <c r="BL874" s="223"/>
      <c r="BM874" s="200"/>
      <c r="BN874" s="200"/>
      <c r="BO874" s="522"/>
      <c r="BP874" s="200"/>
      <c r="BQ874" s="223"/>
      <c r="BR874" s="223"/>
      <c r="BS874" s="223"/>
      <c r="BT874" s="223"/>
      <c r="BU874" s="223"/>
      <c r="BV874" s="223"/>
      <c r="BW874" s="223"/>
      <c r="BX874" s="200"/>
      <c r="BY874" s="522"/>
      <c r="BZ874" s="200"/>
      <c r="CA874" s="223"/>
      <c r="CB874" s="223"/>
      <c r="CC874" s="223"/>
      <c r="CD874" s="223"/>
      <c r="CE874" s="223"/>
      <c r="CF874" s="223"/>
      <c r="CG874" s="200"/>
      <c r="CH874" s="200"/>
      <c r="CI874" s="522"/>
      <c r="CJ874" s="200"/>
      <c r="CK874" s="223"/>
      <c r="CL874" s="223"/>
      <c r="CM874" s="223"/>
      <c r="CN874" s="223"/>
      <c r="CO874" s="223"/>
      <c r="CP874" s="223"/>
      <c r="CQ874" s="200"/>
      <c r="CR874" s="200"/>
      <c r="CS874" s="522"/>
      <c r="CT874" s="200"/>
      <c r="CU874" s="223"/>
      <c r="CV874" s="223"/>
      <c r="CW874" s="223"/>
      <c r="CX874" s="223"/>
      <c r="CY874" s="223"/>
      <c r="CZ874" s="223"/>
      <c r="DA874" s="223"/>
      <c r="DB874" s="200"/>
      <c r="DC874" s="522"/>
      <c r="DD874" s="200"/>
      <c r="DE874" s="223"/>
      <c r="DF874" s="223"/>
      <c r="DG874" s="223"/>
      <c r="DH874" s="223"/>
      <c r="DI874" s="223"/>
      <c r="DJ874" s="223"/>
      <c r="DK874" s="200"/>
      <c r="DL874" s="200"/>
      <c r="DM874" s="522"/>
      <c r="DN874" s="200"/>
      <c r="DO874" s="223"/>
      <c r="DP874" s="223"/>
      <c r="DQ874" s="223"/>
      <c r="DR874" s="223"/>
      <c r="DS874" s="223"/>
      <c r="DT874" s="223"/>
      <c r="DU874" s="200"/>
      <c r="DV874" s="200"/>
      <c r="DW874" s="522"/>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2"/>
      <c r="R875" s="200"/>
      <c r="S875" s="223"/>
      <c r="T875" s="223"/>
      <c r="U875" s="223"/>
      <c r="V875" s="223"/>
      <c r="W875" s="223"/>
      <c r="X875" s="223"/>
      <c r="Y875" s="200"/>
      <c r="Z875" s="200"/>
      <c r="AA875" s="522"/>
      <c r="AB875" s="200"/>
      <c r="AC875" s="223"/>
      <c r="AD875" s="223"/>
      <c r="AE875" s="223"/>
      <c r="AF875" s="223"/>
      <c r="AG875" s="223"/>
      <c r="AH875" s="223"/>
      <c r="AI875" s="200"/>
      <c r="AJ875" s="200"/>
      <c r="AK875" s="522"/>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2"/>
      <c r="BF875" s="200"/>
      <c r="BG875" s="223"/>
      <c r="BH875" s="223"/>
      <c r="BI875" s="223"/>
      <c r="BJ875" s="223"/>
      <c r="BK875" s="223"/>
      <c r="BL875" s="223"/>
      <c r="BM875" s="200"/>
      <c r="BN875" s="200"/>
      <c r="BO875" s="522"/>
      <c r="BP875" s="200"/>
      <c r="BQ875" s="223"/>
      <c r="BR875" s="223"/>
      <c r="BS875" s="223"/>
      <c r="BT875" s="223"/>
      <c r="BU875" s="223"/>
      <c r="BV875" s="223"/>
      <c r="BW875" s="223"/>
      <c r="BX875" s="200"/>
      <c r="BY875" s="522"/>
      <c r="BZ875" s="200"/>
      <c r="CA875" s="223"/>
      <c r="CB875" s="223"/>
      <c r="CC875" s="223"/>
      <c r="CD875" s="223"/>
      <c r="CE875" s="223"/>
      <c r="CF875" s="223"/>
      <c r="CG875" s="200"/>
      <c r="CH875" s="200"/>
      <c r="CI875" s="522"/>
      <c r="CJ875" s="200"/>
      <c r="CK875" s="223"/>
      <c r="CL875" s="223"/>
      <c r="CM875" s="223"/>
      <c r="CN875" s="223"/>
      <c r="CO875" s="223"/>
      <c r="CP875" s="223"/>
      <c r="CQ875" s="200"/>
      <c r="CR875" s="200"/>
      <c r="CS875" s="522"/>
      <c r="CT875" s="200"/>
      <c r="CU875" s="223"/>
      <c r="CV875" s="223"/>
      <c r="CW875" s="223"/>
      <c r="CX875" s="223"/>
      <c r="CY875" s="223"/>
      <c r="CZ875" s="223"/>
      <c r="DA875" s="223"/>
      <c r="DB875" s="200"/>
      <c r="DC875" s="522"/>
      <c r="DD875" s="200"/>
      <c r="DE875" s="223"/>
      <c r="DF875" s="223"/>
      <c r="DG875" s="223"/>
      <c r="DH875" s="223"/>
      <c r="DI875" s="223"/>
      <c r="DJ875" s="223"/>
      <c r="DK875" s="200"/>
      <c r="DL875" s="200"/>
      <c r="DM875" s="522"/>
      <c r="DN875" s="200"/>
      <c r="DO875" s="223"/>
      <c r="DP875" s="223"/>
      <c r="DQ875" s="223"/>
      <c r="DR875" s="223"/>
      <c r="DS875" s="223"/>
      <c r="DT875" s="223"/>
      <c r="DU875" s="200"/>
      <c r="DV875" s="200"/>
      <c r="DW875" s="522"/>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2"/>
      <c r="R876" s="200"/>
      <c r="S876" s="223"/>
      <c r="T876" s="223"/>
      <c r="U876" s="223"/>
      <c r="V876" s="223"/>
      <c r="W876" s="223"/>
      <c r="X876" s="223"/>
      <c r="Y876" s="200"/>
      <c r="Z876" s="200"/>
      <c r="AA876" s="522"/>
      <c r="AB876" s="200"/>
      <c r="AC876" s="223"/>
      <c r="AD876" s="223"/>
      <c r="AE876" s="223"/>
      <c r="AF876" s="223"/>
      <c r="AG876" s="223"/>
      <c r="AH876" s="223"/>
      <c r="AI876" s="200"/>
      <c r="AJ876" s="200"/>
      <c r="AK876" s="522"/>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2"/>
      <c r="BF876" s="200"/>
      <c r="BG876" s="223"/>
      <c r="BH876" s="223"/>
      <c r="BI876" s="223"/>
      <c r="BJ876" s="223"/>
      <c r="BK876" s="223"/>
      <c r="BL876" s="223"/>
      <c r="BM876" s="200"/>
      <c r="BN876" s="200"/>
      <c r="BO876" s="522"/>
      <c r="BP876" s="200"/>
      <c r="BQ876" s="223"/>
      <c r="BR876" s="223"/>
      <c r="BS876" s="223"/>
      <c r="BT876" s="223"/>
      <c r="BU876" s="223"/>
      <c r="BV876" s="223"/>
      <c r="BW876" s="223"/>
      <c r="BX876" s="200"/>
      <c r="BY876" s="522"/>
      <c r="BZ876" s="200"/>
      <c r="CA876" s="223"/>
      <c r="CB876" s="223"/>
      <c r="CC876" s="223"/>
      <c r="CD876" s="223"/>
      <c r="CE876" s="223"/>
      <c r="CF876" s="223"/>
      <c r="CG876" s="200"/>
      <c r="CH876" s="200"/>
      <c r="CI876" s="522"/>
      <c r="CJ876" s="200"/>
      <c r="CK876" s="223"/>
      <c r="CL876" s="223"/>
      <c r="CM876" s="223"/>
      <c r="CN876" s="223"/>
      <c r="CO876" s="223"/>
      <c r="CP876" s="223"/>
      <c r="CQ876" s="200"/>
      <c r="CR876" s="200"/>
      <c r="CS876" s="522"/>
      <c r="CT876" s="200"/>
      <c r="CU876" s="223"/>
      <c r="CV876" s="223"/>
      <c r="CW876" s="223"/>
      <c r="CX876" s="223"/>
      <c r="CY876" s="223"/>
      <c r="CZ876" s="223"/>
      <c r="DA876" s="223"/>
      <c r="DB876" s="200"/>
      <c r="DC876" s="522"/>
      <c r="DD876" s="200"/>
      <c r="DE876" s="223"/>
      <c r="DF876" s="223"/>
      <c r="DG876" s="223"/>
      <c r="DH876" s="223"/>
      <c r="DI876" s="223"/>
      <c r="DJ876" s="223"/>
      <c r="DK876" s="200"/>
      <c r="DL876" s="200"/>
      <c r="DM876" s="522"/>
      <c r="DN876" s="200"/>
      <c r="DO876" s="223"/>
      <c r="DP876" s="223"/>
      <c r="DQ876" s="223"/>
      <c r="DR876" s="223"/>
      <c r="DS876" s="223"/>
      <c r="DT876" s="223"/>
      <c r="DU876" s="200"/>
      <c r="DV876" s="200"/>
      <c r="DW876" s="522"/>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2"/>
      <c r="R877" s="200"/>
      <c r="S877" s="223"/>
      <c r="T877" s="223"/>
      <c r="U877" s="223"/>
      <c r="V877" s="223"/>
      <c r="W877" s="223"/>
      <c r="X877" s="223"/>
      <c r="Y877" s="200"/>
      <c r="Z877" s="200"/>
      <c r="AA877" s="522"/>
      <c r="AB877" s="200"/>
      <c r="AC877" s="223"/>
      <c r="AD877" s="223"/>
      <c r="AE877" s="223"/>
      <c r="AF877" s="223"/>
      <c r="AG877" s="223"/>
      <c r="AH877" s="223"/>
      <c r="AI877" s="200"/>
      <c r="AJ877" s="200"/>
      <c r="AK877" s="522"/>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2"/>
      <c r="BF877" s="200"/>
      <c r="BG877" s="223"/>
      <c r="BH877" s="223"/>
      <c r="BI877" s="223"/>
      <c r="BJ877" s="223"/>
      <c r="BK877" s="223"/>
      <c r="BL877" s="223"/>
      <c r="BM877" s="200"/>
      <c r="BN877" s="200"/>
      <c r="BO877" s="522"/>
      <c r="BP877" s="200"/>
      <c r="BQ877" s="223"/>
      <c r="BR877" s="223"/>
      <c r="BS877" s="223"/>
      <c r="BT877" s="223"/>
      <c r="BU877" s="223"/>
      <c r="BV877" s="223"/>
      <c r="BW877" s="223"/>
      <c r="BX877" s="200"/>
      <c r="BY877" s="522"/>
      <c r="BZ877" s="200"/>
      <c r="CA877" s="223"/>
      <c r="CB877" s="223"/>
      <c r="CC877" s="223"/>
      <c r="CD877" s="223"/>
      <c r="CE877" s="223"/>
      <c r="CF877" s="223"/>
      <c r="CG877" s="200"/>
      <c r="CH877" s="200"/>
      <c r="CI877" s="522"/>
      <c r="CJ877" s="200"/>
      <c r="CK877" s="223"/>
      <c r="CL877" s="223"/>
      <c r="CM877" s="223"/>
      <c r="CN877" s="223"/>
      <c r="CO877" s="223"/>
      <c r="CP877" s="223"/>
      <c r="CQ877" s="200"/>
      <c r="CR877" s="200"/>
      <c r="CS877" s="522"/>
      <c r="CT877" s="200"/>
      <c r="CU877" s="223"/>
      <c r="CV877" s="223"/>
      <c r="CW877" s="223"/>
      <c r="CX877" s="223"/>
      <c r="CY877" s="223"/>
      <c r="CZ877" s="223"/>
      <c r="DA877" s="223"/>
      <c r="DB877" s="200"/>
      <c r="DC877" s="522"/>
      <c r="DD877" s="200"/>
      <c r="DE877" s="223"/>
      <c r="DF877" s="223"/>
      <c r="DG877" s="223"/>
      <c r="DH877" s="223"/>
      <c r="DI877" s="223"/>
      <c r="DJ877" s="223"/>
      <c r="DK877" s="200"/>
      <c r="DL877" s="200"/>
      <c r="DM877" s="522"/>
      <c r="DN877" s="200"/>
      <c r="DO877" s="223"/>
      <c r="DP877" s="223"/>
      <c r="DQ877" s="223"/>
      <c r="DR877" s="223"/>
      <c r="DS877" s="223"/>
      <c r="DT877" s="223"/>
      <c r="DU877" s="200"/>
      <c r="DV877" s="200"/>
      <c r="DW877" s="522"/>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2"/>
      <c r="R878" s="200"/>
      <c r="S878" s="223"/>
      <c r="T878" s="223"/>
      <c r="U878" s="223"/>
      <c r="V878" s="223"/>
      <c r="W878" s="223"/>
      <c r="X878" s="223"/>
      <c r="Y878" s="200"/>
      <c r="Z878" s="200"/>
      <c r="AA878" s="522"/>
      <c r="AB878" s="200"/>
      <c r="AC878" s="223"/>
      <c r="AD878" s="223"/>
      <c r="AE878" s="223"/>
      <c r="AF878" s="223"/>
      <c r="AG878" s="223"/>
      <c r="AH878" s="223"/>
      <c r="AI878" s="200"/>
      <c r="AJ878" s="200"/>
      <c r="AK878" s="522"/>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2"/>
      <c r="BF878" s="200"/>
      <c r="BG878" s="223"/>
      <c r="BH878" s="223"/>
      <c r="BI878" s="223"/>
      <c r="BJ878" s="223"/>
      <c r="BK878" s="223"/>
      <c r="BL878" s="223"/>
      <c r="BM878" s="200"/>
      <c r="BN878" s="200"/>
      <c r="BO878" s="522"/>
      <c r="BP878" s="200"/>
      <c r="BQ878" s="223"/>
      <c r="BR878" s="223"/>
      <c r="BS878" s="223"/>
      <c r="BT878" s="223"/>
      <c r="BU878" s="223"/>
      <c r="BV878" s="223"/>
      <c r="BW878" s="223"/>
      <c r="BX878" s="200"/>
      <c r="BY878" s="522"/>
      <c r="BZ878" s="200"/>
      <c r="CA878" s="223"/>
      <c r="CB878" s="223"/>
      <c r="CC878" s="223"/>
      <c r="CD878" s="223"/>
      <c r="CE878" s="223"/>
      <c r="CF878" s="223"/>
      <c r="CG878" s="200"/>
      <c r="CH878" s="200"/>
      <c r="CI878" s="522"/>
      <c r="CJ878" s="200"/>
      <c r="CK878" s="223"/>
      <c r="CL878" s="223"/>
      <c r="CM878" s="223"/>
      <c r="CN878" s="223"/>
      <c r="CO878" s="223"/>
      <c r="CP878" s="223"/>
      <c r="CQ878" s="200"/>
      <c r="CR878" s="200"/>
      <c r="CS878" s="522"/>
      <c r="CT878" s="200"/>
      <c r="CU878" s="223"/>
      <c r="CV878" s="223"/>
      <c r="CW878" s="223"/>
      <c r="CX878" s="223"/>
      <c r="CY878" s="223"/>
      <c r="CZ878" s="223"/>
      <c r="DA878" s="223"/>
      <c r="DB878" s="200"/>
      <c r="DC878" s="522"/>
      <c r="DD878" s="200"/>
      <c r="DE878" s="223"/>
      <c r="DF878" s="223"/>
      <c r="DG878" s="223"/>
      <c r="DH878" s="223"/>
      <c r="DI878" s="223"/>
      <c r="DJ878" s="223"/>
      <c r="DK878" s="200"/>
      <c r="DL878" s="200"/>
      <c r="DM878" s="522"/>
      <c r="DN878" s="200"/>
      <c r="DO878" s="223"/>
      <c r="DP878" s="223"/>
      <c r="DQ878" s="223"/>
      <c r="DR878" s="223"/>
      <c r="DS878" s="223"/>
      <c r="DT878" s="223"/>
      <c r="DU878" s="200"/>
      <c r="DV878" s="200"/>
      <c r="DW878" s="522"/>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2"/>
      <c r="R879" s="200"/>
      <c r="S879" s="223"/>
      <c r="T879" s="223"/>
      <c r="U879" s="223"/>
      <c r="V879" s="223"/>
      <c r="W879" s="223"/>
      <c r="X879" s="223"/>
      <c r="Y879" s="200"/>
      <c r="Z879" s="200"/>
      <c r="AA879" s="522"/>
      <c r="AB879" s="200"/>
      <c r="AC879" s="223"/>
      <c r="AD879" s="223"/>
      <c r="AE879" s="223"/>
      <c r="AF879" s="223"/>
      <c r="AG879" s="223"/>
      <c r="AH879" s="223"/>
      <c r="AI879" s="200"/>
      <c r="AJ879" s="200"/>
      <c r="AK879" s="522"/>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2"/>
      <c r="BF879" s="200"/>
      <c r="BG879" s="223"/>
      <c r="BH879" s="223"/>
      <c r="BI879" s="223"/>
      <c r="BJ879" s="223"/>
      <c r="BK879" s="223"/>
      <c r="BL879" s="223"/>
      <c r="BM879" s="200"/>
      <c r="BN879" s="200"/>
      <c r="BO879" s="522"/>
      <c r="BP879" s="200"/>
      <c r="BQ879" s="223"/>
      <c r="BR879" s="223"/>
      <c r="BS879" s="223"/>
      <c r="BT879" s="223"/>
      <c r="BU879" s="223"/>
      <c r="BV879" s="223"/>
      <c r="BW879" s="223"/>
      <c r="BX879" s="200"/>
      <c r="BY879" s="522"/>
      <c r="BZ879" s="200"/>
      <c r="CA879" s="223"/>
      <c r="CB879" s="223"/>
      <c r="CC879" s="223"/>
      <c r="CD879" s="223"/>
      <c r="CE879" s="223"/>
      <c r="CF879" s="223"/>
      <c r="CG879" s="200"/>
      <c r="CH879" s="200"/>
      <c r="CI879" s="522"/>
      <c r="CJ879" s="200"/>
      <c r="CK879" s="223"/>
      <c r="CL879" s="223"/>
      <c r="CM879" s="223"/>
      <c r="CN879" s="223"/>
      <c r="CO879" s="223"/>
      <c r="CP879" s="223"/>
      <c r="CQ879" s="200"/>
      <c r="CR879" s="200"/>
      <c r="CS879" s="522"/>
      <c r="CT879" s="200"/>
      <c r="CU879" s="223"/>
      <c r="CV879" s="223"/>
      <c r="CW879" s="223"/>
      <c r="CX879" s="223"/>
      <c r="CY879" s="223"/>
      <c r="CZ879" s="223"/>
      <c r="DA879" s="223"/>
      <c r="DB879" s="200"/>
      <c r="DC879" s="522"/>
      <c r="DD879" s="200"/>
      <c r="DE879" s="223"/>
      <c r="DF879" s="223"/>
      <c r="DG879" s="223"/>
      <c r="DH879" s="223"/>
      <c r="DI879" s="223"/>
      <c r="DJ879" s="223"/>
      <c r="DK879" s="200"/>
      <c r="DL879" s="200"/>
      <c r="DM879" s="522"/>
      <c r="DN879" s="200"/>
      <c r="DO879" s="223"/>
      <c r="DP879" s="223"/>
      <c r="DQ879" s="223"/>
      <c r="DR879" s="223"/>
      <c r="DS879" s="223"/>
      <c r="DT879" s="223"/>
      <c r="DU879" s="200"/>
      <c r="DV879" s="200"/>
      <c r="DW879" s="522"/>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2"/>
      <c r="R880" s="200"/>
      <c r="S880" s="223"/>
      <c r="T880" s="223"/>
      <c r="U880" s="223"/>
      <c r="V880" s="223"/>
      <c r="W880" s="223"/>
      <c r="X880" s="223"/>
      <c r="Y880" s="200"/>
      <c r="Z880" s="200"/>
      <c r="AA880" s="522"/>
      <c r="AB880" s="200"/>
      <c r="AC880" s="223"/>
      <c r="AD880" s="223"/>
      <c r="AE880" s="223"/>
      <c r="AF880" s="223"/>
      <c r="AG880" s="223"/>
      <c r="AH880" s="223"/>
      <c r="AI880" s="200"/>
      <c r="AJ880" s="200"/>
      <c r="AK880" s="522"/>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2"/>
      <c r="BF880" s="200"/>
      <c r="BG880" s="223"/>
      <c r="BH880" s="223"/>
      <c r="BI880" s="223"/>
      <c r="BJ880" s="223"/>
      <c r="BK880" s="223"/>
      <c r="BL880" s="223"/>
      <c r="BM880" s="200"/>
      <c r="BN880" s="200"/>
      <c r="BO880" s="522"/>
      <c r="BP880" s="200"/>
      <c r="BQ880" s="223"/>
      <c r="BR880" s="223"/>
      <c r="BS880" s="223"/>
      <c r="BT880" s="223"/>
      <c r="BU880" s="223"/>
      <c r="BV880" s="223"/>
      <c r="BW880" s="223"/>
      <c r="BX880" s="200"/>
      <c r="BY880" s="522"/>
      <c r="BZ880" s="200"/>
      <c r="CA880" s="223"/>
      <c r="CB880" s="223"/>
      <c r="CC880" s="223"/>
      <c r="CD880" s="223"/>
      <c r="CE880" s="223"/>
      <c r="CF880" s="223"/>
      <c r="CG880" s="200"/>
      <c r="CH880" s="200"/>
      <c r="CI880" s="522"/>
      <c r="CJ880" s="200"/>
      <c r="CK880" s="223"/>
      <c r="CL880" s="223"/>
      <c r="CM880" s="223"/>
      <c r="CN880" s="223"/>
      <c r="CO880" s="223"/>
      <c r="CP880" s="223"/>
      <c r="CQ880" s="200"/>
      <c r="CR880" s="200"/>
      <c r="CS880" s="522"/>
      <c r="CT880" s="200"/>
      <c r="CU880" s="223"/>
      <c r="CV880" s="223"/>
      <c r="CW880" s="223"/>
      <c r="CX880" s="223"/>
      <c r="CY880" s="223"/>
      <c r="CZ880" s="223"/>
      <c r="DA880" s="223"/>
      <c r="DB880" s="200"/>
      <c r="DC880" s="522"/>
      <c r="DD880" s="200"/>
      <c r="DE880" s="223"/>
      <c r="DF880" s="223"/>
      <c r="DG880" s="223"/>
      <c r="DH880" s="223"/>
      <c r="DI880" s="223"/>
      <c r="DJ880" s="223"/>
      <c r="DK880" s="200"/>
      <c r="DL880" s="200"/>
      <c r="DM880" s="522"/>
      <c r="DN880" s="200"/>
      <c r="DO880" s="223"/>
      <c r="DP880" s="223"/>
      <c r="DQ880" s="223"/>
      <c r="DR880" s="223"/>
      <c r="DS880" s="223"/>
      <c r="DT880" s="223"/>
      <c r="DU880" s="200"/>
      <c r="DV880" s="200"/>
      <c r="DW880" s="522"/>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2"/>
      <c r="R881" s="200"/>
      <c r="S881" s="223"/>
      <c r="T881" s="223"/>
      <c r="U881" s="223"/>
      <c r="V881" s="223"/>
      <c r="W881" s="223"/>
      <c r="X881" s="223"/>
      <c r="Y881" s="200"/>
      <c r="Z881" s="200"/>
      <c r="AA881" s="522"/>
      <c r="AB881" s="200"/>
      <c r="AC881" s="223"/>
      <c r="AD881" s="223"/>
      <c r="AE881" s="223"/>
      <c r="AF881" s="223"/>
      <c r="AG881" s="223"/>
      <c r="AH881" s="223"/>
      <c r="AI881" s="200"/>
      <c r="AJ881" s="200"/>
      <c r="AK881" s="522"/>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2"/>
      <c r="BF881" s="200"/>
      <c r="BG881" s="223"/>
      <c r="BH881" s="223"/>
      <c r="BI881" s="223"/>
      <c r="BJ881" s="223"/>
      <c r="BK881" s="223"/>
      <c r="BL881" s="223"/>
      <c r="BM881" s="200"/>
      <c r="BN881" s="200"/>
      <c r="BO881" s="522"/>
      <c r="BP881" s="200"/>
      <c r="BQ881" s="223"/>
      <c r="BR881" s="223"/>
      <c r="BS881" s="223"/>
      <c r="BT881" s="223"/>
      <c r="BU881" s="223"/>
      <c r="BV881" s="223"/>
      <c r="BW881" s="223"/>
      <c r="BX881" s="200"/>
      <c r="BY881" s="522"/>
      <c r="BZ881" s="200"/>
      <c r="CA881" s="223"/>
      <c r="CB881" s="223"/>
      <c r="CC881" s="223"/>
      <c r="CD881" s="223"/>
      <c r="CE881" s="223"/>
      <c r="CF881" s="223"/>
      <c r="CG881" s="200"/>
      <c r="CH881" s="200"/>
      <c r="CI881" s="522"/>
      <c r="CJ881" s="200"/>
      <c r="CK881" s="223"/>
      <c r="CL881" s="223"/>
      <c r="CM881" s="223"/>
      <c r="CN881" s="223"/>
      <c r="CO881" s="223"/>
      <c r="CP881" s="223"/>
      <c r="CQ881" s="200"/>
      <c r="CR881" s="200"/>
      <c r="CS881" s="522"/>
      <c r="CT881" s="200"/>
      <c r="CU881" s="223"/>
      <c r="CV881" s="223"/>
      <c r="CW881" s="223"/>
      <c r="CX881" s="223"/>
      <c r="CY881" s="223"/>
      <c r="CZ881" s="223"/>
      <c r="DA881" s="223"/>
      <c r="DB881" s="200"/>
      <c r="DC881" s="522"/>
      <c r="DD881" s="200"/>
      <c r="DE881" s="223"/>
      <c r="DF881" s="223"/>
      <c r="DG881" s="223"/>
      <c r="DH881" s="223"/>
      <c r="DI881" s="223"/>
      <c r="DJ881" s="223"/>
      <c r="DK881" s="200"/>
      <c r="DL881" s="200"/>
      <c r="DM881" s="522"/>
      <c r="DN881" s="200"/>
      <c r="DO881" s="223"/>
      <c r="DP881" s="223"/>
      <c r="DQ881" s="223"/>
      <c r="DR881" s="223"/>
      <c r="DS881" s="223"/>
      <c r="DT881" s="223"/>
      <c r="DU881" s="200"/>
      <c r="DV881" s="200"/>
      <c r="DW881" s="522"/>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2"/>
      <c r="R882" s="200"/>
      <c r="S882" s="223"/>
      <c r="T882" s="223"/>
      <c r="U882" s="223"/>
      <c r="V882" s="223"/>
      <c r="W882" s="223"/>
      <c r="X882" s="223"/>
      <c r="Y882" s="200"/>
      <c r="Z882" s="200"/>
      <c r="AA882" s="522"/>
      <c r="AB882" s="200"/>
      <c r="AC882" s="223"/>
      <c r="AD882" s="223"/>
      <c r="AE882" s="223"/>
      <c r="AF882" s="223"/>
      <c r="AG882" s="223"/>
      <c r="AH882" s="223"/>
      <c r="AI882" s="200"/>
      <c r="AJ882" s="200"/>
      <c r="AK882" s="522"/>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2"/>
      <c r="BF882" s="200"/>
      <c r="BG882" s="223"/>
      <c r="BH882" s="223"/>
      <c r="BI882" s="223"/>
      <c r="BJ882" s="223"/>
      <c r="BK882" s="223"/>
      <c r="BL882" s="223"/>
      <c r="BM882" s="200"/>
      <c r="BN882" s="200"/>
      <c r="BO882" s="522"/>
      <c r="BP882" s="200"/>
      <c r="BQ882" s="223"/>
      <c r="BR882" s="223"/>
      <c r="BS882" s="223"/>
      <c r="BT882" s="223"/>
      <c r="BU882" s="223"/>
      <c r="BV882" s="223"/>
      <c r="BW882" s="223"/>
      <c r="BX882" s="200"/>
      <c r="BY882" s="522"/>
      <c r="BZ882" s="200"/>
      <c r="CA882" s="223"/>
      <c r="CB882" s="223"/>
      <c r="CC882" s="223"/>
      <c r="CD882" s="223"/>
      <c r="CE882" s="223"/>
      <c r="CF882" s="223"/>
      <c r="CG882" s="200"/>
      <c r="CH882" s="200"/>
      <c r="CI882" s="522"/>
      <c r="CJ882" s="200"/>
      <c r="CK882" s="223"/>
      <c r="CL882" s="223"/>
      <c r="CM882" s="223"/>
      <c r="CN882" s="223"/>
      <c r="CO882" s="223"/>
      <c r="CP882" s="223"/>
      <c r="CQ882" s="200"/>
      <c r="CR882" s="200"/>
      <c r="CS882" s="522"/>
      <c r="CT882" s="200"/>
      <c r="CU882" s="223"/>
      <c r="CV882" s="223"/>
      <c r="CW882" s="223"/>
      <c r="CX882" s="223"/>
      <c r="CY882" s="223"/>
      <c r="CZ882" s="223"/>
      <c r="DA882" s="223"/>
      <c r="DB882" s="200"/>
      <c r="DC882" s="522"/>
      <c r="DD882" s="200"/>
      <c r="DE882" s="223"/>
      <c r="DF882" s="223"/>
      <c r="DG882" s="223"/>
      <c r="DH882" s="223"/>
      <c r="DI882" s="223"/>
      <c r="DJ882" s="223"/>
      <c r="DK882" s="200"/>
      <c r="DL882" s="200"/>
      <c r="DM882" s="522"/>
      <c r="DN882" s="200"/>
      <c r="DO882" s="223"/>
      <c r="DP882" s="223"/>
      <c r="DQ882" s="223"/>
      <c r="DR882" s="223"/>
      <c r="DS882" s="223"/>
      <c r="DT882" s="223"/>
      <c r="DU882" s="200"/>
      <c r="DV882" s="200"/>
      <c r="DW882" s="522"/>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2"/>
      <c r="R883" s="200"/>
      <c r="S883" s="223"/>
      <c r="T883" s="223"/>
      <c r="U883" s="223"/>
      <c r="V883" s="223"/>
      <c r="W883" s="223"/>
      <c r="X883" s="223"/>
      <c r="Y883" s="200"/>
      <c r="Z883" s="200"/>
      <c r="AA883" s="522"/>
      <c r="AB883" s="200"/>
      <c r="AC883" s="223"/>
      <c r="AD883" s="223"/>
      <c r="AE883" s="223"/>
      <c r="AF883" s="223"/>
      <c r="AG883" s="223"/>
      <c r="AH883" s="223"/>
      <c r="AI883" s="200"/>
      <c r="AJ883" s="200"/>
      <c r="AK883" s="522"/>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2"/>
      <c r="BF883" s="200"/>
      <c r="BG883" s="223"/>
      <c r="BH883" s="223"/>
      <c r="BI883" s="223"/>
      <c r="BJ883" s="223"/>
      <c r="BK883" s="223"/>
      <c r="BL883" s="223"/>
      <c r="BM883" s="200"/>
      <c r="BN883" s="200"/>
      <c r="BO883" s="522"/>
      <c r="BP883" s="200"/>
      <c r="BQ883" s="223"/>
      <c r="BR883" s="223"/>
      <c r="BS883" s="223"/>
      <c r="BT883" s="223"/>
      <c r="BU883" s="223"/>
      <c r="BV883" s="223"/>
      <c r="BW883" s="223"/>
      <c r="BX883" s="200"/>
      <c r="BY883" s="522"/>
      <c r="BZ883" s="200"/>
      <c r="CA883" s="223"/>
      <c r="CB883" s="223"/>
      <c r="CC883" s="223"/>
      <c r="CD883" s="223"/>
      <c r="CE883" s="223"/>
      <c r="CF883" s="223"/>
      <c r="CG883" s="200"/>
      <c r="CH883" s="200"/>
      <c r="CI883" s="522"/>
      <c r="CJ883" s="200"/>
      <c r="CK883" s="223"/>
      <c r="CL883" s="223"/>
      <c r="CM883" s="223"/>
      <c r="CN883" s="223"/>
      <c r="CO883" s="223"/>
      <c r="CP883" s="223"/>
      <c r="CQ883" s="200"/>
      <c r="CR883" s="200"/>
      <c r="CS883" s="522"/>
      <c r="CT883" s="200"/>
      <c r="CU883" s="223"/>
      <c r="CV883" s="223"/>
      <c r="CW883" s="223"/>
      <c r="CX883" s="223"/>
      <c r="CY883" s="223"/>
      <c r="CZ883" s="223"/>
      <c r="DA883" s="223"/>
      <c r="DB883" s="200"/>
      <c r="DC883" s="522"/>
      <c r="DD883" s="200"/>
      <c r="DE883" s="223"/>
      <c r="DF883" s="223"/>
      <c r="DG883" s="223"/>
      <c r="DH883" s="223"/>
      <c r="DI883" s="223"/>
      <c r="DJ883" s="223"/>
      <c r="DK883" s="200"/>
      <c r="DL883" s="200"/>
      <c r="DM883" s="522"/>
      <c r="DN883" s="200"/>
      <c r="DO883" s="223"/>
      <c r="DP883" s="223"/>
      <c r="DQ883" s="223"/>
      <c r="DR883" s="223"/>
      <c r="DS883" s="223"/>
      <c r="DT883" s="223"/>
      <c r="DU883" s="200"/>
      <c r="DV883" s="200"/>
      <c r="DW883" s="522"/>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2"/>
      <c r="R884" s="200"/>
      <c r="S884" s="223"/>
      <c r="T884" s="223"/>
      <c r="U884" s="223"/>
      <c r="V884" s="223"/>
      <c r="W884" s="223"/>
      <c r="X884" s="223"/>
      <c r="Y884" s="200"/>
      <c r="Z884" s="200"/>
      <c r="AA884" s="522"/>
      <c r="AB884" s="200"/>
      <c r="AC884" s="223"/>
      <c r="AD884" s="223"/>
      <c r="AE884" s="223"/>
      <c r="AF884" s="223"/>
      <c r="AG884" s="223"/>
      <c r="AH884" s="223"/>
      <c r="AI884" s="200"/>
      <c r="AJ884" s="200"/>
      <c r="AK884" s="522"/>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2"/>
      <c r="BF884" s="200"/>
      <c r="BG884" s="223"/>
      <c r="BH884" s="223"/>
      <c r="BI884" s="223"/>
      <c r="BJ884" s="223"/>
      <c r="BK884" s="223"/>
      <c r="BL884" s="223"/>
      <c r="BM884" s="200"/>
      <c r="BN884" s="200"/>
      <c r="BO884" s="522"/>
      <c r="BP884" s="200"/>
      <c r="BQ884" s="223"/>
      <c r="BR884" s="223"/>
      <c r="BS884" s="223"/>
      <c r="BT884" s="223"/>
      <c r="BU884" s="223"/>
      <c r="BV884" s="223"/>
      <c r="BW884" s="223"/>
      <c r="BX884" s="200"/>
      <c r="BY884" s="522"/>
      <c r="BZ884" s="200"/>
      <c r="CA884" s="223"/>
      <c r="CB884" s="223"/>
      <c r="CC884" s="223"/>
      <c r="CD884" s="223"/>
      <c r="CE884" s="223"/>
      <c r="CF884" s="223"/>
      <c r="CG884" s="200"/>
      <c r="CH884" s="200"/>
      <c r="CI884" s="522"/>
      <c r="CJ884" s="200"/>
      <c r="CK884" s="223"/>
      <c r="CL884" s="223"/>
      <c r="CM884" s="223"/>
      <c r="CN884" s="223"/>
      <c r="CO884" s="223"/>
      <c r="CP884" s="223"/>
      <c r="CQ884" s="200"/>
      <c r="CR884" s="200"/>
      <c r="CS884" s="522"/>
      <c r="CT884" s="200"/>
      <c r="CU884" s="223"/>
      <c r="CV884" s="223"/>
      <c r="CW884" s="223"/>
      <c r="CX884" s="223"/>
      <c r="CY884" s="223"/>
      <c r="CZ884" s="223"/>
      <c r="DA884" s="223"/>
      <c r="DB884" s="200"/>
      <c r="DC884" s="522"/>
      <c r="DD884" s="200"/>
      <c r="DE884" s="223"/>
      <c r="DF884" s="223"/>
      <c r="DG884" s="223"/>
      <c r="DH884" s="223"/>
      <c r="DI884" s="223"/>
      <c r="DJ884" s="223"/>
      <c r="DK884" s="200"/>
      <c r="DL884" s="200"/>
      <c r="DM884" s="522"/>
      <c r="DN884" s="200"/>
      <c r="DO884" s="223"/>
      <c r="DP884" s="223"/>
      <c r="DQ884" s="223"/>
      <c r="DR884" s="223"/>
      <c r="DS884" s="223"/>
      <c r="DT884" s="223"/>
      <c r="DU884" s="200"/>
      <c r="DV884" s="200"/>
      <c r="DW884" s="522"/>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2"/>
      <c r="R885" s="200"/>
      <c r="S885" s="223"/>
      <c r="T885" s="223"/>
      <c r="U885" s="223"/>
      <c r="V885" s="223"/>
      <c r="W885" s="223"/>
      <c r="X885" s="223"/>
      <c r="Y885" s="200"/>
      <c r="Z885" s="200"/>
      <c r="AA885" s="522"/>
      <c r="AB885" s="200"/>
      <c r="AC885" s="223"/>
      <c r="AD885" s="223"/>
      <c r="AE885" s="223"/>
      <c r="AF885" s="223"/>
      <c r="AG885" s="223"/>
      <c r="AH885" s="223"/>
      <c r="AI885" s="200"/>
      <c r="AJ885" s="200"/>
      <c r="AK885" s="522"/>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2"/>
      <c r="BF885" s="200"/>
      <c r="BG885" s="223"/>
      <c r="BH885" s="223"/>
      <c r="BI885" s="223"/>
      <c r="BJ885" s="223"/>
      <c r="BK885" s="223"/>
      <c r="BL885" s="223"/>
      <c r="BM885" s="200"/>
      <c r="BN885" s="200"/>
      <c r="BO885" s="522"/>
      <c r="BP885" s="200"/>
      <c r="BQ885" s="223"/>
      <c r="BR885" s="223"/>
      <c r="BS885" s="223"/>
      <c r="BT885" s="223"/>
      <c r="BU885" s="223"/>
      <c r="BV885" s="223"/>
      <c r="BW885" s="223"/>
      <c r="BX885" s="200"/>
      <c r="BY885" s="522"/>
      <c r="BZ885" s="200"/>
      <c r="CA885" s="223"/>
      <c r="CB885" s="223"/>
      <c r="CC885" s="223"/>
      <c r="CD885" s="223"/>
      <c r="CE885" s="223"/>
      <c r="CF885" s="223"/>
      <c r="CG885" s="200"/>
      <c r="CH885" s="200"/>
      <c r="CI885" s="522"/>
      <c r="CJ885" s="200"/>
      <c r="CK885" s="223"/>
      <c r="CL885" s="223"/>
      <c r="CM885" s="223"/>
      <c r="CN885" s="223"/>
      <c r="CO885" s="223"/>
      <c r="CP885" s="223"/>
      <c r="CQ885" s="200"/>
      <c r="CR885" s="200"/>
      <c r="CS885" s="522"/>
      <c r="CT885" s="200"/>
      <c r="CU885" s="223"/>
      <c r="CV885" s="223"/>
      <c r="CW885" s="223"/>
      <c r="CX885" s="223"/>
      <c r="CY885" s="223"/>
      <c r="CZ885" s="223"/>
      <c r="DA885" s="223"/>
      <c r="DB885" s="200"/>
      <c r="DC885" s="522"/>
      <c r="DD885" s="200"/>
      <c r="DE885" s="223"/>
      <c r="DF885" s="223"/>
      <c r="DG885" s="223"/>
      <c r="DH885" s="223"/>
      <c r="DI885" s="223"/>
      <c r="DJ885" s="223"/>
      <c r="DK885" s="200"/>
      <c r="DL885" s="200"/>
      <c r="DM885" s="522"/>
      <c r="DN885" s="200"/>
      <c r="DO885" s="223"/>
      <c r="DP885" s="223"/>
      <c r="DQ885" s="223"/>
      <c r="DR885" s="223"/>
      <c r="DS885" s="223"/>
      <c r="DT885" s="223"/>
      <c r="DU885" s="200"/>
      <c r="DV885" s="200"/>
      <c r="DW885" s="522"/>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2"/>
      <c r="R886" s="200"/>
      <c r="S886" s="223"/>
      <c r="T886" s="223"/>
      <c r="U886" s="223"/>
      <c r="V886" s="223"/>
      <c r="W886" s="223"/>
      <c r="X886" s="223"/>
      <c r="Y886" s="200"/>
      <c r="Z886" s="200"/>
      <c r="AA886" s="522"/>
      <c r="AB886" s="200"/>
      <c r="AC886" s="223"/>
      <c r="AD886" s="223"/>
      <c r="AE886" s="223"/>
      <c r="AF886" s="223"/>
      <c r="AG886" s="223"/>
      <c r="AH886" s="223"/>
      <c r="AI886" s="200"/>
      <c r="AJ886" s="200"/>
      <c r="AK886" s="522"/>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2"/>
      <c r="BF886" s="200"/>
      <c r="BG886" s="223"/>
      <c r="BH886" s="223"/>
      <c r="BI886" s="223"/>
      <c r="BJ886" s="223"/>
      <c r="BK886" s="223"/>
      <c r="BL886" s="223"/>
      <c r="BM886" s="200"/>
      <c r="BN886" s="200"/>
      <c r="BO886" s="522"/>
      <c r="BP886" s="200"/>
      <c r="BQ886" s="223"/>
      <c r="BR886" s="223"/>
      <c r="BS886" s="223"/>
      <c r="BT886" s="223"/>
      <c r="BU886" s="223"/>
      <c r="BV886" s="223"/>
      <c r="BW886" s="223"/>
      <c r="BX886" s="200"/>
      <c r="BY886" s="522"/>
      <c r="BZ886" s="200"/>
      <c r="CA886" s="223"/>
      <c r="CB886" s="223"/>
      <c r="CC886" s="223"/>
      <c r="CD886" s="223"/>
      <c r="CE886" s="223"/>
      <c r="CF886" s="223"/>
      <c r="CG886" s="200"/>
      <c r="CH886" s="200"/>
      <c r="CI886" s="522"/>
      <c r="CJ886" s="200"/>
      <c r="CK886" s="223"/>
      <c r="CL886" s="223"/>
      <c r="CM886" s="223"/>
      <c r="CN886" s="223"/>
      <c r="CO886" s="223"/>
      <c r="CP886" s="223"/>
      <c r="CQ886" s="200"/>
      <c r="CR886" s="200"/>
      <c r="CS886" s="522"/>
      <c r="CT886" s="200"/>
      <c r="CU886" s="223"/>
      <c r="CV886" s="223"/>
      <c r="CW886" s="223"/>
      <c r="CX886" s="223"/>
      <c r="CY886" s="223"/>
      <c r="CZ886" s="223"/>
      <c r="DA886" s="223"/>
      <c r="DB886" s="200"/>
      <c r="DC886" s="522"/>
      <c r="DD886" s="200"/>
      <c r="DE886" s="223"/>
      <c r="DF886" s="223"/>
      <c r="DG886" s="223"/>
      <c r="DH886" s="223"/>
      <c r="DI886" s="223"/>
      <c r="DJ886" s="223"/>
      <c r="DK886" s="200"/>
      <c r="DL886" s="200"/>
      <c r="DM886" s="522"/>
      <c r="DN886" s="200"/>
      <c r="DO886" s="223"/>
      <c r="DP886" s="223"/>
      <c r="DQ886" s="223"/>
      <c r="DR886" s="223"/>
      <c r="DS886" s="223"/>
      <c r="DT886" s="223"/>
      <c r="DU886" s="200"/>
      <c r="DV886" s="200"/>
      <c r="DW886" s="522"/>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2"/>
      <c r="R887" s="200"/>
      <c r="S887" s="223"/>
      <c r="T887" s="223"/>
      <c r="U887" s="223"/>
      <c r="V887" s="223"/>
      <c r="W887" s="223"/>
      <c r="X887" s="223"/>
      <c r="Y887" s="200"/>
      <c r="Z887" s="200"/>
      <c r="AA887" s="522"/>
      <c r="AB887" s="200"/>
      <c r="AC887" s="223"/>
      <c r="AD887" s="223"/>
      <c r="AE887" s="223"/>
      <c r="AF887" s="223"/>
      <c r="AG887" s="223"/>
      <c r="AH887" s="223"/>
      <c r="AI887" s="200"/>
      <c r="AJ887" s="200"/>
      <c r="AK887" s="522"/>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2"/>
      <c r="BF887" s="200"/>
      <c r="BG887" s="223"/>
      <c r="BH887" s="223"/>
      <c r="BI887" s="223"/>
      <c r="BJ887" s="223"/>
      <c r="BK887" s="223"/>
      <c r="BL887" s="223"/>
      <c r="BM887" s="200"/>
      <c r="BN887" s="200"/>
      <c r="BO887" s="522"/>
      <c r="BP887" s="200"/>
      <c r="BQ887" s="223"/>
      <c r="BR887" s="223"/>
      <c r="BS887" s="223"/>
      <c r="BT887" s="223"/>
      <c r="BU887" s="223"/>
      <c r="BV887" s="223"/>
      <c r="BW887" s="223"/>
      <c r="BX887" s="200"/>
      <c r="BY887" s="522"/>
      <c r="BZ887" s="200"/>
      <c r="CA887" s="223"/>
      <c r="CB887" s="223"/>
      <c r="CC887" s="223"/>
      <c r="CD887" s="223"/>
      <c r="CE887" s="223"/>
      <c r="CF887" s="223"/>
      <c r="CG887" s="200"/>
      <c r="CH887" s="200"/>
      <c r="CI887" s="522"/>
      <c r="CJ887" s="200"/>
      <c r="CK887" s="223"/>
      <c r="CL887" s="223"/>
      <c r="CM887" s="223"/>
      <c r="CN887" s="223"/>
      <c r="CO887" s="223"/>
      <c r="CP887" s="223"/>
      <c r="CQ887" s="200"/>
      <c r="CR887" s="200"/>
      <c r="CS887" s="522"/>
      <c r="CT887" s="200"/>
      <c r="CU887" s="223"/>
      <c r="CV887" s="223"/>
      <c r="CW887" s="223"/>
      <c r="CX887" s="223"/>
      <c r="CY887" s="223"/>
      <c r="CZ887" s="223"/>
      <c r="DA887" s="223"/>
      <c r="DB887" s="200"/>
      <c r="DC887" s="522"/>
      <c r="DD887" s="200"/>
      <c r="DE887" s="223"/>
      <c r="DF887" s="223"/>
      <c r="DG887" s="223"/>
      <c r="DH887" s="223"/>
      <c r="DI887" s="223"/>
      <c r="DJ887" s="223"/>
      <c r="DK887" s="200"/>
      <c r="DL887" s="200"/>
      <c r="DM887" s="522"/>
      <c r="DN887" s="200"/>
      <c r="DO887" s="223"/>
      <c r="DP887" s="223"/>
      <c r="DQ887" s="223"/>
      <c r="DR887" s="223"/>
      <c r="DS887" s="223"/>
      <c r="DT887" s="223"/>
      <c r="DU887" s="200"/>
      <c r="DV887" s="200"/>
      <c r="DW887" s="522"/>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2"/>
      <c r="R888" s="200"/>
      <c r="S888" s="223"/>
      <c r="T888" s="223"/>
      <c r="U888" s="223"/>
      <c r="V888" s="223"/>
      <c r="W888" s="223"/>
      <c r="X888" s="223"/>
      <c r="Y888" s="200"/>
      <c r="Z888" s="200"/>
      <c r="AA888" s="522"/>
      <c r="AB888" s="200"/>
      <c r="AC888" s="223"/>
      <c r="AD888" s="223"/>
      <c r="AE888" s="223"/>
      <c r="AF888" s="223"/>
      <c r="AG888" s="223"/>
      <c r="AH888" s="223"/>
      <c r="AI888" s="200"/>
      <c r="AJ888" s="200"/>
      <c r="AK888" s="522"/>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2"/>
      <c r="BF888" s="200"/>
      <c r="BG888" s="223"/>
      <c r="BH888" s="223"/>
      <c r="BI888" s="223"/>
      <c r="BJ888" s="223"/>
      <c r="BK888" s="223"/>
      <c r="BL888" s="223"/>
      <c r="BM888" s="200"/>
      <c r="BN888" s="200"/>
      <c r="BO888" s="522"/>
      <c r="BP888" s="200"/>
      <c r="BQ888" s="223"/>
      <c r="BR888" s="223"/>
      <c r="BS888" s="223"/>
      <c r="BT888" s="223"/>
      <c r="BU888" s="223"/>
      <c r="BV888" s="223"/>
      <c r="BW888" s="223"/>
      <c r="BX888" s="200"/>
      <c r="BY888" s="522"/>
      <c r="BZ888" s="200"/>
      <c r="CA888" s="223"/>
      <c r="CB888" s="223"/>
      <c r="CC888" s="223"/>
      <c r="CD888" s="223"/>
      <c r="CE888" s="223"/>
      <c r="CF888" s="223"/>
      <c r="CG888" s="200"/>
      <c r="CH888" s="200"/>
      <c r="CI888" s="522"/>
      <c r="CJ888" s="200"/>
      <c r="CK888" s="223"/>
      <c r="CL888" s="223"/>
      <c r="CM888" s="223"/>
      <c r="CN888" s="223"/>
      <c r="CO888" s="223"/>
      <c r="CP888" s="223"/>
      <c r="CQ888" s="200"/>
      <c r="CR888" s="200"/>
      <c r="CS888" s="522"/>
      <c r="CT888" s="200"/>
      <c r="CU888" s="223"/>
      <c r="CV888" s="223"/>
      <c r="CW888" s="223"/>
      <c r="CX888" s="223"/>
      <c r="CY888" s="223"/>
      <c r="CZ888" s="223"/>
      <c r="DA888" s="223"/>
      <c r="DB888" s="200"/>
      <c r="DC888" s="522"/>
      <c r="DD888" s="200"/>
      <c r="DE888" s="223"/>
      <c r="DF888" s="223"/>
      <c r="DG888" s="223"/>
      <c r="DH888" s="223"/>
      <c r="DI888" s="223"/>
      <c r="DJ888" s="223"/>
      <c r="DK888" s="200"/>
      <c r="DL888" s="200"/>
      <c r="DM888" s="522"/>
      <c r="DN888" s="200"/>
      <c r="DO888" s="223"/>
      <c r="DP888" s="223"/>
      <c r="DQ888" s="223"/>
      <c r="DR888" s="223"/>
      <c r="DS888" s="223"/>
      <c r="DT888" s="223"/>
      <c r="DU888" s="200"/>
      <c r="DV888" s="200"/>
      <c r="DW888" s="522"/>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2"/>
      <c r="R889" s="200"/>
      <c r="S889" s="223"/>
      <c r="T889" s="223"/>
      <c r="U889" s="223"/>
      <c r="V889" s="223"/>
      <c r="W889" s="223"/>
      <c r="X889" s="223"/>
      <c r="Y889" s="200"/>
      <c r="Z889" s="200"/>
      <c r="AA889" s="522"/>
      <c r="AB889" s="200"/>
      <c r="AC889" s="223"/>
      <c r="AD889" s="223"/>
      <c r="AE889" s="223"/>
      <c r="AF889" s="223"/>
      <c r="AG889" s="223"/>
      <c r="AH889" s="223"/>
      <c r="AI889" s="200"/>
      <c r="AJ889" s="200"/>
      <c r="AK889" s="522"/>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2"/>
      <c r="BF889" s="200"/>
      <c r="BG889" s="223"/>
      <c r="BH889" s="223"/>
      <c r="BI889" s="223"/>
      <c r="BJ889" s="223"/>
      <c r="BK889" s="223"/>
      <c r="BL889" s="223"/>
      <c r="BM889" s="200"/>
      <c r="BN889" s="200"/>
      <c r="BO889" s="522"/>
      <c r="BP889" s="200"/>
      <c r="BQ889" s="223"/>
      <c r="BR889" s="223"/>
      <c r="BS889" s="223"/>
      <c r="BT889" s="223"/>
      <c r="BU889" s="223"/>
      <c r="BV889" s="223"/>
      <c r="BW889" s="223"/>
      <c r="BX889" s="200"/>
      <c r="BY889" s="522"/>
      <c r="BZ889" s="200"/>
      <c r="CA889" s="223"/>
      <c r="CB889" s="223"/>
      <c r="CC889" s="223"/>
      <c r="CD889" s="223"/>
      <c r="CE889" s="223"/>
      <c r="CF889" s="223"/>
      <c r="CG889" s="200"/>
      <c r="CH889" s="200"/>
      <c r="CI889" s="522"/>
      <c r="CJ889" s="200"/>
      <c r="CK889" s="223"/>
      <c r="CL889" s="223"/>
      <c r="CM889" s="223"/>
      <c r="CN889" s="223"/>
      <c r="CO889" s="223"/>
      <c r="CP889" s="223"/>
      <c r="CQ889" s="200"/>
      <c r="CR889" s="200"/>
      <c r="CS889" s="522"/>
      <c r="CT889" s="200"/>
      <c r="CU889" s="223"/>
      <c r="CV889" s="223"/>
      <c r="CW889" s="223"/>
      <c r="CX889" s="223"/>
      <c r="CY889" s="223"/>
      <c r="CZ889" s="223"/>
      <c r="DA889" s="223"/>
      <c r="DB889" s="200"/>
      <c r="DC889" s="522"/>
      <c r="DD889" s="200"/>
      <c r="DE889" s="223"/>
      <c r="DF889" s="223"/>
      <c r="DG889" s="223"/>
      <c r="DH889" s="223"/>
      <c r="DI889" s="223"/>
      <c r="DJ889" s="223"/>
      <c r="DK889" s="200"/>
      <c r="DL889" s="200"/>
      <c r="DM889" s="522"/>
      <c r="DN889" s="200"/>
      <c r="DO889" s="223"/>
      <c r="DP889" s="223"/>
      <c r="DQ889" s="223"/>
      <c r="DR889" s="223"/>
      <c r="DS889" s="223"/>
      <c r="DT889" s="223"/>
      <c r="DU889" s="200"/>
      <c r="DV889" s="200"/>
      <c r="DW889" s="522"/>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2"/>
      <c r="R890" s="200"/>
      <c r="S890" s="223"/>
      <c r="T890" s="223"/>
      <c r="U890" s="223"/>
      <c r="V890" s="223"/>
      <c r="W890" s="223"/>
      <c r="X890" s="223"/>
      <c r="Y890" s="200"/>
      <c r="Z890" s="200"/>
      <c r="AA890" s="522"/>
      <c r="AB890" s="200"/>
      <c r="AC890" s="223"/>
      <c r="AD890" s="223"/>
      <c r="AE890" s="223"/>
      <c r="AF890" s="223"/>
      <c r="AG890" s="223"/>
      <c r="AH890" s="223"/>
      <c r="AI890" s="200"/>
      <c r="AJ890" s="200"/>
      <c r="AK890" s="522"/>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2"/>
      <c r="BF890" s="200"/>
      <c r="BG890" s="223"/>
      <c r="BH890" s="223"/>
      <c r="BI890" s="223"/>
      <c r="BJ890" s="223"/>
      <c r="BK890" s="223"/>
      <c r="BL890" s="223"/>
      <c r="BM890" s="200"/>
      <c r="BN890" s="200"/>
      <c r="BO890" s="522"/>
      <c r="BP890" s="200"/>
      <c r="BQ890" s="223"/>
      <c r="BR890" s="223"/>
      <c r="BS890" s="223"/>
      <c r="BT890" s="223"/>
      <c r="BU890" s="223"/>
      <c r="BV890" s="223"/>
      <c r="BW890" s="223"/>
      <c r="BX890" s="200"/>
      <c r="BY890" s="522"/>
      <c r="BZ890" s="200"/>
      <c r="CA890" s="223"/>
      <c r="CB890" s="223"/>
      <c r="CC890" s="223"/>
      <c r="CD890" s="223"/>
      <c r="CE890" s="223"/>
      <c r="CF890" s="223"/>
      <c r="CG890" s="200"/>
      <c r="CH890" s="200"/>
      <c r="CI890" s="522"/>
      <c r="CJ890" s="200"/>
      <c r="CK890" s="223"/>
      <c r="CL890" s="223"/>
      <c r="CM890" s="223"/>
      <c r="CN890" s="223"/>
      <c r="CO890" s="223"/>
      <c r="CP890" s="223"/>
      <c r="CQ890" s="200"/>
      <c r="CR890" s="200"/>
      <c r="CS890" s="522"/>
      <c r="CT890" s="200"/>
      <c r="CU890" s="223"/>
      <c r="CV890" s="223"/>
      <c r="CW890" s="223"/>
      <c r="CX890" s="223"/>
      <c r="CY890" s="223"/>
      <c r="CZ890" s="223"/>
      <c r="DA890" s="223"/>
      <c r="DB890" s="200"/>
      <c r="DC890" s="522"/>
      <c r="DD890" s="200"/>
      <c r="DE890" s="223"/>
      <c r="DF890" s="223"/>
      <c r="DG890" s="223"/>
      <c r="DH890" s="223"/>
      <c r="DI890" s="223"/>
      <c r="DJ890" s="223"/>
      <c r="DK890" s="200"/>
      <c r="DL890" s="200"/>
      <c r="DM890" s="522"/>
      <c r="DN890" s="200"/>
      <c r="DO890" s="223"/>
      <c r="DP890" s="223"/>
      <c r="DQ890" s="223"/>
      <c r="DR890" s="223"/>
      <c r="DS890" s="223"/>
      <c r="DT890" s="223"/>
      <c r="DU890" s="200"/>
      <c r="DV890" s="200"/>
      <c r="DW890" s="522"/>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2"/>
      <c r="R891" s="200"/>
      <c r="S891" s="223"/>
      <c r="T891" s="223"/>
      <c r="U891" s="223"/>
      <c r="V891" s="223"/>
      <c r="W891" s="223"/>
      <c r="X891" s="223"/>
      <c r="Y891" s="200"/>
      <c r="Z891" s="200"/>
      <c r="AA891" s="522"/>
      <c r="AB891" s="200"/>
      <c r="AC891" s="223"/>
      <c r="AD891" s="223"/>
      <c r="AE891" s="223"/>
      <c r="AF891" s="223"/>
      <c r="AG891" s="223"/>
      <c r="AH891" s="223"/>
      <c r="AI891" s="200"/>
      <c r="AJ891" s="200"/>
      <c r="AK891" s="522"/>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2"/>
      <c r="BF891" s="200"/>
      <c r="BG891" s="223"/>
      <c r="BH891" s="223"/>
      <c r="BI891" s="223"/>
      <c r="BJ891" s="223"/>
      <c r="BK891" s="223"/>
      <c r="BL891" s="223"/>
      <c r="BM891" s="200"/>
      <c r="BN891" s="200"/>
      <c r="BO891" s="522"/>
      <c r="BP891" s="200"/>
      <c r="BQ891" s="223"/>
      <c r="BR891" s="223"/>
      <c r="BS891" s="223"/>
      <c r="BT891" s="223"/>
      <c r="BU891" s="223"/>
      <c r="BV891" s="223"/>
      <c r="BW891" s="223"/>
      <c r="BX891" s="200"/>
      <c r="BY891" s="522"/>
      <c r="BZ891" s="200"/>
      <c r="CA891" s="223"/>
      <c r="CB891" s="223"/>
      <c r="CC891" s="223"/>
      <c r="CD891" s="223"/>
      <c r="CE891" s="223"/>
      <c r="CF891" s="223"/>
      <c r="CG891" s="200"/>
      <c r="CH891" s="200"/>
      <c r="CI891" s="522"/>
      <c r="CJ891" s="200"/>
      <c r="CK891" s="223"/>
      <c r="CL891" s="223"/>
      <c r="CM891" s="223"/>
      <c r="CN891" s="223"/>
      <c r="CO891" s="223"/>
      <c r="CP891" s="223"/>
      <c r="CQ891" s="200"/>
      <c r="CR891" s="200"/>
      <c r="CS891" s="522"/>
      <c r="CT891" s="200"/>
      <c r="CU891" s="223"/>
      <c r="CV891" s="223"/>
      <c r="CW891" s="223"/>
      <c r="CX891" s="223"/>
      <c r="CY891" s="223"/>
      <c r="CZ891" s="223"/>
      <c r="DA891" s="223"/>
      <c r="DB891" s="200"/>
      <c r="DC891" s="522"/>
      <c r="DD891" s="200"/>
      <c r="DE891" s="223"/>
      <c r="DF891" s="223"/>
      <c r="DG891" s="223"/>
      <c r="DH891" s="223"/>
      <c r="DI891" s="223"/>
      <c r="DJ891" s="223"/>
      <c r="DK891" s="200"/>
      <c r="DL891" s="200"/>
      <c r="DM891" s="522"/>
      <c r="DN891" s="200"/>
      <c r="DO891" s="223"/>
      <c r="DP891" s="223"/>
      <c r="DQ891" s="223"/>
      <c r="DR891" s="223"/>
      <c r="DS891" s="223"/>
      <c r="DT891" s="223"/>
      <c r="DU891" s="200"/>
      <c r="DV891" s="200"/>
      <c r="DW891" s="522"/>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2"/>
      <c r="R892" s="200"/>
      <c r="S892" s="223"/>
      <c r="T892" s="223"/>
      <c r="U892" s="223"/>
      <c r="V892" s="223"/>
      <c r="W892" s="223"/>
      <c r="X892" s="223"/>
      <c r="Y892" s="200"/>
      <c r="Z892" s="200"/>
      <c r="AA892" s="522"/>
      <c r="AB892" s="200"/>
      <c r="AC892" s="223"/>
      <c r="AD892" s="223"/>
      <c r="AE892" s="223"/>
      <c r="AF892" s="223"/>
      <c r="AG892" s="223"/>
      <c r="AH892" s="223"/>
      <c r="AI892" s="200"/>
      <c r="AJ892" s="200"/>
      <c r="AK892" s="522"/>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2"/>
      <c r="BF892" s="200"/>
      <c r="BG892" s="223"/>
      <c r="BH892" s="223"/>
      <c r="BI892" s="223"/>
      <c r="BJ892" s="223"/>
      <c r="BK892" s="223"/>
      <c r="BL892" s="223"/>
      <c r="BM892" s="200"/>
      <c r="BN892" s="200"/>
      <c r="BO892" s="522"/>
      <c r="BP892" s="200"/>
      <c r="BQ892" s="223"/>
      <c r="BR892" s="223"/>
      <c r="BS892" s="223"/>
      <c r="BT892" s="223"/>
      <c r="BU892" s="223"/>
      <c r="BV892" s="223"/>
      <c r="BW892" s="223"/>
      <c r="BX892" s="200"/>
      <c r="BY892" s="522"/>
      <c r="BZ892" s="200"/>
      <c r="CA892" s="223"/>
      <c r="CB892" s="223"/>
      <c r="CC892" s="223"/>
      <c r="CD892" s="223"/>
      <c r="CE892" s="223"/>
      <c r="CF892" s="223"/>
      <c r="CG892" s="200"/>
      <c r="CH892" s="200"/>
      <c r="CI892" s="522"/>
      <c r="CJ892" s="200"/>
      <c r="CK892" s="223"/>
      <c r="CL892" s="223"/>
      <c r="CM892" s="223"/>
      <c r="CN892" s="223"/>
      <c r="CO892" s="223"/>
      <c r="CP892" s="223"/>
      <c r="CQ892" s="200"/>
      <c r="CR892" s="200"/>
      <c r="CS892" s="522"/>
      <c r="CT892" s="200"/>
      <c r="CU892" s="223"/>
      <c r="CV892" s="223"/>
      <c r="CW892" s="223"/>
      <c r="CX892" s="223"/>
      <c r="CY892" s="223"/>
      <c r="CZ892" s="223"/>
      <c r="DA892" s="223"/>
      <c r="DB892" s="200"/>
      <c r="DC892" s="522"/>
      <c r="DD892" s="200"/>
      <c r="DE892" s="223"/>
      <c r="DF892" s="223"/>
      <c r="DG892" s="223"/>
      <c r="DH892" s="223"/>
      <c r="DI892" s="223"/>
      <c r="DJ892" s="223"/>
      <c r="DK892" s="200"/>
      <c r="DL892" s="200"/>
      <c r="DM892" s="522"/>
      <c r="DN892" s="200"/>
      <c r="DO892" s="223"/>
      <c r="DP892" s="223"/>
      <c r="DQ892" s="223"/>
      <c r="DR892" s="223"/>
      <c r="DS892" s="223"/>
      <c r="DT892" s="223"/>
      <c r="DU892" s="200"/>
      <c r="DV892" s="200"/>
      <c r="DW892" s="522"/>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2"/>
      <c r="R893" s="200"/>
      <c r="S893" s="223"/>
      <c r="T893" s="223"/>
      <c r="U893" s="223"/>
      <c r="V893" s="223"/>
      <c r="W893" s="223"/>
      <c r="X893" s="223"/>
      <c r="Y893" s="200"/>
      <c r="Z893" s="200"/>
      <c r="AA893" s="522"/>
      <c r="AB893" s="200"/>
      <c r="AC893" s="223"/>
      <c r="AD893" s="223"/>
      <c r="AE893" s="223"/>
      <c r="AF893" s="223"/>
      <c r="AG893" s="223"/>
      <c r="AH893" s="223"/>
      <c r="AI893" s="200"/>
      <c r="AJ893" s="200"/>
      <c r="AK893" s="522"/>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2"/>
      <c r="BF893" s="200"/>
      <c r="BG893" s="223"/>
      <c r="BH893" s="223"/>
      <c r="BI893" s="223"/>
      <c r="BJ893" s="223"/>
      <c r="BK893" s="223"/>
      <c r="BL893" s="223"/>
      <c r="BM893" s="200"/>
      <c r="BN893" s="200"/>
      <c r="BO893" s="522"/>
      <c r="BP893" s="200"/>
      <c r="BQ893" s="223"/>
      <c r="BR893" s="223"/>
      <c r="BS893" s="223"/>
      <c r="BT893" s="223"/>
      <c r="BU893" s="223"/>
      <c r="BV893" s="223"/>
      <c r="BW893" s="223"/>
      <c r="BX893" s="200"/>
      <c r="BY893" s="522"/>
      <c r="BZ893" s="200"/>
      <c r="CA893" s="223"/>
      <c r="CB893" s="223"/>
      <c r="CC893" s="223"/>
      <c r="CD893" s="223"/>
      <c r="CE893" s="223"/>
      <c r="CF893" s="223"/>
      <c r="CG893" s="200"/>
      <c r="CH893" s="200"/>
      <c r="CI893" s="522"/>
      <c r="CJ893" s="200"/>
      <c r="CK893" s="223"/>
      <c r="CL893" s="223"/>
      <c r="CM893" s="223"/>
      <c r="CN893" s="223"/>
      <c r="CO893" s="223"/>
      <c r="CP893" s="223"/>
      <c r="CQ893" s="200"/>
      <c r="CR893" s="200"/>
      <c r="CS893" s="522"/>
      <c r="CT893" s="200"/>
      <c r="CU893" s="223"/>
      <c r="CV893" s="223"/>
      <c r="CW893" s="223"/>
      <c r="CX893" s="223"/>
      <c r="CY893" s="223"/>
      <c r="CZ893" s="223"/>
      <c r="DA893" s="223"/>
      <c r="DB893" s="200"/>
      <c r="DC893" s="522"/>
      <c r="DD893" s="200"/>
      <c r="DE893" s="223"/>
      <c r="DF893" s="223"/>
      <c r="DG893" s="223"/>
      <c r="DH893" s="223"/>
      <c r="DI893" s="223"/>
      <c r="DJ893" s="223"/>
      <c r="DK893" s="200"/>
      <c r="DL893" s="200"/>
      <c r="DM893" s="522"/>
      <c r="DN893" s="200"/>
      <c r="DO893" s="223"/>
      <c r="DP893" s="223"/>
      <c r="DQ893" s="223"/>
      <c r="DR893" s="223"/>
      <c r="DS893" s="223"/>
      <c r="DT893" s="223"/>
      <c r="DU893" s="200"/>
      <c r="DV893" s="200"/>
      <c r="DW893" s="522"/>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2"/>
      <c r="R894" s="200"/>
      <c r="S894" s="223"/>
      <c r="T894" s="223"/>
      <c r="U894" s="223"/>
      <c r="V894" s="223"/>
      <c r="W894" s="223"/>
      <c r="X894" s="223"/>
      <c r="Y894" s="200"/>
      <c r="Z894" s="200"/>
      <c r="AA894" s="522"/>
      <c r="AB894" s="200"/>
      <c r="AC894" s="223"/>
      <c r="AD894" s="223"/>
      <c r="AE894" s="223"/>
      <c r="AF894" s="223"/>
      <c r="AG894" s="223"/>
      <c r="AH894" s="223"/>
      <c r="AI894" s="200"/>
      <c r="AJ894" s="200"/>
      <c r="AK894" s="522"/>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2"/>
      <c r="BF894" s="200"/>
      <c r="BG894" s="223"/>
      <c r="BH894" s="223"/>
      <c r="BI894" s="223"/>
      <c r="BJ894" s="223"/>
      <c r="BK894" s="223"/>
      <c r="BL894" s="223"/>
      <c r="BM894" s="200"/>
      <c r="BN894" s="200"/>
      <c r="BO894" s="522"/>
      <c r="BP894" s="200"/>
      <c r="BQ894" s="223"/>
      <c r="BR894" s="223"/>
      <c r="BS894" s="223"/>
      <c r="BT894" s="223"/>
      <c r="BU894" s="223"/>
      <c r="BV894" s="223"/>
      <c r="BW894" s="223"/>
      <c r="BX894" s="200"/>
      <c r="BY894" s="522"/>
      <c r="BZ894" s="200"/>
      <c r="CA894" s="223"/>
      <c r="CB894" s="223"/>
      <c r="CC894" s="223"/>
      <c r="CD894" s="223"/>
      <c r="CE894" s="223"/>
      <c r="CF894" s="223"/>
      <c r="CG894" s="200"/>
      <c r="CH894" s="200"/>
      <c r="CI894" s="522"/>
      <c r="CJ894" s="200"/>
      <c r="CK894" s="223"/>
      <c r="CL894" s="223"/>
      <c r="CM894" s="223"/>
      <c r="CN894" s="223"/>
      <c r="CO894" s="223"/>
      <c r="CP894" s="223"/>
      <c r="CQ894" s="200"/>
      <c r="CR894" s="200"/>
      <c r="CS894" s="522"/>
      <c r="CT894" s="200"/>
      <c r="CU894" s="223"/>
      <c r="CV894" s="223"/>
      <c r="CW894" s="223"/>
      <c r="CX894" s="223"/>
      <c r="CY894" s="223"/>
      <c r="CZ894" s="223"/>
      <c r="DA894" s="223"/>
      <c r="DB894" s="200"/>
      <c r="DC894" s="522"/>
      <c r="DD894" s="200"/>
      <c r="DE894" s="223"/>
      <c r="DF894" s="223"/>
      <c r="DG894" s="223"/>
      <c r="DH894" s="223"/>
      <c r="DI894" s="223"/>
      <c r="DJ894" s="223"/>
      <c r="DK894" s="200"/>
      <c r="DL894" s="200"/>
      <c r="DM894" s="522"/>
      <c r="DN894" s="200"/>
      <c r="DO894" s="223"/>
      <c r="DP894" s="223"/>
      <c r="DQ894" s="223"/>
      <c r="DR894" s="223"/>
      <c r="DS894" s="223"/>
      <c r="DT894" s="223"/>
      <c r="DU894" s="200"/>
      <c r="DV894" s="200"/>
      <c r="DW894" s="522"/>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2"/>
      <c r="R895" s="200"/>
      <c r="S895" s="223"/>
      <c r="T895" s="223"/>
      <c r="U895" s="223"/>
      <c r="V895" s="223"/>
      <c r="W895" s="223"/>
      <c r="X895" s="223"/>
      <c r="Y895" s="200"/>
      <c r="Z895" s="200"/>
      <c r="AA895" s="522"/>
      <c r="AB895" s="200"/>
      <c r="AC895" s="223"/>
      <c r="AD895" s="223"/>
      <c r="AE895" s="223"/>
      <c r="AF895" s="223"/>
      <c r="AG895" s="223"/>
      <c r="AH895" s="223"/>
      <c r="AI895" s="200"/>
      <c r="AJ895" s="200"/>
      <c r="AK895" s="522"/>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2"/>
      <c r="BF895" s="200"/>
      <c r="BG895" s="223"/>
      <c r="BH895" s="223"/>
      <c r="BI895" s="223"/>
      <c r="BJ895" s="223"/>
      <c r="BK895" s="223"/>
      <c r="BL895" s="223"/>
      <c r="BM895" s="200"/>
      <c r="BN895" s="200"/>
      <c r="BO895" s="522"/>
      <c r="BP895" s="200"/>
      <c r="BQ895" s="223"/>
      <c r="BR895" s="223"/>
      <c r="BS895" s="223"/>
      <c r="BT895" s="223"/>
      <c r="BU895" s="223"/>
      <c r="BV895" s="223"/>
      <c r="BW895" s="223"/>
      <c r="BX895" s="200"/>
      <c r="BY895" s="522"/>
      <c r="BZ895" s="200"/>
      <c r="CA895" s="223"/>
      <c r="CB895" s="223"/>
      <c r="CC895" s="223"/>
      <c r="CD895" s="223"/>
      <c r="CE895" s="223"/>
      <c r="CF895" s="223"/>
      <c r="CG895" s="200"/>
      <c r="CH895" s="200"/>
      <c r="CI895" s="522"/>
      <c r="CJ895" s="200"/>
      <c r="CK895" s="223"/>
      <c r="CL895" s="223"/>
      <c r="CM895" s="223"/>
      <c r="CN895" s="223"/>
      <c r="CO895" s="223"/>
      <c r="CP895" s="223"/>
      <c r="CQ895" s="200"/>
      <c r="CR895" s="200"/>
      <c r="CS895" s="522"/>
      <c r="CT895" s="200"/>
      <c r="CU895" s="223"/>
      <c r="CV895" s="223"/>
      <c r="CW895" s="223"/>
      <c r="CX895" s="223"/>
      <c r="CY895" s="223"/>
      <c r="CZ895" s="223"/>
      <c r="DA895" s="223"/>
      <c r="DB895" s="200"/>
      <c r="DC895" s="522"/>
      <c r="DD895" s="200"/>
      <c r="DE895" s="223"/>
      <c r="DF895" s="223"/>
      <c r="DG895" s="223"/>
      <c r="DH895" s="223"/>
      <c r="DI895" s="223"/>
      <c r="DJ895" s="223"/>
      <c r="DK895" s="200"/>
      <c r="DL895" s="200"/>
      <c r="DM895" s="522"/>
      <c r="DN895" s="200"/>
      <c r="DO895" s="223"/>
      <c r="DP895" s="223"/>
      <c r="DQ895" s="223"/>
      <c r="DR895" s="223"/>
      <c r="DS895" s="223"/>
      <c r="DT895" s="223"/>
      <c r="DU895" s="200"/>
      <c r="DV895" s="200"/>
      <c r="DW895" s="522"/>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2"/>
      <c r="R896" s="200"/>
      <c r="S896" s="223"/>
      <c r="T896" s="223"/>
      <c r="U896" s="223"/>
      <c r="V896" s="223"/>
      <c r="W896" s="223"/>
      <c r="X896" s="223"/>
      <c r="Y896" s="200"/>
      <c r="Z896" s="200"/>
      <c r="AA896" s="522"/>
      <c r="AB896" s="200"/>
      <c r="AC896" s="223"/>
      <c r="AD896" s="223"/>
      <c r="AE896" s="223"/>
      <c r="AF896" s="223"/>
      <c r="AG896" s="223"/>
      <c r="AH896" s="223"/>
      <c r="AI896" s="200"/>
      <c r="AJ896" s="200"/>
      <c r="AK896" s="522"/>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2"/>
      <c r="BF896" s="200"/>
      <c r="BG896" s="223"/>
      <c r="BH896" s="223"/>
      <c r="BI896" s="223"/>
      <c r="BJ896" s="223"/>
      <c r="BK896" s="223"/>
      <c r="BL896" s="223"/>
      <c r="BM896" s="200"/>
      <c r="BN896" s="200"/>
      <c r="BO896" s="522"/>
      <c r="BP896" s="200"/>
      <c r="BQ896" s="223"/>
      <c r="BR896" s="223"/>
      <c r="BS896" s="223"/>
      <c r="BT896" s="223"/>
      <c r="BU896" s="223"/>
      <c r="BV896" s="223"/>
      <c r="BW896" s="223"/>
      <c r="BX896" s="200"/>
      <c r="BY896" s="522"/>
      <c r="BZ896" s="200"/>
      <c r="CA896" s="223"/>
      <c r="CB896" s="223"/>
      <c r="CC896" s="223"/>
      <c r="CD896" s="223"/>
      <c r="CE896" s="223"/>
      <c r="CF896" s="223"/>
      <c r="CG896" s="200"/>
      <c r="CH896" s="200"/>
      <c r="CI896" s="522"/>
      <c r="CJ896" s="200"/>
      <c r="CK896" s="223"/>
      <c r="CL896" s="223"/>
      <c r="CM896" s="223"/>
      <c r="CN896" s="223"/>
      <c r="CO896" s="223"/>
      <c r="CP896" s="223"/>
      <c r="CQ896" s="200"/>
      <c r="CR896" s="200"/>
      <c r="CS896" s="522"/>
      <c r="CT896" s="200"/>
      <c r="CU896" s="223"/>
      <c r="CV896" s="223"/>
      <c r="CW896" s="223"/>
      <c r="CX896" s="223"/>
      <c r="CY896" s="223"/>
      <c r="CZ896" s="223"/>
      <c r="DA896" s="223"/>
      <c r="DB896" s="200"/>
      <c r="DC896" s="522"/>
      <c r="DD896" s="200"/>
      <c r="DE896" s="223"/>
      <c r="DF896" s="223"/>
      <c r="DG896" s="223"/>
      <c r="DH896" s="223"/>
      <c r="DI896" s="223"/>
      <c r="DJ896" s="223"/>
      <c r="DK896" s="200"/>
      <c r="DL896" s="200"/>
      <c r="DM896" s="522"/>
      <c r="DN896" s="200"/>
      <c r="DO896" s="223"/>
      <c r="DP896" s="223"/>
      <c r="DQ896" s="223"/>
      <c r="DR896" s="223"/>
      <c r="DS896" s="223"/>
      <c r="DT896" s="223"/>
      <c r="DU896" s="200"/>
      <c r="DV896" s="200"/>
      <c r="DW896" s="522"/>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2"/>
      <c r="R897" s="200"/>
      <c r="S897" s="223"/>
      <c r="T897" s="223"/>
      <c r="U897" s="223"/>
      <c r="V897" s="223"/>
      <c r="W897" s="223"/>
      <c r="X897" s="223"/>
      <c r="Y897" s="200"/>
      <c r="Z897" s="200"/>
      <c r="AA897" s="522"/>
      <c r="AB897" s="200"/>
      <c r="AC897" s="223"/>
      <c r="AD897" s="223"/>
      <c r="AE897" s="223"/>
      <c r="AF897" s="223"/>
      <c r="AG897" s="223"/>
      <c r="AH897" s="223"/>
      <c r="AI897" s="200"/>
      <c r="AJ897" s="200"/>
      <c r="AK897" s="522"/>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2"/>
      <c r="BF897" s="200"/>
      <c r="BG897" s="223"/>
      <c r="BH897" s="223"/>
      <c r="BI897" s="223"/>
      <c r="BJ897" s="223"/>
      <c r="BK897" s="223"/>
      <c r="BL897" s="223"/>
      <c r="BM897" s="200"/>
      <c r="BN897" s="200"/>
      <c r="BO897" s="522"/>
      <c r="BP897" s="200"/>
      <c r="BQ897" s="223"/>
      <c r="BR897" s="223"/>
      <c r="BS897" s="223"/>
      <c r="BT897" s="223"/>
      <c r="BU897" s="223"/>
      <c r="BV897" s="223"/>
      <c r="BW897" s="223"/>
      <c r="BX897" s="200"/>
      <c r="BY897" s="522"/>
      <c r="BZ897" s="200"/>
      <c r="CA897" s="223"/>
      <c r="CB897" s="223"/>
      <c r="CC897" s="223"/>
      <c r="CD897" s="223"/>
      <c r="CE897" s="223"/>
      <c r="CF897" s="223"/>
      <c r="CG897" s="200"/>
      <c r="CH897" s="200"/>
      <c r="CI897" s="522"/>
      <c r="CJ897" s="200"/>
      <c r="CK897" s="223"/>
      <c r="CL897" s="223"/>
      <c r="CM897" s="223"/>
      <c r="CN897" s="223"/>
      <c r="CO897" s="223"/>
      <c r="CP897" s="223"/>
      <c r="CQ897" s="200"/>
      <c r="CR897" s="200"/>
      <c r="CS897" s="522"/>
      <c r="CT897" s="200"/>
      <c r="CU897" s="223"/>
      <c r="CV897" s="223"/>
      <c r="CW897" s="223"/>
      <c r="CX897" s="223"/>
      <c r="CY897" s="223"/>
      <c r="CZ897" s="223"/>
      <c r="DA897" s="223"/>
      <c r="DB897" s="200"/>
      <c r="DC897" s="522"/>
      <c r="DD897" s="200"/>
      <c r="DE897" s="223"/>
      <c r="DF897" s="223"/>
      <c r="DG897" s="223"/>
      <c r="DH897" s="223"/>
      <c r="DI897" s="223"/>
      <c r="DJ897" s="223"/>
      <c r="DK897" s="200"/>
      <c r="DL897" s="200"/>
      <c r="DM897" s="522"/>
      <c r="DN897" s="200"/>
      <c r="DO897" s="223"/>
      <c r="DP897" s="223"/>
      <c r="DQ897" s="223"/>
      <c r="DR897" s="223"/>
      <c r="DS897" s="223"/>
      <c r="DT897" s="223"/>
      <c r="DU897" s="200"/>
      <c r="DV897" s="200"/>
      <c r="DW897" s="522"/>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2"/>
      <c r="R898" s="200"/>
      <c r="S898" s="223"/>
      <c r="T898" s="223"/>
      <c r="U898" s="223"/>
      <c r="V898" s="223"/>
      <c r="W898" s="223"/>
      <c r="X898" s="223"/>
      <c r="Y898" s="200"/>
      <c r="Z898" s="200"/>
      <c r="AA898" s="522"/>
      <c r="AB898" s="200"/>
      <c r="AC898" s="223"/>
      <c r="AD898" s="223"/>
      <c r="AE898" s="223"/>
      <c r="AF898" s="223"/>
      <c r="AG898" s="223"/>
      <c r="AH898" s="223"/>
      <c r="AI898" s="200"/>
      <c r="AJ898" s="200"/>
      <c r="AK898" s="522"/>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2"/>
      <c r="BF898" s="200"/>
      <c r="BG898" s="223"/>
      <c r="BH898" s="223"/>
      <c r="BI898" s="223"/>
      <c r="BJ898" s="223"/>
      <c r="BK898" s="223"/>
      <c r="BL898" s="223"/>
      <c r="BM898" s="200"/>
      <c r="BN898" s="200"/>
      <c r="BO898" s="522"/>
      <c r="BP898" s="200"/>
      <c r="BQ898" s="223"/>
      <c r="BR898" s="223"/>
      <c r="BS898" s="223"/>
      <c r="BT898" s="223"/>
      <c r="BU898" s="223"/>
      <c r="BV898" s="223"/>
      <c r="BW898" s="223"/>
      <c r="BX898" s="200"/>
      <c r="BY898" s="522"/>
      <c r="BZ898" s="200"/>
      <c r="CA898" s="223"/>
      <c r="CB898" s="223"/>
      <c r="CC898" s="223"/>
      <c r="CD898" s="223"/>
      <c r="CE898" s="223"/>
      <c r="CF898" s="223"/>
      <c r="CG898" s="200"/>
      <c r="CH898" s="200"/>
      <c r="CI898" s="522"/>
      <c r="CJ898" s="200"/>
      <c r="CK898" s="223"/>
      <c r="CL898" s="223"/>
      <c r="CM898" s="223"/>
      <c r="CN898" s="223"/>
      <c r="CO898" s="223"/>
      <c r="CP898" s="223"/>
      <c r="CQ898" s="200"/>
      <c r="CR898" s="200"/>
      <c r="CS898" s="522"/>
      <c r="CT898" s="200"/>
      <c r="CU898" s="223"/>
      <c r="CV898" s="223"/>
      <c r="CW898" s="223"/>
      <c r="CX898" s="223"/>
      <c r="CY898" s="223"/>
      <c r="CZ898" s="223"/>
      <c r="DA898" s="223"/>
      <c r="DB898" s="200"/>
      <c r="DC898" s="522"/>
      <c r="DD898" s="200"/>
      <c r="DE898" s="223"/>
      <c r="DF898" s="223"/>
      <c r="DG898" s="223"/>
      <c r="DH898" s="223"/>
      <c r="DI898" s="223"/>
      <c r="DJ898" s="223"/>
      <c r="DK898" s="200"/>
      <c r="DL898" s="200"/>
      <c r="DM898" s="522"/>
      <c r="DN898" s="200"/>
      <c r="DO898" s="223"/>
      <c r="DP898" s="223"/>
      <c r="DQ898" s="223"/>
      <c r="DR898" s="223"/>
      <c r="DS898" s="223"/>
      <c r="DT898" s="223"/>
      <c r="DU898" s="200"/>
      <c r="DV898" s="200"/>
      <c r="DW898" s="522"/>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2"/>
      <c r="R899" s="200"/>
      <c r="S899" s="223"/>
      <c r="T899" s="223"/>
      <c r="U899" s="223"/>
      <c r="V899" s="223"/>
      <c r="W899" s="223"/>
      <c r="X899" s="223"/>
      <c r="Y899" s="200"/>
      <c r="Z899" s="200"/>
      <c r="AA899" s="522"/>
      <c r="AB899" s="200"/>
      <c r="AC899" s="223"/>
      <c r="AD899" s="223"/>
      <c r="AE899" s="223"/>
      <c r="AF899" s="223"/>
      <c r="AG899" s="223"/>
      <c r="AH899" s="223"/>
      <c r="AI899" s="200"/>
      <c r="AJ899" s="200"/>
      <c r="AK899" s="522"/>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2"/>
      <c r="BF899" s="200"/>
      <c r="BG899" s="223"/>
      <c r="BH899" s="223"/>
      <c r="BI899" s="223"/>
      <c r="BJ899" s="223"/>
      <c r="BK899" s="223"/>
      <c r="BL899" s="223"/>
      <c r="BM899" s="200"/>
      <c r="BN899" s="200"/>
      <c r="BO899" s="522"/>
      <c r="BP899" s="200"/>
      <c r="BQ899" s="223"/>
      <c r="BR899" s="223"/>
      <c r="BS899" s="223"/>
      <c r="BT899" s="223"/>
      <c r="BU899" s="223"/>
      <c r="BV899" s="223"/>
      <c r="BW899" s="223"/>
      <c r="BX899" s="200"/>
      <c r="BY899" s="522"/>
      <c r="BZ899" s="200"/>
      <c r="CA899" s="223"/>
      <c r="CB899" s="223"/>
      <c r="CC899" s="223"/>
      <c r="CD899" s="223"/>
      <c r="CE899" s="223"/>
      <c r="CF899" s="223"/>
      <c r="CG899" s="200"/>
      <c r="CH899" s="200"/>
      <c r="CI899" s="522"/>
      <c r="CJ899" s="200"/>
      <c r="CK899" s="223"/>
      <c r="CL899" s="223"/>
      <c r="CM899" s="223"/>
      <c r="CN899" s="223"/>
      <c r="CO899" s="223"/>
      <c r="CP899" s="223"/>
      <c r="CQ899" s="200"/>
      <c r="CR899" s="200"/>
      <c r="CS899" s="522"/>
      <c r="CT899" s="200"/>
      <c r="CU899" s="223"/>
      <c r="CV899" s="223"/>
      <c r="CW899" s="223"/>
      <c r="CX899" s="223"/>
      <c r="CY899" s="223"/>
      <c r="CZ899" s="223"/>
      <c r="DA899" s="223"/>
      <c r="DB899" s="200"/>
      <c r="DC899" s="522"/>
      <c r="DD899" s="200"/>
      <c r="DE899" s="223"/>
      <c r="DF899" s="223"/>
      <c r="DG899" s="223"/>
      <c r="DH899" s="223"/>
      <c r="DI899" s="223"/>
      <c r="DJ899" s="223"/>
      <c r="DK899" s="200"/>
      <c r="DL899" s="200"/>
      <c r="DM899" s="522"/>
      <c r="DN899" s="200"/>
      <c r="DO899" s="223"/>
      <c r="DP899" s="223"/>
      <c r="DQ899" s="223"/>
      <c r="DR899" s="223"/>
      <c r="DS899" s="223"/>
      <c r="DT899" s="223"/>
      <c r="DU899" s="200"/>
      <c r="DV899" s="200"/>
      <c r="DW899" s="522"/>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2"/>
      <c r="R900" s="200"/>
      <c r="S900" s="223"/>
      <c r="T900" s="223"/>
      <c r="U900" s="223"/>
      <c r="V900" s="223"/>
      <c r="W900" s="223"/>
      <c r="X900" s="223"/>
      <c r="Y900" s="200"/>
      <c r="Z900" s="200"/>
      <c r="AA900" s="522"/>
      <c r="AB900" s="200"/>
      <c r="AC900" s="223"/>
      <c r="AD900" s="223"/>
      <c r="AE900" s="223"/>
      <c r="AF900" s="223"/>
      <c r="AG900" s="223"/>
      <c r="AH900" s="223"/>
      <c r="AI900" s="200"/>
      <c r="AJ900" s="200"/>
      <c r="AK900" s="522"/>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2"/>
      <c r="BF900" s="200"/>
      <c r="BG900" s="223"/>
      <c r="BH900" s="223"/>
      <c r="BI900" s="223"/>
      <c r="BJ900" s="223"/>
      <c r="BK900" s="223"/>
      <c r="BL900" s="223"/>
      <c r="BM900" s="200"/>
      <c r="BN900" s="200"/>
      <c r="BO900" s="522"/>
      <c r="BP900" s="200"/>
      <c r="BQ900" s="223"/>
      <c r="BR900" s="223"/>
      <c r="BS900" s="223"/>
      <c r="BT900" s="223"/>
      <c r="BU900" s="223"/>
      <c r="BV900" s="223"/>
      <c r="BW900" s="223"/>
      <c r="BX900" s="200"/>
      <c r="BY900" s="522"/>
      <c r="BZ900" s="200"/>
      <c r="CA900" s="223"/>
      <c r="CB900" s="223"/>
      <c r="CC900" s="223"/>
      <c r="CD900" s="223"/>
      <c r="CE900" s="223"/>
      <c r="CF900" s="223"/>
      <c r="CG900" s="200"/>
      <c r="CH900" s="200"/>
      <c r="CI900" s="522"/>
      <c r="CJ900" s="200"/>
      <c r="CK900" s="223"/>
      <c r="CL900" s="223"/>
      <c r="CM900" s="223"/>
      <c r="CN900" s="223"/>
      <c r="CO900" s="223"/>
      <c r="CP900" s="223"/>
      <c r="CQ900" s="200"/>
      <c r="CR900" s="200"/>
      <c r="CS900" s="522"/>
      <c r="CT900" s="200"/>
      <c r="CU900" s="223"/>
      <c r="CV900" s="223"/>
      <c r="CW900" s="223"/>
      <c r="CX900" s="223"/>
      <c r="CY900" s="223"/>
      <c r="CZ900" s="223"/>
      <c r="DA900" s="223"/>
      <c r="DB900" s="200"/>
      <c r="DC900" s="522"/>
      <c r="DD900" s="200"/>
      <c r="DE900" s="223"/>
      <c r="DF900" s="223"/>
      <c r="DG900" s="223"/>
      <c r="DH900" s="223"/>
      <c r="DI900" s="223"/>
      <c r="DJ900" s="223"/>
      <c r="DK900" s="200"/>
      <c r="DL900" s="200"/>
      <c r="DM900" s="522"/>
      <c r="DN900" s="200"/>
      <c r="DO900" s="223"/>
      <c r="DP900" s="223"/>
      <c r="DQ900" s="223"/>
      <c r="DR900" s="223"/>
      <c r="DS900" s="223"/>
      <c r="DT900" s="223"/>
      <c r="DU900" s="200"/>
      <c r="DV900" s="200"/>
      <c r="DW900" s="522"/>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2"/>
      <c r="R901" s="200"/>
      <c r="S901" s="223"/>
      <c r="T901" s="223"/>
      <c r="U901" s="223"/>
      <c r="V901" s="223"/>
      <c r="W901" s="223"/>
      <c r="X901" s="223"/>
      <c r="Y901" s="200"/>
      <c r="Z901" s="200"/>
      <c r="AA901" s="522"/>
      <c r="AB901" s="200"/>
      <c r="AC901" s="223"/>
      <c r="AD901" s="223"/>
      <c r="AE901" s="223"/>
      <c r="AF901" s="223"/>
      <c r="AG901" s="223"/>
      <c r="AH901" s="223"/>
      <c r="AI901" s="200"/>
      <c r="AJ901" s="200"/>
      <c r="AK901" s="522"/>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2"/>
      <c r="BF901" s="200"/>
      <c r="BG901" s="223"/>
      <c r="BH901" s="223"/>
      <c r="BI901" s="223"/>
      <c r="BJ901" s="223"/>
      <c r="BK901" s="223"/>
      <c r="BL901" s="223"/>
      <c r="BM901" s="200"/>
      <c r="BN901" s="200"/>
      <c r="BO901" s="522"/>
      <c r="BP901" s="200"/>
      <c r="BQ901" s="223"/>
      <c r="BR901" s="223"/>
      <c r="BS901" s="223"/>
      <c r="BT901" s="223"/>
      <c r="BU901" s="223"/>
      <c r="BV901" s="223"/>
      <c r="BW901" s="223"/>
      <c r="BX901" s="200"/>
      <c r="BY901" s="522"/>
      <c r="BZ901" s="200"/>
      <c r="CA901" s="223"/>
      <c r="CB901" s="223"/>
      <c r="CC901" s="223"/>
      <c r="CD901" s="223"/>
      <c r="CE901" s="223"/>
      <c r="CF901" s="223"/>
      <c r="CG901" s="200"/>
      <c r="CH901" s="200"/>
      <c r="CI901" s="522"/>
      <c r="CJ901" s="200"/>
      <c r="CK901" s="223"/>
      <c r="CL901" s="223"/>
      <c r="CM901" s="223"/>
      <c r="CN901" s="223"/>
      <c r="CO901" s="223"/>
      <c r="CP901" s="223"/>
      <c r="CQ901" s="200"/>
      <c r="CR901" s="200"/>
      <c r="CS901" s="522"/>
      <c r="CT901" s="200"/>
      <c r="CU901" s="223"/>
      <c r="CV901" s="223"/>
      <c r="CW901" s="223"/>
      <c r="CX901" s="223"/>
      <c r="CY901" s="223"/>
      <c r="CZ901" s="223"/>
      <c r="DA901" s="223"/>
      <c r="DB901" s="200"/>
      <c r="DC901" s="522"/>
      <c r="DD901" s="200"/>
      <c r="DE901" s="223"/>
      <c r="DF901" s="223"/>
      <c r="DG901" s="223"/>
      <c r="DH901" s="223"/>
      <c r="DI901" s="223"/>
      <c r="DJ901" s="223"/>
      <c r="DK901" s="200"/>
      <c r="DL901" s="200"/>
      <c r="DM901" s="522"/>
      <c r="DN901" s="200"/>
      <c r="DO901" s="223"/>
      <c r="DP901" s="223"/>
      <c r="DQ901" s="223"/>
      <c r="DR901" s="223"/>
      <c r="DS901" s="223"/>
      <c r="DT901" s="223"/>
      <c r="DU901" s="200"/>
      <c r="DV901" s="200"/>
      <c r="DW901" s="522"/>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2"/>
      <c r="R902" s="200"/>
      <c r="S902" s="223"/>
      <c r="T902" s="223"/>
      <c r="U902" s="223"/>
      <c r="V902" s="223"/>
      <c r="W902" s="223"/>
      <c r="X902" s="223"/>
      <c r="Y902" s="200"/>
      <c r="Z902" s="200"/>
      <c r="AA902" s="522"/>
      <c r="AB902" s="200"/>
      <c r="AC902" s="223"/>
      <c r="AD902" s="223"/>
      <c r="AE902" s="223"/>
      <c r="AF902" s="223"/>
      <c r="AG902" s="223"/>
      <c r="AH902" s="223"/>
      <c r="AI902" s="200"/>
      <c r="AJ902" s="200"/>
      <c r="AK902" s="522"/>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2"/>
      <c r="BF902" s="200"/>
      <c r="BG902" s="223"/>
      <c r="BH902" s="223"/>
      <c r="BI902" s="223"/>
      <c r="BJ902" s="223"/>
      <c r="BK902" s="223"/>
      <c r="BL902" s="223"/>
      <c r="BM902" s="200"/>
      <c r="BN902" s="200"/>
      <c r="BO902" s="522"/>
      <c r="BP902" s="200"/>
      <c r="BQ902" s="223"/>
      <c r="BR902" s="223"/>
      <c r="BS902" s="223"/>
      <c r="BT902" s="223"/>
      <c r="BU902" s="223"/>
      <c r="BV902" s="223"/>
      <c r="BW902" s="223"/>
      <c r="BX902" s="200"/>
      <c r="BY902" s="522"/>
      <c r="BZ902" s="200"/>
      <c r="CA902" s="223"/>
      <c r="CB902" s="223"/>
      <c r="CC902" s="223"/>
      <c r="CD902" s="223"/>
      <c r="CE902" s="223"/>
      <c r="CF902" s="223"/>
      <c r="CG902" s="200"/>
      <c r="CH902" s="200"/>
      <c r="CI902" s="522"/>
      <c r="CJ902" s="200"/>
      <c r="CK902" s="223"/>
      <c r="CL902" s="223"/>
      <c r="CM902" s="223"/>
      <c r="CN902" s="223"/>
      <c r="CO902" s="223"/>
      <c r="CP902" s="223"/>
      <c r="CQ902" s="200"/>
      <c r="CR902" s="200"/>
      <c r="CS902" s="522"/>
      <c r="CT902" s="200"/>
      <c r="CU902" s="223"/>
      <c r="CV902" s="223"/>
      <c r="CW902" s="223"/>
      <c r="CX902" s="223"/>
      <c r="CY902" s="223"/>
      <c r="CZ902" s="223"/>
      <c r="DA902" s="223"/>
      <c r="DB902" s="200"/>
      <c r="DC902" s="522"/>
      <c r="DD902" s="200"/>
      <c r="DE902" s="223"/>
      <c r="DF902" s="223"/>
      <c r="DG902" s="223"/>
      <c r="DH902" s="223"/>
      <c r="DI902" s="223"/>
      <c r="DJ902" s="223"/>
      <c r="DK902" s="200"/>
      <c r="DL902" s="200"/>
      <c r="DM902" s="522"/>
      <c r="DN902" s="200"/>
      <c r="DO902" s="223"/>
      <c r="DP902" s="223"/>
      <c r="DQ902" s="223"/>
      <c r="DR902" s="223"/>
      <c r="DS902" s="223"/>
      <c r="DT902" s="223"/>
      <c r="DU902" s="200"/>
      <c r="DV902" s="200"/>
      <c r="DW902" s="522"/>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2"/>
      <c r="R903" s="200"/>
      <c r="S903" s="223"/>
      <c r="T903" s="223"/>
      <c r="U903" s="223"/>
      <c r="V903" s="223"/>
      <c r="W903" s="223"/>
      <c r="X903" s="223"/>
      <c r="Y903" s="200"/>
      <c r="Z903" s="200"/>
      <c r="AA903" s="522"/>
      <c r="AB903" s="200"/>
      <c r="AC903" s="223"/>
      <c r="AD903" s="223"/>
      <c r="AE903" s="223"/>
      <c r="AF903" s="223"/>
      <c r="AG903" s="223"/>
      <c r="AH903" s="223"/>
      <c r="AI903" s="200"/>
      <c r="AJ903" s="200"/>
      <c r="AK903" s="522"/>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2"/>
      <c r="BF903" s="200"/>
      <c r="BG903" s="223"/>
      <c r="BH903" s="223"/>
      <c r="BI903" s="223"/>
      <c r="BJ903" s="223"/>
      <c r="BK903" s="223"/>
      <c r="BL903" s="223"/>
      <c r="BM903" s="200"/>
      <c r="BN903" s="200"/>
      <c r="BO903" s="522"/>
      <c r="BP903" s="200"/>
      <c r="BQ903" s="223"/>
      <c r="BR903" s="223"/>
      <c r="BS903" s="223"/>
      <c r="BT903" s="223"/>
      <c r="BU903" s="223"/>
      <c r="BV903" s="223"/>
      <c r="BW903" s="223"/>
      <c r="BX903" s="200"/>
      <c r="BY903" s="522"/>
      <c r="BZ903" s="200"/>
      <c r="CA903" s="223"/>
      <c r="CB903" s="223"/>
      <c r="CC903" s="223"/>
      <c r="CD903" s="223"/>
      <c r="CE903" s="223"/>
      <c r="CF903" s="223"/>
      <c r="CG903" s="200"/>
      <c r="CH903" s="200"/>
      <c r="CI903" s="522"/>
      <c r="CJ903" s="200"/>
      <c r="CK903" s="223"/>
      <c r="CL903" s="223"/>
      <c r="CM903" s="223"/>
      <c r="CN903" s="223"/>
      <c r="CO903" s="223"/>
      <c r="CP903" s="223"/>
      <c r="CQ903" s="200"/>
      <c r="CR903" s="200"/>
      <c r="CS903" s="522"/>
      <c r="CT903" s="200"/>
      <c r="CU903" s="223"/>
      <c r="CV903" s="223"/>
      <c r="CW903" s="223"/>
      <c r="CX903" s="223"/>
      <c r="CY903" s="223"/>
      <c r="CZ903" s="223"/>
      <c r="DA903" s="223"/>
      <c r="DB903" s="200"/>
      <c r="DC903" s="522"/>
      <c r="DD903" s="200"/>
      <c r="DE903" s="223"/>
      <c r="DF903" s="223"/>
      <c r="DG903" s="223"/>
      <c r="DH903" s="223"/>
      <c r="DI903" s="223"/>
      <c r="DJ903" s="223"/>
      <c r="DK903" s="200"/>
      <c r="DL903" s="200"/>
      <c r="DM903" s="522"/>
      <c r="DN903" s="200"/>
      <c r="DO903" s="223"/>
      <c r="DP903" s="223"/>
      <c r="DQ903" s="223"/>
      <c r="DR903" s="223"/>
      <c r="DS903" s="223"/>
      <c r="DT903" s="223"/>
      <c r="DU903" s="200"/>
      <c r="DV903" s="200"/>
      <c r="DW903" s="522"/>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2"/>
      <c r="R904" s="200"/>
      <c r="S904" s="223"/>
      <c r="T904" s="223"/>
      <c r="U904" s="223"/>
      <c r="V904" s="223"/>
      <c r="W904" s="223"/>
      <c r="X904" s="223"/>
      <c r="Y904" s="200"/>
      <c r="Z904" s="200"/>
      <c r="AA904" s="522"/>
      <c r="AB904" s="200"/>
      <c r="AC904" s="223"/>
      <c r="AD904" s="223"/>
      <c r="AE904" s="223"/>
      <c r="AF904" s="223"/>
      <c r="AG904" s="223"/>
      <c r="AH904" s="223"/>
      <c r="AI904" s="200"/>
      <c r="AJ904" s="200"/>
      <c r="AK904" s="522"/>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2"/>
      <c r="BF904" s="200"/>
      <c r="BG904" s="223"/>
      <c r="BH904" s="223"/>
      <c r="BI904" s="223"/>
      <c r="BJ904" s="223"/>
      <c r="BK904" s="223"/>
      <c r="BL904" s="223"/>
      <c r="BM904" s="200"/>
      <c r="BN904" s="200"/>
      <c r="BO904" s="522"/>
      <c r="BP904" s="200"/>
      <c r="BQ904" s="223"/>
      <c r="BR904" s="223"/>
      <c r="BS904" s="223"/>
      <c r="BT904" s="223"/>
      <c r="BU904" s="223"/>
      <c r="BV904" s="223"/>
      <c r="BW904" s="223"/>
      <c r="BX904" s="200"/>
      <c r="BY904" s="522"/>
      <c r="BZ904" s="200"/>
      <c r="CA904" s="223"/>
      <c r="CB904" s="223"/>
      <c r="CC904" s="223"/>
      <c r="CD904" s="223"/>
      <c r="CE904" s="223"/>
      <c r="CF904" s="223"/>
      <c r="CG904" s="200"/>
      <c r="CH904" s="200"/>
      <c r="CI904" s="522"/>
      <c r="CJ904" s="200"/>
      <c r="CK904" s="223"/>
      <c r="CL904" s="223"/>
      <c r="CM904" s="223"/>
      <c r="CN904" s="223"/>
      <c r="CO904" s="223"/>
      <c r="CP904" s="223"/>
      <c r="CQ904" s="200"/>
      <c r="CR904" s="200"/>
      <c r="CS904" s="522"/>
      <c r="CT904" s="200"/>
      <c r="CU904" s="223"/>
      <c r="CV904" s="223"/>
      <c r="CW904" s="223"/>
      <c r="CX904" s="223"/>
      <c r="CY904" s="223"/>
      <c r="CZ904" s="223"/>
      <c r="DA904" s="223"/>
      <c r="DB904" s="200"/>
      <c r="DC904" s="522"/>
      <c r="DD904" s="200"/>
      <c r="DE904" s="223"/>
      <c r="DF904" s="223"/>
      <c r="DG904" s="223"/>
      <c r="DH904" s="223"/>
      <c r="DI904" s="223"/>
      <c r="DJ904" s="223"/>
      <c r="DK904" s="200"/>
      <c r="DL904" s="200"/>
      <c r="DM904" s="522"/>
      <c r="DN904" s="200"/>
      <c r="DO904" s="223"/>
      <c r="DP904" s="223"/>
      <c r="DQ904" s="223"/>
      <c r="DR904" s="223"/>
      <c r="DS904" s="223"/>
      <c r="DT904" s="223"/>
      <c r="DU904" s="200"/>
      <c r="DV904" s="200"/>
      <c r="DW904" s="522"/>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2"/>
      <c r="R905" s="200"/>
      <c r="S905" s="223"/>
      <c r="T905" s="223"/>
      <c r="U905" s="223"/>
      <c r="V905" s="223"/>
      <c r="W905" s="223"/>
      <c r="X905" s="223"/>
      <c r="Y905" s="200"/>
      <c r="Z905" s="200"/>
      <c r="AA905" s="522"/>
      <c r="AB905" s="200"/>
      <c r="AC905" s="223"/>
      <c r="AD905" s="223"/>
      <c r="AE905" s="223"/>
      <c r="AF905" s="223"/>
      <c r="AG905" s="223"/>
      <c r="AH905" s="223"/>
      <c r="AI905" s="200"/>
      <c r="AJ905" s="200"/>
      <c r="AK905" s="522"/>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2"/>
      <c r="BF905" s="200"/>
      <c r="BG905" s="223"/>
      <c r="BH905" s="223"/>
      <c r="BI905" s="223"/>
      <c r="BJ905" s="223"/>
      <c r="BK905" s="223"/>
      <c r="BL905" s="223"/>
      <c r="BM905" s="200"/>
      <c r="BN905" s="200"/>
      <c r="BO905" s="522"/>
      <c r="BP905" s="200"/>
      <c r="BQ905" s="223"/>
      <c r="BR905" s="223"/>
      <c r="BS905" s="223"/>
      <c r="BT905" s="223"/>
      <c r="BU905" s="223"/>
      <c r="BV905" s="223"/>
      <c r="BW905" s="223"/>
      <c r="BX905" s="200"/>
      <c r="BY905" s="522"/>
      <c r="BZ905" s="200"/>
      <c r="CA905" s="223"/>
      <c r="CB905" s="223"/>
      <c r="CC905" s="223"/>
      <c r="CD905" s="223"/>
      <c r="CE905" s="223"/>
      <c r="CF905" s="223"/>
      <c r="CG905" s="200"/>
      <c r="CH905" s="200"/>
      <c r="CI905" s="522"/>
      <c r="CJ905" s="200"/>
      <c r="CK905" s="223"/>
      <c r="CL905" s="223"/>
      <c r="CM905" s="223"/>
      <c r="CN905" s="223"/>
      <c r="CO905" s="223"/>
      <c r="CP905" s="223"/>
      <c r="CQ905" s="200"/>
      <c r="CR905" s="200"/>
      <c r="CS905" s="522"/>
      <c r="CT905" s="200"/>
      <c r="CU905" s="223"/>
      <c r="CV905" s="223"/>
      <c r="CW905" s="223"/>
      <c r="CX905" s="223"/>
      <c r="CY905" s="223"/>
      <c r="CZ905" s="223"/>
      <c r="DA905" s="223"/>
      <c r="DB905" s="200"/>
      <c r="DC905" s="522"/>
      <c r="DD905" s="200"/>
      <c r="DE905" s="223"/>
      <c r="DF905" s="223"/>
      <c r="DG905" s="223"/>
      <c r="DH905" s="223"/>
      <c r="DI905" s="223"/>
      <c r="DJ905" s="223"/>
      <c r="DK905" s="200"/>
      <c r="DL905" s="200"/>
      <c r="DM905" s="522"/>
      <c r="DN905" s="200"/>
      <c r="DO905" s="223"/>
      <c r="DP905" s="223"/>
      <c r="DQ905" s="223"/>
      <c r="DR905" s="223"/>
      <c r="DS905" s="223"/>
      <c r="DT905" s="223"/>
      <c r="DU905" s="200"/>
      <c r="DV905" s="200"/>
      <c r="DW905" s="522"/>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2"/>
      <c r="R906" s="200"/>
      <c r="S906" s="223"/>
      <c r="T906" s="223"/>
      <c r="U906" s="223"/>
      <c r="V906" s="223"/>
      <c r="W906" s="223"/>
      <c r="X906" s="223"/>
      <c r="Y906" s="200"/>
      <c r="Z906" s="200"/>
      <c r="AA906" s="522"/>
      <c r="AB906" s="200"/>
      <c r="AC906" s="223"/>
      <c r="AD906" s="223"/>
      <c r="AE906" s="223"/>
      <c r="AF906" s="223"/>
      <c r="AG906" s="223"/>
      <c r="AH906" s="223"/>
      <c r="AI906" s="200"/>
      <c r="AJ906" s="200"/>
      <c r="AK906" s="522"/>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2"/>
      <c r="BF906" s="200"/>
      <c r="BG906" s="223"/>
      <c r="BH906" s="223"/>
      <c r="BI906" s="223"/>
      <c r="BJ906" s="223"/>
      <c r="BK906" s="223"/>
      <c r="BL906" s="223"/>
      <c r="BM906" s="200"/>
      <c r="BN906" s="200"/>
      <c r="BO906" s="522"/>
      <c r="BP906" s="200"/>
      <c r="BQ906" s="223"/>
      <c r="BR906" s="223"/>
      <c r="BS906" s="223"/>
      <c r="BT906" s="223"/>
      <c r="BU906" s="223"/>
      <c r="BV906" s="223"/>
      <c r="BW906" s="223"/>
      <c r="BX906" s="200"/>
      <c r="BY906" s="522"/>
      <c r="BZ906" s="200"/>
      <c r="CA906" s="223"/>
      <c r="CB906" s="223"/>
      <c r="CC906" s="223"/>
      <c r="CD906" s="223"/>
      <c r="CE906" s="223"/>
      <c r="CF906" s="223"/>
      <c r="CG906" s="200"/>
      <c r="CH906" s="200"/>
      <c r="CI906" s="522"/>
      <c r="CJ906" s="200"/>
      <c r="CK906" s="223"/>
      <c r="CL906" s="223"/>
      <c r="CM906" s="223"/>
      <c r="CN906" s="223"/>
      <c r="CO906" s="223"/>
      <c r="CP906" s="223"/>
      <c r="CQ906" s="200"/>
      <c r="CR906" s="200"/>
      <c r="CS906" s="522"/>
      <c r="CT906" s="200"/>
      <c r="CU906" s="223"/>
      <c r="CV906" s="223"/>
      <c r="CW906" s="223"/>
      <c r="CX906" s="223"/>
      <c r="CY906" s="223"/>
      <c r="CZ906" s="223"/>
      <c r="DA906" s="223"/>
      <c r="DB906" s="200"/>
      <c r="DC906" s="522"/>
      <c r="DD906" s="200"/>
      <c r="DE906" s="223"/>
      <c r="DF906" s="223"/>
      <c r="DG906" s="223"/>
      <c r="DH906" s="223"/>
      <c r="DI906" s="223"/>
      <c r="DJ906" s="223"/>
      <c r="DK906" s="200"/>
      <c r="DL906" s="200"/>
      <c r="DM906" s="522"/>
      <c r="DN906" s="200"/>
      <c r="DO906" s="223"/>
      <c r="DP906" s="223"/>
      <c r="DQ906" s="223"/>
      <c r="DR906" s="223"/>
      <c r="DS906" s="223"/>
      <c r="DT906" s="223"/>
      <c r="DU906" s="200"/>
      <c r="DV906" s="200"/>
      <c r="DW906" s="522"/>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2"/>
      <c r="R907" s="200"/>
      <c r="S907" s="223"/>
      <c r="T907" s="223"/>
      <c r="U907" s="223"/>
      <c r="V907" s="223"/>
      <c r="W907" s="223"/>
      <c r="X907" s="223"/>
      <c r="Y907" s="200"/>
      <c r="Z907" s="200"/>
      <c r="AA907" s="522"/>
      <c r="AB907" s="200"/>
      <c r="AC907" s="223"/>
      <c r="AD907" s="223"/>
      <c r="AE907" s="223"/>
      <c r="AF907" s="223"/>
      <c r="AG907" s="223"/>
      <c r="AH907" s="223"/>
      <c r="AI907" s="200"/>
      <c r="AJ907" s="200"/>
      <c r="AK907" s="522"/>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2"/>
      <c r="BF907" s="200"/>
      <c r="BG907" s="223"/>
      <c r="BH907" s="223"/>
      <c r="BI907" s="223"/>
      <c r="BJ907" s="223"/>
      <c r="BK907" s="223"/>
      <c r="BL907" s="223"/>
      <c r="BM907" s="200"/>
      <c r="BN907" s="200"/>
      <c r="BO907" s="522"/>
      <c r="BP907" s="200"/>
      <c r="BQ907" s="223"/>
      <c r="BR907" s="223"/>
      <c r="BS907" s="223"/>
      <c r="BT907" s="223"/>
      <c r="BU907" s="223"/>
      <c r="BV907" s="223"/>
      <c r="BW907" s="223"/>
      <c r="BX907" s="200"/>
      <c r="BY907" s="522"/>
      <c r="BZ907" s="200"/>
      <c r="CA907" s="223"/>
      <c r="CB907" s="223"/>
      <c r="CC907" s="223"/>
      <c r="CD907" s="223"/>
      <c r="CE907" s="223"/>
      <c r="CF907" s="223"/>
      <c r="CG907" s="200"/>
      <c r="CH907" s="200"/>
      <c r="CI907" s="522"/>
      <c r="CJ907" s="200"/>
      <c r="CK907" s="223"/>
      <c r="CL907" s="223"/>
      <c r="CM907" s="223"/>
      <c r="CN907" s="223"/>
      <c r="CO907" s="223"/>
      <c r="CP907" s="223"/>
      <c r="CQ907" s="200"/>
      <c r="CR907" s="200"/>
      <c r="CS907" s="522"/>
      <c r="CT907" s="200"/>
      <c r="CU907" s="223"/>
      <c r="CV907" s="223"/>
      <c r="CW907" s="223"/>
      <c r="CX907" s="223"/>
      <c r="CY907" s="223"/>
      <c r="CZ907" s="223"/>
      <c r="DA907" s="223"/>
      <c r="DB907" s="200"/>
      <c r="DC907" s="522"/>
      <c r="DD907" s="200"/>
      <c r="DE907" s="223"/>
      <c r="DF907" s="223"/>
      <c r="DG907" s="223"/>
      <c r="DH907" s="223"/>
      <c r="DI907" s="223"/>
      <c r="DJ907" s="223"/>
      <c r="DK907" s="200"/>
      <c r="DL907" s="200"/>
      <c r="DM907" s="522"/>
      <c r="DN907" s="200"/>
      <c r="DO907" s="223"/>
      <c r="DP907" s="223"/>
      <c r="DQ907" s="223"/>
      <c r="DR907" s="223"/>
      <c r="DS907" s="223"/>
      <c r="DT907" s="223"/>
      <c r="DU907" s="200"/>
      <c r="DV907" s="200"/>
      <c r="DW907" s="522"/>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2"/>
      <c r="R908" s="200"/>
      <c r="S908" s="223"/>
      <c r="T908" s="223"/>
      <c r="U908" s="223"/>
      <c r="V908" s="223"/>
      <c r="W908" s="223"/>
      <c r="X908" s="223"/>
      <c r="Y908" s="200"/>
      <c r="Z908" s="200"/>
      <c r="AA908" s="522"/>
      <c r="AB908" s="200"/>
      <c r="AC908" s="223"/>
      <c r="AD908" s="223"/>
      <c r="AE908" s="223"/>
      <c r="AF908" s="223"/>
      <c r="AG908" s="223"/>
      <c r="AH908" s="223"/>
      <c r="AI908" s="200"/>
      <c r="AJ908" s="200"/>
      <c r="AK908" s="522"/>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2"/>
      <c r="BF908" s="200"/>
      <c r="BG908" s="223"/>
      <c r="BH908" s="223"/>
      <c r="BI908" s="223"/>
      <c r="BJ908" s="223"/>
      <c r="BK908" s="223"/>
      <c r="BL908" s="223"/>
      <c r="BM908" s="200"/>
      <c r="BN908" s="200"/>
      <c r="BO908" s="522"/>
      <c r="BP908" s="200"/>
      <c r="BQ908" s="223"/>
      <c r="BR908" s="223"/>
      <c r="BS908" s="223"/>
      <c r="BT908" s="223"/>
      <c r="BU908" s="223"/>
      <c r="BV908" s="223"/>
      <c r="BW908" s="223"/>
      <c r="BX908" s="200"/>
      <c r="BY908" s="522"/>
      <c r="BZ908" s="200"/>
      <c r="CA908" s="223"/>
      <c r="CB908" s="223"/>
      <c r="CC908" s="223"/>
      <c r="CD908" s="223"/>
      <c r="CE908" s="223"/>
      <c r="CF908" s="223"/>
      <c r="CG908" s="200"/>
      <c r="CH908" s="200"/>
      <c r="CI908" s="522"/>
      <c r="CJ908" s="200"/>
      <c r="CK908" s="223"/>
      <c r="CL908" s="223"/>
      <c r="CM908" s="223"/>
      <c r="CN908" s="223"/>
      <c r="CO908" s="223"/>
      <c r="CP908" s="223"/>
      <c r="CQ908" s="200"/>
      <c r="CR908" s="200"/>
      <c r="CS908" s="522"/>
      <c r="CT908" s="200"/>
      <c r="CU908" s="223"/>
      <c r="CV908" s="223"/>
      <c r="CW908" s="223"/>
      <c r="CX908" s="223"/>
      <c r="CY908" s="223"/>
      <c r="CZ908" s="223"/>
      <c r="DA908" s="223"/>
      <c r="DB908" s="200"/>
      <c r="DC908" s="522"/>
      <c r="DD908" s="200"/>
      <c r="DE908" s="223"/>
      <c r="DF908" s="223"/>
      <c r="DG908" s="223"/>
      <c r="DH908" s="223"/>
      <c r="DI908" s="223"/>
      <c r="DJ908" s="223"/>
      <c r="DK908" s="200"/>
      <c r="DL908" s="200"/>
      <c r="DM908" s="522"/>
      <c r="DN908" s="200"/>
      <c r="DO908" s="223"/>
      <c r="DP908" s="223"/>
      <c r="DQ908" s="223"/>
      <c r="DR908" s="223"/>
      <c r="DS908" s="223"/>
      <c r="DT908" s="223"/>
      <c r="DU908" s="200"/>
      <c r="DV908" s="200"/>
      <c r="DW908" s="522"/>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2"/>
      <c r="R909" s="200"/>
      <c r="S909" s="223"/>
      <c r="T909" s="223"/>
      <c r="U909" s="223"/>
      <c r="V909" s="223"/>
      <c r="W909" s="223"/>
      <c r="X909" s="223"/>
      <c r="Y909" s="200"/>
      <c r="Z909" s="200"/>
      <c r="AA909" s="522"/>
      <c r="AB909" s="200"/>
      <c r="AC909" s="223"/>
      <c r="AD909" s="223"/>
      <c r="AE909" s="223"/>
      <c r="AF909" s="223"/>
      <c r="AG909" s="223"/>
      <c r="AH909" s="223"/>
      <c r="AI909" s="200"/>
      <c r="AJ909" s="200"/>
      <c r="AK909" s="522"/>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2"/>
      <c r="BF909" s="200"/>
      <c r="BG909" s="223"/>
      <c r="BH909" s="223"/>
      <c r="BI909" s="223"/>
      <c r="BJ909" s="223"/>
      <c r="BK909" s="223"/>
      <c r="BL909" s="223"/>
      <c r="BM909" s="200"/>
      <c r="BN909" s="200"/>
      <c r="BO909" s="522"/>
      <c r="BP909" s="200"/>
      <c r="BQ909" s="223"/>
      <c r="BR909" s="223"/>
      <c r="BS909" s="223"/>
      <c r="BT909" s="223"/>
      <c r="BU909" s="223"/>
      <c r="BV909" s="223"/>
      <c r="BW909" s="223"/>
      <c r="BX909" s="200"/>
      <c r="BY909" s="522"/>
      <c r="BZ909" s="200"/>
      <c r="CA909" s="223"/>
      <c r="CB909" s="223"/>
      <c r="CC909" s="223"/>
      <c r="CD909" s="223"/>
      <c r="CE909" s="223"/>
      <c r="CF909" s="223"/>
      <c r="CG909" s="200"/>
      <c r="CH909" s="200"/>
      <c r="CI909" s="522"/>
      <c r="CJ909" s="200"/>
      <c r="CK909" s="223"/>
      <c r="CL909" s="223"/>
      <c r="CM909" s="223"/>
      <c r="CN909" s="223"/>
      <c r="CO909" s="223"/>
      <c r="CP909" s="223"/>
      <c r="CQ909" s="200"/>
      <c r="CR909" s="200"/>
      <c r="CS909" s="522"/>
      <c r="CT909" s="200"/>
      <c r="CU909" s="223"/>
      <c r="CV909" s="223"/>
      <c r="CW909" s="223"/>
      <c r="CX909" s="223"/>
      <c r="CY909" s="223"/>
      <c r="CZ909" s="223"/>
      <c r="DA909" s="223"/>
      <c r="DB909" s="200"/>
      <c r="DC909" s="522"/>
      <c r="DD909" s="200"/>
      <c r="DE909" s="223"/>
      <c r="DF909" s="223"/>
      <c r="DG909" s="223"/>
      <c r="DH909" s="223"/>
      <c r="DI909" s="223"/>
      <c r="DJ909" s="223"/>
      <c r="DK909" s="200"/>
      <c r="DL909" s="200"/>
      <c r="DM909" s="522"/>
      <c r="DN909" s="200"/>
      <c r="DO909" s="223"/>
      <c r="DP909" s="223"/>
      <c r="DQ909" s="223"/>
      <c r="DR909" s="223"/>
      <c r="DS909" s="223"/>
      <c r="DT909" s="223"/>
      <c r="DU909" s="200"/>
      <c r="DV909" s="200"/>
      <c r="DW909" s="522"/>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2"/>
      <c r="R910" s="200"/>
      <c r="S910" s="223"/>
      <c r="T910" s="223"/>
      <c r="U910" s="223"/>
      <c r="V910" s="223"/>
      <c r="W910" s="223"/>
      <c r="X910" s="223"/>
      <c r="Y910" s="200"/>
      <c r="Z910" s="200"/>
      <c r="AA910" s="522"/>
      <c r="AB910" s="200"/>
      <c r="AC910" s="223"/>
      <c r="AD910" s="223"/>
      <c r="AE910" s="223"/>
      <c r="AF910" s="223"/>
      <c r="AG910" s="223"/>
      <c r="AH910" s="223"/>
      <c r="AI910" s="200"/>
      <c r="AJ910" s="200"/>
      <c r="AK910" s="522"/>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2"/>
      <c r="BF910" s="200"/>
      <c r="BG910" s="223"/>
      <c r="BH910" s="223"/>
      <c r="BI910" s="223"/>
      <c r="BJ910" s="223"/>
      <c r="BK910" s="223"/>
      <c r="BL910" s="223"/>
      <c r="BM910" s="200"/>
      <c r="BN910" s="200"/>
      <c r="BO910" s="522"/>
      <c r="BP910" s="200"/>
      <c r="BQ910" s="223"/>
      <c r="BR910" s="223"/>
      <c r="BS910" s="223"/>
      <c r="BT910" s="223"/>
      <c r="BU910" s="223"/>
      <c r="BV910" s="223"/>
      <c r="BW910" s="223"/>
      <c r="BX910" s="200"/>
      <c r="BY910" s="522"/>
      <c r="BZ910" s="200"/>
      <c r="CA910" s="223"/>
      <c r="CB910" s="223"/>
      <c r="CC910" s="223"/>
      <c r="CD910" s="223"/>
      <c r="CE910" s="223"/>
      <c r="CF910" s="223"/>
      <c r="CG910" s="200"/>
      <c r="CH910" s="200"/>
      <c r="CI910" s="522"/>
      <c r="CJ910" s="200"/>
      <c r="CK910" s="223"/>
      <c r="CL910" s="223"/>
      <c r="CM910" s="223"/>
      <c r="CN910" s="223"/>
      <c r="CO910" s="223"/>
      <c r="CP910" s="223"/>
      <c r="CQ910" s="200"/>
      <c r="CR910" s="200"/>
      <c r="CS910" s="522"/>
      <c r="CT910" s="200"/>
      <c r="CU910" s="223"/>
      <c r="CV910" s="223"/>
      <c r="CW910" s="223"/>
      <c r="CX910" s="223"/>
      <c r="CY910" s="223"/>
      <c r="CZ910" s="223"/>
      <c r="DA910" s="223"/>
      <c r="DB910" s="200"/>
      <c r="DC910" s="522"/>
      <c r="DD910" s="200"/>
      <c r="DE910" s="223"/>
      <c r="DF910" s="223"/>
      <c r="DG910" s="223"/>
      <c r="DH910" s="223"/>
      <c r="DI910" s="223"/>
      <c r="DJ910" s="223"/>
      <c r="DK910" s="200"/>
      <c r="DL910" s="200"/>
      <c r="DM910" s="522"/>
      <c r="DN910" s="200"/>
      <c r="DO910" s="223"/>
      <c r="DP910" s="223"/>
      <c r="DQ910" s="223"/>
      <c r="DR910" s="223"/>
      <c r="DS910" s="223"/>
      <c r="DT910" s="223"/>
      <c r="DU910" s="200"/>
      <c r="DV910" s="200"/>
      <c r="DW910" s="522"/>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2"/>
      <c r="R911" s="200"/>
      <c r="S911" s="223"/>
      <c r="T911" s="223"/>
      <c r="U911" s="223"/>
      <c r="V911" s="223"/>
      <c r="W911" s="223"/>
      <c r="X911" s="223"/>
      <c r="Y911" s="200"/>
      <c r="Z911" s="200"/>
      <c r="AA911" s="522"/>
      <c r="AB911" s="200"/>
      <c r="AC911" s="223"/>
      <c r="AD911" s="223"/>
      <c r="AE911" s="223"/>
      <c r="AF911" s="223"/>
      <c r="AG911" s="223"/>
      <c r="AH911" s="223"/>
      <c r="AI911" s="200"/>
      <c r="AJ911" s="200"/>
      <c r="AK911" s="522"/>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2"/>
      <c r="BF911" s="200"/>
      <c r="BG911" s="223"/>
      <c r="BH911" s="223"/>
      <c r="BI911" s="223"/>
      <c r="BJ911" s="223"/>
      <c r="BK911" s="223"/>
      <c r="BL911" s="223"/>
      <c r="BM911" s="200"/>
      <c r="BN911" s="200"/>
      <c r="BO911" s="522"/>
      <c r="BP911" s="200"/>
      <c r="BQ911" s="223"/>
      <c r="BR911" s="223"/>
      <c r="BS911" s="223"/>
      <c r="BT911" s="223"/>
      <c r="BU911" s="223"/>
      <c r="BV911" s="223"/>
      <c r="BW911" s="223"/>
      <c r="BX911" s="200"/>
      <c r="BY911" s="522"/>
      <c r="BZ911" s="200"/>
      <c r="CA911" s="223"/>
      <c r="CB911" s="223"/>
      <c r="CC911" s="223"/>
      <c r="CD911" s="223"/>
      <c r="CE911" s="223"/>
      <c r="CF911" s="223"/>
      <c r="CG911" s="200"/>
      <c r="CH911" s="200"/>
      <c r="CI911" s="522"/>
      <c r="CJ911" s="200"/>
      <c r="CK911" s="223"/>
      <c r="CL911" s="223"/>
      <c r="CM911" s="223"/>
      <c r="CN911" s="223"/>
      <c r="CO911" s="223"/>
      <c r="CP911" s="223"/>
      <c r="CQ911" s="200"/>
      <c r="CR911" s="200"/>
      <c r="CS911" s="522"/>
      <c r="CT911" s="200"/>
      <c r="CU911" s="223"/>
      <c r="CV911" s="223"/>
      <c r="CW911" s="223"/>
      <c r="CX911" s="223"/>
      <c r="CY911" s="223"/>
      <c r="CZ911" s="223"/>
      <c r="DA911" s="223"/>
      <c r="DB911" s="200"/>
      <c r="DC911" s="522"/>
      <c r="DD911" s="200"/>
      <c r="DE911" s="223"/>
      <c r="DF911" s="223"/>
      <c r="DG911" s="223"/>
      <c r="DH911" s="223"/>
      <c r="DI911" s="223"/>
      <c r="DJ911" s="223"/>
      <c r="DK911" s="200"/>
      <c r="DL911" s="200"/>
      <c r="DM911" s="522"/>
      <c r="DN911" s="200"/>
      <c r="DO911" s="223"/>
      <c r="DP911" s="223"/>
      <c r="DQ911" s="223"/>
      <c r="DR911" s="223"/>
      <c r="DS911" s="223"/>
      <c r="DT911" s="223"/>
      <c r="DU911" s="200"/>
      <c r="DV911" s="200"/>
      <c r="DW911" s="522"/>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2"/>
      <c r="R912" s="200"/>
      <c r="S912" s="223"/>
      <c r="T912" s="223"/>
      <c r="U912" s="223"/>
      <c r="V912" s="223"/>
      <c r="W912" s="223"/>
      <c r="X912" s="223"/>
      <c r="Y912" s="200"/>
      <c r="Z912" s="200"/>
      <c r="AA912" s="522"/>
      <c r="AB912" s="200"/>
      <c r="AC912" s="223"/>
      <c r="AD912" s="223"/>
      <c r="AE912" s="223"/>
      <c r="AF912" s="223"/>
      <c r="AG912" s="223"/>
      <c r="AH912" s="223"/>
      <c r="AI912" s="200"/>
      <c r="AJ912" s="200"/>
      <c r="AK912" s="522"/>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2"/>
      <c r="BF912" s="200"/>
      <c r="BG912" s="223"/>
      <c r="BH912" s="223"/>
      <c r="BI912" s="223"/>
      <c r="BJ912" s="223"/>
      <c r="BK912" s="223"/>
      <c r="BL912" s="223"/>
      <c r="BM912" s="200"/>
      <c r="BN912" s="200"/>
      <c r="BO912" s="522"/>
      <c r="BP912" s="200"/>
      <c r="BQ912" s="223"/>
      <c r="BR912" s="223"/>
      <c r="BS912" s="223"/>
      <c r="BT912" s="223"/>
      <c r="BU912" s="223"/>
      <c r="BV912" s="223"/>
      <c r="BW912" s="223"/>
      <c r="BX912" s="200"/>
      <c r="BY912" s="522"/>
      <c r="BZ912" s="200"/>
      <c r="CA912" s="223"/>
      <c r="CB912" s="223"/>
      <c r="CC912" s="223"/>
      <c r="CD912" s="223"/>
      <c r="CE912" s="223"/>
      <c r="CF912" s="223"/>
      <c r="CG912" s="200"/>
      <c r="CH912" s="200"/>
      <c r="CI912" s="522"/>
      <c r="CJ912" s="200"/>
      <c r="CK912" s="223"/>
      <c r="CL912" s="223"/>
      <c r="CM912" s="223"/>
      <c r="CN912" s="223"/>
      <c r="CO912" s="223"/>
      <c r="CP912" s="223"/>
      <c r="CQ912" s="200"/>
      <c r="CR912" s="200"/>
      <c r="CS912" s="522"/>
      <c r="CT912" s="200"/>
      <c r="CU912" s="223"/>
      <c r="CV912" s="223"/>
      <c r="CW912" s="223"/>
      <c r="CX912" s="223"/>
      <c r="CY912" s="223"/>
      <c r="CZ912" s="223"/>
      <c r="DA912" s="223"/>
      <c r="DB912" s="200"/>
      <c r="DC912" s="522"/>
      <c r="DD912" s="200"/>
      <c r="DE912" s="223"/>
      <c r="DF912" s="223"/>
      <c r="DG912" s="223"/>
      <c r="DH912" s="223"/>
      <c r="DI912" s="223"/>
      <c r="DJ912" s="223"/>
      <c r="DK912" s="200"/>
      <c r="DL912" s="200"/>
      <c r="DM912" s="522"/>
      <c r="DN912" s="200"/>
      <c r="DO912" s="223"/>
      <c r="DP912" s="223"/>
      <c r="DQ912" s="223"/>
      <c r="DR912" s="223"/>
      <c r="DS912" s="223"/>
      <c r="DT912" s="223"/>
      <c r="DU912" s="200"/>
      <c r="DV912" s="200"/>
      <c r="DW912" s="522"/>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2"/>
      <c r="R913" s="200"/>
      <c r="S913" s="223"/>
      <c r="T913" s="223"/>
      <c r="U913" s="223"/>
      <c r="V913" s="223"/>
      <c r="W913" s="223"/>
      <c r="X913" s="223"/>
      <c r="Y913" s="200"/>
      <c r="Z913" s="200"/>
      <c r="AA913" s="522"/>
      <c r="AB913" s="200"/>
      <c r="AC913" s="223"/>
      <c r="AD913" s="223"/>
      <c r="AE913" s="223"/>
      <c r="AF913" s="223"/>
      <c r="AG913" s="223"/>
      <c r="AH913" s="223"/>
      <c r="AI913" s="200"/>
      <c r="AJ913" s="200"/>
      <c r="AK913" s="522"/>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2"/>
      <c r="BF913" s="200"/>
      <c r="BG913" s="223"/>
      <c r="BH913" s="223"/>
      <c r="BI913" s="223"/>
      <c r="BJ913" s="223"/>
      <c r="BK913" s="223"/>
      <c r="BL913" s="223"/>
      <c r="BM913" s="200"/>
      <c r="BN913" s="200"/>
      <c r="BO913" s="522"/>
      <c r="BP913" s="200"/>
      <c r="BQ913" s="223"/>
      <c r="BR913" s="223"/>
      <c r="BS913" s="223"/>
      <c r="BT913" s="223"/>
      <c r="BU913" s="223"/>
      <c r="BV913" s="223"/>
      <c r="BW913" s="223"/>
      <c r="BX913" s="200"/>
      <c r="BY913" s="522"/>
      <c r="BZ913" s="200"/>
      <c r="CA913" s="223"/>
      <c r="CB913" s="223"/>
      <c r="CC913" s="223"/>
      <c r="CD913" s="223"/>
      <c r="CE913" s="223"/>
      <c r="CF913" s="223"/>
      <c r="CG913" s="200"/>
      <c r="CH913" s="200"/>
      <c r="CI913" s="522"/>
      <c r="CJ913" s="200"/>
      <c r="CK913" s="223"/>
      <c r="CL913" s="223"/>
      <c r="CM913" s="223"/>
      <c r="CN913" s="223"/>
      <c r="CO913" s="223"/>
      <c r="CP913" s="223"/>
      <c r="CQ913" s="200"/>
      <c r="CR913" s="200"/>
      <c r="CS913" s="522"/>
      <c r="CT913" s="200"/>
      <c r="CU913" s="223"/>
      <c r="CV913" s="223"/>
      <c r="CW913" s="223"/>
      <c r="CX913" s="223"/>
      <c r="CY913" s="223"/>
      <c r="CZ913" s="223"/>
      <c r="DA913" s="223"/>
      <c r="DB913" s="200"/>
      <c r="DC913" s="522"/>
      <c r="DD913" s="200"/>
      <c r="DE913" s="223"/>
      <c r="DF913" s="223"/>
      <c r="DG913" s="223"/>
      <c r="DH913" s="223"/>
      <c r="DI913" s="223"/>
      <c r="DJ913" s="223"/>
      <c r="DK913" s="200"/>
      <c r="DL913" s="200"/>
      <c r="DM913" s="522"/>
      <c r="DN913" s="200"/>
      <c r="DO913" s="223"/>
      <c r="DP913" s="223"/>
      <c r="DQ913" s="223"/>
      <c r="DR913" s="223"/>
      <c r="DS913" s="223"/>
      <c r="DT913" s="223"/>
      <c r="DU913" s="200"/>
      <c r="DV913" s="200"/>
      <c r="DW913" s="522"/>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2"/>
      <c r="R914" s="200"/>
      <c r="S914" s="223"/>
      <c r="T914" s="223"/>
      <c r="U914" s="223"/>
      <c r="V914" s="223"/>
      <c r="W914" s="223"/>
      <c r="X914" s="223"/>
      <c r="Y914" s="200"/>
      <c r="Z914" s="200"/>
      <c r="AA914" s="522"/>
      <c r="AB914" s="200"/>
      <c r="AC914" s="223"/>
      <c r="AD914" s="223"/>
      <c r="AE914" s="223"/>
      <c r="AF914" s="223"/>
      <c r="AG914" s="223"/>
      <c r="AH914" s="223"/>
      <c r="AI914" s="200"/>
      <c r="AJ914" s="200"/>
      <c r="AK914" s="522"/>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2"/>
      <c r="BF914" s="200"/>
      <c r="BG914" s="223"/>
      <c r="BH914" s="223"/>
      <c r="BI914" s="223"/>
      <c r="BJ914" s="223"/>
      <c r="BK914" s="223"/>
      <c r="BL914" s="223"/>
      <c r="BM914" s="200"/>
      <c r="BN914" s="200"/>
      <c r="BO914" s="522"/>
      <c r="BP914" s="200"/>
      <c r="BQ914" s="223"/>
      <c r="BR914" s="223"/>
      <c r="BS914" s="223"/>
      <c r="BT914" s="223"/>
      <c r="BU914" s="223"/>
      <c r="BV914" s="223"/>
      <c r="BW914" s="223"/>
      <c r="BX914" s="200"/>
      <c r="BY914" s="522"/>
      <c r="BZ914" s="200"/>
      <c r="CA914" s="223"/>
      <c r="CB914" s="223"/>
      <c r="CC914" s="223"/>
      <c r="CD914" s="223"/>
      <c r="CE914" s="223"/>
      <c r="CF914" s="223"/>
      <c r="CG914" s="200"/>
      <c r="CH914" s="200"/>
      <c r="CI914" s="522"/>
      <c r="CJ914" s="200"/>
      <c r="CK914" s="223"/>
      <c r="CL914" s="223"/>
      <c r="CM914" s="223"/>
      <c r="CN914" s="223"/>
      <c r="CO914" s="223"/>
      <c r="CP914" s="223"/>
      <c r="CQ914" s="200"/>
      <c r="CR914" s="200"/>
      <c r="CS914" s="522"/>
      <c r="CT914" s="200"/>
      <c r="CU914" s="223"/>
      <c r="CV914" s="223"/>
      <c r="CW914" s="223"/>
      <c r="CX914" s="223"/>
      <c r="CY914" s="223"/>
      <c r="CZ914" s="223"/>
      <c r="DA914" s="223"/>
      <c r="DB914" s="200"/>
      <c r="DC914" s="522"/>
      <c r="DD914" s="200"/>
      <c r="DE914" s="223"/>
      <c r="DF914" s="223"/>
      <c r="DG914" s="223"/>
      <c r="DH914" s="223"/>
      <c r="DI914" s="223"/>
      <c r="DJ914" s="223"/>
      <c r="DK914" s="200"/>
      <c r="DL914" s="200"/>
      <c r="DM914" s="522"/>
      <c r="DN914" s="200"/>
      <c r="DO914" s="223"/>
      <c r="DP914" s="223"/>
      <c r="DQ914" s="223"/>
      <c r="DR914" s="223"/>
      <c r="DS914" s="223"/>
      <c r="DT914" s="223"/>
      <c r="DU914" s="200"/>
      <c r="DV914" s="200"/>
      <c r="DW914" s="522"/>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2"/>
      <c r="R915" s="200"/>
      <c r="S915" s="223"/>
      <c r="T915" s="223"/>
      <c r="U915" s="223"/>
      <c r="V915" s="223"/>
      <c r="W915" s="223"/>
      <c r="X915" s="223"/>
      <c r="Y915" s="200"/>
      <c r="Z915" s="200"/>
      <c r="AA915" s="522"/>
      <c r="AB915" s="200"/>
      <c r="AC915" s="223"/>
      <c r="AD915" s="223"/>
      <c r="AE915" s="223"/>
      <c r="AF915" s="223"/>
      <c r="AG915" s="223"/>
      <c r="AH915" s="223"/>
      <c r="AI915" s="200"/>
      <c r="AJ915" s="200"/>
      <c r="AK915" s="522"/>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2"/>
      <c r="BF915" s="200"/>
      <c r="BG915" s="223"/>
      <c r="BH915" s="223"/>
      <c r="BI915" s="223"/>
      <c r="BJ915" s="223"/>
      <c r="BK915" s="223"/>
      <c r="BL915" s="223"/>
      <c r="BM915" s="200"/>
      <c r="BN915" s="200"/>
      <c r="BO915" s="522"/>
      <c r="BP915" s="200"/>
      <c r="BQ915" s="223"/>
      <c r="BR915" s="223"/>
      <c r="BS915" s="223"/>
      <c r="BT915" s="223"/>
      <c r="BU915" s="223"/>
      <c r="BV915" s="223"/>
      <c r="BW915" s="223"/>
      <c r="BX915" s="200"/>
      <c r="BY915" s="522"/>
      <c r="BZ915" s="200"/>
      <c r="CA915" s="223"/>
      <c r="CB915" s="223"/>
      <c r="CC915" s="223"/>
      <c r="CD915" s="223"/>
      <c r="CE915" s="223"/>
      <c r="CF915" s="223"/>
      <c r="CG915" s="200"/>
      <c r="CH915" s="200"/>
      <c r="CI915" s="522"/>
      <c r="CJ915" s="200"/>
      <c r="CK915" s="223"/>
      <c r="CL915" s="223"/>
      <c r="CM915" s="223"/>
      <c r="CN915" s="223"/>
      <c r="CO915" s="223"/>
      <c r="CP915" s="223"/>
      <c r="CQ915" s="200"/>
      <c r="CR915" s="200"/>
      <c r="CS915" s="522"/>
      <c r="CT915" s="200"/>
      <c r="CU915" s="223"/>
      <c r="CV915" s="223"/>
      <c r="CW915" s="223"/>
      <c r="CX915" s="223"/>
      <c r="CY915" s="223"/>
      <c r="CZ915" s="223"/>
      <c r="DA915" s="223"/>
      <c r="DB915" s="200"/>
      <c r="DC915" s="522"/>
      <c r="DD915" s="200"/>
      <c r="DE915" s="223"/>
      <c r="DF915" s="223"/>
      <c r="DG915" s="223"/>
      <c r="DH915" s="223"/>
      <c r="DI915" s="223"/>
      <c r="DJ915" s="223"/>
      <c r="DK915" s="200"/>
      <c r="DL915" s="200"/>
      <c r="DM915" s="522"/>
      <c r="DN915" s="200"/>
      <c r="DO915" s="223"/>
      <c r="DP915" s="223"/>
      <c r="DQ915" s="223"/>
      <c r="DR915" s="223"/>
      <c r="DS915" s="223"/>
      <c r="DT915" s="223"/>
      <c r="DU915" s="200"/>
      <c r="DV915" s="200"/>
      <c r="DW915" s="522"/>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2"/>
      <c r="R916" s="200"/>
      <c r="S916" s="223"/>
      <c r="T916" s="223"/>
      <c r="U916" s="223"/>
      <c r="V916" s="223"/>
      <c r="W916" s="223"/>
      <c r="X916" s="223"/>
      <c r="Y916" s="200"/>
      <c r="Z916" s="200"/>
      <c r="AA916" s="522"/>
      <c r="AB916" s="200"/>
      <c r="AC916" s="223"/>
      <c r="AD916" s="223"/>
      <c r="AE916" s="223"/>
      <c r="AF916" s="223"/>
      <c r="AG916" s="223"/>
      <c r="AH916" s="223"/>
      <c r="AI916" s="200"/>
      <c r="AJ916" s="200"/>
      <c r="AK916" s="522"/>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2"/>
      <c r="BF916" s="200"/>
      <c r="BG916" s="223"/>
      <c r="BH916" s="223"/>
      <c r="BI916" s="223"/>
      <c r="BJ916" s="223"/>
      <c r="BK916" s="223"/>
      <c r="BL916" s="223"/>
      <c r="BM916" s="200"/>
      <c r="BN916" s="200"/>
      <c r="BO916" s="522"/>
      <c r="BP916" s="200"/>
      <c r="BQ916" s="223"/>
      <c r="BR916" s="223"/>
      <c r="BS916" s="223"/>
      <c r="BT916" s="223"/>
      <c r="BU916" s="223"/>
      <c r="BV916" s="223"/>
      <c r="BW916" s="223"/>
      <c r="BX916" s="200"/>
      <c r="BY916" s="522"/>
      <c r="BZ916" s="200"/>
      <c r="CA916" s="223"/>
      <c r="CB916" s="223"/>
      <c r="CC916" s="223"/>
      <c r="CD916" s="223"/>
      <c r="CE916" s="223"/>
      <c r="CF916" s="223"/>
      <c r="CG916" s="200"/>
      <c r="CH916" s="200"/>
      <c r="CI916" s="522"/>
      <c r="CJ916" s="200"/>
      <c r="CK916" s="223"/>
      <c r="CL916" s="223"/>
      <c r="CM916" s="223"/>
      <c r="CN916" s="223"/>
      <c r="CO916" s="223"/>
      <c r="CP916" s="223"/>
      <c r="CQ916" s="200"/>
      <c r="CR916" s="200"/>
      <c r="CS916" s="522"/>
      <c r="CT916" s="200"/>
      <c r="CU916" s="223"/>
      <c r="CV916" s="223"/>
      <c r="CW916" s="223"/>
      <c r="CX916" s="223"/>
      <c r="CY916" s="223"/>
      <c r="CZ916" s="223"/>
      <c r="DA916" s="223"/>
      <c r="DB916" s="200"/>
      <c r="DC916" s="522"/>
      <c r="DD916" s="200"/>
      <c r="DE916" s="223"/>
      <c r="DF916" s="223"/>
      <c r="DG916" s="223"/>
      <c r="DH916" s="223"/>
      <c r="DI916" s="223"/>
      <c r="DJ916" s="223"/>
      <c r="DK916" s="200"/>
      <c r="DL916" s="200"/>
      <c r="DM916" s="522"/>
      <c r="DN916" s="200"/>
      <c r="DO916" s="223"/>
      <c r="DP916" s="223"/>
      <c r="DQ916" s="223"/>
      <c r="DR916" s="223"/>
      <c r="DS916" s="223"/>
      <c r="DT916" s="223"/>
      <c r="DU916" s="200"/>
      <c r="DV916" s="200"/>
      <c r="DW916" s="522"/>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2"/>
      <c r="R917" s="200"/>
      <c r="S917" s="223"/>
      <c r="T917" s="223"/>
      <c r="U917" s="223"/>
      <c r="V917" s="223"/>
      <c r="W917" s="223"/>
      <c r="X917" s="223"/>
      <c r="Y917" s="200"/>
      <c r="Z917" s="200"/>
      <c r="AA917" s="522"/>
      <c r="AB917" s="200"/>
      <c r="AC917" s="223"/>
      <c r="AD917" s="223"/>
      <c r="AE917" s="223"/>
      <c r="AF917" s="223"/>
      <c r="AG917" s="223"/>
      <c r="AH917" s="223"/>
      <c r="AI917" s="200"/>
      <c r="AJ917" s="200"/>
      <c r="AK917" s="522"/>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2"/>
      <c r="BF917" s="200"/>
      <c r="BG917" s="223"/>
      <c r="BH917" s="223"/>
      <c r="BI917" s="223"/>
      <c r="BJ917" s="223"/>
      <c r="BK917" s="223"/>
      <c r="BL917" s="223"/>
      <c r="BM917" s="200"/>
      <c r="BN917" s="200"/>
      <c r="BO917" s="522"/>
      <c r="BP917" s="200"/>
      <c r="BQ917" s="223"/>
      <c r="BR917" s="223"/>
      <c r="BS917" s="223"/>
      <c r="BT917" s="223"/>
      <c r="BU917" s="223"/>
      <c r="BV917" s="223"/>
      <c r="BW917" s="223"/>
      <c r="BX917" s="200"/>
      <c r="BY917" s="522"/>
      <c r="BZ917" s="200"/>
      <c r="CA917" s="223"/>
      <c r="CB917" s="223"/>
      <c r="CC917" s="223"/>
      <c r="CD917" s="223"/>
      <c r="CE917" s="223"/>
      <c r="CF917" s="223"/>
      <c r="CG917" s="200"/>
      <c r="CH917" s="200"/>
      <c r="CI917" s="522"/>
      <c r="CJ917" s="200"/>
      <c r="CK917" s="223"/>
      <c r="CL917" s="223"/>
      <c r="CM917" s="223"/>
      <c r="CN917" s="223"/>
      <c r="CO917" s="223"/>
      <c r="CP917" s="223"/>
      <c r="CQ917" s="200"/>
      <c r="CR917" s="200"/>
      <c r="CS917" s="522"/>
      <c r="CT917" s="200"/>
      <c r="CU917" s="223"/>
      <c r="CV917" s="223"/>
      <c r="CW917" s="223"/>
      <c r="CX917" s="223"/>
      <c r="CY917" s="223"/>
      <c r="CZ917" s="223"/>
      <c r="DA917" s="223"/>
      <c r="DB917" s="200"/>
      <c r="DC917" s="522"/>
      <c r="DD917" s="200"/>
      <c r="DE917" s="223"/>
      <c r="DF917" s="223"/>
      <c r="DG917" s="223"/>
      <c r="DH917" s="223"/>
      <c r="DI917" s="223"/>
      <c r="DJ917" s="223"/>
      <c r="DK917" s="200"/>
      <c r="DL917" s="200"/>
      <c r="DM917" s="522"/>
      <c r="DN917" s="200"/>
      <c r="DO917" s="223"/>
      <c r="DP917" s="223"/>
      <c r="DQ917" s="223"/>
      <c r="DR917" s="223"/>
      <c r="DS917" s="223"/>
      <c r="DT917" s="223"/>
      <c r="DU917" s="200"/>
      <c r="DV917" s="200"/>
      <c r="DW917" s="522"/>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2"/>
      <c r="R918" s="200"/>
      <c r="S918" s="223"/>
      <c r="T918" s="223"/>
      <c r="U918" s="223"/>
      <c r="V918" s="223"/>
      <c r="W918" s="223"/>
      <c r="X918" s="223"/>
      <c r="Y918" s="200"/>
      <c r="Z918" s="200"/>
      <c r="AA918" s="522"/>
      <c r="AB918" s="200"/>
      <c r="AC918" s="223"/>
      <c r="AD918" s="223"/>
      <c r="AE918" s="223"/>
      <c r="AF918" s="223"/>
      <c r="AG918" s="223"/>
      <c r="AH918" s="223"/>
      <c r="AI918" s="200"/>
      <c r="AJ918" s="200"/>
      <c r="AK918" s="522"/>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2"/>
      <c r="BF918" s="200"/>
      <c r="BG918" s="223"/>
      <c r="BH918" s="223"/>
      <c r="BI918" s="223"/>
      <c r="BJ918" s="223"/>
      <c r="BK918" s="223"/>
      <c r="BL918" s="223"/>
      <c r="BM918" s="200"/>
      <c r="BN918" s="200"/>
      <c r="BO918" s="522"/>
      <c r="BP918" s="200"/>
      <c r="BQ918" s="223"/>
      <c r="BR918" s="223"/>
      <c r="BS918" s="223"/>
      <c r="BT918" s="223"/>
      <c r="BU918" s="223"/>
      <c r="BV918" s="223"/>
      <c r="BW918" s="223"/>
      <c r="BX918" s="200"/>
      <c r="BY918" s="522"/>
      <c r="BZ918" s="200"/>
      <c r="CA918" s="223"/>
      <c r="CB918" s="223"/>
      <c r="CC918" s="223"/>
      <c r="CD918" s="223"/>
      <c r="CE918" s="223"/>
      <c r="CF918" s="223"/>
      <c r="CG918" s="200"/>
      <c r="CH918" s="200"/>
      <c r="CI918" s="522"/>
      <c r="CJ918" s="200"/>
      <c r="CK918" s="223"/>
      <c r="CL918" s="223"/>
      <c r="CM918" s="223"/>
      <c r="CN918" s="223"/>
      <c r="CO918" s="223"/>
      <c r="CP918" s="223"/>
      <c r="CQ918" s="200"/>
      <c r="CR918" s="200"/>
      <c r="CS918" s="522"/>
      <c r="CT918" s="200"/>
      <c r="CU918" s="223"/>
      <c r="CV918" s="223"/>
      <c r="CW918" s="223"/>
      <c r="CX918" s="223"/>
      <c r="CY918" s="223"/>
      <c r="CZ918" s="223"/>
      <c r="DA918" s="223"/>
      <c r="DB918" s="200"/>
      <c r="DC918" s="522"/>
      <c r="DD918" s="200"/>
      <c r="DE918" s="223"/>
      <c r="DF918" s="223"/>
      <c r="DG918" s="223"/>
      <c r="DH918" s="223"/>
      <c r="DI918" s="223"/>
      <c r="DJ918" s="223"/>
      <c r="DK918" s="200"/>
      <c r="DL918" s="200"/>
      <c r="DM918" s="522"/>
      <c r="DN918" s="200"/>
      <c r="DO918" s="223"/>
      <c r="DP918" s="223"/>
      <c r="DQ918" s="223"/>
      <c r="DR918" s="223"/>
      <c r="DS918" s="223"/>
      <c r="DT918" s="223"/>
      <c r="DU918" s="200"/>
      <c r="DV918" s="200"/>
      <c r="DW918" s="522"/>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2"/>
      <c r="R919" s="200"/>
      <c r="S919" s="223"/>
      <c r="T919" s="223"/>
      <c r="U919" s="223"/>
      <c r="V919" s="223"/>
      <c r="W919" s="223"/>
      <c r="X919" s="223"/>
      <c r="Y919" s="200"/>
      <c r="Z919" s="200"/>
      <c r="AA919" s="522"/>
      <c r="AB919" s="200"/>
      <c r="AC919" s="223"/>
      <c r="AD919" s="223"/>
      <c r="AE919" s="223"/>
      <c r="AF919" s="223"/>
      <c r="AG919" s="223"/>
      <c r="AH919" s="223"/>
      <c r="AI919" s="200"/>
      <c r="AJ919" s="200"/>
      <c r="AK919" s="522"/>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2"/>
      <c r="BF919" s="200"/>
      <c r="BG919" s="223"/>
      <c r="BH919" s="223"/>
      <c r="BI919" s="223"/>
      <c r="BJ919" s="223"/>
      <c r="BK919" s="223"/>
      <c r="BL919" s="223"/>
      <c r="BM919" s="200"/>
      <c r="BN919" s="200"/>
      <c r="BO919" s="522"/>
      <c r="BP919" s="200"/>
      <c r="BQ919" s="223"/>
      <c r="BR919" s="223"/>
      <c r="BS919" s="223"/>
      <c r="BT919" s="223"/>
      <c r="BU919" s="223"/>
      <c r="BV919" s="223"/>
      <c r="BW919" s="223"/>
      <c r="BX919" s="200"/>
      <c r="BY919" s="522"/>
      <c r="BZ919" s="200"/>
      <c r="CA919" s="223"/>
      <c r="CB919" s="223"/>
      <c r="CC919" s="223"/>
      <c r="CD919" s="223"/>
      <c r="CE919" s="223"/>
      <c r="CF919" s="223"/>
      <c r="CG919" s="200"/>
      <c r="CH919" s="200"/>
      <c r="CI919" s="522"/>
      <c r="CJ919" s="200"/>
      <c r="CK919" s="223"/>
      <c r="CL919" s="223"/>
      <c r="CM919" s="223"/>
      <c r="CN919" s="223"/>
      <c r="CO919" s="223"/>
      <c r="CP919" s="223"/>
      <c r="CQ919" s="200"/>
      <c r="CR919" s="200"/>
      <c r="CS919" s="522"/>
      <c r="CT919" s="200"/>
      <c r="CU919" s="223"/>
      <c r="CV919" s="223"/>
      <c r="CW919" s="223"/>
      <c r="CX919" s="223"/>
      <c r="CY919" s="223"/>
      <c r="CZ919" s="223"/>
      <c r="DA919" s="223"/>
      <c r="DB919" s="200"/>
      <c r="DC919" s="522"/>
      <c r="DD919" s="200"/>
      <c r="DE919" s="223"/>
      <c r="DF919" s="223"/>
      <c r="DG919" s="223"/>
      <c r="DH919" s="223"/>
      <c r="DI919" s="223"/>
      <c r="DJ919" s="223"/>
      <c r="DK919" s="200"/>
      <c r="DL919" s="200"/>
      <c r="DM919" s="522"/>
      <c r="DN919" s="200"/>
      <c r="DO919" s="223"/>
      <c r="DP919" s="223"/>
      <c r="DQ919" s="223"/>
      <c r="DR919" s="223"/>
      <c r="DS919" s="223"/>
      <c r="DT919" s="223"/>
      <c r="DU919" s="200"/>
      <c r="DV919" s="200"/>
      <c r="DW919" s="522"/>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2"/>
      <c r="R920" s="200"/>
      <c r="S920" s="223"/>
      <c r="T920" s="223"/>
      <c r="U920" s="223"/>
      <c r="V920" s="223"/>
      <c r="W920" s="223"/>
      <c r="X920" s="223"/>
      <c r="Y920" s="200"/>
      <c r="Z920" s="200"/>
      <c r="AA920" s="522"/>
      <c r="AB920" s="200"/>
      <c r="AC920" s="223"/>
      <c r="AD920" s="223"/>
      <c r="AE920" s="223"/>
      <c r="AF920" s="223"/>
      <c r="AG920" s="223"/>
      <c r="AH920" s="223"/>
      <c r="AI920" s="200"/>
      <c r="AJ920" s="200"/>
      <c r="AK920" s="522"/>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2"/>
      <c r="BF920" s="200"/>
      <c r="BG920" s="223"/>
      <c r="BH920" s="223"/>
      <c r="BI920" s="223"/>
      <c r="BJ920" s="223"/>
      <c r="BK920" s="223"/>
      <c r="BL920" s="223"/>
      <c r="BM920" s="200"/>
      <c r="BN920" s="200"/>
      <c r="BO920" s="522"/>
      <c r="BP920" s="200"/>
      <c r="BQ920" s="223"/>
      <c r="BR920" s="223"/>
      <c r="BS920" s="223"/>
      <c r="BT920" s="223"/>
      <c r="BU920" s="223"/>
      <c r="BV920" s="223"/>
      <c r="BW920" s="223"/>
      <c r="BX920" s="200"/>
      <c r="BY920" s="522"/>
      <c r="BZ920" s="200"/>
      <c r="CA920" s="223"/>
      <c r="CB920" s="223"/>
      <c r="CC920" s="223"/>
      <c r="CD920" s="223"/>
      <c r="CE920" s="223"/>
      <c r="CF920" s="223"/>
      <c r="CG920" s="200"/>
      <c r="CH920" s="200"/>
      <c r="CI920" s="522"/>
      <c r="CJ920" s="200"/>
      <c r="CK920" s="223"/>
      <c r="CL920" s="223"/>
      <c r="CM920" s="223"/>
      <c r="CN920" s="223"/>
      <c r="CO920" s="223"/>
      <c r="CP920" s="223"/>
      <c r="CQ920" s="200"/>
      <c r="CR920" s="200"/>
      <c r="CS920" s="522"/>
      <c r="CT920" s="200"/>
      <c r="CU920" s="223"/>
      <c r="CV920" s="223"/>
      <c r="CW920" s="223"/>
      <c r="CX920" s="223"/>
      <c r="CY920" s="223"/>
      <c r="CZ920" s="223"/>
      <c r="DA920" s="223"/>
      <c r="DB920" s="200"/>
      <c r="DC920" s="522"/>
      <c r="DD920" s="200"/>
      <c r="DE920" s="223"/>
      <c r="DF920" s="223"/>
      <c r="DG920" s="223"/>
      <c r="DH920" s="223"/>
      <c r="DI920" s="223"/>
      <c r="DJ920" s="223"/>
      <c r="DK920" s="200"/>
      <c r="DL920" s="200"/>
      <c r="DM920" s="522"/>
      <c r="DN920" s="200"/>
      <c r="DO920" s="223"/>
      <c r="DP920" s="223"/>
      <c r="DQ920" s="223"/>
      <c r="DR920" s="223"/>
      <c r="DS920" s="223"/>
      <c r="DT920" s="223"/>
      <c r="DU920" s="200"/>
      <c r="DV920" s="200"/>
      <c r="DW920" s="522"/>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2"/>
      <c r="R921" s="200"/>
      <c r="S921" s="223"/>
      <c r="T921" s="223"/>
      <c r="U921" s="223"/>
      <c r="V921" s="223"/>
      <c r="W921" s="223"/>
      <c r="X921" s="223"/>
      <c r="Y921" s="200"/>
      <c r="Z921" s="200"/>
      <c r="AA921" s="522"/>
      <c r="AB921" s="200"/>
      <c r="AC921" s="223"/>
      <c r="AD921" s="223"/>
      <c r="AE921" s="223"/>
      <c r="AF921" s="223"/>
      <c r="AG921" s="223"/>
      <c r="AH921" s="223"/>
      <c r="AI921" s="200"/>
      <c r="AJ921" s="200"/>
      <c r="AK921" s="522"/>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2"/>
      <c r="BF921" s="200"/>
      <c r="BG921" s="223"/>
      <c r="BH921" s="223"/>
      <c r="BI921" s="223"/>
      <c r="BJ921" s="223"/>
      <c r="BK921" s="223"/>
      <c r="BL921" s="223"/>
      <c r="BM921" s="200"/>
      <c r="BN921" s="200"/>
      <c r="BO921" s="522"/>
      <c r="BP921" s="200"/>
      <c r="BQ921" s="223"/>
      <c r="BR921" s="223"/>
      <c r="BS921" s="223"/>
      <c r="BT921" s="223"/>
      <c r="BU921" s="223"/>
      <c r="BV921" s="223"/>
      <c r="BW921" s="223"/>
      <c r="BX921" s="200"/>
      <c r="BY921" s="522"/>
      <c r="BZ921" s="200"/>
      <c r="CA921" s="223"/>
      <c r="CB921" s="223"/>
      <c r="CC921" s="223"/>
      <c r="CD921" s="223"/>
      <c r="CE921" s="223"/>
      <c r="CF921" s="223"/>
      <c r="CG921" s="200"/>
      <c r="CH921" s="200"/>
      <c r="CI921" s="522"/>
      <c r="CJ921" s="200"/>
      <c r="CK921" s="223"/>
      <c r="CL921" s="223"/>
      <c r="CM921" s="223"/>
      <c r="CN921" s="223"/>
      <c r="CO921" s="223"/>
      <c r="CP921" s="223"/>
      <c r="CQ921" s="200"/>
      <c r="CR921" s="200"/>
      <c r="CS921" s="522"/>
      <c r="CT921" s="200"/>
      <c r="CU921" s="223"/>
      <c r="CV921" s="223"/>
      <c r="CW921" s="223"/>
      <c r="CX921" s="223"/>
      <c r="CY921" s="223"/>
      <c r="CZ921" s="223"/>
      <c r="DA921" s="223"/>
      <c r="DB921" s="200"/>
      <c r="DC921" s="522"/>
      <c r="DD921" s="200"/>
      <c r="DE921" s="223"/>
      <c r="DF921" s="223"/>
      <c r="DG921" s="223"/>
      <c r="DH921" s="223"/>
      <c r="DI921" s="223"/>
      <c r="DJ921" s="223"/>
      <c r="DK921" s="200"/>
      <c r="DL921" s="200"/>
      <c r="DM921" s="522"/>
      <c r="DN921" s="200"/>
      <c r="DO921" s="223"/>
      <c r="DP921" s="223"/>
      <c r="DQ921" s="223"/>
      <c r="DR921" s="223"/>
      <c r="DS921" s="223"/>
      <c r="DT921" s="223"/>
      <c r="DU921" s="200"/>
      <c r="DV921" s="200"/>
      <c r="DW921" s="522"/>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2"/>
      <c r="R922" s="200"/>
      <c r="S922" s="223"/>
      <c r="T922" s="223"/>
      <c r="U922" s="223"/>
      <c r="V922" s="223"/>
      <c r="W922" s="223"/>
      <c r="X922" s="223"/>
      <c r="Y922" s="200"/>
      <c r="Z922" s="200"/>
      <c r="AA922" s="522"/>
      <c r="AB922" s="200"/>
      <c r="AC922" s="223"/>
      <c r="AD922" s="223"/>
      <c r="AE922" s="223"/>
      <c r="AF922" s="223"/>
      <c r="AG922" s="223"/>
      <c r="AH922" s="223"/>
      <c r="AI922" s="200"/>
      <c r="AJ922" s="200"/>
      <c r="AK922" s="522"/>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2"/>
      <c r="BF922" s="200"/>
      <c r="BG922" s="223"/>
      <c r="BH922" s="223"/>
      <c r="BI922" s="223"/>
      <c r="BJ922" s="223"/>
      <c r="BK922" s="223"/>
      <c r="BL922" s="223"/>
      <c r="BM922" s="200"/>
      <c r="BN922" s="200"/>
      <c r="BO922" s="522"/>
      <c r="BP922" s="200"/>
      <c r="BQ922" s="223"/>
      <c r="BR922" s="223"/>
      <c r="BS922" s="223"/>
      <c r="BT922" s="223"/>
      <c r="BU922" s="223"/>
      <c r="BV922" s="223"/>
      <c r="BW922" s="223"/>
      <c r="BX922" s="200"/>
      <c r="BY922" s="522"/>
      <c r="BZ922" s="200"/>
      <c r="CA922" s="223"/>
      <c r="CB922" s="223"/>
      <c r="CC922" s="223"/>
      <c r="CD922" s="223"/>
      <c r="CE922" s="223"/>
      <c r="CF922" s="223"/>
      <c r="CG922" s="200"/>
      <c r="CH922" s="200"/>
      <c r="CI922" s="522"/>
      <c r="CJ922" s="200"/>
      <c r="CK922" s="223"/>
      <c r="CL922" s="223"/>
      <c r="CM922" s="223"/>
      <c r="CN922" s="223"/>
      <c r="CO922" s="223"/>
      <c r="CP922" s="223"/>
      <c r="CQ922" s="200"/>
      <c r="CR922" s="200"/>
      <c r="CS922" s="522"/>
      <c r="CT922" s="200"/>
      <c r="CU922" s="223"/>
      <c r="CV922" s="223"/>
      <c r="CW922" s="223"/>
      <c r="CX922" s="223"/>
      <c r="CY922" s="223"/>
      <c r="CZ922" s="223"/>
      <c r="DA922" s="223"/>
      <c r="DB922" s="200"/>
      <c r="DC922" s="522"/>
      <c r="DD922" s="200"/>
      <c r="DE922" s="223"/>
      <c r="DF922" s="223"/>
      <c r="DG922" s="223"/>
      <c r="DH922" s="223"/>
      <c r="DI922" s="223"/>
      <c r="DJ922" s="223"/>
      <c r="DK922" s="200"/>
      <c r="DL922" s="200"/>
      <c r="DM922" s="522"/>
      <c r="DN922" s="200"/>
      <c r="DO922" s="223"/>
      <c r="DP922" s="223"/>
      <c r="DQ922" s="223"/>
      <c r="DR922" s="223"/>
      <c r="DS922" s="223"/>
      <c r="DT922" s="223"/>
      <c r="DU922" s="200"/>
      <c r="DV922" s="200"/>
      <c r="DW922" s="522"/>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2"/>
      <c r="R923" s="200"/>
      <c r="S923" s="223"/>
      <c r="T923" s="223"/>
      <c r="U923" s="223"/>
      <c r="V923" s="223"/>
      <c r="W923" s="223"/>
      <c r="X923" s="223"/>
      <c r="Y923" s="200"/>
      <c r="Z923" s="200"/>
      <c r="AA923" s="522"/>
      <c r="AB923" s="200"/>
      <c r="AC923" s="223"/>
      <c r="AD923" s="223"/>
      <c r="AE923" s="223"/>
      <c r="AF923" s="223"/>
      <c r="AG923" s="223"/>
      <c r="AH923" s="223"/>
      <c r="AI923" s="200"/>
      <c r="AJ923" s="200"/>
      <c r="AK923" s="522"/>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2"/>
      <c r="BF923" s="200"/>
      <c r="BG923" s="223"/>
      <c r="BH923" s="223"/>
      <c r="BI923" s="223"/>
      <c r="BJ923" s="223"/>
      <c r="BK923" s="223"/>
      <c r="BL923" s="223"/>
      <c r="BM923" s="200"/>
      <c r="BN923" s="200"/>
      <c r="BO923" s="522"/>
      <c r="BP923" s="200"/>
      <c r="BQ923" s="223"/>
      <c r="BR923" s="223"/>
      <c r="BS923" s="223"/>
      <c r="BT923" s="223"/>
      <c r="BU923" s="223"/>
      <c r="BV923" s="223"/>
      <c r="BW923" s="223"/>
      <c r="BX923" s="200"/>
      <c r="BY923" s="522"/>
      <c r="BZ923" s="200"/>
      <c r="CA923" s="223"/>
      <c r="CB923" s="223"/>
      <c r="CC923" s="223"/>
      <c r="CD923" s="223"/>
      <c r="CE923" s="223"/>
      <c r="CF923" s="223"/>
      <c r="CG923" s="200"/>
      <c r="CH923" s="200"/>
      <c r="CI923" s="522"/>
      <c r="CJ923" s="200"/>
      <c r="CK923" s="223"/>
      <c r="CL923" s="223"/>
      <c r="CM923" s="223"/>
      <c r="CN923" s="223"/>
      <c r="CO923" s="223"/>
      <c r="CP923" s="223"/>
      <c r="CQ923" s="200"/>
      <c r="CR923" s="200"/>
      <c r="CS923" s="522"/>
      <c r="CT923" s="200"/>
      <c r="CU923" s="223"/>
      <c r="CV923" s="223"/>
      <c r="CW923" s="223"/>
      <c r="CX923" s="223"/>
      <c r="CY923" s="223"/>
      <c r="CZ923" s="223"/>
      <c r="DA923" s="223"/>
      <c r="DB923" s="200"/>
      <c r="DC923" s="522"/>
      <c r="DD923" s="200"/>
      <c r="DE923" s="223"/>
      <c r="DF923" s="223"/>
      <c r="DG923" s="223"/>
      <c r="DH923" s="223"/>
      <c r="DI923" s="223"/>
      <c r="DJ923" s="223"/>
      <c r="DK923" s="200"/>
      <c r="DL923" s="200"/>
      <c r="DM923" s="522"/>
      <c r="DN923" s="200"/>
      <c r="DO923" s="223"/>
      <c r="DP923" s="223"/>
      <c r="DQ923" s="223"/>
      <c r="DR923" s="223"/>
      <c r="DS923" s="223"/>
      <c r="DT923" s="223"/>
      <c r="DU923" s="200"/>
      <c r="DV923" s="200"/>
      <c r="DW923" s="522"/>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2"/>
      <c r="R924" s="200"/>
      <c r="S924" s="223"/>
      <c r="T924" s="223"/>
      <c r="U924" s="223"/>
      <c r="V924" s="223"/>
      <c r="W924" s="223"/>
      <c r="X924" s="223"/>
      <c r="Y924" s="200"/>
      <c r="Z924" s="200"/>
      <c r="AA924" s="522"/>
      <c r="AB924" s="200"/>
      <c r="AC924" s="223"/>
      <c r="AD924" s="223"/>
      <c r="AE924" s="223"/>
      <c r="AF924" s="223"/>
      <c r="AG924" s="223"/>
      <c r="AH924" s="223"/>
      <c r="AI924" s="200"/>
      <c r="AJ924" s="200"/>
      <c r="AK924" s="522"/>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2"/>
      <c r="BF924" s="200"/>
      <c r="BG924" s="223"/>
      <c r="BH924" s="223"/>
      <c r="BI924" s="223"/>
      <c r="BJ924" s="223"/>
      <c r="BK924" s="223"/>
      <c r="BL924" s="223"/>
      <c r="BM924" s="200"/>
      <c r="BN924" s="200"/>
      <c r="BO924" s="522"/>
      <c r="BP924" s="200"/>
      <c r="BQ924" s="223"/>
      <c r="BR924" s="223"/>
      <c r="BS924" s="223"/>
      <c r="BT924" s="223"/>
      <c r="BU924" s="223"/>
      <c r="BV924" s="223"/>
      <c r="BW924" s="223"/>
      <c r="BX924" s="200"/>
      <c r="BY924" s="522"/>
      <c r="BZ924" s="200"/>
      <c r="CA924" s="223"/>
      <c r="CB924" s="223"/>
      <c r="CC924" s="223"/>
      <c r="CD924" s="223"/>
      <c r="CE924" s="223"/>
      <c r="CF924" s="223"/>
      <c r="CG924" s="200"/>
      <c r="CH924" s="200"/>
      <c r="CI924" s="522"/>
      <c r="CJ924" s="200"/>
      <c r="CK924" s="223"/>
      <c r="CL924" s="223"/>
      <c r="CM924" s="223"/>
      <c r="CN924" s="223"/>
      <c r="CO924" s="223"/>
      <c r="CP924" s="223"/>
      <c r="CQ924" s="200"/>
      <c r="CR924" s="200"/>
      <c r="CS924" s="522"/>
      <c r="CT924" s="200"/>
      <c r="CU924" s="223"/>
      <c r="CV924" s="223"/>
      <c r="CW924" s="223"/>
      <c r="CX924" s="223"/>
      <c r="CY924" s="223"/>
      <c r="CZ924" s="223"/>
      <c r="DA924" s="223"/>
      <c r="DB924" s="200"/>
      <c r="DC924" s="522"/>
      <c r="DD924" s="200"/>
      <c r="DE924" s="223"/>
      <c r="DF924" s="223"/>
      <c r="DG924" s="223"/>
      <c r="DH924" s="223"/>
      <c r="DI924" s="223"/>
      <c r="DJ924" s="223"/>
      <c r="DK924" s="200"/>
      <c r="DL924" s="200"/>
      <c r="DM924" s="522"/>
      <c r="DN924" s="200"/>
      <c r="DO924" s="223"/>
      <c r="DP924" s="223"/>
      <c r="DQ924" s="223"/>
      <c r="DR924" s="223"/>
      <c r="DS924" s="223"/>
      <c r="DT924" s="223"/>
      <c r="DU924" s="200"/>
      <c r="DV924" s="200"/>
      <c r="DW924" s="522"/>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2"/>
      <c r="R925" s="200"/>
      <c r="S925" s="223"/>
      <c r="T925" s="223"/>
      <c r="U925" s="223"/>
      <c r="V925" s="223"/>
      <c r="W925" s="223"/>
      <c r="X925" s="223"/>
      <c r="Y925" s="200"/>
      <c r="Z925" s="200"/>
      <c r="AA925" s="522"/>
      <c r="AB925" s="200"/>
      <c r="AC925" s="223"/>
      <c r="AD925" s="223"/>
      <c r="AE925" s="223"/>
      <c r="AF925" s="223"/>
      <c r="AG925" s="223"/>
      <c r="AH925" s="223"/>
      <c r="AI925" s="200"/>
      <c r="AJ925" s="200"/>
      <c r="AK925" s="522"/>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2"/>
      <c r="BF925" s="200"/>
      <c r="BG925" s="223"/>
      <c r="BH925" s="223"/>
      <c r="BI925" s="223"/>
      <c r="BJ925" s="223"/>
      <c r="BK925" s="223"/>
      <c r="BL925" s="223"/>
      <c r="BM925" s="200"/>
      <c r="BN925" s="200"/>
      <c r="BO925" s="522"/>
      <c r="BP925" s="200"/>
      <c r="BQ925" s="223"/>
      <c r="BR925" s="223"/>
      <c r="BS925" s="223"/>
      <c r="BT925" s="223"/>
      <c r="BU925" s="223"/>
      <c r="BV925" s="223"/>
      <c r="BW925" s="223"/>
      <c r="BX925" s="200"/>
      <c r="BY925" s="522"/>
      <c r="BZ925" s="200"/>
      <c r="CA925" s="223"/>
      <c r="CB925" s="223"/>
      <c r="CC925" s="223"/>
      <c r="CD925" s="223"/>
      <c r="CE925" s="223"/>
      <c r="CF925" s="223"/>
      <c r="CG925" s="200"/>
      <c r="CH925" s="200"/>
      <c r="CI925" s="522"/>
      <c r="CJ925" s="200"/>
      <c r="CK925" s="223"/>
      <c r="CL925" s="223"/>
      <c r="CM925" s="223"/>
      <c r="CN925" s="223"/>
      <c r="CO925" s="223"/>
      <c r="CP925" s="223"/>
      <c r="CQ925" s="200"/>
      <c r="CR925" s="200"/>
      <c r="CS925" s="522"/>
      <c r="CT925" s="200"/>
      <c r="CU925" s="223"/>
      <c r="CV925" s="223"/>
      <c r="CW925" s="223"/>
      <c r="CX925" s="223"/>
      <c r="CY925" s="223"/>
      <c r="CZ925" s="223"/>
      <c r="DA925" s="223"/>
      <c r="DB925" s="200"/>
      <c r="DC925" s="522"/>
      <c r="DD925" s="200"/>
      <c r="DE925" s="223"/>
      <c r="DF925" s="223"/>
      <c r="DG925" s="223"/>
      <c r="DH925" s="223"/>
      <c r="DI925" s="223"/>
      <c r="DJ925" s="223"/>
      <c r="DK925" s="200"/>
      <c r="DL925" s="200"/>
      <c r="DM925" s="522"/>
      <c r="DN925" s="200"/>
      <c r="DO925" s="223"/>
      <c r="DP925" s="223"/>
      <c r="DQ925" s="223"/>
      <c r="DR925" s="223"/>
      <c r="DS925" s="223"/>
      <c r="DT925" s="223"/>
      <c r="DU925" s="200"/>
      <c r="DV925" s="200"/>
      <c r="DW925" s="522"/>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2"/>
      <c r="R926" s="200"/>
      <c r="S926" s="223"/>
      <c r="T926" s="223"/>
      <c r="U926" s="223"/>
      <c r="V926" s="223"/>
      <c r="W926" s="223"/>
      <c r="X926" s="223"/>
      <c r="Y926" s="200"/>
      <c r="Z926" s="200"/>
      <c r="AA926" s="522"/>
      <c r="AB926" s="200"/>
      <c r="AC926" s="223"/>
      <c r="AD926" s="223"/>
      <c r="AE926" s="223"/>
      <c r="AF926" s="223"/>
      <c r="AG926" s="223"/>
      <c r="AH926" s="223"/>
      <c r="AI926" s="200"/>
      <c r="AJ926" s="200"/>
      <c r="AK926" s="522"/>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2"/>
      <c r="BF926" s="200"/>
      <c r="BG926" s="223"/>
      <c r="BH926" s="223"/>
      <c r="BI926" s="223"/>
      <c r="BJ926" s="223"/>
      <c r="BK926" s="223"/>
      <c r="BL926" s="223"/>
      <c r="BM926" s="200"/>
      <c r="BN926" s="200"/>
      <c r="BO926" s="522"/>
      <c r="BP926" s="200"/>
      <c r="BQ926" s="223"/>
      <c r="BR926" s="223"/>
      <c r="BS926" s="223"/>
      <c r="BT926" s="223"/>
      <c r="BU926" s="223"/>
      <c r="BV926" s="223"/>
      <c r="BW926" s="223"/>
      <c r="BX926" s="200"/>
      <c r="BY926" s="522"/>
      <c r="BZ926" s="200"/>
      <c r="CA926" s="223"/>
      <c r="CB926" s="223"/>
      <c r="CC926" s="223"/>
      <c r="CD926" s="223"/>
      <c r="CE926" s="223"/>
      <c r="CF926" s="223"/>
      <c r="CG926" s="200"/>
      <c r="CH926" s="200"/>
      <c r="CI926" s="522"/>
      <c r="CJ926" s="200"/>
      <c r="CK926" s="223"/>
      <c r="CL926" s="223"/>
      <c r="CM926" s="223"/>
      <c r="CN926" s="223"/>
      <c r="CO926" s="223"/>
      <c r="CP926" s="223"/>
      <c r="CQ926" s="200"/>
      <c r="CR926" s="200"/>
      <c r="CS926" s="522"/>
      <c r="CT926" s="200"/>
      <c r="CU926" s="223"/>
      <c r="CV926" s="223"/>
      <c r="CW926" s="223"/>
      <c r="CX926" s="223"/>
      <c r="CY926" s="223"/>
      <c r="CZ926" s="223"/>
      <c r="DA926" s="223"/>
      <c r="DB926" s="200"/>
      <c r="DC926" s="522"/>
      <c r="DD926" s="200"/>
      <c r="DE926" s="223"/>
      <c r="DF926" s="223"/>
      <c r="DG926" s="223"/>
      <c r="DH926" s="223"/>
      <c r="DI926" s="223"/>
      <c r="DJ926" s="223"/>
      <c r="DK926" s="200"/>
      <c r="DL926" s="200"/>
      <c r="DM926" s="522"/>
      <c r="DN926" s="200"/>
      <c r="DO926" s="223"/>
      <c r="DP926" s="223"/>
      <c r="DQ926" s="223"/>
      <c r="DR926" s="223"/>
      <c r="DS926" s="223"/>
      <c r="DT926" s="223"/>
      <c r="DU926" s="200"/>
      <c r="DV926" s="200"/>
      <c r="DW926" s="522"/>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2"/>
      <c r="R927" s="200"/>
      <c r="S927" s="223"/>
      <c r="T927" s="223"/>
      <c r="U927" s="223"/>
      <c r="V927" s="223"/>
      <c r="W927" s="223"/>
      <c r="X927" s="223"/>
      <c r="Y927" s="200"/>
      <c r="Z927" s="200"/>
      <c r="AA927" s="522"/>
      <c r="AB927" s="200"/>
      <c r="AC927" s="223"/>
      <c r="AD927" s="223"/>
      <c r="AE927" s="223"/>
      <c r="AF927" s="223"/>
      <c r="AG927" s="223"/>
      <c r="AH927" s="223"/>
      <c r="AI927" s="200"/>
      <c r="AJ927" s="200"/>
      <c r="AK927" s="522"/>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2"/>
      <c r="BF927" s="200"/>
      <c r="BG927" s="223"/>
      <c r="BH927" s="223"/>
      <c r="BI927" s="223"/>
      <c r="BJ927" s="223"/>
      <c r="BK927" s="223"/>
      <c r="BL927" s="223"/>
      <c r="BM927" s="200"/>
      <c r="BN927" s="200"/>
      <c r="BO927" s="522"/>
      <c r="BP927" s="200"/>
      <c r="BQ927" s="223"/>
      <c r="BR927" s="223"/>
      <c r="BS927" s="223"/>
      <c r="BT927" s="223"/>
      <c r="BU927" s="223"/>
      <c r="BV927" s="223"/>
      <c r="BW927" s="223"/>
      <c r="BX927" s="200"/>
      <c r="BY927" s="522"/>
      <c r="BZ927" s="200"/>
      <c r="CA927" s="223"/>
      <c r="CB927" s="223"/>
      <c r="CC927" s="223"/>
      <c r="CD927" s="223"/>
      <c r="CE927" s="223"/>
      <c r="CF927" s="223"/>
      <c r="CG927" s="200"/>
      <c r="CH927" s="200"/>
      <c r="CI927" s="522"/>
      <c r="CJ927" s="200"/>
      <c r="CK927" s="223"/>
      <c r="CL927" s="223"/>
      <c r="CM927" s="223"/>
      <c r="CN927" s="223"/>
      <c r="CO927" s="223"/>
      <c r="CP927" s="223"/>
      <c r="CQ927" s="200"/>
      <c r="CR927" s="200"/>
      <c r="CS927" s="522"/>
      <c r="CT927" s="200"/>
      <c r="CU927" s="223"/>
      <c r="CV927" s="223"/>
      <c r="CW927" s="223"/>
      <c r="CX927" s="223"/>
      <c r="CY927" s="223"/>
      <c r="CZ927" s="223"/>
      <c r="DA927" s="223"/>
      <c r="DB927" s="200"/>
      <c r="DC927" s="522"/>
      <c r="DD927" s="200"/>
      <c r="DE927" s="223"/>
      <c r="DF927" s="223"/>
      <c r="DG927" s="223"/>
      <c r="DH927" s="223"/>
      <c r="DI927" s="223"/>
      <c r="DJ927" s="223"/>
      <c r="DK927" s="200"/>
      <c r="DL927" s="200"/>
      <c r="DM927" s="522"/>
      <c r="DN927" s="200"/>
      <c r="DO927" s="223"/>
      <c r="DP927" s="223"/>
      <c r="DQ927" s="223"/>
      <c r="DR927" s="223"/>
      <c r="DS927" s="223"/>
      <c r="DT927" s="223"/>
      <c r="DU927" s="200"/>
      <c r="DV927" s="200"/>
      <c r="DW927" s="522"/>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2"/>
      <c r="R928" s="200"/>
      <c r="S928" s="223"/>
      <c r="T928" s="223"/>
      <c r="U928" s="223"/>
      <c r="V928" s="223"/>
      <c r="W928" s="223"/>
      <c r="X928" s="223"/>
      <c r="Y928" s="200"/>
      <c r="Z928" s="200"/>
      <c r="AA928" s="522"/>
      <c r="AB928" s="200"/>
      <c r="AC928" s="223"/>
      <c r="AD928" s="223"/>
      <c r="AE928" s="223"/>
      <c r="AF928" s="223"/>
      <c r="AG928" s="223"/>
      <c r="AH928" s="223"/>
      <c r="AI928" s="200"/>
      <c r="AJ928" s="200"/>
      <c r="AK928" s="522"/>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2"/>
      <c r="BF928" s="200"/>
      <c r="BG928" s="223"/>
      <c r="BH928" s="223"/>
      <c r="BI928" s="223"/>
      <c r="BJ928" s="223"/>
      <c r="BK928" s="223"/>
      <c r="BL928" s="223"/>
      <c r="BM928" s="200"/>
      <c r="BN928" s="200"/>
      <c r="BO928" s="522"/>
      <c r="BP928" s="200"/>
      <c r="BQ928" s="223"/>
      <c r="BR928" s="223"/>
      <c r="BS928" s="223"/>
      <c r="BT928" s="223"/>
      <c r="BU928" s="223"/>
      <c r="BV928" s="223"/>
      <c r="BW928" s="223"/>
      <c r="BX928" s="200"/>
      <c r="BY928" s="522"/>
      <c r="BZ928" s="200"/>
      <c r="CA928" s="223"/>
      <c r="CB928" s="223"/>
      <c r="CC928" s="223"/>
      <c r="CD928" s="223"/>
      <c r="CE928" s="223"/>
      <c r="CF928" s="223"/>
      <c r="CG928" s="200"/>
      <c r="CH928" s="200"/>
      <c r="CI928" s="522"/>
      <c r="CJ928" s="200"/>
      <c r="CK928" s="223"/>
      <c r="CL928" s="223"/>
      <c r="CM928" s="223"/>
      <c r="CN928" s="223"/>
      <c r="CO928" s="223"/>
      <c r="CP928" s="223"/>
      <c r="CQ928" s="200"/>
      <c r="CR928" s="200"/>
      <c r="CS928" s="522"/>
      <c r="CT928" s="200"/>
      <c r="CU928" s="223"/>
      <c r="CV928" s="223"/>
      <c r="CW928" s="223"/>
      <c r="CX928" s="223"/>
      <c r="CY928" s="223"/>
      <c r="CZ928" s="223"/>
      <c r="DA928" s="223"/>
      <c r="DB928" s="200"/>
      <c r="DC928" s="522"/>
      <c r="DD928" s="200"/>
      <c r="DE928" s="223"/>
      <c r="DF928" s="223"/>
      <c r="DG928" s="223"/>
      <c r="DH928" s="223"/>
      <c r="DI928" s="223"/>
      <c r="DJ928" s="223"/>
      <c r="DK928" s="200"/>
      <c r="DL928" s="200"/>
      <c r="DM928" s="522"/>
      <c r="DN928" s="200"/>
      <c r="DO928" s="223"/>
      <c r="DP928" s="223"/>
      <c r="DQ928" s="223"/>
      <c r="DR928" s="223"/>
      <c r="DS928" s="223"/>
      <c r="DT928" s="223"/>
      <c r="DU928" s="200"/>
      <c r="DV928" s="200"/>
      <c r="DW928" s="522"/>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2"/>
      <c r="R929" s="200"/>
      <c r="S929" s="223"/>
      <c r="T929" s="223"/>
      <c r="U929" s="223"/>
      <c r="V929" s="223"/>
      <c r="W929" s="223"/>
      <c r="X929" s="223"/>
      <c r="Y929" s="200"/>
      <c r="Z929" s="200"/>
      <c r="AA929" s="522"/>
      <c r="AB929" s="200"/>
      <c r="AC929" s="223"/>
      <c r="AD929" s="223"/>
      <c r="AE929" s="223"/>
      <c r="AF929" s="223"/>
      <c r="AG929" s="223"/>
      <c r="AH929" s="223"/>
      <c r="AI929" s="200"/>
      <c r="AJ929" s="200"/>
      <c r="AK929" s="522"/>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2"/>
      <c r="BF929" s="200"/>
      <c r="BG929" s="223"/>
      <c r="BH929" s="223"/>
      <c r="BI929" s="223"/>
      <c r="BJ929" s="223"/>
      <c r="BK929" s="223"/>
      <c r="BL929" s="223"/>
      <c r="BM929" s="200"/>
      <c r="BN929" s="200"/>
      <c r="BO929" s="522"/>
      <c r="BP929" s="200"/>
      <c r="BQ929" s="223"/>
      <c r="BR929" s="223"/>
      <c r="BS929" s="223"/>
      <c r="BT929" s="223"/>
      <c r="BU929" s="223"/>
      <c r="BV929" s="223"/>
      <c r="BW929" s="223"/>
      <c r="BX929" s="200"/>
      <c r="BY929" s="522"/>
      <c r="BZ929" s="200"/>
      <c r="CA929" s="223"/>
      <c r="CB929" s="223"/>
      <c r="CC929" s="223"/>
      <c r="CD929" s="223"/>
      <c r="CE929" s="223"/>
      <c r="CF929" s="223"/>
      <c r="CG929" s="200"/>
      <c r="CH929" s="200"/>
      <c r="CI929" s="522"/>
      <c r="CJ929" s="200"/>
      <c r="CK929" s="223"/>
      <c r="CL929" s="223"/>
      <c r="CM929" s="223"/>
      <c r="CN929" s="223"/>
      <c r="CO929" s="223"/>
      <c r="CP929" s="223"/>
      <c r="CQ929" s="200"/>
      <c r="CR929" s="200"/>
      <c r="CS929" s="522"/>
      <c r="CT929" s="200"/>
      <c r="CU929" s="223"/>
      <c r="CV929" s="223"/>
      <c r="CW929" s="223"/>
      <c r="CX929" s="223"/>
      <c r="CY929" s="223"/>
      <c r="CZ929" s="223"/>
      <c r="DA929" s="223"/>
      <c r="DB929" s="200"/>
      <c r="DC929" s="522"/>
      <c r="DD929" s="200"/>
      <c r="DE929" s="223"/>
      <c r="DF929" s="223"/>
      <c r="DG929" s="223"/>
      <c r="DH929" s="223"/>
      <c r="DI929" s="223"/>
      <c r="DJ929" s="223"/>
      <c r="DK929" s="200"/>
      <c r="DL929" s="200"/>
      <c r="DM929" s="522"/>
      <c r="DN929" s="200"/>
      <c r="DO929" s="223"/>
      <c r="DP929" s="223"/>
      <c r="DQ929" s="223"/>
      <c r="DR929" s="223"/>
      <c r="DS929" s="223"/>
      <c r="DT929" s="223"/>
      <c r="DU929" s="200"/>
      <c r="DV929" s="200"/>
      <c r="DW929" s="522"/>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2"/>
      <c r="R930" s="200"/>
      <c r="S930" s="223"/>
      <c r="T930" s="223"/>
      <c r="U930" s="223"/>
      <c r="V930" s="223"/>
      <c r="W930" s="223"/>
      <c r="X930" s="223"/>
      <c r="Y930" s="200"/>
      <c r="Z930" s="200"/>
      <c r="AA930" s="522"/>
      <c r="AB930" s="200"/>
      <c r="AC930" s="223"/>
      <c r="AD930" s="223"/>
      <c r="AE930" s="223"/>
      <c r="AF930" s="223"/>
      <c r="AG930" s="223"/>
      <c r="AH930" s="223"/>
      <c r="AI930" s="200"/>
      <c r="AJ930" s="200"/>
      <c r="AK930" s="522"/>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2"/>
      <c r="BF930" s="200"/>
      <c r="BG930" s="223"/>
      <c r="BH930" s="223"/>
      <c r="BI930" s="223"/>
      <c r="BJ930" s="223"/>
      <c r="BK930" s="223"/>
      <c r="BL930" s="223"/>
      <c r="BM930" s="200"/>
      <c r="BN930" s="200"/>
      <c r="BO930" s="522"/>
      <c r="BP930" s="200"/>
      <c r="BQ930" s="223"/>
      <c r="BR930" s="223"/>
      <c r="BS930" s="223"/>
      <c r="BT930" s="223"/>
      <c r="BU930" s="223"/>
      <c r="BV930" s="223"/>
      <c r="BW930" s="223"/>
      <c r="BX930" s="200"/>
      <c r="BY930" s="522"/>
      <c r="BZ930" s="200"/>
      <c r="CA930" s="223"/>
      <c r="CB930" s="223"/>
      <c r="CC930" s="223"/>
      <c r="CD930" s="223"/>
      <c r="CE930" s="223"/>
      <c r="CF930" s="223"/>
      <c r="CG930" s="200"/>
      <c r="CH930" s="200"/>
      <c r="CI930" s="522"/>
      <c r="CJ930" s="200"/>
      <c r="CK930" s="223"/>
      <c r="CL930" s="223"/>
      <c r="CM930" s="223"/>
      <c r="CN930" s="223"/>
      <c r="CO930" s="223"/>
      <c r="CP930" s="223"/>
      <c r="CQ930" s="200"/>
      <c r="CR930" s="200"/>
      <c r="CS930" s="522"/>
      <c r="CT930" s="200"/>
      <c r="CU930" s="223"/>
      <c r="CV930" s="223"/>
      <c r="CW930" s="223"/>
      <c r="CX930" s="223"/>
      <c r="CY930" s="223"/>
      <c r="CZ930" s="223"/>
      <c r="DA930" s="223"/>
      <c r="DB930" s="200"/>
      <c r="DC930" s="522"/>
      <c r="DD930" s="200"/>
      <c r="DE930" s="223"/>
      <c r="DF930" s="223"/>
      <c r="DG930" s="223"/>
      <c r="DH930" s="223"/>
      <c r="DI930" s="223"/>
      <c r="DJ930" s="223"/>
      <c r="DK930" s="200"/>
      <c r="DL930" s="200"/>
      <c r="DM930" s="522"/>
      <c r="DN930" s="200"/>
      <c r="DO930" s="223"/>
      <c r="DP930" s="223"/>
      <c r="DQ930" s="223"/>
      <c r="DR930" s="223"/>
      <c r="DS930" s="223"/>
      <c r="DT930" s="223"/>
      <c r="DU930" s="200"/>
      <c r="DV930" s="200"/>
      <c r="DW930" s="522"/>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2"/>
      <c r="R931" s="200"/>
      <c r="S931" s="223"/>
      <c r="T931" s="223"/>
      <c r="U931" s="223"/>
      <c r="V931" s="223"/>
      <c r="W931" s="223"/>
      <c r="X931" s="223"/>
      <c r="Y931" s="200"/>
      <c r="Z931" s="200"/>
      <c r="AA931" s="522"/>
      <c r="AB931" s="200"/>
      <c r="AC931" s="223"/>
      <c r="AD931" s="223"/>
      <c r="AE931" s="223"/>
      <c r="AF931" s="223"/>
      <c r="AG931" s="223"/>
      <c r="AH931" s="223"/>
      <c r="AI931" s="200"/>
      <c r="AJ931" s="200"/>
      <c r="AK931" s="522"/>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2"/>
      <c r="BF931" s="200"/>
      <c r="BG931" s="223"/>
      <c r="BH931" s="223"/>
      <c r="BI931" s="223"/>
      <c r="BJ931" s="223"/>
      <c r="BK931" s="223"/>
      <c r="BL931" s="223"/>
      <c r="BM931" s="200"/>
      <c r="BN931" s="200"/>
      <c r="BO931" s="522"/>
      <c r="BP931" s="200"/>
      <c r="BQ931" s="223"/>
      <c r="BR931" s="223"/>
      <c r="BS931" s="223"/>
      <c r="BT931" s="223"/>
      <c r="BU931" s="223"/>
      <c r="BV931" s="223"/>
      <c r="BW931" s="223"/>
      <c r="BX931" s="200"/>
      <c r="BY931" s="522"/>
      <c r="BZ931" s="200"/>
      <c r="CA931" s="223"/>
      <c r="CB931" s="223"/>
      <c r="CC931" s="223"/>
      <c r="CD931" s="223"/>
      <c r="CE931" s="223"/>
      <c r="CF931" s="223"/>
      <c r="CG931" s="200"/>
      <c r="CH931" s="200"/>
      <c r="CI931" s="522"/>
      <c r="CJ931" s="200"/>
      <c r="CK931" s="223"/>
      <c r="CL931" s="223"/>
      <c r="CM931" s="223"/>
      <c r="CN931" s="223"/>
      <c r="CO931" s="223"/>
      <c r="CP931" s="223"/>
      <c r="CQ931" s="200"/>
      <c r="CR931" s="200"/>
      <c r="CS931" s="522"/>
      <c r="CT931" s="200"/>
      <c r="CU931" s="223"/>
      <c r="CV931" s="223"/>
      <c r="CW931" s="223"/>
      <c r="CX931" s="223"/>
      <c r="CY931" s="223"/>
      <c r="CZ931" s="223"/>
      <c r="DA931" s="223"/>
      <c r="DB931" s="200"/>
      <c r="DC931" s="522"/>
      <c r="DD931" s="200"/>
      <c r="DE931" s="223"/>
      <c r="DF931" s="223"/>
      <c r="DG931" s="223"/>
      <c r="DH931" s="223"/>
      <c r="DI931" s="223"/>
      <c r="DJ931" s="223"/>
      <c r="DK931" s="200"/>
      <c r="DL931" s="200"/>
      <c r="DM931" s="522"/>
      <c r="DN931" s="200"/>
      <c r="DO931" s="223"/>
      <c r="DP931" s="223"/>
      <c r="DQ931" s="223"/>
      <c r="DR931" s="223"/>
      <c r="DS931" s="223"/>
      <c r="DT931" s="223"/>
      <c r="DU931" s="200"/>
      <c r="DV931" s="200"/>
      <c r="DW931" s="522"/>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2"/>
      <c r="R932" s="200"/>
      <c r="S932" s="223"/>
      <c r="T932" s="223"/>
      <c r="U932" s="223"/>
      <c r="V932" s="223"/>
      <c r="W932" s="223"/>
      <c r="X932" s="223"/>
      <c r="Y932" s="200"/>
      <c r="Z932" s="200"/>
      <c r="AA932" s="522"/>
      <c r="AB932" s="200"/>
      <c r="AC932" s="223"/>
      <c r="AD932" s="223"/>
      <c r="AE932" s="223"/>
      <c r="AF932" s="223"/>
      <c r="AG932" s="223"/>
      <c r="AH932" s="223"/>
      <c r="AI932" s="200"/>
      <c r="AJ932" s="200"/>
      <c r="AK932" s="522"/>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2"/>
      <c r="BF932" s="200"/>
      <c r="BG932" s="223"/>
      <c r="BH932" s="223"/>
      <c r="BI932" s="223"/>
      <c r="BJ932" s="223"/>
      <c r="BK932" s="223"/>
      <c r="BL932" s="223"/>
      <c r="BM932" s="200"/>
      <c r="BN932" s="200"/>
      <c r="BO932" s="522"/>
      <c r="BP932" s="200"/>
      <c r="BQ932" s="223"/>
      <c r="BR932" s="223"/>
      <c r="BS932" s="223"/>
      <c r="BT932" s="223"/>
      <c r="BU932" s="223"/>
      <c r="BV932" s="223"/>
      <c r="BW932" s="223"/>
      <c r="BX932" s="200"/>
      <c r="BY932" s="522"/>
      <c r="BZ932" s="200"/>
      <c r="CA932" s="223"/>
      <c r="CB932" s="223"/>
      <c r="CC932" s="223"/>
      <c r="CD932" s="223"/>
      <c r="CE932" s="223"/>
      <c r="CF932" s="223"/>
      <c r="CG932" s="200"/>
      <c r="CH932" s="200"/>
      <c r="CI932" s="522"/>
      <c r="CJ932" s="200"/>
      <c r="CK932" s="223"/>
      <c r="CL932" s="223"/>
      <c r="CM932" s="223"/>
      <c r="CN932" s="223"/>
      <c r="CO932" s="223"/>
      <c r="CP932" s="223"/>
      <c r="CQ932" s="200"/>
      <c r="CR932" s="200"/>
      <c r="CS932" s="522"/>
      <c r="CT932" s="200"/>
      <c r="CU932" s="223"/>
      <c r="CV932" s="223"/>
      <c r="CW932" s="223"/>
      <c r="CX932" s="223"/>
      <c r="CY932" s="223"/>
      <c r="CZ932" s="223"/>
      <c r="DA932" s="223"/>
      <c r="DB932" s="200"/>
      <c r="DC932" s="522"/>
      <c r="DD932" s="200"/>
      <c r="DE932" s="223"/>
      <c r="DF932" s="223"/>
      <c r="DG932" s="223"/>
      <c r="DH932" s="223"/>
      <c r="DI932" s="223"/>
      <c r="DJ932" s="223"/>
      <c r="DK932" s="200"/>
      <c r="DL932" s="200"/>
      <c r="DM932" s="522"/>
      <c r="DN932" s="200"/>
      <c r="DO932" s="223"/>
      <c r="DP932" s="223"/>
      <c r="DQ932" s="223"/>
      <c r="DR932" s="223"/>
      <c r="DS932" s="223"/>
      <c r="DT932" s="223"/>
      <c r="DU932" s="200"/>
      <c r="DV932" s="200"/>
      <c r="DW932" s="522"/>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2"/>
      <c r="R933" s="200"/>
      <c r="S933" s="223"/>
      <c r="T933" s="223"/>
      <c r="U933" s="223"/>
      <c r="V933" s="223"/>
      <c r="W933" s="223"/>
      <c r="X933" s="223"/>
      <c r="Y933" s="200"/>
      <c r="Z933" s="200"/>
      <c r="AA933" s="522"/>
      <c r="AB933" s="200"/>
      <c r="AC933" s="223"/>
      <c r="AD933" s="223"/>
      <c r="AE933" s="223"/>
      <c r="AF933" s="223"/>
      <c r="AG933" s="223"/>
      <c r="AH933" s="223"/>
      <c r="AI933" s="200"/>
      <c r="AJ933" s="200"/>
      <c r="AK933" s="522"/>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2"/>
      <c r="BF933" s="200"/>
      <c r="BG933" s="223"/>
      <c r="BH933" s="223"/>
      <c r="BI933" s="223"/>
      <c r="BJ933" s="223"/>
      <c r="BK933" s="223"/>
      <c r="BL933" s="223"/>
      <c r="BM933" s="200"/>
      <c r="BN933" s="200"/>
      <c r="BO933" s="522"/>
      <c r="BP933" s="200"/>
      <c r="BQ933" s="223"/>
      <c r="BR933" s="223"/>
      <c r="BS933" s="223"/>
      <c r="BT933" s="223"/>
      <c r="BU933" s="223"/>
      <c r="BV933" s="223"/>
      <c r="BW933" s="223"/>
      <c r="BX933" s="200"/>
      <c r="BY933" s="522"/>
      <c r="BZ933" s="200"/>
      <c r="CA933" s="223"/>
      <c r="CB933" s="223"/>
      <c r="CC933" s="223"/>
      <c r="CD933" s="223"/>
      <c r="CE933" s="223"/>
      <c r="CF933" s="223"/>
      <c r="CG933" s="200"/>
      <c r="CH933" s="200"/>
      <c r="CI933" s="522"/>
      <c r="CJ933" s="200"/>
      <c r="CK933" s="223"/>
      <c r="CL933" s="223"/>
      <c r="CM933" s="223"/>
      <c r="CN933" s="223"/>
      <c r="CO933" s="223"/>
      <c r="CP933" s="223"/>
      <c r="CQ933" s="200"/>
      <c r="CR933" s="200"/>
      <c r="CS933" s="522"/>
      <c r="CT933" s="200"/>
      <c r="CU933" s="223"/>
      <c r="CV933" s="223"/>
      <c r="CW933" s="223"/>
      <c r="CX933" s="223"/>
      <c r="CY933" s="223"/>
      <c r="CZ933" s="223"/>
      <c r="DA933" s="223"/>
      <c r="DB933" s="200"/>
      <c r="DC933" s="522"/>
      <c r="DD933" s="200"/>
      <c r="DE933" s="223"/>
      <c r="DF933" s="223"/>
      <c r="DG933" s="223"/>
      <c r="DH933" s="223"/>
      <c r="DI933" s="223"/>
      <c r="DJ933" s="223"/>
      <c r="DK933" s="200"/>
      <c r="DL933" s="200"/>
      <c r="DM933" s="522"/>
      <c r="DN933" s="200"/>
      <c r="DO933" s="223"/>
      <c r="DP933" s="223"/>
      <c r="DQ933" s="223"/>
      <c r="DR933" s="223"/>
      <c r="DS933" s="223"/>
      <c r="DT933" s="223"/>
      <c r="DU933" s="200"/>
      <c r="DV933" s="200"/>
      <c r="DW933" s="522"/>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2"/>
      <c r="R934" s="200"/>
      <c r="S934" s="223"/>
      <c r="T934" s="223"/>
      <c r="U934" s="223"/>
      <c r="V934" s="223"/>
      <c r="W934" s="223"/>
      <c r="X934" s="223"/>
      <c r="Y934" s="200"/>
      <c r="Z934" s="200"/>
      <c r="AA934" s="522"/>
      <c r="AB934" s="200"/>
      <c r="AC934" s="223"/>
      <c r="AD934" s="223"/>
      <c r="AE934" s="223"/>
      <c r="AF934" s="223"/>
      <c r="AG934" s="223"/>
      <c r="AH934" s="223"/>
      <c r="AI934" s="200"/>
      <c r="AJ934" s="200"/>
      <c r="AK934" s="522"/>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2"/>
      <c r="BF934" s="200"/>
      <c r="BG934" s="223"/>
      <c r="BH934" s="223"/>
      <c r="BI934" s="223"/>
      <c r="BJ934" s="223"/>
      <c r="BK934" s="223"/>
      <c r="BL934" s="223"/>
      <c r="BM934" s="200"/>
      <c r="BN934" s="200"/>
      <c r="BO934" s="522"/>
      <c r="BP934" s="200"/>
      <c r="BQ934" s="223"/>
      <c r="BR934" s="223"/>
      <c r="BS934" s="223"/>
      <c r="BT934" s="223"/>
      <c r="BU934" s="223"/>
      <c r="BV934" s="223"/>
      <c r="BW934" s="223"/>
      <c r="BX934" s="200"/>
      <c r="BY934" s="522"/>
      <c r="BZ934" s="200"/>
      <c r="CA934" s="223"/>
      <c r="CB934" s="223"/>
      <c r="CC934" s="223"/>
      <c r="CD934" s="223"/>
      <c r="CE934" s="223"/>
      <c r="CF934" s="223"/>
      <c r="CG934" s="200"/>
      <c r="CH934" s="200"/>
      <c r="CI934" s="522"/>
      <c r="CJ934" s="200"/>
      <c r="CK934" s="223"/>
      <c r="CL934" s="223"/>
      <c r="CM934" s="223"/>
      <c r="CN934" s="223"/>
      <c r="CO934" s="223"/>
      <c r="CP934" s="223"/>
      <c r="CQ934" s="200"/>
      <c r="CR934" s="200"/>
      <c r="CS934" s="522"/>
      <c r="CT934" s="200"/>
      <c r="CU934" s="223"/>
      <c r="CV934" s="223"/>
      <c r="CW934" s="223"/>
      <c r="CX934" s="223"/>
      <c r="CY934" s="223"/>
      <c r="CZ934" s="223"/>
      <c r="DA934" s="223"/>
      <c r="DB934" s="200"/>
      <c r="DC934" s="522"/>
      <c r="DD934" s="200"/>
      <c r="DE934" s="223"/>
      <c r="DF934" s="223"/>
      <c r="DG934" s="223"/>
      <c r="DH934" s="223"/>
      <c r="DI934" s="223"/>
      <c r="DJ934" s="223"/>
      <c r="DK934" s="200"/>
      <c r="DL934" s="200"/>
      <c r="DM934" s="522"/>
      <c r="DN934" s="200"/>
      <c r="DO934" s="223"/>
      <c r="DP934" s="223"/>
      <c r="DQ934" s="223"/>
      <c r="DR934" s="223"/>
      <c r="DS934" s="223"/>
      <c r="DT934" s="223"/>
      <c r="DU934" s="200"/>
      <c r="DV934" s="200"/>
      <c r="DW934" s="522"/>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2"/>
      <c r="R935" s="200"/>
      <c r="S935" s="223"/>
      <c r="T935" s="223"/>
      <c r="U935" s="223"/>
      <c r="V935" s="223"/>
      <c r="W935" s="223"/>
      <c r="X935" s="223"/>
      <c r="Y935" s="200"/>
      <c r="Z935" s="200"/>
      <c r="AA935" s="522"/>
      <c r="AB935" s="200"/>
      <c r="AC935" s="223"/>
      <c r="AD935" s="223"/>
      <c r="AE935" s="223"/>
      <c r="AF935" s="223"/>
      <c r="AG935" s="223"/>
      <c r="AH935" s="223"/>
      <c r="AI935" s="200"/>
      <c r="AJ935" s="200"/>
      <c r="AK935" s="522"/>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2"/>
      <c r="BF935" s="200"/>
      <c r="BG935" s="223"/>
      <c r="BH935" s="223"/>
      <c r="BI935" s="223"/>
      <c r="BJ935" s="223"/>
      <c r="BK935" s="223"/>
      <c r="BL935" s="223"/>
      <c r="BM935" s="200"/>
      <c r="BN935" s="200"/>
      <c r="BO935" s="522"/>
      <c r="BP935" s="200"/>
      <c r="BQ935" s="223"/>
      <c r="BR935" s="223"/>
      <c r="BS935" s="223"/>
      <c r="BT935" s="223"/>
      <c r="BU935" s="223"/>
      <c r="BV935" s="223"/>
      <c r="BW935" s="223"/>
      <c r="BX935" s="200"/>
      <c r="BY935" s="522"/>
      <c r="BZ935" s="200"/>
      <c r="CA935" s="223"/>
      <c r="CB935" s="223"/>
      <c r="CC935" s="223"/>
      <c r="CD935" s="223"/>
      <c r="CE935" s="223"/>
      <c r="CF935" s="223"/>
      <c r="CG935" s="200"/>
      <c r="CH935" s="200"/>
      <c r="CI935" s="522"/>
      <c r="CJ935" s="200"/>
      <c r="CK935" s="223"/>
      <c r="CL935" s="223"/>
      <c r="CM935" s="223"/>
      <c r="CN935" s="223"/>
      <c r="CO935" s="223"/>
      <c r="CP935" s="223"/>
      <c r="CQ935" s="200"/>
      <c r="CR935" s="200"/>
      <c r="CS935" s="522"/>
      <c r="CT935" s="200"/>
      <c r="CU935" s="223"/>
      <c r="CV935" s="223"/>
      <c r="CW935" s="223"/>
      <c r="CX935" s="223"/>
      <c r="CY935" s="223"/>
      <c r="CZ935" s="223"/>
      <c r="DA935" s="223"/>
      <c r="DB935" s="200"/>
      <c r="DC935" s="522"/>
      <c r="DD935" s="200"/>
      <c r="DE935" s="223"/>
      <c r="DF935" s="223"/>
      <c r="DG935" s="223"/>
      <c r="DH935" s="223"/>
      <c r="DI935" s="223"/>
      <c r="DJ935" s="223"/>
      <c r="DK935" s="200"/>
      <c r="DL935" s="200"/>
      <c r="DM935" s="522"/>
      <c r="DN935" s="200"/>
      <c r="DO935" s="223"/>
      <c r="DP935" s="223"/>
      <c r="DQ935" s="223"/>
      <c r="DR935" s="223"/>
      <c r="DS935" s="223"/>
      <c r="DT935" s="223"/>
      <c r="DU935" s="200"/>
      <c r="DV935" s="200"/>
      <c r="DW935" s="522"/>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2"/>
      <c r="R936" s="200"/>
      <c r="S936" s="223"/>
      <c r="T936" s="223"/>
      <c r="U936" s="223"/>
      <c r="V936" s="223"/>
      <c r="W936" s="223"/>
      <c r="X936" s="223"/>
      <c r="Y936" s="200"/>
      <c r="Z936" s="200"/>
      <c r="AA936" s="522"/>
      <c r="AB936" s="200"/>
      <c r="AC936" s="223"/>
      <c r="AD936" s="223"/>
      <c r="AE936" s="223"/>
      <c r="AF936" s="223"/>
      <c r="AG936" s="223"/>
      <c r="AH936" s="223"/>
      <c r="AI936" s="200"/>
      <c r="AJ936" s="200"/>
      <c r="AK936" s="522"/>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2"/>
      <c r="BF936" s="200"/>
      <c r="BG936" s="223"/>
      <c r="BH936" s="223"/>
      <c r="BI936" s="223"/>
      <c r="BJ936" s="223"/>
      <c r="BK936" s="223"/>
      <c r="BL936" s="223"/>
      <c r="BM936" s="200"/>
      <c r="BN936" s="200"/>
      <c r="BO936" s="522"/>
      <c r="BP936" s="200"/>
      <c r="BQ936" s="223"/>
      <c r="BR936" s="223"/>
      <c r="BS936" s="223"/>
      <c r="BT936" s="223"/>
      <c r="BU936" s="223"/>
      <c r="BV936" s="223"/>
      <c r="BW936" s="223"/>
      <c r="BX936" s="200"/>
      <c r="BY936" s="522"/>
      <c r="BZ936" s="200"/>
      <c r="CA936" s="223"/>
      <c r="CB936" s="223"/>
      <c r="CC936" s="223"/>
      <c r="CD936" s="223"/>
      <c r="CE936" s="223"/>
      <c r="CF936" s="223"/>
      <c r="CG936" s="200"/>
      <c r="CH936" s="200"/>
      <c r="CI936" s="522"/>
      <c r="CJ936" s="200"/>
      <c r="CK936" s="223"/>
      <c r="CL936" s="223"/>
      <c r="CM936" s="223"/>
      <c r="CN936" s="223"/>
      <c r="CO936" s="223"/>
      <c r="CP936" s="223"/>
      <c r="CQ936" s="200"/>
      <c r="CR936" s="200"/>
      <c r="CS936" s="522"/>
      <c r="CT936" s="200"/>
      <c r="CU936" s="223"/>
      <c r="CV936" s="223"/>
      <c r="CW936" s="223"/>
      <c r="CX936" s="223"/>
      <c r="CY936" s="223"/>
      <c r="CZ936" s="223"/>
      <c r="DA936" s="223"/>
      <c r="DB936" s="200"/>
      <c r="DC936" s="522"/>
      <c r="DD936" s="200"/>
      <c r="DE936" s="223"/>
      <c r="DF936" s="223"/>
      <c r="DG936" s="223"/>
      <c r="DH936" s="223"/>
      <c r="DI936" s="223"/>
      <c r="DJ936" s="223"/>
      <c r="DK936" s="200"/>
      <c r="DL936" s="200"/>
      <c r="DM936" s="522"/>
      <c r="DN936" s="200"/>
      <c r="DO936" s="223"/>
      <c r="DP936" s="223"/>
      <c r="DQ936" s="223"/>
      <c r="DR936" s="223"/>
      <c r="DS936" s="223"/>
      <c r="DT936" s="223"/>
      <c r="DU936" s="200"/>
      <c r="DV936" s="200"/>
      <c r="DW936" s="522"/>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2"/>
      <c r="R937" s="200"/>
      <c r="S937" s="223"/>
      <c r="T937" s="223"/>
      <c r="U937" s="223"/>
      <c r="V937" s="223"/>
      <c r="W937" s="223"/>
      <c r="X937" s="223"/>
      <c r="Y937" s="200"/>
      <c r="Z937" s="200"/>
      <c r="AA937" s="522"/>
      <c r="AB937" s="200"/>
      <c r="AC937" s="223"/>
      <c r="AD937" s="223"/>
      <c r="AE937" s="223"/>
      <c r="AF937" s="223"/>
      <c r="AG937" s="223"/>
      <c r="AH937" s="223"/>
      <c r="AI937" s="200"/>
      <c r="AJ937" s="200"/>
      <c r="AK937" s="522"/>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2"/>
      <c r="BF937" s="200"/>
      <c r="BG937" s="223"/>
      <c r="BH937" s="223"/>
      <c r="BI937" s="223"/>
      <c r="BJ937" s="223"/>
      <c r="BK937" s="223"/>
      <c r="BL937" s="223"/>
      <c r="BM937" s="200"/>
      <c r="BN937" s="200"/>
      <c r="BO937" s="522"/>
      <c r="BP937" s="200"/>
      <c r="BQ937" s="223"/>
      <c r="BR937" s="223"/>
      <c r="BS937" s="223"/>
      <c r="BT937" s="223"/>
      <c r="BU937" s="223"/>
      <c r="BV937" s="223"/>
      <c r="BW937" s="223"/>
      <c r="BX937" s="200"/>
      <c r="BY937" s="522"/>
      <c r="BZ937" s="200"/>
      <c r="CA937" s="223"/>
      <c r="CB937" s="223"/>
      <c r="CC937" s="223"/>
      <c r="CD937" s="223"/>
      <c r="CE937" s="223"/>
      <c r="CF937" s="223"/>
      <c r="CG937" s="200"/>
      <c r="CH937" s="200"/>
      <c r="CI937" s="522"/>
      <c r="CJ937" s="200"/>
      <c r="CK937" s="223"/>
      <c r="CL937" s="223"/>
      <c r="CM937" s="223"/>
      <c r="CN937" s="223"/>
      <c r="CO937" s="223"/>
      <c r="CP937" s="223"/>
      <c r="CQ937" s="200"/>
      <c r="CR937" s="200"/>
      <c r="CS937" s="522"/>
      <c r="CT937" s="200"/>
      <c r="CU937" s="223"/>
      <c r="CV937" s="223"/>
      <c r="CW937" s="223"/>
      <c r="CX937" s="223"/>
      <c r="CY937" s="223"/>
      <c r="CZ937" s="223"/>
      <c r="DA937" s="223"/>
      <c r="DB937" s="200"/>
      <c r="DC937" s="522"/>
      <c r="DD937" s="200"/>
      <c r="DE937" s="223"/>
      <c r="DF937" s="223"/>
      <c r="DG937" s="223"/>
      <c r="DH937" s="223"/>
      <c r="DI937" s="223"/>
      <c r="DJ937" s="223"/>
      <c r="DK937" s="200"/>
      <c r="DL937" s="200"/>
      <c r="DM937" s="522"/>
      <c r="DN937" s="200"/>
      <c r="DO937" s="223"/>
      <c r="DP937" s="223"/>
      <c r="DQ937" s="223"/>
      <c r="DR937" s="223"/>
      <c r="DS937" s="223"/>
      <c r="DT937" s="223"/>
      <c r="DU937" s="200"/>
      <c r="DV937" s="200"/>
      <c r="DW937" s="522"/>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2"/>
      <c r="R938" s="200"/>
      <c r="S938" s="223"/>
      <c r="T938" s="223"/>
      <c r="U938" s="223"/>
      <c r="V938" s="223"/>
      <c r="W938" s="223"/>
      <c r="X938" s="223"/>
      <c r="Y938" s="200"/>
      <c r="Z938" s="200"/>
      <c r="AA938" s="522"/>
      <c r="AB938" s="200"/>
      <c r="AC938" s="223"/>
      <c r="AD938" s="223"/>
      <c r="AE938" s="223"/>
      <c r="AF938" s="223"/>
      <c r="AG938" s="223"/>
      <c r="AH938" s="223"/>
      <c r="AI938" s="200"/>
      <c r="AJ938" s="200"/>
      <c r="AK938" s="522"/>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2"/>
      <c r="BF938" s="200"/>
      <c r="BG938" s="223"/>
      <c r="BH938" s="223"/>
      <c r="BI938" s="223"/>
      <c r="BJ938" s="223"/>
      <c r="BK938" s="223"/>
      <c r="BL938" s="223"/>
      <c r="BM938" s="200"/>
      <c r="BN938" s="200"/>
      <c r="BO938" s="522"/>
      <c r="BP938" s="200"/>
      <c r="BQ938" s="223"/>
      <c r="BR938" s="223"/>
      <c r="BS938" s="223"/>
      <c r="BT938" s="223"/>
      <c r="BU938" s="223"/>
      <c r="BV938" s="223"/>
      <c r="BW938" s="223"/>
      <c r="BX938" s="200"/>
      <c r="BY938" s="522"/>
      <c r="BZ938" s="200"/>
      <c r="CA938" s="223"/>
      <c r="CB938" s="223"/>
      <c r="CC938" s="223"/>
      <c r="CD938" s="223"/>
      <c r="CE938" s="223"/>
      <c r="CF938" s="223"/>
      <c r="CG938" s="200"/>
      <c r="CH938" s="200"/>
      <c r="CI938" s="522"/>
      <c r="CJ938" s="200"/>
      <c r="CK938" s="223"/>
      <c r="CL938" s="223"/>
      <c r="CM938" s="223"/>
      <c r="CN938" s="223"/>
      <c r="CO938" s="223"/>
      <c r="CP938" s="223"/>
      <c r="CQ938" s="200"/>
      <c r="CR938" s="200"/>
      <c r="CS938" s="522"/>
      <c r="CT938" s="200"/>
      <c r="CU938" s="223"/>
      <c r="CV938" s="223"/>
      <c r="CW938" s="223"/>
      <c r="CX938" s="223"/>
      <c r="CY938" s="223"/>
      <c r="CZ938" s="223"/>
      <c r="DA938" s="223"/>
      <c r="DB938" s="200"/>
      <c r="DC938" s="522"/>
      <c r="DD938" s="200"/>
      <c r="DE938" s="223"/>
      <c r="DF938" s="223"/>
      <c r="DG938" s="223"/>
      <c r="DH938" s="223"/>
      <c r="DI938" s="223"/>
      <c r="DJ938" s="223"/>
      <c r="DK938" s="200"/>
      <c r="DL938" s="200"/>
      <c r="DM938" s="522"/>
      <c r="DN938" s="200"/>
      <c r="DO938" s="223"/>
      <c r="DP938" s="223"/>
      <c r="DQ938" s="223"/>
      <c r="DR938" s="223"/>
      <c r="DS938" s="223"/>
      <c r="DT938" s="223"/>
      <c r="DU938" s="200"/>
      <c r="DV938" s="200"/>
      <c r="DW938" s="522"/>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2"/>
      <c r="R939" s="200"/>
      <c r="S939" s="223"/>
      <c r="T939" s="223"/>
      <c r="U939" s="223"/>
      <c r="V939" s="223"/>
      <c r="W939" s="223"/>
      <c r="X939" s="223"/>
      <c r="Y939" s="200"/>
      <c r="Z939" s="200"/>
      <c r="AA939" s="522"/>
      <c r="AB939" s="200"/>
      <c r="AC939" s="223"/>
      <c r="AD939" s="223"/>
      <c r="AE939" s="223"/>
      <c r="AF939" s="223"/>
      <c r="AG939" s="223"/>
      <c r="AH939" s="223"/>
      <c r="AI939" s="200"/>
      <c r="AJ939" s="200"/>
      <c r="AK939" s="522"/>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2"/>
      <c r="BF939" s="200"/>
      <c r="BG939" s="223"/>
      <c r="BH939" s="223"/>
      <c r="BI939" s="223"/>
      <c r="BJ939" s="223"/>
      <c r="BK939" s="223"/>
      <c r="BL939" s="223"/>
      <c r="BM939" s="200"/>
      <c r="BN939" s="200"/>
      <c r="BO939" s="522"/>
      <c r="BP939" s="200"/>
      <c r="BQ939" s="223"/>
      <c r="BR939" s="223"/>
      <c r="BS939" s="223"/>
      <c r="BT939" s="223"/>
      <c r="BU939" s="223"/>
      <c r="BV939" s="223"/>
      <c r="BW939" s="223"/>
      <c r="BX939" s="200"/>
      <c r="BY939" s="522"/>
      <c r="BZ939" s="200"/>
      <c r="CA939" s="223"/>
      <c r="CB939" s="223"/>
      <c r="CC939" s="223"/>
      <c r="CD939" s="223"/>
      <c r="CE939" s="223"/>
      <c r="CF939" s="223"/>
      <c r="CG939" s="200"/>
      <c r="CH939" s="200"/>
      <c r="CI939" s="522"/>
      <c r="CJ939" s="200"/>
      <c r="CK939" s="223"/>
      <c r="CL939" s="223"/>
      <c r="CM939" s="223"/>
      <c r="CN939" s="223"/>
      <c r="CO939" s="223"/>
      <c r="CP939" s="223"/>
      <c r="CQ939" s="200"/>
      <c r="CR939" s="200"/>
      <c r="CS939" s="522"/>
      <c r="CT939" s="200"/>
      <c r="CU939" s="223"/>
      <c r="CV939" s="223"/>
      <c r="CW939" s="223"/>
      <c r="CX939" s="223"/>
      <c r="CY939" s="223"/>
      <c r="CZ939" s="223"/>
      <c r="DA939" s="223"/>
      <c r="DB939" s="200"/>
      <c r="DC939" s="522"/>
      <c r="DD939" s="200"/>
      <c r="DE939" s="223"/>
      <c r="DF939" s="223"/>
      <c r="DG939" s="223"/>
      <c r="DH939" s="223"/>
      <c r="DI939" s="223"/>
      <c r="DJ939" s="223"/>
      <c r="DK939" s="200"/>
      <c r="DL939" s="200"/>
      <c r="DM939" s="522"/>
      <c r="DN939" s="200"/>
      <c r="DO939" s="223"/>
      <c r="DP939" s="223"/>
      <c r="DQ939" s="223"/>
      <c r="DR939" s="223"/>
      <c r="DS939" s="223"/>
      <c r="DT939" s="223"/>
      <c r="DU939" s="200"/>
      <c r="DV939" s="200"/>
      <c r="DW939" s="522"/>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2"/>
      <c r="R940" s="200"/>
      <c r="S940" s="223"/>
      <c r="T940" s="223"/>
      <c r="U940" s="223"/>
      <c r="V940" s="223"/>
      <c r="W940" s="223"/>
      <c r="X940" s="223"/>
      <c r="Y940" s="200"/>
      <c r="Z940" s="200"/>
      <c r="AA940" s="522"/>
      <c r="AB940" s="200"/>
      <c r="AC940" s="223"/>
      <c r="AD940" s="223"/>
      <c r="AE940" s="223"/>
      <c r="AF940" s="223"/>
      <c r="AG940" s="223"/>
      <c r="AH940" s="223"/>
      <c r="AI940" s="200"/>
      <c r="AJ940" s="200"/>
      <c r="AK940" s="522"/>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2"/>
      <c r="BF940" s="200"/>
      <c r="BG940" s="223"/>
      <c r="BH940" s="223"/>
      <c r="BI940" s="223"/>
      <c r="BJ940" s="223"/>
      <c r="BK940" s="223"/>
      <c r="BL940" s="223"/>
      <c r="BM940" s="200"/>
      <c r="BN940" s="200"/>
      <c r="BO940" s="522"/>
      <c r="BP940" s="200"/>
      <c r="BQ940" s="223"/>
      <c r="BR940" s="223"/>
      <c r="BS940" s="223"/>
      <c r="BT940" s="223"/>
      <c r="BU940" s="223"/>
      <c r="BV940" s="223"/>
      <c r="BW940" s="223"/>
      <c r="BX940" s="200"/>
      <c r="BY940" s="522"/>
      <c r="BZ940" s="200"/>
      <c r="CA940" s="223"/>
      <c r="CB940" s="223"/>
      <c r="CC940" s="223"/>
      <c r="CD940" s="223"/>
      <c r="CE940" s="223"/>
      <c r="CF940" s="223"/>
      <c r="CG940" s="200"/>
      <c r="CH940" s="200"/>
      <c r="CI940" s="522"/>
      <c r="CJ940" s="200"/>
      <c r="CK940" s="223"/>
      <c r="CL940" s="223"/>
      <c r="CM940" s="223"/>
      <c r="CN940" s="223"/>
      <c r="CO940" s="223"/>
      <c r="CP940" s="223"/>
      <c r="CQ940" s="200"/>
      <c r="CR940" s="200"/>
      <c r="CS940" s="522"/>
      <c r="CT940" s="200"/>
      <c r="CU940" s="223"/>
      <c r="CV940" s="223"/>
      <c r="CW940" s="223"/>
      <c r="CX940" s="223"/>
      <c r="CY940" s="223"/>
      <c r="CZ940" s="223"/>
      <c r="DA940" s="223"/>
      <c r="DB940" s="200"/>
      <c r="DC940" s="522"/>
      <c r="DD940" s="200"/>
      <c r="DE940" s="223"/>
      <c r="DF940" s="223"/>
      <c r="DG940" s="223"/>
      <c r="DH940" s="223"/>
      <c r="DI940" s="223"/>
      <c r="DJ940" s="223"/>
      <c r="DK940" s="200"/>
      <c r="DL940" s="200"/>
      <c r="DM940" s="522"/>
      <c r="DN940" s="200"/>
      <c r="DO940" s="223"/>
      <c r="DP940" s="223"/>
      <c r="DQ940" s="223"/>
      <c r="DR940" s="223"/>
      <c r="DS940" s="223"/>
      <c r="DT940" s="223"/>
      <c r="DU940" s="200"/>
      <c r="DV940" s="200"/>
      <c r="DW940" s="522"/>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2"/>
      <c r="R941" s="200"/>
      <c r="S941" s="223"/>
      <c r="T941" s="223"/>
      <c r="U941" s="223"/>
      <c r="V941" s="223"/>
      <c r="W941" s="223"/>
      <c r="X941" s="223"/>
      <c r="Y941" s="200"/>
      <c r="Z941" s="200"/>
      <c r="AA941" s="522"/>
      <c r="AB941" s="200"/>
      <c r="AC941" s="223"/>
      <c r="AD941" s="223"/>
      <c r="AE941" s="223"/>
      <c r="AF941" s="223"/>
      <c r="AG941" s="223"/>
      <c r="AH941" s="223"/>
      <c r="AI941" s="200"/>
      <c r="AJ941" s="200"/>
      <c r="AK941" s="522"/>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2"/>
      <c r="BF941" s="200"/>
      <c r="BG941" s="223"/>
      <c r="BH941" s="223"/>
      <c r="BI941" s="223"/>
      <c r="BJ941" s="223"/>
      <c r="BK941" s="223"/>
      <c r="BL941" s="223"/>
      <c r="BM941" s="200"/>
      <c r="BN941" s="200"/>
      <c r="BO941" s="522"/>
      <c r="BP941" s="200"/>
      <c r="BQ941" s="223"/>
      <c r="BR941" s="223"/>
      <c r="BS941" s="223"/>
      <c r="BT941" s="223"/>
      <c r="BU941" s="223"/>
      <c r="BV941" s="223"/>
      <c r="BW941" s="223"/>
      <c r="BX941" s="200"/>
      <c r="BY941" s="522"/>
      <c r="BZ941" s="200"/>
      <c r="CA941" s="223"/>
      <c r="CB941" s="223"/>
      <c r="CC941" s="223"/>
      <c r="CD941" s="223"/>
      <c r="CE941" s="223"/>
      <c r="CF941" s="223"/>
      <c r="CG941" s="200"/>
      <c r="CH941" s="200"/>
      <c r="CI941" s="522"/>
      <c r="CJ941" s="200"/>
      <c r="CK941" s="223"/>
      <c r="CL941" s="223"/>
      <c r="CM941" s="223"/>
      <c r="CN941" s="223"/>
      <c r="CO941" s="223"/>
      <c r="CP941" s="223"/>
      <c r="CQ941" s="200"/>
      <c r="CR941" s="200"/>
      <c r="CS941" s="522"/>
      <c r="CT941" s="200"/>
      <c r="CU941" s="223"/>
      <c r="CV941" s="223"/>
      <c r="CW941" s="223"/>
      <c r="CX941" s="223"/>
      <c r="CY941" s="223"/>
      <c r="CZ941" s="223"/>
      <c r="DA941" s="223"/>
      <c r="DB941" s="200"/>
      <c r="DC941" s="522"/>
      <c r="DD941" s="200"/>
      <c r="DE941" s="223"/>
      <c r="DF941" s="223"/>
      <c r="DG941" s="223"/>
      <c r="DH941" s="223"/>
      <c r="DI941" s="223"/>
      <c r="DJ941" s="223"/>
      <c r="DK941" s="200"/>
      <c r="DL941" s="200"/>
      <c r="DM941" s="522"/>
      <c r="DN941" s="200"/>
      <c r="DO941" s="223"/>
      <c r="DP941" s="223"/>
      <c r="DQ941" s="223"/>
      <c r="DR941" s="223"/>
      <c r="DS941" s="223"/>
      <c r="DT941" s="223"/>
      <c r="DU941" s="200"/>
      <c r="DV941" s="200"/>
      <c r="DW941" s="522"/>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2"/>
      <c r="R942" s="200"/>
      <c r="S942" s="223"/>
      <c r="T942" s="223"/>
      <c r="U942" s="223"/>
      <c r="V942" s="223"/>
      <c r="W942" s="223"/>
      <c r="X942" s="223"/>
      <c r="Y942" s="200"/>
      <c r="Z942" s="200"/>
      <c r="AA942" s="522"/>
      <c r="AB942" s="200"/>
      <c r="AC942" s="223"/>
      <c r="AD942" s="223"/>
      <c r="AE942" s="223"/>
      <c r="AF942" s="223"/>
      <c r="AG942" s="223"/>
      <c r="AH942" s="223"/>
      <c r="AI942" s="200"/>
      <c r="AJ942" s="200"/>
      <c r="AK942" s="522"/>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2"/>
      <c r="BF942" s="200"/>
      <c r="BG942" s="223"/>
      <c r="BH942" s="223"/>
      <c r="BI942" s="223"/>
      <c r="BJ942" s="223"/>
      <c r="BK942" s="223"/>
      <c r="BL942" s="223"/>
      <c r="BM942" s="200"/>
      <c r="BN942" s="200"/>
      <c r="BO942" s="522"/>
      <c r="BP942" s="200"/>
      <c r="BQ942" s="223"/>
      <c r="BR942" s="223"/>
      <c r="BS942" s="223"/>
      <c r="BT942" s="223"/>
      <c r="BU942" s="223"/>
      <c r="BV942" s="223"/>
      <c r="BW942" s="223"/>
      <c r="BX942" s="200"/>
      <c r="BY942" s="522"/>
      <c r="BZ942" s="200"/>
      <c r="CA942" s="223"/>
      <c r="CB942" s="223"/>
      <c r="CC942" s="223"/>
      <c r="CD942" s="223"/>
      <c r="CE942" s="223"/>
      <c r="CF942" s="223"/>
      <c r="CG942" s="200"/>
      <c r="CH942" s="200"/>
      <c r="CI942" s="522"/>
      <c r="CJ942" s="200"/>
      <c r="CK942" s="223"/>
      <c r="CL942" s="223"/>
      <c r="CM942" s="223"/>
      <c r="CN942" s="223"/>
      <c r="CO942" s="223"/>
      <c r="CP942" s="223"/>
      <c r="CQ942" s="200"/>
      <c r="CR942" s="200"/>
      <c r="CS942" s="522"/>
      <c r="CT942" s="200"/>
      <c r="CU942" s="223"/>
      <c r="CV942" s="223"/>
      <c r="CW942" s="223"/>
      <c r="CX942" s="223"/>
      <c r="CY942" s="223"/>
      <c r="CZ942" s="223"/>
      <c r="DA942" s="223"/>
      <c r="DB942" s="200"/>
      <c r="DC942" s="522"/>
      <c r="DD942" s="200"/>
      <c r="DE942" s="223"/>
      <c r="DF942" s="223"/>
      <c r="DG942" s="223"/>
      <c r="DH942" s="223"/>
      <c r="DI942" s="223"/>
      <c r="DJ942" s="223"/>
      <c r="DK942" s="200"/>
      <c r="DL942" s="200"/>
      <c r="DM942" s="522"/>
      <c r="DN942" s="200"/>
      <c r="DO942" s="223"/>
      <c r="DP942" s="223"/>
      <c r="DQ942" s="223"/>
      <c r="DR942" s="223"/>
      <c r="DS942" s="223"/>
      <c r="DT942" s="223"/>
      <c r="DU942" s="200"/>
      <c r="DV942" s="200"/>
      <c r="DW942" s="522"/>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2"/>
      <c r="R943" s="200"/>
      <c r="S943" s="223"/>
      <c r="T943" s="223"/>
      <c r="U943" s="223"/>
      <c r="V943" s="223"/>
      <c r="W943" s="223"/>
      <c r="X943" s="223"/>
      <c r="Y943" s="200"/>
      <c r="Z943" s="200"/>
      <c r="AA943" s="522"/>
      <c r="AB943" s="200"/>
      <c r="AC943" s="223"/>
      <c r="AD943" s="223"/>
      <c r="AE943" s="223"/>
      <c r="AF943" s="223"/>
      <c r="AG943" s="223"/>
      <c r="AH943" s="223"/>
      <c r="AI943" s="200"/>
      <c r="AJ943" s="200"/>
      <c r="AK943" s="522"/>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2"/>
      <c r="BF943" s="200"/>
      <c r="BG943" s="223"/>
      <c r="BH943" s="223"/>
      <c r="BI943" s="223"/>
      <c r="BJ943" s="223"/>
      <c r="BK943" s="223"/>
      <c r="BL943" s="223"/>
      <c r="BM943" s="200"/>
      <c r="BN943" s="200"/>
      <c r="BO943" s="522"/>
      <c r="BP943" s="200"/>
      <c r="BQ943" s="223"/>
      <c r="BR943" s="223"/>
      <c r="BS943" s="223"/>
      <c r="BT943" s="223"/>
      <c r="BU943" s="223"/>
      <c r="BV943" s="223"/>
      <c r="BW943" s="223"/>
      <c r="BX943" s="200"/>
      <c r="BY943" s="522"/>
      <c r="BZ943" s="200"/>
      <c r="CA943" s="223"/>
      <c r="CB943" s="223"/>
      <c r="CC943" s="223"/>
      <c r="CD943" s="223"/>
      <c r="CE943" s="223"/>
      <c r="CF943" s="223"/>
      <c r="CG943" s="200"/>
      <c r="CH943" s="200"/>
      <c r="CI943" s="522"/>
      <c r="CJ943" s="200"/>
      <c r="CK943" s="223"/>
      <c r="CL943" s="223"/>
      <c r="CM943" s="223"/>
      <c r="CN943" s="223"/>
      <c r="CO943" s="223"/>
      <c r="CP943" s="223"/>
      <c r="CQ943" s="200"/>
      <c r="CR943" s="200"/>
      <c r="CS943" s="522"/>
      <c r="CT943" s="200"/>
      <c r="CU943" s="223"/>
      <c r="CV943" s="223"/>
      <c r="CW943" s="223"/>
      <c r="CX943" s="223"/>
      <c r="CY943" s="223"/>
      <c r="CZ943" s="223"/>
      <c r="DA943" s="223"/>
      <c r="DB943" s="200"/>
      <c r="DC943" s="522"/>
      <c r="DD943" s="200"/>
      <c r="DE943" s="223"/>
      <c r="DF943" s="223"/>
      <c r="DG943" s="223"/>
      <c r="DH943" s="223"/>
      <c r="DI943" s="223"/>
      <c r="DJ943" s="223"/>
      <c r="DK943" s="200"/>
      <c r="DL943" s="200"/>
      <c r="DM943" s="522"/>
      <c r="DN943" s="200"/>
      <c r="DO943" s="223"/>
      <c r="DP943" s="223"/>
      <c r="DQ943" s="223"/>
      <c r="DR943" s="223"/>
      <c r="DS943" s="223"/>
      <c r="DT943" s="223"/>
      <c r="DU943" s="200"/>
      <c r="DV943" s="200"/>
      <c r="DW943" s="522"/>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2"/>
      <c r="R944" s="200"/>
      <c r="S944" s="223"/>
      <c r="T944" s="223"/>
      <c r="U944" s="223"/>
      <c r="V944" s="223"/>
      <c r="W944" s="223"/>
      <c r="X944" s="223"/>
      <c r="Y944" s="200"/>
      <c r="Z944" s="200"/>
      <c r="AA944" s="522"/>
      <c r="AB944" s="200"/>
      <c r="AC944" s="223"/>
      <c r="AD944" s="223"/>
      <c r="AE944" s="223"/>
      <c r="AF944" s="223"/>
      <c r="AG944" s="223"/>
      <c r="AH944" s="223"/>
      <c r="AI944" s="200"/>
      <c r="AJ944" s="200"/>
      <c r="AK944" s="522"/>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2"/>
      <c r="BF944" s="200"/>
      <c r="BG944" s="223"/>
      <c r="BH944" s="223"/>
      <c r="BI944" s="223"/>
      <c r="BJ944" s="223"/>
      <c r="BK944" s="223"/>
      <c r="BL944" s="223"/>
      <c r="BM944" s="200"/>
      <c r="BN944" s="200"/>
      <c r="BO944" s="522"/>
      <c r="BP944" s="200"/>
      <c r="BQ944" s="223"/>
      <c r="BR944" s="223"/>
      <c r="BS944" s="223"/>
      <c r="BT944" s="223"/>
      <c r="BU944" s="223"/>
      <c r="BV944" s="223"/>
      <c r="BW944" s="223"/>
      <c r="BX944" s="200"/>
      <c r="BY944" s="522"/>
      <c r="BZ944" s="200"/>
      <c r="CA944" s="223"/>
      <c r="CB944" s="223"/>
      <c r="CC944" s="223"/>
      <c r="CD944" s="223"/>
      <c r="CE944" s="223"/>
      <c r="CF944" s="223"/>
      <c r="CG944" s="200"/>
      <c r="CH944" s="200"/>
      <c r="CI944" s="522"/>
      <c r="CJ944" s="200"/>
      <c r="CK944" s="223"/>
      <c r="CL944" s="223"/>
      <c r="CM944" s="223"/>
      <c r="CN944" s="223"/>
      <c r="CO944" s="223"/>
      <c r="CP944" s="223"/>
      <c r="CQ944" s="200"/>
      <c r="CR944" s="200"/>
      <c r="CS944" s="522"/>
      <c r="CT944" s="200"/>
      <c r="CU944" s="223"/>
      <c r="CV944" s="223"/>
      <c r="CW944" s="223"/>
      <c r="CX944" s="223"/>
      <c r="CY944" s="223"/>
      <c r="CZ944" s="223"/>
      <c r="DA944" s="223"/>
      <c r="DB944" s="200"/>
      <c r="DC944" s="522"/>
      <c r="DD944" s="200"/>
      <c r="DE944" s="223"/>
      <c r="DF944" s="223"/>
      <c r="DG944" s="223"/>
      <c r="DH944" s="223"/>
      <c r="DI944" s="223"/>
      <c r="DJ944" s="223"/>
      <c r="DK944" s="200"/>
      <c r="DL944" s="200"/>
      <c r="DM944" s="522"/>
      <c r="DN944" s="200"/>
      <c r="DO944" s="223"/>
      <c r="DP944" s="223"/>
      <c r="DQ944" s="223"/>
      <c r="DR944" s="223"/>
      <c r="DS944" s="223"/>
      <c r="DT944" s="223"/>
      <c r="DU944" s="200"/>
      <c r="DV944" s="200"/>
      <c r="DW944" s="522"/>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2"/>
      <c r="R945" s="200"/>
      <c r="S945" s="223"/>
      <c r="T945" s="223"/>
      <c r="U945" s="223"/>
      <c r="V945" s="223"/>
      <c r="W945" s="223"/>
      <c r="X945" s="223"/>
      <c r="Y945" s="200"/>
      <c r="Z945" s="200"/>
      <c r="AA945" s="522"/>
      <c r="AB945" s="200"/>
      <c r="AC945" s="223"/>
      <c r="AD945" s="223"/>
      <c r="AE945" s="223"/>
      <c r="AF945" s="223"/>
      <c r="AG945" s="223"/>
      <c r="AH945" s="223"/>
      <c r="AI945" s="200"/>
      <c r="AJ945" s="200"/>
      <c r="AK945" s="522"/>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2"/>
      <c r="BF945" s="200"/>
      <c r="BG945" s="223"/>
      <c r="BH945" s="223"/>
      <c r="BI945" s="223"/>
      <c r="BJ945" s="223"/>
      <c r="BK945" s="223"/>
      <c r="BL945" s="223"/>
      <c r="BM945" s="200"/>
      <c r="BN945" s="200"/>
      <c r="BO945" s="522"/>
      <c r="BP945" s="200"/>
      <c r="BQ945" s="223"/>
      <c r="BR945" s="223"/>
      <c r="BS945" s="223"/>
      <c r="BT945" s="223"/>
      <c r="BU945" s="223"/>
      <c r="BV945" s="223"/>
      <c r="BW945" s="223"/>
      <c r="BX945" s="200"/>
      <c r="BY945" s="522"/>
      <c r="BZ945" s="200"/>
      <c r="CA945" s="223"/>
      <c r="CB945" s="223"/>
      <c r="CC945" s="223"/>
      <c r="CD945" s="223"/>
      <c r="CE945" s="223"/>
      <c r="CF945" s="223"/>
      <c r="CG945" s="200"/>
      <c r="CH945" s="200"/>
      <c r="CI945" s="522"/>
      <c r="CJ945" s="200"/>
      <c r="CK945" s="223"/>
      <c r="CL945" s="223"/>
      <c r="CM945" s="223"/>
      <c r="CN945" s="223"/>
      <c r="CO945" s="223"/>
      <c r="CP945" s="223"/>
      <c r="CQ945" s="200"/>
      <c r="CR945" s="200"/>
      <c r="CS945" s="522"/>
      <c r="CT945" s="200"/>
      <c r="CU945" s="223"/>
      <c r="CV945" s="223"/>
      <c r="CW945" s="223"/>
      <c r="CX945" s="223"/>
      <c r="CY945" s="223"/>
      <c r="CZ945" s="223"/>
      <c r="DA945" s="223"/>
      <c r="DB945" s="200"/>
      <c r="DC945" s="522"/>
      <c r="DD945" s="200"/>
      <c r="DE945" s="223"/>
      <c r="DF945" s="223"/>
      <c r="DG945" s="223"/>
      <c r="DH945" s="223"/>
      <c r="DI945" s="223"/>
      <c r="DJ945" s="223"/>
      <c r="DK945" s="200"/>
      <c r="DL945" s="200"/>
      <c r="DM945" s="522"/>
      <c r="DN945" s="200"/>
      <c r="DO945" s="223"/>
      <c r="DP945" s="223"/>
      <c r="DQ945" s="223"/>
      <c r="DR945" s="223"/>
      <c r="DS945" s="223"/>
      <c r="DT945" s="223"/>
      <c r="DU945" s="200"/>
      <c r="DV945" s="200"/>
      <c r="DW945" s="522"/>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2"/>
      <c r="R946" s="200"/>
      <c r="S946" s="223"/>
      <c r="T946" s="223"/>
      <c r="U946" s="223"/>
      <c r="V946" s="223"/>
      <c r="W946" s="223"/>
      <c r="X946" s="223"/>
      <c r="Y946" s="200"/>
      <c r="Z946" s="200"/>
      <c r="AA946" s="522"/>
      <c r="AB946" s="200"/>
      <c r="AC946" s="223"/>
      <c r="AD946" s="223"/>
      <c r="AE946" s="223"/>
      <c r="AF946" s="223"/>
      <c r="AG946" s="223"/>
      <c r="AH946" s="223"/>
      <c r="AI946" s="200"/>
      <c r="AJ946" s="200"/>
      <c r="AK946" s="522"/>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2"/>
      <c r="BF946" s="200"/>
      <c r="BG946" s="223"/>
      <c r="BH946" s="223"/>
      <c r="BI946" s="223"/>
      <c r="BJ946" s="223"/>
      <c r="BK946" s="223"/>
      <c r="BL946" s="223"/>
      <c r="BM946" s="200"/>
      <c r="BN946" s="200"/>
      <c r="BO946" s="522"/>
      <c r="BP946" s="200"/>
      <c r="BQ946" s="223"/>
      <c r="BR946" s="223"/>
      <c r="BS946" s="223"/>
      <c r="BT946" s="223"/>
      <c r="BU946" s="223"/>
      <c r="BV946" s="223"/>
      <c r="BW946" s="223"/>
      <c r="BX946" s="200"/>
      <c r="BY946" s="522"/>
      <c r="BZ946" s="200"/>
      <c r="CA946" s="223"/>
      <c r="CB946" s="223"/>
      <c r="CC946" s="223"/>
      <c r="CD946" s="223"/>
      <c r="CE946" s="223"/>
      <c r="CF946" s="223"/>
      <c r="CG946" s="200"/>
      <c r="CH946" s="200"/>
      <c r="CI946" s="522"/>
      <c r="CJ946" s="200"/>
      <c r="CK946" s="223"/>
      <c r="CL946" s="223"/>
      <c r="CM946" s="223"/>
      <c r="CN946" s="223"/>
      <c r="CO946" s="223"/>
      <c r="CP946" s="223"/>
      <c r="CQ946" s="200"/>
      <c r="CR946" s="200"/>
      <c r="CS946" s="522"/>
      <c r="CT946" s="200"/>
      <c r="CU946" s="223"/>
      <c r="CV946" s="223"/>
      <c r="CW946" s="223"/>
      <c r="CX946" s="223"/>
      <c r="CY946" s="223"/>
      <c r="CZ946" s="223"/>
      <c r="DA946" s="223"/>
      <c r="DB946" s="200"/>
      <c r="DC946" s="522"/>
      <c r="DD946" s="200"/>
      <c r="DE946" s="223"/>
      <c r="DF946" s="223"/>
      <c r="DG946" s="223"/>
      <c r="DH946" s="223"/>
      <c r="DI946" s="223"/>
      <c r="DJ946" s="223"/>
      <c r="DK946" s="200"/>
      <c r="DL946" s="200"/>
      <c r="DM946" s="522"/>
      <c r="DN946" s="200"/>
      <c r="DO946" s="223"/>
      <c r="DP946" s="223"/>
      <c r="DQ946" s="223"/>
      <c r="DR946" s="223"/>
      <c r="DS946" s="223"/>
      <c r="DT946" s="223"/>
      <c r="DU946" s="200"/>
      <c r="DV946" s="200"/>
      <c r="DW946" s="522"/>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2"/>
      <c r="R947" s="200"/>
      <c r="S947" s="223"/>
      <c r="T947" s="223"/>
      <c r="U947" s="223"/>
      <c r="V947" s="223"/>
      <c r="W947" s="223"/>
      <c r="X947" s="223"/>
      <c r="Y947" s="200"/>
      <c r="Z947" s="200"/>
      <c r="AA947" s="522"/>
      <c r="AB947" s="200"/>
      <c r="AC947" s="223"/>
      <c r="AD947" s="223"/>
      <c r="AE947" s="223"/>
      <c r="AF947" s="223"/>
      <c r="AG947" s="223"/>
      <c r="AH947" s="223"/>
      <c r="AI947" s="200"/>
      <c r="AJ947" s="200"/>
      <c r="AK947" s="522"/>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2"/>
      <c r="BF947" s="200"/>
      <c r="BG947" s="223"/>
      <c r="BH947" s="223"/>
      <c r="BI947" s="223"/>
      <c r="BJ947" s="223"/>
      <c r="BK947" s="223"/>
      <c r="BL947" s="223"/>
      <c r="BM947" s="200"/>
      <c r="BN947" s="200"/>
      <c r="BO947" s="522"/>
      <c r="BP947" s="200"/>
      <c r="BQ947" s="223"/>
      <c r="BR947" s="223"/>
      <c r="BS947" s="223"/>
      <c r="BT947" s="223"/>
      <c r="BU947" s="223"/>
      <c r="BV947" s="223"/>
      <c r="BW947" s="223"/>
      <c r="BX947" s="200"/>
      <c r="BY947" s="522"/>
      <c r="BZ947" s="200"/>
      <c r="CA947" s="223"/>
      <c r="CB947" s="223"/>
      <c r="CC947" s="223"/>
      <c r="CD947" s="223"/>
      <c r="CE947" s="223"/>
      <c r="CF947" s="223"/>
      <c r="CG947" s="200"/>
      <c r="CH947" s="200"/>
      <c r="CI947" s="522"/>
      <c r="CJ947" s="200"/>
      <c r="CK947" s="223"/>
      <c r="CL947" s="223"/>
      <c r="CM947" s="223"/>
      <c r="CN947" s="223"/>
      <c r="CO947" s="223"/>
      <c r="CP947" s="223"/>
      <c r="CQ947" s="200"/>
      <c r="CR947" s="200"/>
      <c r="CS947" s="522"/>
      <c r="CT947" s="200"/>
      <c r="CU947" s="223"/>
      <c r="CV947" s="223"/>
      <c r="CW947" s="223"/>
      <c r="CX947" s="223"/>
      <c r="CY947" s="223"/>
      <c r="CZ947" s="223"/>
      <c r="DA947" s="223"/>
      <c r="DB947" s="200"/>
      <c r="DC947" s="522"/>
      <c r="DD947" s="200"/>
      <c r="DE947" s="223"/>
      <c r="DF947" s="223"/>
      <c r="DG947" s="223"/>
      <c r="DH947" s="223"/>
      <c r="DI947" s="223"/>
      <c r="DJ947" s="223"/>
      <c r="DK947" s="200"/>
      <c r="DL947" s="200"/>
      <c r="DM947" s="522"/>
      <c r="DN947" s="200"/>
      <c r="DO947" s="223"/>
      <c r="DP947" s="223"/>
      <c r="DQ947" s="223"/>
      <c r="DR947" s="223"/>
      <c r="DS947" s="223"/>
      <c r="DT947" s="223"/>
      <c r="DU947" s="200"/>
      <c r="DV947" s="200"/>
      <c r="DW947" s="522"/>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2"/>
      <c r="R948" s="200"/>
      <c r="S948" s="223"/>
      <c r="T948" s="223"/>
      <c r="U948" s="223"/>
      <c r="V948" s="223"/>
      <c r="W948" s="223"/>
      <c r="X948" s="223"/>
      <c r="Y948" s="200"/>
      <c r="Z948" s="200"/>
      <c r="AA948" s="522"/>
      <c r="AB948" s="200"/>
      <c r="AC948" s="223"/>
      <c r="AD948" s="223"/>
      <c r="AE948" s="223"/>
      <c r="AF948" s="223"/>
      <c r="AG948" s="223"/>
      <c r="AH948" s="223"/>
      <c r="AI948" s="200"/>
      <c r="AJ948" s="200"/>
      <c r="AK948" s="522"/>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2"/>
      <c r="BF948" s="200"/>
      <c r="BG948" s="223"/>
      <c r="BH948" s="223"/>
      <c r="BI948" s="223"/>
      <c r="BJ948" s="223"/>
      <c r="BK948" s="223"/>
      <c r="BL948" s="223"/>
      <c r="BM948" s="200"/>
      <c r="BN948" s="200"/>
      <c r="BO948" s="522"/>
      <c r="BP948" s="200"/>
      <c r="BQ948" s="223"/>
      <c r="BR948" s="223"/>
      <c r="BS948" s="223"/>
      <c r="BT948" s="223"/>
      <c r="BU948" s="223"/>
      <c r="BV948" s="223"/>
      <c r="BW948" s="223"/>
      <c r="BX948" s="200"/>
      <c r="BY948" s="522"/>
      <c r="BZ948" s="200"/>
      <c r="CA948" s="223"/>
      <c r="CB948" s="223"/>
      <c r="CC948" s="223"/>
      <c r="CD948" s="223"/>
      <c r="CE948" s="223"/>
      <c r="CF948" s="223"/>
      <c r="CG948" s="200"/>
      <c r="CH948" s="200"/>
      <c r="CI948" s="522"/>
      <c r="CJ948" s="200"/>
      <c r="CK948" s="223"/>
      <c r="CL948" s="223"/>
      <c r="CM948" s="223"/>
      <c r="CN948" s="223"/>
      <c r="CO948" s="223"/>
      <c r="CP948" s="223"/>
      <c r="CQ948" s="200"/>
      <c r="CR948" s="200"/>
      <c r="CS948" s="522"/>
      <c r="CT948" s="200"/>
      <c r="CU948" s="223"/>
      <c r="CV948" s="223"/>
      <c r="CW948" s="223"/>
      <c r="CX948" s="223"/>
      <c r="CY948" s="223"/>
      <c r="CZ948" s="223"/>
      <c r="DA948" s="223"/>
      <c r="DB948" s="200"/>
      <c r="DC948" s="522"/>
      <c r="DD948" s="200"/>
      <c r="DE948" s="223"/>
      <c r="DF948" s="223"/>
      <c r="DG948" s="223"/>
      <c r="DH948" s="223"/>
      <c r="DI948" s="223"/>
      <c r="DJ948" s="223"/>
      <c r="DK948" s="200"/>
      <c r="DL948" s="200"/>
      <c r="DM948" s="522"/>
      <c r="DN948" s="200"/>
      <c r="DO948" s="223"/>
      <c r="DP948" s="223"/>
      <c r="DQ948" s="223"/>
      <c r="DR948" s="223"/>
      <c r="DS948" s="223"/>
      <c r="DT948" s="223"/>
      <c r="DU948" s="200"/>
      <c r="DV948" s="200"/>
      <c r="DW948" s="522"/>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2"/>
      <c r="R949" s="200"/>
      <c r="S949" s="223"/>
      <c r="T949" s="223"/>
      <c r="U949" s="223"/>
      <c r="V949" s="223"/>
      <c r="W949" s="223"/>
      <c r="X949" s="223"/>
      <c r="Y949" s="200"/>
      <c r="Z949" s="200"/>
      <c r="AA949" s="522"/>
      <c r="AB949" s="200"/>
      <c r="AC949" s="223"/>
      <c r="AD949" s="223"/>
      <c r="AE949" s="223"/>
      <c r="AF949" s="223"/>
      <c r="AG949" s="223"/>
      <c r="AH949" s="223"/>
      <c r="AI949" s="200"/>
      <c r="AJ949" s="200"/>
      <c r="AK949" s="522"/>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2"/>
      <c r="BF949" s="200"/>
      <c r="BG949" s="223"/>
      <c r="BH949" s="223"/>
      <c r="BI949" s="223"/>
      <c r="BJ949" s="223"/>
      <c r="BK949" s="223"/>
      <c r="BL949" s="223"/>
      <c r="BM949" s="200"/>
      <c r="BN949" s="200"/>
      <c r="BO949" s="522"/>
      <c r="BP949" s="200"/>
      <c r="BQ949" s="223"/>
      <c r="BR949" s="223"/>
      <c r="BS949" s="223"/>
      <c r="BT949" s="223"/>
      <c r="BU949" s="223"/>
      <c r="BV949" s="223"/>
      <c r="BW949" s="223"/>
      <c r="BX949" s="200"/>
      <c r="BY949" s="522"/>
      <c r="BZ949" s="200"/>
      <c r="CA949" s="223"/>
      <c r="CB949" s="223"/>
      <c r="CC949" s="223"/>
      <c r="CD949" s="223"/>
      <c r="CE949" s="223"/>
      <c r="CF949" s="223"/>
      <c r="CG949" s="200"/>
      <c r="CH949" s="200"/>
      <c r="CI949" s="522"/>
      <c r="CJ949" s="200"/>
      <c r="CK949" s="223"/>
      <c r="CL949" s="223"/>
      <c r="CM949" s="223"/>
      <c r="CN949" s="223"/>
      <c r="CO949" s="223"/>
      <c r="CP949" s="223"/>
      <c r="CQ949" s="200"/>
      <c r="CR949" s="200"/>
      <c r="CS949" s="522"/>
      <c r="CT949" s="200"/>
      <c r="CU949" s="223"/>
      <c r="CV949" s="223"/>
      <c r="CW949" s="223"/>
      <c r="CX949" s="223"/>
      <c r="CY949" s="223"/>
      <c r="CZ949" s="223"/>
      <c r="DA949" s="223"/>
      <c r="DB949" s="200"/>
      <c r="DC949" s="522"/>
      <c r="DD949" s="200"/>
      <c r="DE949" s="223"/>
      <c r="DF949" s="223"/>
      <c r="DG949" s="223"/>
      <c r="DH949" s="223"/>
      <c r="DI949" s="223"/>
      <c r="DJ949" s="223"/>
      <c r="DK949" s="200"/>
      <c r="DL949" s="200"/>
      <c r="DM949" s="522"/>
      <c r="DN949" s="200"/>
      <c r="DO949" s="223"/>
      <c r="DP949" s="223"/>
      <c r="DQ949" s="223"/>
      <c r="DR949" s="223"/>
      <c r="DS949" s="223"/>
      <c r="DT949" s="223"/>
      <c r="DU949" s="200"/>
      <c r="DV949" s="200"/>
      <c r="DW949" s="522"/>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2"/>
      <c r="R950" s="200"/>
      <c r="S950" s="223"/>
      <c r="T950" s="223"/>
      <c r="U950" s="223"/>
      <c r="V950" s="223"/>
      <c r="W950" s="223"/>
      <c r="X950" s="223"/>
      <c r="Y950" s="200"/>
      <c r="Z950" s="200"/>
      <c r="AA950" s="522"/>
      <c r="AB950" s="200"/>
      <c r="AC950" s="223"/>
      <c r="AD950" s="223"/>
      <c r="AE950" s="223"/>
      <c r="AF950" s="223"/>
      <c r="AG950" s="223"/>
      <c r="AH950" s="223"/>
      <c r="AI950" s="200"/>
      <c r="AJ950" s="200"/>
      <c r="AK950" s="522"/>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2"/>
      <c r="BF950" s="200"/>
      <c r="BG950" s="223"/>
      <c r="BH950" s="223"/>
      <c r="BI950" s="223"/>
      <c r="BJ950" s="223"/>
      <c r="BK950" s="223"/>
      <c r="BL950" s="223"/>
      <c r="BM950" s="200"/>
      <c r="BN950" s="200"/>
      <c r="BO950" s="522"/>
      <c r="BP950" s="200"/>
      <c r="BQ950" s="223"/>
      <c r="BR950" s="223"/>
      <c r="BS950" s="223"/>
      <c r="BT950" s="223"/>
      <c r="BU950" s="223"/>
      <c r="BV950" s="223"/>
      <c r="BW950" s="223"/>
      <c r="BX950" s="200"/>
      <c r="BY950" s="522"/>
      <c r="BZ950" s="200"/>
      <c r="CA950" s="223"/>
      <c r="CB950" s="223"/>
      <c r="CC950" s="223"/>
      <c r="CD950" s="223"/>
      <c r="CE950" s="223"/>
      <c r="CF950" s="223"/>
      <c r="CG950" s="200"/>
      <c r="CH950" s="200"/>
      <c r="CI950" s="522"/>
      <c r="CJ950" s="200"/>
      <c r="CK950" s="223"/>
      <c r="CL950" s="223"/>
      <c r="CM950" s="223"/>
      <c r="CN950" s="223"/>
      <c r="CO950" s="223"/>
      <c r="CP950" s="223"/>
      <c r="CQ950" s="200"/>
      <c r="CR950" s="200"/>
      <c r="CS950" s="522"/>
      <c r="CT950" s="200"/>
      <c r="CU950" s="223"/>
      <c r="CV950" s="223"/>
      <c r="CW950" s="223"/>
      <c r="CX950" s="223"/>
      <c r="CY950" s="223"/>
      <c r="CZ950" s="223"/>
      <c r="DA950" s="223"/>
      <c r="DB950" s="200"/>
      <c r="DC950" s="522"/>
      <c r="DD950" s="200"/>
      <c r="DE950" s="223"/>
      <c r="DF950" s="223"/>
      <c r="DG950" s="223"/>
      <c r="DH950" s="223"/>
      <c r="DI950" s="223"/>
      <c r="DJ950" s="223"/>
      <c r="DK950" s="200"/>
      <c r="DL950" s="200"/>
      <c r="DM950" s="522"/>
      <c r="DN950" s="200"/>
      <c r="DO950" s="223"/>
      <c r="DP950" s="223"/>
      <c r="DQ950" s="223"/>
      <c r="DR950" s="223"/>
      <c r="DS950" s="223"/>
      <c r="DT950" s="223"/>
      <c r="DU950" s="200"/>
      <c r="DV950" s="200"/>
      <c r="DW950" s="522"/>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2"/>
      <c r="R951" s="200"/>
      <c r="S951" s="223"/>
      <c r="T951" s="223"/>
      <c r="U951" s="223"/>
      <c r="V951" s="223"/>
      <c r="W951" s="223"/>
      <c r="X951" s="223"/>
      <c r="Y951" s="200"/>
      <c r="Z951" s="200"/>
      <c r="AA951" s="522"/>
      <c r="AB951" s="200"/>
      <c r="AC951" s="223"/>
      <c r="AD951" s="223"/>
      <c r="AE951" s="223"/>
      <c r="AF951" s="223"/>
      <c r="AG951" s="223"/>
      <c r="AH951" s="223"/>
      <c r="AI951" s="200"/>
      <c r="AJ951" s="200"/>
      <c r="AK951" s="522"/>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2"/>
      <c r="BF951" s="200"/>
      <c r="BG951" s="223"/>
      <c r="BH951" s="223"/>
      <c r="BI951" s="223"/>
      <c r="BJ951" s="223"/>
      <c r="BK951" s="223"/>
      <c r="BL951" s="223"/>
      <c r="BM951" s="200"/>
      <c r="BN951" s="200"/>
      <c r="BO951" s="522"/>
      <c r="BP951" s="200"/>
      <c r="BQ951" s="223"/>
      <c r="BR951" s="223"/>
      <c r="BS951" s="223"/>
      <c r="BT951" s="223"/>
      <c r="BU951" s="223"/>
      <c r="BV951" s="223"/>
      <c r="BW951" s="223"/>
      <c r="BX951" s="200"/>
      <c r="BY951" s="522"/>
      <c r="BZ951" s="200"/>
      <c r="CA951" s="223"/>
      <c r="CB951" s="223"/>
      <c r="CC951" s="223"/>
      <c r="CD951" s="223"/>
      <c r="CE951" s="223"/>
      <c r="CF951" s="223"/>
      <c r="CG951" s="200"/>
      <c r="CH951" s="200"/>
      <c r="CI951" s="522"/>
      <c r="CJ951" s="200"/>
      <c r="CK951" s="223"/>
      <c r="CL951" s="223"/>
      <c r="CM951" s="223"/>
      <c r="CN951" s="223"/>
      <c r="CO951" s="223"/>
      <c r="CP951" s="223"/>
      <c r="CQ951" s="200"/>
      <c r="CR951" s="200"/>
      <c r="CS951" s="522"/>
      <c r="CT951" s="200"/>
      <c r="CU951" s="223"/>
      <c r="CV951" s="223"/>
      <c r="CW951" s="223"/>
      <c r="CX951" s="223"/>
      <c r="CY951" s="223"/>
      <c r="CZ951" s="223"/>
      <c r="DA951" s="223"/>
      <c r="DB951" s="200"/>
      <c r="DC951" s="522"/>
      <c r="DD951" s="200"/>
      <c r="DE951" s="223"/>
      <c r="DF951" s="223"/>
      <c r="DG951" s="223"/>
      <c r="DH951" s="223"/>
      <c r="DI951" s="223"/>
      <c r="DJ951" s="223"/>
      <c r="DK951" s="200"/>
      <c r="DL951" s="200"/>
      <c r="DM951" s="522"/>
      <c r="DN951" s="200"/>
      <c r="DO951" s="223"/>
      <c r="DP951" s="223"/>
      <c r="DQ951" s="223"/>
      <c r="DR951" s="223"/>
      <c r="DS951" s="223"/>
      <c r="DT951" s="223"/>
      <c r="DU951" s="200"/>
      <c r="DV951" s="200"/>
      <c r="DW951" s="522"/>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2"/>
      <c r="R952" s="200"/>
      <c r="S952" s="223"/>
      <c r="T952" s="223"/>
      <c r="U952" s="223"/>
      <c r="V952" s="223"/>
      <c r="W952" s="223"/>
      <c r="X952" s="223"/>
      <c r="Y952" s="200"/>
      <c r="Z952" s="200"/>
      <c r="AA952" s="522"/>
      <c r="AB952" s="200"/>
      <c r="AC952" s="223"/>
      <c r="AD952" s="223"/>
      <c r="AE952" s="223"/>
      <c r="AF952" s="223"/>
      <c r="AG952" s="223"/>
      <c r="AH952" s="223"/>
      <c r="AI952" s="200"/>
      <c r="AJ952" s="200"/>
      <c r="AK952" s="522"/>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2"/>
      <c r="BF952" s="200"/>
      <c r="BG952" s="223"/>
      <c r="BH952" s="223"/>
      <c r="BI952" s="223"/>
      <c r="BJ952" s="223"/>
      <c r="BK952" s="223"/>
      <c r="BL952" s="223"/>
      <c r="BM952" s="200"/>
      <c r="BN952" s="200"/>
      <c r="BO952" s="522"/>
      <c r="BP952" s="200"/>
      <c r="BQ952" s="223"/>
      <c r="BR952" s="223"/>
      <c r="BS952" s="223"/>
      <c r="BT952" s="223"/>
      <c r="BU952" s="223"/>
      <c r="BV952" s="223"/>
      <c r="BW952" s="223"/>
      <c r="BX952" s="200"/>
      <c r="BY952" s="522"/>
      <c r="BZ952" s="200"/>
      <c r="CA952" s="223"/>
      <c r="CB952" s="223"/>
      <c r="CC952" s="223"/>
      <c r="CD952" s="223"/>
      <c r="CE952" s="223"/>
      <c r="CF952" s="223"/>
      <c r="CG952" s="200"/>
      <c r="CH952" s="200"/>
      <c r="CI952" s="522"/>
      <c r="CJ952" s="200"/>
      <c r="CK952" s="223"/>
      <c r="CL952" s="223"/>
      <c r="CM952" s="223"/>
      <c r="CN952" s="223"/>
      <c r="CO952" s="223"/>
      <c r="CP952" s="223"/>
      <c r="CQ952" s="200"/>
      <c r="CR952" s="200"/>
      <c r="CS952" s="522"/>
      <c r="CT952" s="200"/>
      <c r="CU952" s="223"/>
      <c r="CV952" s="223"/>
      <c r="CW952" s="223"/>
      <c r="CX952" s="223"/>
      <c r="CY952" s="223"/>
      <c r="CZ952" s="223"/>
      <c r="DA952" s="223"/>
      <c r="DB952" s="200"/>
      <c r="DC952" s="522"/>
      <c r="DD952" s="200"/>
      <c r="DE952" s="223"/>
      <c r="DF952" s="223"/>
      <c r="DG952" s="223"/>
      <c r="DH952" s="223"/>
      <c r="DI952" s="223"/>
      <c r="DJ952" s="223"/>
      <c r="DK952" s="200"/>
      <c r="DL952" s="200"/>
      <c r="DM952" s="522"/>
      <c r="DN952" s="200"/>
      <c r="DO952" s="223"/>
      <c r="DP952" s="223"/>
      <c r="DQ952" s="223"/>
      <c r="DR952" s="223"/>
      <c r="DS952" s="223"/>
      <c r="DT952" s="223"/>
      <c r="DU952" s="200"/>
      <c r="DV952" s="200"/>
      <c r="DW952" s="522"/>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2"/>
      <c r="R953" s="200"/>
      <c r="S953" s="223"/>
      <c r="T953" s="223"/>
      <c r="U953" s="223"/>
      <c r="V953" s="223"/>
      <c r="W953" s="223"/>
      <c r="X953" s="223"/>
      <c r="Y953" s="200"/>
      <c r="Z953" s="200"/>
      <c r="AA953" s="522"/>
      <c r="AB953" s="200"/>
      <c r="AC953" s="223"/>
      <c r="AD953" s="223"/>
      <c r="AE953" s="223"/>
      <c r="AF953" s="223"/>
      <c r="AG953" s="223"/>
      <c r="AH953" s="223"/>
      <c r="AI953" s="200"/>
      <c r="AJ953" s="200"/>
      <c r="AK953" s="522"/>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2"/>
      <c r="BF953" s="200"/>
      <c r="BG953" s="223"/>
      <c r="BH953" s="223"/>
      <c r="BI953" s="223"/>
      <c r="BJ953" s="223"/>
      <c r="BK953" s="223"/>
      <c r="BL953" s="223"/>
      <c r="BM953" s="200"/>
      <c r="BN953" s="200"/>
      <c r="BO953" s="522"/>
      <c r="BP953" s="200"/>
      <c r="BQ953" s="223"/>
      <c r="BR953" s="223"/>
      <c r="BS953" s="223"/>
      <c r="BT953" s="223"/>
      <c r="BU953" s="223"/>
      <c r="BV953" s="223"/>
      <c r="BW953" s="223"/>
      <c r="BX953" s="200"/>
      <c r="BY953" s="522"/>
      <c r="BZ953" s="200"/>
      <c r="CA953" s="223"/>
      <c r="CB953" s="223"/>
      <c r="CC953" s="223"/>
      <c r="CD953" s="223"/>
      <c r="CE953" s="223"/>
      <c r="CF953" s="223"/>
      <c r="CG953" s="200"/>
      <c r="CH953" s="200"/>
      <c r="CI953" s="522"/>
      <c r="CJ953" s="200"/>
      <c r="CK953" s="223"/>
      <c r="CL953" s="223"/>
      <c r="CM953" s="223"/>
      <c r="CN953" s="223"/>
      <c r="CO953" s="223"/>
      <c r="CP953" s="223"/>
      <c r="CQ953" s="200"/>
      <c r="CR953" s="200"/>
      <c r="CS953" s="522"/>
      <c r="CT953" s="200"/>
      <c r="CU953" s="223"/>
      <c r="CV953" s="223"/>
      <c r="CW953" s="223"/>
      <c r="CX953" s="223"/>
      <c r="CY953" s="223"/>
      <c r="CZ953" s="223"/>
      <c r="DA953" s="223"/>
      <c r="DB953" s="200"/>
      <c r="DC953" s="522"/>
      <c r="DD953" s="200"/>
      <c r="DE953" s="223"/>
      <c r="DF953" s="223"/>
      <c r="DG953" s="223"/>
      <c r="DH953" s="223"/>
      <c r="DI953" s="223"/>
      <c r="DJ953" s="223"/>
      <c r="DK953" s="200"/>
      <c r="DL953" s="200"/>
      <c r="DM953" s="522"/>
      <c r="DN953" s="200"/>
      <c r="DO953" s="223"/>
      <c r="DP953" s="223"/>
      <c r="DQ953" s="223"/>
      <c r="DR953" s="223"/>
      <c r="DS953" s="223"/>
      <c r="DT953" s="223"/>
      <c r="DU953" s="200"/>
      <c r="DV953" s="200"/>
      <c r="DW953" s="522"/>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2"/>
      <c r="R954" s="200"/>
      <c r="S954" s="223"/>
      <c r="T954" s="223"/>
      <c r="U954" s="223"/>
      <c r="V954" s="223"/>
      <c r="W954" s="223"/>
      <c r="X954" s="223"/>
      <c r="Y954" s="200"/>
      <c r="Z954" s="200"/>
      <c r="AA954" s="522"/>
      <c r="AB954" s="200"/>
      <c r="AC954" s="223"/>
      <c r="AD954" s="223"/>
      <c r="AE954" s="223"/>
      <c r="AF954" s="223"/>
      <c r="AG954" s="223"/>
      <c r="AH954" s="223"/>
      <c r="AI954" s="200"/>
      <c r="AJ954" s="200"/>
      <c r="AK954" s="522"/>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2"/>
      <c r="BF954" s="200"/>
      <c r="BG954" s="223"/>
      <c r="BH954" s="223"/>
      <c r="BI954" s="223"/>
      <c r="BJ954" s="223"/>
      <c r="BK954" s="223"/>
      <c r="BL954" s="223"/>
      <c r="BM954" s="200"/>
      <c r="BN954" s="200"/>
      <c r="BO954" s="522"/>
      <c r="BP954" s="200"/>
      <c r="BQ954" s="223"/>
      <c r="BR954" s="223"/>
      <c r="BS954" s="223"/>
      <c r="BT954" s="223"/>
      <c r="BU954" s="223"/>
      <c r="BV954" s="223"/>
      <c r="BW954" s="223"/>
      <c r="BX954" s="200"/>
      <c r="BY954" s="522"/>
      <c r="BZ954" s="200"/>
      <c r="CA954" s="223"/>
      <c r="CB954" s="223"/>
      <c r="CC954" s="223"/>
      <c r="CD954" s="223"/>
      <c r="CE954" s="223"/>
      <c r="CF954" s="223"/>
      <c r="CG954" s="200"/>
      <c r="CH954" s="200"/>
      <c r="CI954" s="522"/>
      <c r="CJ954" s="200"/>
      <c r="CK954" s="223"/>
      <c r="CL954" s="223"/>
      <c r="CM954" s="223"/>
      <c r="CN954" s="223"/>
      <c r="CO954" s="223"/>
      <c r="CP954" s="223"/>
      <c r="CQ954" s="200"/>
      <c r="CR954" s="200"/>
      <c r="CS954" s="522"/>
      <c r="CT954" s="200"/>
      <c r="CU954" s="223"/>
      <c r="CV954" s="223"/>
      <c r="CW954" s="223"/>
      <c r="CX954" s="223"/>
      <c r="CY954" s="223"/>
      <c r="CZ954" s="223"/>
      <c r="DA954" s="223"/>
      <c r="DB954" s="200"/>
      <c r="DC954" s="522"/>
      <c r="DD954" s="200"/>
      <c r="DE954" s="223"/>
      <c r="DF954" s="223"/>
      <c r="DG954" s="223"/>
      <c r="DH954" s="223"/>
      <c r="DI954" s="223"/>
      <c r="DJ954" s="223"/>
      <c r="DK954" s="200"/>
      <c r="DL954" s="200"/>
      <c r="DM954" s="522"/>
      <c r="DN954" s="200"/>
      <c r="DO954" s="223"/>
      <c r="DP954" s="223"/>
      <c r="DQ954" s="223"/>
      <c r="DR954" s="223"/>
      <c r="DS954" s="223"/>
      <c r="DT954" s="223"/>
      <c r="DU954" s="200"/>
      <c r="DV954" s="200"/>
      <c r="DW954" s="522"/>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2"/>
      <c r="R955" s="200"/>
      <c r="S955" s="223"/>
      <c r="T955" s="223"/>
      <c r="U955" s="223"/>
      <c r="V955" s="223"/>
      <c r="W955" s="223"/>
      <c r="X955" s="223"/>
      <c r="Y955" s="200"/>
      <c r="Z955" s="200"/>
      <c r="AA955" s="522"/>
      <c r="AB955" s="200"/>
      <c r="AC955" s="223"/>
      <c r="AD955" s="223"/>
      <c r="AE955" s="223"/>
      <c r="AF955" s="223"/>
      <c r="AG955" s="223"/>
      <c r="AH955" s="223"/>
      <c r="AI955" s="200"/>
      <c r="AJ955" s="200"/>
      <c r="AK955" s="522"/>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2"/>
      <c r="BF955" s="200"/>
      <c r="BG955" s="223"/>
      <c r="BH955" s="223"/>
      <c r="BI955" s="223"/>
      <c r="BJ955" s="223"/>
      <c r="BK955" s="223"/>
      <c r="BL955" s="223"/>
      <c r="BM955" s="200"/>
      <c r="BN955" s="200"/>
      <c r="BO955" s="522"/>
      <c r="BP955" s="200"/>
      <c r="BQ955" s="223"/>
      <c r="BR955" s="223"/>
      <c r="BS955" s="223"/>
      <c r="BT955" s="223"/>
      <c r="BU955" s="223"/>
      <c r="BV955" s="223"/>
      <c r="BW955" s="223"/>
      <c r="BX955" s="200"/>
      <c r="BY955" s="522"/>
      <c r="BZ955" s="200"/>
      <c r="CA955" s="223"/>
      <c r="CB955" s="223"/>
      <c r="CC955" s="223"/>
      <c r="CD955" s="223"/>
      <c r="CE955" s="223"/>
      <c r="CF955" s="223"/>
      <c r="CG955" s="200"/>
      <c r="CH955" s="200"/>
      <c r="CI955" s="522"/>
      <c r="CJ955" s="200"/>
      <c r="CK955" s="223"/>
      <c r="CL955" s="223"/>
      <c r="CM955" s="223"/>
      <c r="CN955" s="223"/>
      <c r="CO955" s="223"/>
      <c r="CP955" s="223"/>
      <c r="CQ955" s="200"/>
      <c r="CR955" s="200"/>
      <c r="CS955" s="522"/>
      <c r="CT955" s="200"/>
      <c r="CU955" s="223"/>
      <c r="CV955" s="223"/>
      <c r="CW955" s="223"/>
      <c r="CX955" s="223"/>
      <c r="CY955" s="223"/>
      <c r="CZ955" s="223"/>
      <c r="DA955" s="223"/>
      <c r="DB955" s="200"/>
      <c r="DC955" s="522"/>
      <c r="DD955" s="200"/>
      <c r="DE955" s="223"/>
      <c r="DF955" s="223"/>
      <c r="DG955" s="223"/>
      <c r="DH955" s="223"/>
      <c r="DI955" s="223"/>
      <c r="DJ955" s="223"/>
      <c r="DK955" s="200"/>
      <c r="DL955" s="200"/>
      <c r="DM955" s="522"/>
      <c r="DN955" s="200"/>
      <c r="DO955" s="223"/>
      <c r="DP955" s="223"/>
      <c r="DQ955" s="223"/>
      <c r="DR955" s="223"/>
      <c r="DS955" s="223"/>
      <c r="DT955" s="223"/>
      <c r="DU955" s="200"/>
      <c r="DV955" s="200"/>
      <c r="DW955" s="522"/>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2"/>
      <c r="R956" s="200"/>
      <c r="S956" s="223"/>
      <c r="T956" s="223"/>
      <c r="U956" s="223"/>
      <c r="V956" s="223"/>
      <c r="W956" s="223"/>
      <c r="X956" s="223"/>
      <c r="Y956" s="200"/>
      <c r="Z956" s="200"/>
      <c r="AA956" s="522"/>
      <c r="AB956" s="200"/>
      <c r="AC956" s="223"/>
      <c r="AD956" s="223"/>
      <c r="AE956" s="223"/>
      <c r="AF956" s="223"/>
      <c r="AG956" s="223"/>
      <c r="AH956" s="223"/>
      <c r="AI956" s="200"/>
      <c r="AJ956" s="200"/>
      <c r="AK956" s="522"/>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2"/>
      <c r="BF956" s="200"/>
      <c r="BG956" s="223"/>
      <c r="BH956" s="223"/>
      <c r="BI956" s="223"/>
      <c r="BJ956" s="223"/>
      <c r="BK956" s="223"/>
      <c r="BL956" s="223"/>
      <c r="BM956" s="200"/>
      <c r="BN956" s="200"/>
      <c r="BO956" s="522"/>
      <c r="BP956" s="200"/>
      <c r="BQ956" s="223"/>
      <c r="BR956" s="223"/>
      <c r="BS956" s="223"/>
      <c r="BT956" s="223"/>
      <c r="BU956" s="223"/>
      <c r="BV956" s="223"/>
      <c r="BW956" s="223"/>
      <c r="BX956" s="200"/>
      <c r="BY956" s="522"/>
      <c r="BZ956" s="200"/>
      <c r="CA956" s="223"/>
      <c r="CB956" s="223"/>
      <c r="CC956" s="223"/>
      <c r="CD956" s="223"/>
      <c r="CE956" s="223"/>
      <c r="CF956" s="223"/>
      <c r="CG956" s="200"/>
      <c r="CH956" s="200"/>
      <c r="CI956" s="522"/>
      <c r="CJ956" s="200"/>
      <c r="CK956" s="223"/>
      <c r="CL956" s="223"/>
      <c r="CM956" s="223"/>
      <c r="CN956" s="223"/>
      <c r="CO956" s="223"/>
      <c r="CP956" s="223"/>
      <c r="CQ956" s="200"/>
      <c r="CR956" s="200"/>
      <c r="CS956" s="522"/>
      <c r="CT956" s="200"/>
      <c r="CU956" s="223"/>
      <c r="CV956" s="223"/>
      <c r="CW956" s="223"/>
      <c r="CX956" s="223"/>
      <c r="CY956" s="223"/>
      <c r="CZ956" s="223"/>
      <c r="DA956" s="223"/>
      <c r="DB956" s="200"/>
      <c r="DC956" s="522"/>
      <c r="DD956" s="200"/>
      <c r="DE956" s="223"/>
      <c r="DF956" s="223"/>
      <c r="DG956" s="223"/>
      <c r="DH956" s="223"/>
      <c r="DI956" s="223"/>
      <c r="DJ956" s="223"/>
      <c r="DK956" s="200"/>
      <c r="DL956" s="200"/>
      <c r="DM956" s="522"/>
      <c r="DN956" s="200"/>
      <c r="DO956" s="223"/>
      <c r="DP956" s="223"/>
      <c r="DQ956" s="223"/>
      <c r="DR956" s="223"/>
      <c r="DS956" s="223"/>
      <c r="DT956" s="223"/>
      <c r="DU956" s="200"/>
      <c r="DV956" s="200"/>
      <c r="DW956" s="522"/>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2"/>
      <c r="R957" s="200"/>
      <c r="S957" s="223"/>
      <c r="T957" s="223"/>
      <c r="U957" s="223"/>
      <c r="V957" s="223"/>
      <c r="W957" s="223"/>
      <c r="X957" s="223"/>
      <c r="Y957" s="200"/>
      <c r="Z957" s="200"/>
      <c r="AA957" s="522"/>
      <c r="AB957" s="200"/>
      <c r="AC957" s="223"/>
      <c r="AD957" s="223"/>
      <c r="AE957" s="223"/>
      <c r="AF957" s="223"/>
      <c r="AG957" s="223"/>
      <c r="AH957" s="223"/>
      <c r="AI957" s="200"/>
      <c r="AJ957" s="200"/>
      <c r="AK957" s="522"/>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2"/>
      <c r="BF957" s="200"/>
      <c r="BG957" s="223"/>
      <c r="BH957" s="223"/>
      <c r="BI957" s="223"/>
      <c r="BJ957" s="223"/>
      <c r="BK957" s="223"/>
      <c r="BL957" s="223"/>
      <c r="BM957" s="200"/>
      <c r="BN957" s="200"/>
      <c r="BO957" s="522"/>
      <c r="BP957" s="200"/>
      <c r="BQ957" s="223"/>
      <c r="BR957" s="223"/>
      <c r="BS957" s="223"/>
      <c r="BT957" s="223"/>
      <c r="BU957" s="223"/>
      <c r="BV957" s="223"/>
      <c r="BW957" s="223"/>
      <c r="BX957" s="200"/>
      <c r="BY957" s="522"/>
      <c r="BZ957" s="200"/>
      <c r="CA957" s="223"/>
      <c r="CB957" s="223"/>
      <c r="CC957" s="223"/>
      <c r="CD957" s="223"/>
      <c r="CE957" s="223"/>
      <c r="CF957" s="223"/>
      <c r="CG957" s="200"/>
      <c r="CH957" s="200"/>
      <c r="CI957" s="522"/>
      <c r="CJ957" s="200"/>
      <c r="CK957" s="223"/>
      <c r="CL957" s="223"/>
      <c r="CM957" s="223"/>
      <c r="CN957" s="223"/>
      <c r="CO957" s="223"/>
      <c r="CP957" s="223"/>
      <c r="CQ957" s="200"/>
      <c r="CR957" s="200"/>
      <c r="CS957" s="522"/>
      <c r="CT957" s="200"/>
      <c r="CU957" s="223"/>
      <c r="CV957" s="223"/>
      <c r="CW957" s="223"/>
      <c r="CX957" s="223"/>
      <c r="CY957" s="223"/>
      <c r="CZ957" s="223"/>
      <c r="DA957" s="223"/>
      <c r="DB957" s="200"/>
      <c r="DC957" s="522"/>
      <c r="DD957" s="200"/>
      <c r="DE957" s="223"/>
      <c r="DF957" s="223"/>
      <c r="DG957" s="223"/>
      <c r="DH957" s="223"/>
      <c r="DI957" s="223"/>
      <c r="DJ957" s="223"/>
      <c r="DK957" s="200"/>
      <c r="DL957" s="200"/>
      <c r="DM957" s="522"/>
      <c r="DN957" s="200"/>
      <c r="DO957" s="223"/>
      <c r="DP957" s="223"/>
      <c r="DQ957" s="223"/>
      <c r="DR957" s="223"/>
      <c r="DS957" s="223"/>
      <c r="DT957" s="223"/>
      <c r="DU957" s="200"/>
      <c r="DV957" s="200"/>
      <c r="DW957" s="522"/>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2"/>
      <c r="R958" s="200"/>
      <c r="S958" s="223"/>
      <c r="T958" s="223"/>
      <c r="U958" s="223"/>
      <c r="V958" s="223"/>
      <c r="W958" s="223"/>
      <c r="X958" s="223"/>
      <c r="Y958" s="200"/>
      <c r="Z958" s="200"/>
      <c r="AA958" s="522"/>
      <c r="AB958" s="200"/>
      <c r="AC958" s="223"/>
      <c r="AD958" s="223"/>
      <c r="AE958" s="223"/>
      <c r="AF958" s="223"/>
      <c r="AG958" s="223"/>
      <c r="AH958" s="223"/>
      <c r="AI958" s="200"/>
      <c r="AJ958" s="200"/>
      <c r="AK958" s="522"/>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2"/>
      <c r="BF958" s="200"/>
      <c r="BG958" s="223"/>
      <c r="BH958" s="223"/>
      <c r="BI958" s="223"/>
      <c r="BJ958" s="223"/>
      <c r="BK958" s="223"/>
      <c r="BL958" s="223"/>
      <c r="BM958" s="200"/>
      <c r="BN958" s="200"/>
      <c r="BO958" s="522"/>
      <c r="BP958" s="200"/>
      <c r="BQ958" s="223"/>
      <c r="BR958" s="223"/>
      <c r="BS958" s="223"/>
      <c r="BT958" s="223"/>
      <c r="BU958" s="223"/>
      <c r="BV958" s="223"/>
      <c r="BW958" s="223"/>
      <c r="BX958" s="200"/>
      <c r="BY958" s="522"/>
      <c r="BZ958" s="200"/>
      <c r="CA958" s="223"/>
      <c r="CB958" s="223"/>
      <c r="CC958" s="223"/>
      <c r="CD958" s="223"/>
      <c r="CE958" s="223"/>
      <c r="CF958" s="223"/>
      <c r="CG958" s="200"/>
      <c r="CH958" s="200"/>
      <c r="CI958" s="522"/>
      <c r="CJ958" s="200"/>
      <c r="CK958" s="223"/>
      <c r="CL958" s="223"/>
      <c r="CM958" s="223"/>
      <c r="CN958" s="223"/>
      <c r="CO958" s="223"/>
      <c r="CP958" s="223"/>
      <c r="CQ958" s="200"/>
      <c r="CR958" s="200"/>
      <c r="CS958" s="522"/>
      <c r="CT958" s="200"/>
      <c r="CU958" s="223"/>
      <c r="CV958" s="223"/>
      <c r="CW958" s="223"/>
      <c r="CX958" s="223"/>
      <c r="CY958" s="223"/>
      <c r="CZ958" s="223"/>
      <c r="DA958" s="223"/>
      <c r="DB958" s="200"/>
      <c r="DC958" s="522"/>
      <c r="DD958" s="200"/>
      <c r="DE958" s="223"/>
      <c r="DF958" s="223"/>
      <c r="DG958" s="223"/>
      <c r="DH958" s="223"/>
      <c r="DI958" s="223"/>
      <c r="DJ958" s="223"/>
      <c r="DK958" s="200"/>
      <c r="DL958" s="200"/>
      <c r="DM958" s="522"/>
      <c r="DN958" s="200"/>
      <c r="DO958" s="223"/>
      <c r="DP958" s="223"/>
      <c r="DQ958" s="223"/>
      <c r="DR958" s="223"/>
      <c r="DS958" s="223"/>
      <c r="DT958" s="223"/>
      <c r="DU958" s="200"/>
      <c r="DV958" s="200"/>
      <c r="DW958" s="522"/>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2"/>
      <c r="R959" s="200"/>
      <c r="S959" s="223"/>
      <c r="T959" s="223"/>
      <c r="U959" s="223"/>
      <c r="V959" s="223"/>
      <c r="W959" s="223"/>
      <c r="X959" s="223"/>
      <c r="Y959" s="200"/>
      <c r="Z959" s="200"/>
      <c r="AA959" s="522"/>
      <c r="AB959" s="200"/>
      <c r="AC959" s="223"/>
      <c r="AD959" s="223"/>
      <c r="AE959" s="223"/>
      <c r="AF959" s="223"/>
      <c r="AG959" s="223"/>
      <c r="AH959" s="223"/>
      <c r="AI959" s="200"/>
      <c r="AJ959" s="200"/>
      <c r="AK959" s="522"/>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2"/>
      <c r="BF959" s="200"/>
      <c r="BG959" s="223"/>
      <c r="BH959" s="223"/>
      <c r="BI959" s="223"/>
      <c r="BJ959" s="223"/>
      <c r="BK959" s="223"/>
      <c r="BL959" s="223"/>
      <c r="BM959" s="200"/>
      <c r="BN959" s="200"/>
      <c r="BO959" s="522"/>
      <c r="BP959" s="200"/>
      <c r="BQ959" s="223"/>
      <c r="BR959" s="223"/>
      <c r="BS959" s="223"/>
      <c r="BT959" s="223"/>
      <c r="BU959" s="223"/>
      <c r="BV959" s="223"/>
      <c r="BW959" s="223"/>
      <c r="BX959" s="200"/>
      <c r="BY959" s="522"/>
      <c r="BZ959" s="200"/>
      <c r="CA959" s="223"/>
      <c r="CB959" s="223"/>
      <c r="CC959" s="223"/>
      <c r="CD959" s="223"/>
      <c r="CE959" s="223"/>
      <c r="CF959" s="223"/>
      <c r="CG959" s="200"/>
      <c r="CH959" s="200"/>
      <c r="CI959" s="522"/>
      <c r="CJ959" s="200"/>
      <c r="CK959" s="223"/>
      <c r="CL959" s="223"/>
      <c r="CM959" s="223"/>
      <c r="CN959" s="223"/>
      <c r="CO959" s="223"/>
      <c r="CP959" s="223"/>
      <c r="CQ959" s="200"/>
      <c r="CR959" s="200"/>
      <c r="CS959" s="522"/>
      <c r="CT959" s="200"/>
      <c r="CU959" s="223"/>
      <c r="CV959" s="223"/>
      <c r="CW959" s="223"/>
      <c r="CX959" s="223"/>
      <c r="CY959" s="223"/>
      <c r="CZ959" s="223"/>
      <c r="DA959" s="223"/>
      <c r="DB959" s="200"/>
      <c r="DC959" s="522"/>
      <c r="DD959" s="200"/>
      <c r="DE959" s="223"/>
      <c r="DF959" s="223"/>
      <c r="DG959" s="223"/>
      <c r="DH959" s="223"/>
      <c r="DI959" s="223"/>
      <c r="DJ959" s="223"/>
      <c r="DK959" s="200"/>
      <c r="DL959" s="200"/>
      <c r="DM959" s="522"/>
      <c r="DN959" s="200"/>
      <c r="DO959" s="223"/>
      <c r="DP959" s="223"/>
      <c r="DQ959" s="223"/>
      <c r="DR959" s="223"/>
      <c r="DS959" s="223"/>
      <c r="DT959" s="223"/>
      <c r="DU959" s="200"/>
      <c r="DV959" s="200"/>
      <c r="DW959" s="522"/>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2"/>
      <c r="R960" s="200"/>
      <c r="S960" s="223"/>
      <c r="T960" s="223"/>
      <c r="U960" s="223"/>
      <c r="V960" s="223"/>
      <c r="W960" s="223"/>
      <c r="X960" s="223"/>
      <c r="Y960" s="200"/>
      <c r="Z960" s="200"/>
      <c r="AA960" s="522"/>
      <c r="AB960" s="200"/>
      <c r="AC960" s="223"/>
      <c r="AD960" s="223"/>
      <c r="AE960" s="223"/>
      <c r="AF960" s="223"/>
      <c r="AG960" s="223"/>
      <c r="AH960" s="223"/>
      <c r="AI960" s="200"/>
      <c r="AJ960" s="200"/>
      <c r="AK960" s="522"/>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2"/>
      <c r="BF960" s="200"/>
      <c r="BG960" s="223"/>
      <c r="BH960" s="223"/>
      <c r="BI960" s="223"/>
      <c r="BJ960" s="223"/>
      <c r="BK960" s="223"/>
      <c r="BL960" s="223"/>
      <c r="BM960" s="200"/>
      <c r="BN960" s="200"/>
      <c r="BO960" s="522"/>
      <c r="BP960" s="200"/>
      <c r="BQ960" s="223"/>
      <c r="BR960" s="223"/>
      <c r="BS960" s="223"/>
      <c r="BT960" s="223"/>
      <c r="BU960" s="223"/>
      <c r="BV960" s="223"/>
      <c r="BW960" s="223"/>
      <c r="BX960" s="200"/>
      <c r="BY960" s="522"/>
      <c r="BZ960" s="200"/>
      <c r="CA960" s="223"/>
      <c r="CB960" s="223"/>
      <c r="CC960" s="223"/>
      <c r="CD960" s="223"/>
      <c r="CE960" s="223"/>
      <c r="CF960" s="223"/>
      <c r="CG960" s="200"/>
      <c r="CH960" s="200"/>
      <c r="CI960" s="522"/>
      <c r="CJ960" s="200"/>
      <c r="CK960" s="223"/>
      <c r="CL960" s="223"/>
      <c r="CM960" s="223"/>
      <c r="CN960" s="223"/>
      <c r="CO960" s="223"/>
      <c r="CP960" s="223"/>
      <c r="CQ960" s="200"/>
      <c r="CR960" s="200"/>
      <c r="CS960" s="522"/>
      <c r="CT960" s="200"/>
      <c r="CU960" s="223"/>
      <c r="CV960" s="223"/>
      <c r="CW960" s="223"/>
      <c r="CX960" s="223"/>
      <c r="CY960" s="223"/>
      <c r="CZ960" s="223"/>
      <c r="DA960" s="223"/>
      <c r="DB960" s="200"/>
      <c r="DC960" s="522"/>
      <c r="DD960" s="200"/>
      <c r="DE960" s="223"/>
      <c r="DF960" s="223"/>
      <c r="DG960" s="223"/>
      <c r="DH960" s="223"/>
      <c r="DI960" s="223"/>
      <c r="DJ960" s="223"/>
      <c r="DK960" s="200"/>
      <c r="DL960" s="200"/>
      <c r="DM960" s="522"/>
      <c r="DN960" s="200"/>
      <c r="DO960" s="223"/>
      <c r="DP960" s="223"/>
      <c r="DQ960" s="223"/>
      <c r="DR960" s="223"/>
      <c r="DS960" s="223"/>
      <c r="DT960" s="223"/>
      <c r="DU960" s="200"/>
      <c r="DV960" s="200"/>
      <c r="DW960" s="522"/>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2"/>
      <c r="R961" s="200"/>
      <c r="S961" s="223"/>
      <c r="T961" s="223"/>
      <c r="U961" s="223"/>
      <c r="V961" s="223"/>
      <c r="W961" s="223"/>
      <c r="X961" s="223"/>
      <c r="Y961" s="200"/>
      <c r="Z961" s="200"/>
      <c r="AA961" s="522"/>
      <c r="AB961" s="200"/>
      <c r="AC961" s="223"/>
      <c r="AD961" s="223"/>
      <c r="AE961" s="223"/>
      <c r="AF961" s="223"/>
      <c r="AG961" s="223"/>
      <c r="AH961" s="223"/>
      <c r="AI961" s="200"/>
      <c r="AJ961" s="200"/>
      <c r="AK961" s="522"/>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2"/>
      <c r="BF961" s="200"/>
      <c r="BG961" s="223"/>
      <c r="BH961" s="223"/>
      <c r="BI961" s="223"/>
      <c r="BJ961" s="223"/>
      <c r="BK961" s="223"/>
      <c r="BL961" s="223"/>
      <c r="BM961" s="200"/>
      <c r="BN961" s="200"/>
      <c r="BO961" s="522"/>
      <c r="BP961" s="200"/>
      <c r="BQ961" s="223"/>
      <c r="BR961" s="223"/>
      <c r="BS961" s="223"/>
      <c r="BT961" s="223"/>
      <c r="BU961" s="223"/>
      <c r="BV961" s="223"/>
      <c r="BW961" s="223"/>
      <c r="BX961" s="200"/>
      <c r="BY961" s="522"/>
      <c r="BZ961" s="200"/>
      <c r="CA961" s="223"/>
      <c r="CB961" s="223"/>
      <c r="CC961" s="223"/>
      <c r="CD961" s="223"/>
      <c r="CE961" s="223"/>
      <c r="CF961" s="223"/>
      <c r="CG961" s="200"/>
      <c r="CH961" s="200"/>
      <c r="CI961" s="522"/>
      <c r="CJ961" s="200"/>
      <c r="CK961" s="223"/>
      <c r="CL961" s="223"/>
      <c r="CM961" s="223"/>
      <c r="CN961" s="223"/>
      <c r="CO961" s="223"/>
      <c r="CP961" s="223"/>
      <c r="CQ961" s="200"/>
      <c r="CR961" s="200"/>
      <c r="CS961" s="522"/>
      <c r="CT961" s="200"/>
      <c r="CU961" s="223"/>
      <c r="CV961" s="223"/>
      <c r="CW961" s="223"/>
      <c r="CX961" s="223"/>
      <c r="CY961" s="223"/>
      <c r="CZ961" s="223"/>
      <c r="DA961" s="223"/>
      <c r="DB961" s="200"/>
      <c r="DC961" s="522"/>
      <c r="DD961" s="200"/>
      <c r="DE961" s="223"/>
      <c r="DF961" s="223"/>
      <c r="DG961" s="223"/>
      <c r="DH961" s="223"/>
      <c r="DI961" s="223"/>
      <c r="DJ961" s="223"/>
      <c r="DK961" s="200"/>
      <c r="DL961" s="200"/>
      <c r="DM961" s="522"/>
      <c r="DN961" s="200"/>
      <c r="DO961" s="223"/>
      <c r="DP961" s="223"/>
      <c r="DQ961" s="223"/>
      <c r="DR961" s="223"/>
      <c r="DS961" s="223"/>
      <c r="DT961" s="223"/>
      <c r="DU961" s="200"/>
      <c r="DV961" s="200"/>
      <c r="DW961" s="522"/>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2"/>
      <c r="R962" s="200"/>
      <c r="S962" s="223"/>
      <c r="T962" s="223"/>
      <c r="U962" s="223"/>
      <c r="V962" s="223"/>
      <c r="W962" s="223"/>
      <c r="X962" s="223"/>
      <c r="Y962" s="200"/>
      <c r="Z962" s="200"/>
      <c r="AA962" s="522"/>
      <c r="AB962" s="200"/>
      <c r="AC962" s="223"/>
      <c r="AD962" s="223"/>
      <c r="AE962" s="223"/>
      <c r="AF962" s="223"/>
      <c r="AG962" s="223"/>
      <c r="AH962" s="223"/>
      <c r="AI962" s="200"/>
      <c r="AJ962" s="200"/>
      <c r="AK962" s="522"/>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2"/>
      <c r="BF962" s="200"/>
      <c r="BG962" s="223"/>
      <c r="BH962" s="223"/>
      <c r="BI962" s="223"/>
      <c r="BJ962" s="223"/>
      <c r="BK962" s="223"/>
      <c r="BL962" s="223"/>
      <c r="BM962" s="200"/>
      <c r="BN962" s="200"/>
      <c r="BO962" s="522"/>
      <c r="BP962" s="200"/>
      <c r="BQ962" s="223"/>
      <c r="BR962" s="223"/>
      <c r="BS962" s="223"/>
      <c r="BT962" s="223"/>
      <c r="BU962" s="223"/>
      <c r="BV962" s="223"/>
      <c r="BW962" s="223"/>
      <c r="BX962" s="200"/>
      <c r="BY962" s="522"/>
      <c r="BZ962" s="200"/>
      <c r="CA962" s="223"/>
      <c r="CB962" s="223"/>
      <c r="CC962" s="223"/>
      <c r="CD962" s="223"/>
      <c r="CE962" s="223"/>
      <c r="CF962" s="223"/>
      <c r="CG962" s="200"/>
      <c r="CH962" s="200"/>
      <c r="CI962" s="522"/>
      <c r="CJ962" s="200"/>
      <c r="CK962" s="223"/>
      <c r="CL962" s="223"/>
      <c r="CM962" s="223"/>
      <c r="CN962" s="223"/>
      <c r="CO962" s="223"/>
      <c r="CP962" s="223"/>
      <c r="CQ962" s="200"/>
      <c r="CR962" s="200"/>
      <c r="CS962" s="522"/>
      <c r="CT962" s="200"/>
      <c r="CU962" s="223"/>
      <c r="CV962" s="223"/>
      <c r="CW962" s="223"/>
      <c r="CX962" s="223"/>
      <c r="CY962" s="223"/>
      <c r="CZ962" s="223"/>
      <c r="DA962" s="223"/>
      <c r="DB962" s="200"/>
      <c r="DC962" s="522"/>
      <c r="DD962" s="200"/>
      <c r="DE962" s="223"/>
      <c r="DF962" s="223"/>
      <c r="DG962" s="223"/>
      <c r="DH962" s="223"/>
      <c r="DI962" s="223"/>
      <c r="DJ962" s="223"/>
      <c r="DK962" s="200"/>
      <c r="DL962" s="200"/>
      <c r="DM962" s="522"/>
      <c r="DN962" s="200"/>
      <c r="DO962" s="223"/>
      <c r="DP962" s="223"/>
      <c r="DQ962" s="223"/>
      <c r="DR962" s="223"/>
      <c r="DS962" s="223"/>
      <c r="DT962" s="223"/>
      <c r="DU962" s="200"/>
      <c r="DV962" s="200"/>
      <c r="DW962" s="522"/>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2"/>
      <c r="R963" s="200"/>
      <c r="S963" s="223"/>
      <c r="T963" s="223"/>
      <c r="U963" s="223"/>
      <c r="V963" s="223"/>
      <c r="W963" s="223"/>
      <c r="X963" s="223"/>
      <c r="Y963" s="200"/>
      <c r="Z963" s="200"/>
      <c r="AA963" s="522"/>
      <c r="AB963" s="200"/>
      <c r="AC963" s="223"/>
      <c r="AD963" s="223"/>
      <c r="AE963" s="223"/>
      <c r="AF963" s="223"/>
      <c r="AG963" s="223"/>
      <c r="AH963" s="223"/>
      <c r="AI963" s="200"/>
      <c r="AJ963" s="200"/>
      <c r="AK963" s="522"/>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2"/>
      <c r="BF963" s="200"/>
      <c r="BG963" s="223"/>
      <c r="BH963" s="223"/>
      <c r="BI963" s="223"/>
      <c r="BJ963" s="223"/>
      <c r="BK963" s="223"/>
      <c r="BL963" s="223"/>
      <c r="BM963" s="200"/>
      <c r="BN963" s="200"/>
      <c r="BO963" s="522"/>
      <c r="BP963" s="200"/>
      <c r="BQ963" s="223"/>
      <c r="BR963" s="223"/>
      <c r="BS963" s="223"/>
      <c r="BT963" s="223"/>
      <c r="BU963" s="223"/>
      <c r="BV963" s="223"/>
      <c r="BW963" s="223"/>
      <c r="BX963" s="200"/>
      <c r="BY963" s="522"/>
      <c r="BZ963" s="200"/>
      <c r="CA963" s="223"/>
      <c r="CB963" s="223"/>
      <c r="CC963" s="223"/>
      <c r="CD963" s="223"/>
      <c r="CE963" s="223"/>
      <c r="CF963" s="223"/>
      <c r="CG963" s="200"/>
      <c r="CH963" s="200"/>
      <c r="CI963" s="522"/>
      <c r="CJ963" s="200"/>
      <c r="CK963" s="223"/>
      <c r="CL963" s="223"/>
      <c r="CM963" s="223"/>
      <c r="CN963" s="223"/>
      <c r="CO963" s="223"/>
      <c r="CP963" s="223"/>
      <c r="CQ963" s="200"/>
      <c r="CR963" s="200"/>
      <c r="CS963" s="522"/>
      <c r="CT963" s="200"/>
      <c r="CU963" s="223"/>
      <c r="CV963" s="223"/>
      <c r="CW963" s="223"/>
      <c r="CX963" s="223"/>
      <c r="CY963" s="223"/>
      <c r="CZ963" s="223"/>
      <c r="DA963" s="223"/>
      <c r="DB963" s="200"/>
      <c r="DC963" s="522"/>
      <c r="DD963" s="200"/>
      <c r="DE963" s="223"/>
      <c r="DF963" s="223"/>
      <c r="DG963" s="223"/>
      <c r="DH963" s="223"/>
      <c r="DI963" s="223"/>
      <c r="DJ963" s="223"/>
      <c r="DK963" s="200"/>
      <c r="DL963" s="200"/>
      <c r="DM963" s="522"/>
      <c r="DN963" s="200"/>
      <c r="DO963" s="223"/>
      <c r="DP963" s="223"/>
      <c r="DQ963" s="223"/>
      <c r="DR963" s="223"/>
      <c r="DS963" s="223"/>
      <c r="DT963" s="223"/>
      <c r="DU963" s="200"/>
      <c r="DV963" s="200"/>
      <c r="DW963" s="522"/>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2"/>
      <c r="R964" s="200"/>
      <c r="S964" s="223"/>
      <c r="T964" s="223"/>
      <c r="U964" s="223"/>
      <c r="V964" s="223"/>
      <c r="W964" s="223"/>
      <c r="X964" s="223"/>
      <c r="Y964" s="200"/>
      <c r="Z964" s="200"/>
      <c r="AA964" s="522"/>
      <c r="AB964" s="200"/>
      <c r="AC964" s="223"/>
      <c r="AD964" s="223"/>
      <c r="AE964" s="223"/>
      <c r="AF964" s="223"/>
      <c r="AG964" s="223"/>
      <c r="AH964" s="223"/>
      <c r="AI964" s="200"/>
      <c r="AJ964" s="200"/>
      <c r="AK964" s="522"/>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2"/>
      <c r="BF964" s="200"/>
      <c r="BG964" s="223"/>
      <c r="BH964" s="223"/>
      <c r="BI964" s="223"/>
      <c r="BJ964" s="223"/>
      <c r="BK964" s="223"/>
      <c r="BL964" s="223"/>
      <c r="BM964" s="200"/>
      <c r="BN964" s="200"/>
      <c r="BO964" s="522"/>
      <c r="BP964" s="200"/>
      <c r="BQ964" s="223"/>
      <c r="BR964" s="223"/>
      <c r="BS964" s="223"/>
      <c r="BT964" s="223"/>
      <c r="BU964" s="223"/>
      <c r="BV964" s="223"/>
      <c r="BW964" s="223"/>
      <c r="BX964" s="200"/>
      <c r="BY964" s="522"/>
      <c r="BZ964" s="200"/>
      <c r="CA964" s="223"/>
      <c r="CB964" s="223"/>
      <c r="CC964" s="223"/>
      <c r="CD964" s="223"/>
      <c r="CE964" s="223"/>
      <c r="CF964" s="223"/>
      <c r="CG964" s="200"/>
      <c r="CH964" s="200"/>
      <c r="CI964" s="522"/>
      <c r="CJ964" s="200"/>
      <c r="CK964" s="223"/>
      <c r="CL964" s="223"/>
      <c r="CM964" s="223"/>
      <c r="CN964" s="223"/>
      <c r="CO964" s="223"/>
      <c r="CP964" s="223"/>
      <c r="CQ964" s="200"/>
      <c r="CR964" s="200"/>
      <c r="CS964" s="522"/>
      <c r="CT964" s="200"/>
      <c r="CU964" s="223"/>
      <c r="CV964" s="223"/>
      <c r="CW964" s="223"/>
      <c r="CX964" s="223"/>
      <c r="CY964" s="223"/>
      <c r="CZ964" s="223"/>
      <c r="DA964" s="223"/>
      <c r="DB964" s="200"/>
      <c r="DC964" s="522"/>
      <c r="DD964" s="200"/>
      <c r="DE964" s="223"/>
      <c r="DF964" s="223"/>
      <c r="DG964" s="223"/>
      <c r="DH964" s="223"/>
      <c r="DI964" s="223"/>
      <c r="DJ964" s="223"/>
      <c r="DK964" s="200"/>
      <c r="DL964" s="200"/>
      <c r="DM964" s="522"/>
      <c r="DN964" s="200"/>
      <c r="DO964" s="223"/>
      <c r="DP964" s="223"/>
      <c r="DQ964" s="223"/>
      <c r="DR964" s="223"/>
      <c r="DS964" s="223"/>
      <c r="DT964" s="223"/>
      <c r="DU964" s="200"/>
      <c r="DV964" s="200"/>
      <c r="DW964" s="522"/>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2"/>
      <c r="R965" s="200"/>
      <c r="S965" s="223"/>
      <c r="T965" s="223"/>
      <c r="U965" s="223"/>
      <c r="V965" s="223"/>
      <c r="W965" s="223"/>
      <c r="X965" s="223"/>
      <c r="Y965" s="200"/>
      <c r="Z965" s="200"/>
      <c r="AA965" s="522"/>
      <c r="AB965" s="200"/>
      <c r="AC965" s="223"/>
      <c r="AD965" s="223"/>
      <c r="AE965" s="223"/>
      <c r="AF965" s="223"/>
      <c r="AG965" s="223"/>
      <c r="AH965" s="223"/>
      <c r="AI965" s="200"/>
      <c r="AJ965" s="200"/>
      <c r="AK965" s="522"/>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2"/>
      <c r="BF965" s="200"/>
      <c r="BG965" s="223"/>
      <c r="BH965" s="223"/>
      <c r="BI965" s="223"/>
      <c r="BJ965" s="223"/>
      <c r="BK965" s="223"/>
      <c r="BL965" s="223"/>
      <c r="BM965" s="200"/>
      <c r="BN965" s="200"/>
      <c r="BO965" s="522"/>
      <c r="BP965" s="200"/>
      <c r="BQ965" s="223"/>
      <c r="BR965" s="223"/>
      <c r="BS965" s="223"/>
      <c r="BT965" s="223"/>
      <c r="BU965" s="223"/>
      <c r="BV965" s="223"/>
      <c r="BW965" s="223"/>
      <c r="BX965" s="200"/>
      <c r="BY965" s="522"/>
      <c r="BZ965" s="200"/>
      <c r="CA965" s="223"/>
      <c r="CB965" s="223"/>
      <c r="CC965" s="223"/>
      <c r="CD965" s="223"/>
      <c r="CE965" s="223"/>
      <c r="CF965" s="223"/>
      <c r="CG965" s="200"/>
      <c r="CH965" s="200"/>
      <c r="CI965" s="522"/>
      <c r="CJ965" s="200"/>
      <c r="CK965" s="223"/>
      <c r="CL965" s="223"/>
      <c r="CM965" s="223"/>
      <c r="CN965" s="223"/>
      <c r="CO965" s="223"/>
      <c r="CP965" s="223"/>
      <c r="CQ965" s="200"/>
      <c r="CR965" s="200"/>
      <c r="CS965" s="522"/>
      <c r="CT965" s="200"/>
      <c r="CU965" s="223"/>
      <c r="CV965" s="223"/>
      <c r="CW965" s="223"/>
      <c r="CX965" s="223"/>
      <c r="CY965" s="223"/>
      <c r="CZ965" s="223"/>
      <c r="DA965" s="223"/>
      <c r="DB965" s="200"/>
      <c r="DC965" s="522"/>
      <c r="DD965" s="200"/>
      <c r="DE965" s="223"/>
      <c r="DF965" s="223"/>
      <c r="DG965" s="223"/>
      <c r="DH965" s="223"/>
      <c r="DI965" s="223"/>
      <c r="DJ965" s="223"/>
      <c r="DK965" s="200"/>
      <c r="DL965" s="200"/>
      <c r="DM965" s="522"/>
      <c r="DN965" s="200"/>
      <c r="DO965" s="223"/>
      <c r="DP965" s="223"/>
      <c r="DQ965" s="223"/>
      <c r="DR965" s="223"/>
      <c r="DS965" s="223"/>
      <c r="DT965" s="223"/>
      <c r="DU965" s="200"/>
      <c r="DV965" s="200"/>
      <c r="DW965" s="522"/>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2"/>
      <c r="R966" s="200"/>
      <c r="S966" s="223"/>
      <c r="T966" s="223"/>
      <c r="U966" s="223"/>
      <c r="V966" s="223"/>
      <c r="W966" s="223"/>
      <c r="X966" s="223"/>
      <c r="Y966" s="200"/>
      <c r="Z966" s="200"/>
      <c r="AA966" s="522"/>
      <c r="AB966" s="200"/>
      <c r="AC966" s="223"/>
      <c r="AD966" s="223"/>
      <c r="AE966" s="223"/>
      <c r="AF966" s="223"/>
      <c r="AG966" s="223"/>
      <c r="AH966" s="223"/>
      <c r="AI966" s="200"/>
      <c r="AJ966" s="200"/>
      <c r="AK966" s="522"/>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2"/>
      <c r="BF966" s="200"/>
      <c r="BG966" s="223"/>
      <c r="BH966" s="223"/>
      <c r="BI966" s="223"/>
      <c r="BJ966" s="223"/>
      <c r="BK966" s="223"/>
      <c r="BL966" s="223"/>
      <c r="BM966" s="200"/>
      <c r="BN966" s="200"/>
      <c r="BO966" s="522"/>
      <c r="BP966" s="200"/>
      <c r="BQ966" s="223"/>
      <c r="BR966" s="223"/>
      <c r="BS966" s="223"/>
      <c r="BT966" s="223"/>
      <c r="BU966" s="223"/>
      <c r="BV966" s="223"/>
      <c r="BW966" s="223"/>
      <c r="BX966" s="200"/>
      <c r="BY966" s="522"/>
      <c r="BZ966" s="200"/>
      <c r="CA966" s="223"/>
      <c r="CB966" s="223"/>
      <c r="CC966" s="223"/>
      <c r="CD966" s="223"/>
      <c r="CE966" s="223"/>
      <c r="CF966" s="223"/>
      <c r="CG966" s="200"/>
      <c r="CH966" s="200"/>
      <c r="CI966" s="522"/>
      <c r="CJ966" s="200"/>
      <c r="CK966" s="223"/>
      <c r="CL966" s="223"/>
      <c r="CM966" s="223"/>
      <c r="CN966" s="223"/>
      <c r="CO966" s="223"/>
      <c r="CP966" s="223"/>
      <c r="CQ966" s="200"/>
      <c r="CR966" s="200"/>
      <c r="CS966" s="522"/>
      <c r="CT966" s="200"/>
      <c r="CU966" s="223"/>
      <c r="CV966" s="223"/>
      <c r="CW966" s="223"/>
      <c r="CX966" s="223"/>
      <c r="CY966" s="223"/>
      <c r="CZ966" s="223"/>
      <c r="DA966" s="223"/>
      <c r="DB966" s="200"/>
      <c r="DC966" s="522"/>
      <c r="DD966" s="200"/>
      <c r="DE966" s="223"/>
      <c r="DF966" s="223"/>
      <c r="DG966" s="223"/>
      <c r="DH966" s="223"/>
      <c r="DI966" s="223"/>
      <c r="DJ966" s="223"/>
      <c r="DK966" s="200"/>
      <c r="DL966" s="200"/>
      <c r="DM966" s="522"/>
      <c r="DN966" s="200"/>
      <c r="DO966" s="223"/>
      <c r="DP966" s="223"/>
      <c r="DQ966" s="223"/>
      <c r="DR966" s="223"/>
      <c r="DS966" s="223"/>
      <c r="DT966" s="223"/>
      <c r="DU966" s="200"/>
      <c r="DV966" s="200"/>
      <c r="DW966" s="522"/>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2"/>
      <c r="R967" s="200"/>
      <c r="S967" s="223"/>
      <c r="T967" s="223"/>
      <c r="U967" s="223"/>
      <c r="V967" s="223"/>
      <c r="W967" s="223"/>
      <c r="X967" s="223"/>
      <c r="Y967" s="200"/>
      <c r="Z967" s="200"/>
      <c r="AA967" s="522"/>
      <c r="AB967" s="200"/>
      <c r="AC967" s="223"/>
      <c r="AD967" s="223"/>
      <c r="AE967" s="223"/>
      <c r="AF967" s="223"/>
      <c r="AG967" s="223"/>
      <c r="AH967" s="223"/>
      <c r="AI967" s="200"/>
      <c r="AJ967" s="200"/>
      <c r="AK967" s="522"/>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2"/>
      <c r="BF967" s="200"/>
      <c r="BG967" s="223"/>
      <c r="BH967" s="223"/>
      <c r="BI967" s="223"/>
      <c r="BJ967" s="223"/>
      <c r="BK967" s="223"/>
      <c r="BL967" s="223"/>
      <c r="BM967" s="200"/>
      <c r="BN967" s="200"/>
      <c r="BO967" s="522"/>
      <c r="BP967" s="200"/>
      <c r="BQ967" s="223"/>
      <c r="BR967" s="223"/>
      <c r="BS967" s="223"/>
      <c r="BT967" s="223"/>
      <c r="BU967" s="223"/>
      <c r="BV967" s="223"/>
      <c r="BW967" s="223"/>
      <c r="BX967" s="200"/>
      <c r="BY967" s="522"/>
      <c r="BZ967" s="200"/>
      <c r="CA967" s="223"/>
      <c r="CB967" s="223"/>
      <c r="CC967" s="223"/>
      <c r="CD967" s="223"/>
      <c r="CE967" s="223"/>
      <c r="CF967" s="223"/>
      <c r="CG967" s="200"/>
      <c r="CH967" s="200"/>
      <c r="CI967" s="522"/>
      <c r="CJ967" s="200"/>
      <c r="CK967" s="223"/>
      <c r="CL967" s="223"/>
      <c r="CM967" s="223"/>
      <c r="CN967" s="223"/>
      <c r="CO967" s="223"/>
      <c r="CP967" s="223"/>
      <c r="CQ967" s="200"/>
      <c r="CR967" s="200"/>
      <c r="CS967" s="522"/>
      <c r="CT967" s="200"/>
      <c r="CU967" s="223"/>
      <c r="CV967" s="223"/>
      <c r="CW967" s="223"/>
      <c r="CX967" s="223"/>
      <c r="CY967" s="223"/>
      <c r="CZ967" s="223"/>
      <c r="DA967" s="223"/>
      <c r="DB967" s="200"/>
      <c r="DC967" s="522"/>
      <c r="DD967" s="200"/>
      <c r="DE967" s="223"/>
      <c r="DF967" s="223"/>
      <c r="DG967" s="223"/>
      <c r="DH967" s="223"/>
      <c r="DI967" s="223"/>
      <c r="DJ967" s="223"/>
      <c r="DK967" s="200"/>
      <c r="DL967" s="200"/>
      <c r="DM967" s="522"/>
      <c r="DN967" s="200"/>
      <c r="DO967" s="223"/>
      <c r="DP967" s="223"/>
      <c r="DQ967" s="223"/>
      <c r="DR967" s="223"/>
      <c r="DS967" s="223"/>
      <c r="DT967" s="223"/>
      <c r="DU967" s="200"/>
      <c r="DV967" s="200"/>
      <c r="DW967" s="522"/>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2"/>
      <c r="R968" s="200"/>
      <c r="S968" s="223"/>
      <c r="T968" s="223"/>
      <c r="U968" s="223"/>
      <c r="V968" s="223"/>
      <c r="W968" s="223"/>
      <c r="X968" s="223"/>
      <c r="Y968" s="200"/>
      <c r="Z968" s="200"/>
      <c r="AA968" s="522"/>
      <c r="AB968" s="200"/>
      <c r="AC968" s="223"/>
      <c r="AD968" s="223"/>
      <c r="AE968" s="223"/>
      <c r="AF968" s="223"/>
      <c r="AG968" s="223"/>
      <c r="AH968" s="223"/>
      <c r="AI968" s="200"/>
      <c r="AJ968" s="200"/>
      <c r="AK968" s="522"/>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2"/>
      <c r="BF968" s="200"/>
      <c r="BG968" s="223"/>
      <c r="BH968" s="223"/>
      <c r="BI968" s="223"/>
      <c r="BJ968" s="223"/>
      <c r="BK968" s="223"/>
      <c r="BL968" s="223"/>
      <c r="BM968" s="200"/>
      <c r="BN968" s="200"/>
      <c r="BO968" s="522"/>
      <c r="BP968" s="200"/>
      <c r="BQ968" s="223"/>
      <c r="BR968" s="223"/>
      <c r="BS968" s="223"/>
      <c r="BT968" s="223"/>
      <c r="BU968" s="223"/>
      <c r="BV968" s="223"/>
      <c r="BW968" s="223"/>
      <c r="BX968" s="200"/>
      <c r="BY968" s="522"/>
      <c r="BZ968" s="200"/>
      <c r="CA968" s="223"/>
      <c r="CB968" s="223"/>
      <c r="CC968" s="223"/>
      <c r="CD968" s="223"/>
      <c r="CE968" s="223"/>
      <c r="CF968" s="223"/>
      <c r="CG968" s="200"/>
      <c r="CH968" s="200"/>
      <c r="CI968" s="522"/>
      <c r="CJ968" s="200"/>
      <c r="CK968" s="223"/>
      <c r="CL968" s="223"/>
      <c r="CM968" s="223"/>
      <c r="CN968" s="223"/>
      <c r="CO968" s="223"/>
      <c r="CP968" s="223"/>
      <c r="CQ968" s="200"/>
      <c r="CR968" s="200"/>
      <c r="CS968" s="522"/>
      <c r="CT968" s="200"/>
      <c r="CU968" s="223"/>
      <c r="CV968" s="223"/>
      <c r="CW968" s="223"/>
      <c r="CX968" s="223"/>
      <c r="CY968" s="223"/>
      <c r="CZ968" s="223"/>
      <c r="DA968" s="223"/>
      <c r="DB968" s="200"/>
      <c r="DC968" s="522"/>
      <c r="DD968" s="200"/>
      <c r="DE968" s="223"/>
      <c r="DF968" s="223"/>
      <c r="DG968" s="223"/>
      <c r="DH968" s="223"/>
      <c r="DI968" s="223"/>
      <c r="DJ968" s="223"/>
      <c r="DK968" s="200"/>
      <c r="DL968" s="200"/>
      <c r="DM968" s="522"/>
      <c r="DN968" s="200"/>
      <c r="DO968" s="223"/>
      <c r="DP968" s="223"/>
      <c r="DQ968" s="223"/>
      <c r="DR968" s="223"/>
      <c r="DS968" s="223"/>
      <c r="DT968" s="223"/>
      <c r="DU968" s="200"/>
      <c r="DV968" s="200"/>
      <c r="DW968" s="522"/>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2"/>
      <c r="R969" s="200"/>
      <c r="S969" s="223"/>
      <c r="T969" s="223"/>
      <c r="U969" s="223"/>
      <c r="V969" s="223"/>
      <c r="W969" s="223"/>
      <c r="X969" s="223"/>
      <c r="Y969" s="200"/>
      <c r="Z969" s="200"/>
      <c r="AA969" s="522"/>
      <c r="AB969" s="200"/>
      <c r="AC969" s="223"/>
      <c r="AD969" s="223"/>
      <c r="AE969" s="223"/>
      <c r="AF969" s="223"/>
      <c r="AG969" s="223"/>
      <c r="AH969" s="223"/>
      <c r="AI969" s="200"/>
      <c r="AJ969" s="200"/>
      <c r="AK969" s="522"/>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2"/>
      <c r="BF969" s="200"/>
      <c r="BG969" s="223"/>
      <c r="BH969" s="223"/>
      <c r="BI969" s="223"/>
      <c r="BJ969" s="223"/>
      <c r="BK969" s="223"/>
      <c r="BL969" s="223"/>
      <c r="BM969" s="200"/>
      <c r="BN969" s="200"/>
      <c r="BO969" s="522"/>
      <c r="BP969" s="200"/>
      <c r="BQ969" s="223"/>
      <c r="BR969" s="223"/>
      <c r="BS969" s="223"/>
      <c r="BT969" s="223"/>
      <c r="BU969" s="223"/>
      <c r="BV969" s="223"/>
      <c r="BW969" s="223"/>
      <c r="BX969" s="200"/>
      <c r="BY969" s="522"/>
      <c r="BZ969" s="200"/>
      <c r="CA969" s="223"/>
      <c r="CB969" s="223"/>
      <c r="CC969" s="223"/>
      <c r="CD969" s="223"/>
      <c r="CE969" s="223"/>
      <c r="CF969" s="223"/>
      <c r="CG969" s="200"/>
      <c r="CH969" s="200"/>
      <c r="CI969" s="522"/>
      <c r="CJ969" s="200"/>
      <c r="CK969" s="223"/>
      <c r="CL969" s="223"/>
      <c r="CM969" s="223"/>
      <c r="CN969" s="223"/>
      <c r="CO969" s="223"/>
      <c r="CP969" s="223"/>
      <c r="CQ969" s="200"/>
      <c r="CR969" s="200"/>
      <c r="CS969" s="522"/>
      <c r="CT969" s="200"/>
      <c r="CU969" s="223"/>
      <c r="CV969" s="223"/>
      <c r="CW969" s="223"/>
      <c r="CX969" s="223"/>
      <c r="CY969" s="223"/>
      <c r="CZ969" s="223"/>
      <c r="DA969" s="223"/>
      <c r="DB969" s="200"/>
      <c r="DC969" s="522"/>
      <c r="DD969" s="200"/>
      <c r="DE969" s="223"/>
      <c r="DF969" s="223"/>
      <c r="DG969" s="223"/>
      <c r="DH969" s="223"/>
      <c r="DI969" s="223"/>
      <c r="DJ969" s="223"/>
      <c r="DK969" s="200"/>
      <c r="DL969" s="200"/>
      <c r="DM969" s="522"/>
      <c r="DN969" s="200"/>
      <c r="DO969" s="223"/>
      <c r="DP969" s="223"/>
      <c r="DQ969" s="223"/>
      <c r="DR969" s="223"/>
      <c r="DS969" s="223"/>
      <c r="DT969" s="223"/>
      <c r="DU969" s="200"/>
      <c r="DV969" s="200"/>
      <c r="DW969" s="522"/>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2"/>
      <c r="R970" s="200"/>
      <c r="S970" s="223"/>
      <c r="T970" s="223"/>
      <c r="U970" s="223"/>
      <c r="V970" s="223"/>
      <c r="W970" s="223"/>
      <c r="X970" s="223"/>
      <c r="Y970" s="200"/>
      <c r="Z970" s="200"/>
      <c r="AA970" s="522"/>
      <c r="AB970" s="200"/>
      <c r="AC970" s="223"/>
      <c r="AD970" s="223"/>
      <c r="AE970" s="223"/>
      <c r="AF970" s="223"/>
      <c r="AG970" s="223"/>
      <c r="AH970" s="223"/>
      <c r="AI970" s="200"/>
      <c r="AJ970" s="200"/>
      <c r="AK970" s="522"/>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2"/>
      <c r="BF970" s="200"/>
      <c r="BG970" s="223"/>
      <c r="BH970" s="223"/>
      <c r="BI970" s="223"/>
      <c r="BJ970" s="223"/>
      <c r="BK970" s="223"/>
      <c r="BL970" s="223"/>
      <c r="BM970" s="200"/>
      <c r="BN970" s="200"/>
      <c r="BO970" s="522"/>
      <c r="BP970" s="200"/>
      <c r="BQ970" s="223"/>
      <c r="BR970" s="223"/>
      <c r="BS970" s="223"/>
      <c r="BT970" s="223"/>
      <c r="BU970" s="223"/>
      <c r="BV970" s="223"/>
      <c r="BW970" s="223"/>
      <c r="BX970" s="200"/>
      <c r="BY970" s="522"/>
      <c r="BZ970" s="200"/>
      <c r="CA970" s="223"/>
      <c r="CB970" s="223"/>
      <c r="CC970" s="223"/>
      <c r="CD970" s="223"/>
      <c r="CE970" s="223"/>
      <c r="CF970" s="223"/>
      <c r="CG970" s="200"/>
      <c r="CH970" s="200"/>
      <c r="CI970" s="522"/>
      <c r="CJ970" s="200"/>
      <c r="CK970" s="223"/>
      <c r="CL970" s="223"/>
      <c r="CM970" s="223"/>
      <c r="CN970" s="223"/>
      <c r="CO970" s="223"/>
      <c r="CP970" s="223"/>
      <c r="CQ970" s="200"/>
      <c r="CR970" s="200"/>
      <c r="CS970" s="522"/>
      <c r="CT970" s="200"/>
      <c r="CU970" s="223"/>
      <c r="CV970" s="223"/>
      <c r="CW970" s="223"/>
      <c r="CX970" s="223"/>
      <c r="CY970" s="223"/>
      <c r="CZ970" s="223"/>
      <c r="DA970" s="223"/>
      <c r="DB970" s="200"/>
      <c r="DC970" s="522"/>
      <c r="DD970" s="200"/>
      <c r="DE970" s="223"/>
      <c r="DF970" s="223"/>
      <c r="DG970" s="223"/>
      <c r="DH970" s="223"/>
      <c r="DI970" s="223"/>
      <c r="DJ970" s="223"/>
      <c r="DK970" s="200"/>
      <c r="DL970" s="200"/>
      <c r="DM970" s="522"/>
      <c r="DN970" s="200"/>
      <c r="DO970" s="223"/>
      <c r="DP970" s="223"/>
      <c r="DQ970" s="223"/>
      <c r="DR970" s="223"/>
      <c r="DS970" s="223"/>
      <c r="DT970" s="223"/>
      <c r="DU970" s="200"/>
      <c r="DV970" s="200"/>
      <c r="DW970" s="522"/>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2"/>
      <c r="R971" s="200"/>
      <c r="S971" s="223"/>
      <c r="T971" s="223"/>
      <c r="U971" s="223"/>
      <c r="V971" s="223"/>
      <c r="W971" s="223"/>
      <c r="X971" s="223"/>
      <c r="Y971" s="200"/>
      <c r="Z971" s="200"/>
      <c r="AA971" s="522"/>
      <c r="AB971" s="200"/>
      <c r="AC971" s="223"/>
      <c r="AD971" s="223"/>
      <c r="AE971" s="223"/>
      <c r="AF971" s="223"/>
      <c r="AG971" s="223"/>
      <c r="AH971" s="223"/>
      <c r="AI971" s="200"/>
      <c r="AJ971" s="200"/>
      <c r="AK971" s="522"/>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2"/>
      <c r="BF971" s="200"/>
      <c r="BG971" s="223"/>
      <c r="BH971" s="223"/>
      <c r="BI971" s="223"/>
      <c r="BJ971" s="223"/>
      <c r="BK971" s="223"/>
      <c r="BL971" s="223"/>
      <c r="BM971" s="200"/>
      <c r="BN971" s="200"/>
      <c r="BO971" s="522"/>
      <c r="BP971" s="200"/>
      <c r="BQ971" s="223"/>
      <c r="BR971" s="223"/>
      <c r="BS971" s="223"/>
      <c r="BT971" s="223"/>
      <c r="BU971" s="223"/>
      <c r="BV971" s="223"/>
      <c r="BW971" s="223"/>
      <c r="BX971" s="200"/>
      <c r="BY971" s="522"/>
      <c r="BZ971" s="200"/>
      <c r="CA971" s="223"/>
      <c r="CB971" s="223"/>
      <c r="CC971" s="223"/>
      <c r="CD971" s="223"/>
      <c r="CE971" s="223"/>
      <c r="CF971" s="223"/>
      <c r="CG971" s="200"/>
      <c r="CH971" s="200"/>
      <c r="CI971" s="522"/>
      <c r="CJ971" s="200"/>
      <c r="CK971" s="223"/>
      <c r="CL971" s="223"/>
      <c r="CM971" s="223"/>
      <c r="CN971" s="223"/>
      <c r="CO971" s="223"/>
      <c r="CP971" s="223"/>
      <c r="CQ971" s="200"/>
      <c r="CR971" s="200"/>
      <c r="CS971" s="522"/>
      <c r="CT971" s="200"/>
      <c r="CU971" s="223"/>
      <c r="CV971" s="223"/>
      <c r="CW971" s="223"/>
      <c r="CX971" s="223"/>
      <c r="CY971" s="223"/>
      <c r="CZ971" s="223"/>
      <c r="DA971" s="223"/>
      <c r="DB971" s="200"/>
      <c r="DC971" s="522"/>
      <c r="DD971" s="200"/>
      <c r="DE971" s="223"/>
      <c r="DF971" s="223"/>
      <c r="DG971" s="223"/>
      <c r="DH971" s="223"/>
      <c r="DI971" s="223"/>
      <c r="DJ971" s="223"/>
      <c r="DK971" s="200"/>
      <c r="DL971" s="200"/>
      <c r="DM971" s="522"/>
      <c r="DN971" s="200"/>
      <c r="DO971" s="223"/>
      <c r="DP971" s="223"/>
      <c r="DQ971" s="223"/>
      <c r="DR971" s="223"/>
      <c r="DS971" s="223"/>
      <c r="DT971" s="223"/>
      <c r="DU971" s="200"/>
      <c r="DV971" s="200"/>
      <c r="DW971" s="522"/>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2"/>
      <c r="R972" s="200"/>
      <c r="S972" s="223"/>
      <c r="T972" s="223"/>
      <c r="U972" s="223"/>
      <c r="V972" s="223"/>
      <c r="W972" s="223"/>
      <c r="X972" s="223"/>
      <c r="Y972" s="200"/>
      <c r="Z972" s="200"/>
      <c r="AA972" s="522"/>
      <c r="AB972" s="200"/>
      <c r="AC972" s="223"/>
      <c r="AD972" s="223"/>
      <c r="AE972" s="223"/>
      <c r="AF972" s="223"/>
      <c r="AG972" s="223"/>
      <c r="AH972" s="223"/>
      <c r="AI972" s="200"/>
      <c r="AJ972" s="200"/>
      <c r="AK972" s="522"/>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2"/>
      <c r="BF972" s="200"/>
      <c r="BG972" s="223"/>
      <c r="BH972" s="223"/>
      <c r="BI972" s="223"/>
      <c r="BJ972" s="223"/>
      <c r="BK972" s="223"/>
      <c r="BL972" s="223"/>
      <c r="BM972" s="200"/>
      <c r="BN972" s="200"/>
      <c r="BO972" s="522"/>
      <c r="BP972" s="200"/>
      <c r="BQ972" s="223"/>
      <c r="BR972" s="223"/>
      <c r="BS972" s="223"/>
      <c r="BT972" s="223"/>
      <c r="BU972" s="223"/>
      <c r="BV972" s="223"/>
      <c r="BW972" s="223"/>
      <c r="BX972" s="200"/>
      <c r="BY972" s="522"/>
      <c r="BZ972" s="200"/>
      <c r="CA972" s="223"/>
      <c r="CB972" s="223"/>
      <c r="CC972" s="223"/>
      <c r="CD972" s="223"/>
      <c r="CE972" s="223"/>
      <c r="CF972" s="223"/>
      <c r="CG972" s="200"/>
      <c r="CH972" s="200"/>
      <c r="CI972" s="522"/>
      <c r="CJ972" s="200"/>
      <c r="CK972" s="223"/>
      <c r="CL972" s="223"/>
      <c r="CM972" s="223"/>
      <c r="CN972" s="223"/>
      <c r="CO972" s="223"/>
      <c r="CP972" s="223"/>
      <c r="CQ972" s="200"/>
      <c r="CR972" s="200"/>
      <c r="CS972" s="522"/>
      <c r="CT972" s="200"/>
      <c r="CU972" s="223"/>
      <c r="CV972" s="223"/>
      <c r="CW972" s="223"/>
      <c r="CX972" s="223"/>
      <c r="CY972" s="223"/>
      <c r="CZ972" s="223"/>
      <c r="DA972" s="223"/>
      <c r="DB972" s="200"/>
      <c r="DC972" s="522"/>
      <c r="DD972" s="200"/>
      <c r="DE972" s="223"/>
      <c r="DF972" s="223"/>
      <c r="DG972" s="223"/>
      <c r="DH972" s="223"/>
      <c r="DI972" s="223"/>
      <c r="DJ972" s="223"/>
      <c r="DK972" s="200"/>
      <c r="DL972" s="200"/>
      <c r="DM972" s="522"/>
      <c r="DN972" s="200"/>
      <c r="DO972" s="223"/>
      <c r="DP972" s="223"/>
      <c r="DQ972" s="223"/>
      <c r="DR972" s="223"/>
      <c r="DS972" s="223"/>
      <c r="DT972" s="223"/>
      <c r="DU972" s="200"/>
      <c r="DV972" s="200"/>
      <c r="DW972" s="522"/>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2"/>
      <c r="R973" s="200"/>
      <c r="S973" s="223"/>
      <c r="T973" s="223"/>
      <c r="U973" s="223"/>
      <c r="V973" s="223"/>
      <c r="W973" s="223"/>
      <c r="X973" s="223"/>
      <c r="Y973" s="200"/>
      <c r="Z973" s="200"/>
      <c r="AA973" s="522"/>
      <c r="AB973" s="200"/>
      <c r="AC973" s="223"/>
      <c r="AD973" s="223"/>
      <c r="AE973" s="223"/>
      <c r="AF973" s="223"/>
      <c r="AG973" s="223"/>
      <c r="AH973" s="223"/>
      <c r="AI973" s="200"/>
      <c r="AJ973" s="200"/>
      <c r="AK973" s="522"/>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2"/>
      <c r="BF973" s="200"/>
      <c r="BG973" s="223"/>
      <c r="BH973" s="223"/>
      <c r="BI973" s="223"/>
      <c r="BJ973" s="223"/>
      <c r="BK973" s="223"/>
      <c r="BL973" s="223"/>
      <c r="BM973" s="200"/>
      <c r="BN973" s="200"/>
      <c r="BO973" s="522"/>
      <c r="BP973" s="200"/>
      <c r="BQ973" s="223"/>
      <c r="BR973" s="223"/>
      <c r="BS973" s="223"/>
      <c r="BT973" s="223"/>
      <c r="BU973" s="223"/>
      <c r="BV973" s="223"/>
      <c r="BW973" s="223"/>
      <c r="BX973" s="200"/>
      <c r="BY973" s="522"/>
      <c r="BZ973" s="200"/>
      <c r="CA973" s="223"/>
      <c r="CB973" s="223"/>
      <c r="CC973" s="223"/>
      <c r="CD973" s="223"/>
      <c r="CE973" s="223"/>
      <c r="CF973" s="223"/>
      <c r="CG973" s="200"/>
      <c r="CH973" s="200"/>
      <c r="CI973" s="522"/>
      <c r="CJ973" s="200"/>
      <c r="CK973" s="223"/>
      <c r="CL973" s="223"/>
      <c r="CM973" s="223"/>
      <c r="CN973" s="223"/>
      <c r="CO973" s="223"/>
      <c r="CP973" s="223"/>
      <c r="CQ973" s="200"/>
      <c r="CR973" s="200"/>
      <c r="CS973" s="522"/>
      <c r="CT973" s="200"/>
      <c r="CU973" s="223"/>
      <c r="CV973" s="223"/>
      <c r="CW973" s="223"/>
      <c r="CX973" s="223"/>
      <c r="CY973" s="223"/>
      <c r="CZ973" s="223"/>
      <c r="DA973" s="223"/>
      <c r="DB973" s="200"/>
      <c r="DC973" s="522"/>
      <c r="DD973" s="200"/>
      <c r="DE973" s="223"/>
      <c r="DF973" s="223"/>
      <c r="DG973" s="223"/>
      <c r="DH973" s="223"/>
      <c r="DI973" s="223"/>
      <c r="DJ973" s="223"/>
      <c r="DK973" s="200"/>
      <c r="DL973" s="200"/>
      <c r="DM973" s="522"/>
      <c r="DN973" s="200"/>
      <c r="DO973" s="223"/>
      <c r="DP973" s="223"/>
      <c r="DQ973" s="223"/>
      <c r="DR973" s="223"/>
      <c r="DS973" s="223"/>
      <c r="DT973" s="223"/>
      <c r="DU973" s="200"/>
      <c r="DV973" s="200"/>
      <c r="DW973" s="522"/>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2"/>
      <c r="R974" s="200"/>
      <c r="S974" s="223"/>
      <c r="T974" s="223"/>
      <c r="U974" s="223"/>
      <c r="V974" s="223"/>
      <c r="W974" s="223"/>
      <c r="X974" s="223"/>
      <c r="Y974" s="200"/>
      <c r="Z974" s="200"/>
      <c r="AA974" s="522"/>
      <c r="AB974" s="200"/>
      <c r="AC974" s="223"/>
      <c r="AD974" s="223"/>
      <c r="AE974" s="223"/>
      <c r="AF974" s="223"/>
      <c r="AG974" s="223"/>
      <c r="AH974" s="223"/>
      <c r="AI974" s="200"/>
      <c r="AJ974" s="200"/>
      <c r="AK974" s="522"/>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2"/>
      <c r="BF974" s="200"/>
      <c r="BG974" s="223"/>
      <c r="BH974" s="223"/>
      <c r="BI974" s="223"/>
      <c r="BJ974" s="223"/>
      <c r="BK974" s="223"/>
      <c r="BL974" s="223"/>
      <c r="BM974" s="200"/>
      <c r="BN974" s="200"/>
      <c r="BO974" s="522"/>
      <c r="BP974" s="200"/>
      <c r="BQ974" s="223"/>
      <c r="BR974" s="223"/>
      <c r="BS974" s="223"/>
      <c r="BT974" s="223"/>
      <c r="BU974" s="223"/>
      <c r="BV974" s="223"/>
      <c r="BW974" s="223"/>
      <c r="BX974" s="200"/>
      <c r="BY974" s="522"/>
      <c r="BZ974" s="200"/>
      <c r="CA974" s="223"/>
      <c r="CB974" s="223"/>
      <c r="CC974" s="223"/>
      <c r="CD974" s="223"/>
      <c r="CE974" s="223"/>
      <c r="CF974" s="223"/>
      <c r="CG974" s="200"/>
      <c r="CH974" s="200"/>
      <c r="CI974" s="522"/>
      <c r="CJ974" s="200"/>
      <c r="CK974" s="223"/>
      <c r="CL974" s="223"/>
      <c r="CM974" s="223"/>
      <c r="CN974" s="223"/>
      <c r="CO974" s="223"/>
      <c r="CP974" s="223"/>
      <c r="CQ974" s="200"/>
      <c r="CR974" s="200"/>
      <c r="CS974" s="522"/>
      <c r="CT974" s="200"/>
      <c r="CU974" s="223"/>
      <c r="CV974" s="223"/>
      <c r="CW974" s="223"/>
      <c r="CX974" s="223"/>
      <c r="CY974" s="223"/>
      <c r="CZ974" s="223"/>
      <c r="DA974" s="223"/>
      <c r="DB974" s="200"/>
      <c r="DC974" s="522"/>
      <c r="DD974" s="200"/>
      <c r="DE974" s="223"/>
      <c r="DF974" s="223"/>
      <c r="DG974" s="223"/>
      <c r="DH974" s="223"/>
      <c r="DI974" s="223"/>
      <c r="DJ974" s="223"/>
      <c r="DK974" s="200"/>
      <c r="DL974" s="200"/>
      <c r="DM974" s="522"/>
      <c r="DN974" s="200"/>
      <c r="DO974" s="223"/>
      <c r="DP974" s="223"/>
      <c r="DQ974" s="223"/>
      <c r="DR974" s="223"/>
      <c r="DS974" s="223"/>
      <c r="DT974" s="223"/>
      <c r="DU974" s="200"/>
      <c r="DV974" s="200"/>
      <c r="DW974" s="522"/>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2"/>
      <c r="R975" s="200"/>
      <c r="S975" s="223"/>
      <c r="T975" s="223"/>
      <c r="U975" s="223"/>
      <c r="V975" s="223"/>
      <c r="W975" s="223"/>
      <c r="X975" s="223"/>
      <c r="Y975" s="200"/>
      <c r="Z975" s="200"/>
      <c r="AA975" s="522"/>
      <c r="AB975" s="200"/>
      <c r="AC975" s="223"/>
      <c r="AD975" s="223"/>
      <c r="AE975" s="223"/>
      <c r="AF975" s="223"/>
      <c r="AG975" s="223"/>
      <c r="AH975" s="223"/>
      <c r="AI975" s="200"/>
      <c r="AJ975" s="200"/>
      <c r="AK975" s="522"/>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2"/>
      <c r="BF975" s="200"/>
      <c r="BG975" s="223"/>
      <c r="BH975" s="223"/>
      <c r="BI975" s="223"/>
      <c r="BJ975" s="223"/>
      <c r="BK975" s="223"/>
      <c r="BL975" s="223"/>
      <c r="BM975" s="200"/>
      <c r="BN975" s="200"/>
      <c r="BO975" s="522"/>
      <c r="BP975" s="200"/>
      <c r="BQ975" s="223"/>
      <c r="BR975" s="223"/>
      <c r="BS975" s="223"/>
      <c r="BT975" s="223"/>
      <c r="BU975" s="223"/>
      <c r="BV975" s="223"/>
      <c r="BW975" s="223"/>
      <c r="BX975" s="200"/>
      <c r="BY975" s="522"/>
      <c r="BZ975" s="200"/>
      <c r="CA975" s="223"/>
      <c r="CB975" s="223"/>
      <c r="CC975" s="223"/>
      <c r="CD975" s="223"/>
      <c r="CE975" s="223"/>
      <c r="CF975" s="223"/>
      <c r="CG975" s="200"/>
      <c r="CH975" s="200"/>
      <c r="CI975" s="522"/>
      <c r="CJ975" s="200"/>
      <c r="CK975" s="223"/>
      <c r="CL975" s="223"/>
      <c r="CM975" s="223"/>
      <c r="CN975" s="223"/>
      <c r="CO975" s="223"/>
      <c r="CP975" s="223"/>
      <c r="CQ975" s="200"/>
      <c r="CR975" s="200"/>
      <c r="CS975" s="522"/>
      <c r="CT975" s="200"/>
      <c r="CU975" s="223"/>
      <c r="CV975" s="223"/>
      <c r="CW975" s="223"/>
      <c r="CX975" s="223"/>
      <c r="CY975" s="223"/>
      <c r="CZ975" s="223"/>
      <c r="DA975" s="223"/>
      <c r="DB975" s="200"/>
      <c r="DC975" s="522"/>
      <c r="DD975" s="200"/>
      <c r="DE975" s="223"/>
      <c r="DF975" s="223"/>
      <c r="DG975" s="223"/>
      <c r="DH975" s="223"/>
      <c r="DI975" s="223"/>
      <c r="DJ975" s="223"/>
      <c r="DK975" s="200"/>
      <c r="DL975" s="200"/>
      <c r="DM975" s="522"/>
      <c r="DN975" s="200"/>
      <c r="DO975" s="223"/>
      <c r="DP975" s="223"/>
      <c r="DQ975" s="223"/>
      <c r="DR975" s="223"/>
      <c r="DS975" s="223"/>
      <c r="DT975" s="223"/>
      <c r="DU975" s="200"/>
      <c r="DV975" s="200"/>
      <c r="DW975" s="522"/>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2"/>
      <c r="R976" s="200"/>
      <c r="S976" s="223"/>
      <c r="T976" s="223"/>
      <c r="U976" s="223"/>
      <c r="V976" s="223"/>
      <c r="W976" s="223"/>
      <c r="X976" s="223"/>
      <c r="Y976" s="200"/>
      <c r="Z976" s="200"/>
      <c r="AA976" s="522"/>
      <c r="AB976" s="200"/>
      <c r="AC976" s="223"/>
      <c r="AD976" s="223"/>
      <c r="AE976" s="223"/>
      <c r="AF976" s="223"/>
      <c r="AG976" s="223"/>
      <c r="AH976" s="223"/>
      <c r="AI976" s="200"/>
      <c r="AJ976" s="200"/>
      <c r="AK976" s="522"/>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2"/>
      <c r="BF976" s="200"/>
      <c r="BG976" s="223"/>
      <c r="BH976" s="223"/>
      <c r="BI976" s="223"/>
      <c r="BJ976" s="223"/>
      <c r="BK976" s="223"/>
      <c r="BL976" s="223"/>
      <c r="BM976" s="200"/>
      <c r="BN976" s="200"/>
      <c r="BO976" s="522"/>
      <c r="BP976" s="200"/>
      <c r="BQ976" s="223"/>
      <c r="BR976" s="223"/>
      <c r="BS976" s="223"/>
      <c r="BT976" s="223"/>
      <c r="BU976" s="223"/>
      <c r="BV976" s="223"/>
      <c r="BW976" s="223"/>
      <c r="BX976" s="200"/>
      <c r="BY976" s="522"/>
      <c r="BZ976" s="200"/>
      <c r="CA976" s="223"/>
      <c r="CB976" s="223"/>
      <c r="CC976" s="223"/>
      <c r="CD976" s="223"/>
      <c r="CE976" s="223"/>
      <c r="CF976" s="223"/>
      <c r="CG976" s="200"/>
      <c r="CH976" s="200"/>
      <c r="CI976" s="522"/>
      <c r="CJ976" s="200"/>
      <c r="CK976" s="223"/>
      <c r="CL976" s="223"/>
      <c r="CM976" s="223"/>
      <c r="CN976" s="223"/>
      <c r="CO976" s="223"/>
      <c r="CP976" s="223"/>
      <c r="CQ976" s="200"/>
      <c r="CR976" s="200"/>
      <c r="CS976" s="522"/>
      <c r="CT976" s="200"/>
      <c r="CU976" s="223"/>
      <c r="CV976" s="223"/>
      <c r="CW976" s="223"/>
      <c r="CX976" s="223"/>
      <c r="CY976" s="223"/>
      <c r="CZ976" s="223"/>
      <c r="DA976" s="223"/>
      <c r="DB976" s="200"/>
      <c r="DC976" s="522"/>
      <c r="DD976" s="200"/>
      <c r="DE976" s="223"/>
      <c r="DF976" s="223"/>
      <c r="DG976" s="223"/>
      <c r="DH976" s="223"/>
      <c r="DI976" s="223"/>
      <c r="DJ976" s="223"/>
      <c r="DK976" s="200"/>
      <c r="DL976" s="200"/>
      <c r="DM976" s="522"/>
      <c r="DN976" s="200"/>
      <c r="DO976" s="223"/>
      <c r="DP976" s="223"/>
      <c r="DQ976" s="223"/>
      <c r="DR976" s="223"/>
      <c r="DS976" s="223"/>
      <c r="DT976" s="223"/>
      <c r="DU976" s="200"/>
      <c r="DV976" s="200"/>
      <c r="DW976" s="522"/>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2"/>
      <c r="R977" s="200"/>
      <c r="S977" s="223"/>
      <c r="T977" s="223"/>
      <c r="U977" s="223"/>
      <c r="V977" s="223"/>
      <c r="W977" s="223"/>
      <c r="X977" s="223"/>
      <c r="Y977" s="200"/>
      <c r="Z977" s="200"/>
      <c r="AA977" s="522"/>
      <c r="AB977" s="200"/>
      <c r="AC977" s="223"/>
      <c r="AD977" s="223"/>
      <c r="AE977" s="223"/>
      <c r="AF977" s="223"/>
      <c r="AG977" s="223"/>
      <c r="AH977" s="223"/>
      <c r="AI977" s="200"/>
      <c r="AJ977" s="200"/>
      <c r="AK977" s="522"/>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2"/>
      <c r="BF977" s="200"/>
      <c r="BG977" s="223"/>
      <c r="BH977" s="223"/>
      <c r="BI977" s="223"/>
      <c r="BJ977" s="223"/>
      <c r="BK977" s="223"/>
      <c r="BL977" s="223"/>
      <c r="BM977" s="200"/>
      <c r="BN977" s="200"/>
      <c r="BO977" s="522"/>
      <c r="BP977" s="200"/>
      <c r="BQ977" s="223"/>
      <c r="BR977" s="223"/>
      <c r="BS977" s="223"/>
      <c r="BT977" s="223"/>
      <c r="BU977" s="223"/>
      <c r="BV977" s="223"/>
      <c r="BW977" s="223"/>
      <c r="BX977" s="200"/>
      <c r="BY977" s="522"/>
      <c r="BZ977" s="200"/>
      <c r="CA977" s="223"/>
      <c r="CB977" s="223"/>
      <c r="CC977" s="223"/>
      <c r="CD977" s="223"/>
      <c r="CE977" s="223"/>
      <c r="CF977" s="223"/>
      <c r="CG977" s="200"/>
      <c r="CH977" s="200"/>
      <c r="CI977" s="522"/>
      <c r="CJ977" s="200"/>
      <c r="CK977" s="223"/>
      <c r="CL977" s="223"/>
      <c r="CM977" s="223"/>
      <c r="CN977" s="223"/>
      <c r="CO977" s="223"/>
      <c r="CP977" s="223"/>
      <c r="CQ977" s="200"/>
      <c r="CR977" s="200"/>
      <c r="CS977" s="522"/>
      <c r="CT977" s="200"/>
      <c r="CU977" s="223"/>
      <c r="CV977" s="223"/>
      <c r="CW977" s="223"/>
      <c r="CX977" s="223"/>
      <c r="CY977" s="223"/>
      <c r="CZ977" s="223"/>
      <c r="DA977" s="223"/>
      <c r="DB977" s="200"/>
      <c r="DC977" s="522"/>
      <c r="DD977" s="200"/>
      <c r="DE977" s="223"/>
      <c r="DF977" s="223"/>
      <c r="DG977" s="223"/>
      <c r="DH977" s="223"/>
      <c r="DI977" s="223"/>
      <c r="DJ977" s="223"/>
      <c r="DK977" s="200"/>
      <c r="DL977" s="200"/>
      <c r="DM977" s="522"/>
      <c r="DN977" s="200"/>
      <c r="DO977" s="223"/>
      <c r="DP977" s="223"/>
      <c r="DQ977" s="223"/>
      <c r="DR977" s="223"/>
      <c r="DS977" s="223"/>
      <c r="DT977" s="223"/>
      <c r="DU977" s="200"/>
      <c r="DV977" s="200"/>
      <c r="DW977" s="522"/>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2"/>
      <c r="R978" s="200"/>
      <c r="S978" s="223"/>
      <c r="T978" s="223"/>
      <c r="U978" s="223"/>
      <c r="V978" s="223"/>
      <c r="W978" s="223"/>
      <c r="X978" s="223"/>
      <c r="Y978" s="200"/>
      <c r="Z978" s="200"/>
      <c r="AA978" s="522"/>
      <c r="AB978" s="200"/>
      <c r="AC978" s="223"/>
      <c r="AD978" s="223"/>
      <c r="AE978" s="223"/>
      <c r="AF978" s="223"/>
      <c r="AG978" s="223"/>
      <c r="AH978" s="223"/>
      <c r="AI978" s="200"/>
      <c r="AJ978" s="200"/>
      <c r="AK978" s="522"/>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2"/>
      <c r="BF978" s="200"/>
      <c r="BG978" s="223"/>
      <c r="BH978" s="223"/>
      <c r="BI978" s="223"/>
      <c r="BJ978" s="223"/>
      <c r="BK978" s="223"/>
      <c r="BL978" s="223"/>
      <c r="BM978" s="200"/>
      <c r="BN978" s="200"/>
      <c r="BO978" s="522"/>
      <c r="BP978" s="200"/>
      <c r="BQ978" s="223"/>
      <c r="BR978" s="223"/>
      <c r="BS978" s="223"/>
      <c r="BT978" s="223"/>
      <c r="BU978" s="223"/>
      <c r="BV978" s="223"/>
      <c r="BW978" s="223"/>
      <c r="BX978" s="200"/>
      <c r="BY978" s="522"/>
      <c r="BZ978" s="200"/>
      <c r="CA978" s="223"/>
      <c r="CB978" s="223"/>
      <c r="CC978" s="223"/>
      <c r="CD978" s="223"/>
      <c r="CE978" s="223"/>
      <c r="CF978" s="223"/>
      <c r="CG978" s="200"/>
      <c r="CH978" s="200"/>
      <c r="CI978" s="522"/>
      <c r="CJ978" s="200"/>
      <c r="CK978" s="223"/>
      <c r="CL978" s="223"/>
      <c r="CM978" s="223"/>
      <c r="CN978" s="223"/>
      <c r="CO978" s="223"/>
      <c r="CP978" s="223"/>
      <c r="CQ978" s="200"/>
      <c r="CR978" s="200"/>
      <c r="CS978" s="522"/>
      <c r="CT978" s="200"/>
      <c r="CU978" s="223"/>
      <c r="CV978" s="223"/>
      <c r="CW978" s="223"/>
      <c r="CX978" s="223"/>
      <c r="CY978" s="223"/>
      <c r="CZ978" s="223"/>
      <c r="DA978" s="223"/>
      <c r="DB978" s="200"/>
      <c r="DC978" s="522"/>
      <c r="DD978" s="200"/>
      <c r="DE978" s="223"/>
      <c r="DF978" s="223"/>
      <c r="DG978" s="223"/>
      <c r="DH978" s="223"/>
      <c r="DI978" s="223"/>
      <c r="DJ978" s="223"/>
      <c r="DK978" s="200"/>
      <c r="DL978" s="200"/>
      <c r="DM978" s="522"/>
      <c r="DN978" s="200"/>
      <c r="DO978" s="223"/>
      <c r="DP978" s="223"/>
      <c r="DQ978" s="223"/>
      <c r="DR978" s="223"/>
      <c r="DS978" s="223"/>
      <c r="DT978" s="223"/>
      <c r="DU978" s="200"/>
      <c r="DV978" s="200"/>
      <c r="DW978" s="522"/>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2"/>
      <c r="R979" s="200"/>
      <c r="S979" s="223"/>
      <c r="T979" s="223"/>
      <c r="U979" s="223"/>
      <c r="V979" s="223"/>
      <c r="W979" s="223"/>
      <c r="X979" s="223"/>
      <c r="Y979" s="200"/>
      <c r="Z979" s="200"/>
      <c r="AA979" s="522"/>
      <c r="AB979" s="200"/>
      <c r="AC979" s="223"/>
      <c r="AD979" s="223"/>
      <c r="AE979" s="223"/>
      <c r="AF979" s="223"/>
      <c r="AG979" s="223"/>
      <c r="AH979" s="223"/>
      <c r="AI979" s="200"/>
      <c r="AJ979" s="200"/>
      <c r="AK979" s="522"/>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2"/>
      <c r="BF979" s="200"/>
      <c r="BG979" s="223"/>
      <c r="BH979" s="223"/>
      <c r="BI979" s="223"/>
      <c r="BJ979" s="223"/>
      <c r="BK979" s="223"/>
      <c r="BL979" s="223"/>
      <c r="BM979" s="200"/>
      <c r="BN979" s="200"/>
      <c r="BO979" s="522"/>
      <c r="BP979" s="200"/>
      <c r="BQ979" s="223"/>
      <c r="BR979" s="223"/>
      <c r="BS979" s="223"/>
      <c r="BT979" s="223"/>
      <c r="BU979" s="223"/>
      <c r="BV979" s="223"/>
      <c r="BW979" s="223"/>
      <c r="BX979" s="200"/>
      <c r="BY979" s="522"/>
      <c r="BZ979" s="200"/>
      <c r="CA979" s="223"/>
      <c r="CB979" s="223"/>
      <c r="CC979" s="223"/>
      <c r="CD979" s="223"/>
      <c r="CE979" s="223"/>
      <c r="CF979" s="223"/>
      <c r="CG979" s="200"/>
      <c r="CH979" s="200"/>
      <c r="CI979" s="522"/>
      <c r="CJ979" s="200"/>
      <c r="CK979" s="223"/>
      <c r="CL979" s="223"/>
      <c r="CM979" s="223"/>
      <c r="CN979" s="223"/>
      <c r="CO979" s="223"/>
      <c r="CP979" s="223"/>
      <c r="CQ979" s="200"/>
      <c r="CR979" s="200"/>
      <c r="CS979" s="522"/>
      <c r="CT979" s="200"/>
      <c r="CU979" s="223"/>
      <c r="CV979" s="223"/>
      <c r="CW979" s="223"/>
      <c r="CX979" s="223"/>
      <c r="CY979" s="223"/>
      <c r="CZ979" s="223"/>
      <c r="DA979" s="223"/>
      <c r="DB979" s="200"/>
      <c r="DC979" s="522"/>
      <c r="DD979" s="200"/>
      <c r="DE979" s="223"/>
      <c r="DF979" s="223"/>
      <c r="DG979" s="223"/>
      <c r="DH979" s="223"/>
      <c r="DI979" s="223"/>
      <c r="DJ979" s="223"/>
      <c r="DK979" s="200"/>
      <c r="DL979" s="200"/>
      <c r="DM979" s="522"/>
      <c r="DN979" s="200"/>
      <c r="DO979" s="223"/>
      <c r="DP979" s="223"/>
      <c r="DQ979" s="223"/>
      <c r="DR979" s="223"/>
      <c r="DS979" s="223"/>
      <c r="DT979" s="223"/>
      <c r="DU979" s="200"/>
      <c r="DV979" s="200"/>
      <c r="DW979" s="522"/>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2"/>
      <c r="R980" s="200"/>
      <c r="S980" s="223"/>
      <c r="T980" s="223"/>
      <c r="U980" s="223"/>
      <c r="V980" s="223"/>
      <c r="W980" s="223"/>
      <c r="X980" s="223"/>
      <c r="Y980" s="200"/>
      <c r="Z980" s="200"/>
      <c r="AA980" s="522"/>
      <c r="AB980" s="200"/>
      <c r="AC980" s="223"/>
      <c r="AD980" s="223"/>
      <c r="AE980" s="223"/>
      <c r="AF980" s="223"/>
      <c r="AG980" s="223"/>
      <c r="AH980" s="223"/>
      <c r="AI980" s="200"/>
      <c r="AJ980" s="200"/>
      <c r="AK980" s="522"/>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2"/>
      <c r="BF980" s="200"/>
      <c r="BG980" s="223"/>
      <c r="BH980" s="223"/>
      <c r="BI980" s="223"/>
      <c r="BJ980" s="223"/>
      <c r="BK980" s="223"/>
      <c r="BL980" s="223"/>
      <c r="BM980" s="200"/>
      <c r="BN980" s="200"/>
      <c r="BO980" s="522"/>
      <c r="BP980" s="200"/>
      <c r="BQ980" s="223"/>
      <c r="BR980" s="223"/>
      <c r="BS980" s="223"/>
      <c r="BT980" s="223"/>
      <c r="BU980" s="223"/>
      <c r="BV980" s="223"/>
      <c r="BW980" s="223"/>
      <c r="BX980" s="200"/>
      <c r="BY980" s="522"/>
      <c r="BZ980" s="200"/>
      <c r="CA980" s="223"/>
      <c r="CB980" s="223"/>
      <c r="CC980" s="223"/>
      <c r="CD980" s="223"/>
      <c r="CE980" s="223"/>
      <c r="CF980" s="223"/>
      <c r="CG980" s="200"/>
      <c r="CH980" s="200"/>
      <c r="CI980" s="522"/>
      <c r="CJ980" s="200"/>
      <c r="CK980" s="223"/>
      <c r="CL980" s="223"/>
      <c r="CM980" s="223"/>
      <c r="CN980" s="223"/>
      <c r="CO980" s="223"/>
      <c r="CP980" s="223"/>
      <c r="CQ980" s="200"/>
      <c r="CR980" s="200"/>
      <c r="CS980" s="522"/>
      <c r="CT980" s="200"/>
      <c r="CU980" s="223"/>
      <c r="CV980" s="223"/>
      <c r="CW980" s="223"/>
      <c r="CX980" s="223"/>
      <c r="CY980" s="223"/>
      <c r="CZ980" s="223"/>
      <c r="DA980" s="223"/>
      <c r="DB980" s="200"/>
      <c r="DC980" s="522"/>
      <c r="DD980" s="200"/>
      <c r="DE980" s="223"/>
      <c r="DF980" s="223"/>
      <c r="DG980" s="223"/>
      <c r="DH980" s="223"/>
      <c r="DI980" s="223"/>
      <c r="DJ980" s="223"/>
      <c r="DK980" s="200"/>
      <c r="DL980" s="200"/>
      <c r="DM980" s="522"/>
      <c r="DN980" s="200"/>
      <c r="DO980" s="223"/>
      <c r="DP980" s="223"/>
      <c r="DQ980" s="223"/>
      <c r="DR980" s="223"/>
      <c r="DS980" s="223"/>
      <c r="DT980" s="223"/>
      <c r="DU980" s="200"/>
      <c r="DV980" s="200"/>
      <c r="DW980" s="522"/>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2"/>
      <c r="R981" s="200"/>
      <c r="S981" s="223"/>
      <c r="T981" s="223"/>
      <c r="U981" s="223"/>
      <c r="V981" s="223"/>
      <c r="W981" s="223"/>
      <c r="X981" s="223"/>
      <c r="Y981" s="200"/>
      <c r="Z981" s="200"/>
      <c r="AA981" s="522"/>
      <c r="AB981" s="200"/>
      <c r="AC981" s="223"/>
      <c r="AD981" s="223"/>
      <c r="AE981" s="223"/>
      <c r="AF981" s="223"/>
      <c r="AG981" s="223"/>
      <c r="AH981" s="223"/>
      <c r="AI981" s="200"/>
      <c r="AJ981" s="200"/>
      <c r="AK981" s="522"/>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2"/>
      <c r="BF981" s="200"/>
      <c r="BG981" s="223"/>
      <c r="BH981" s="223"/>
      <c r="BI981" s="223"/>
      <c r="BJ981" s="223"/>
      <c r="BK981" s="223"/>
      <c r="BL981" s="223"/>
      <c r="BM981" s="200"/>
      <c r="BN981" s="200"/>
      <c r="BO981" s="522"/>
      <c r="BP981" s="200"/>
      <c r="BQ981" s="223"/>
      <c r="BR981" s="223"/>
      <c r="BS981" s="223"/>
      <c r="BT981" s="223"/>
      <c r="BU981" s="223"/>
      <c r="BV981" s="223"/>
      <c r="BW981" s="223"/>
      <c r="BX981" s="200"/>
      <c r="BY981" s="522"/>
      <c r="BZ981" s="200"/>
      <c r="CA981" s="223"/>
      <c r="CB981" s="223"/>
      <c r="CC981" s="223"/>
      <c r="CD981" s="223"/>
      <c r="CE981" s="223"/>
      <c r="CF981" s="223"/>
      <c r="CG981" s="200"/>
      <c r="CH981" s="200"/>
      <c r="CI981" s="522"/>
      <c r="CJ981" s="200"/>
      <c r="CK981" s="223"/>
      <c r="CL981" s="223"/>
      <c r="CM981" s="223"/>
      <c r="CN981" s="223"/>
      <c r="CO981" s="223"/>
      <c r="CP981" s="223"/>
      <c r="CQ981" s="200"/>
      <c r="CR981" s="200"/>
      <c r="CS981" s="522"/>
      <c r="CT981" s="200"/>
      <c r="CU981" s="223"/>
      <c r="CV981" s="223"/>
      <c r="CW981" s="223"/>
      <c r="CX981" s="223"/>
      <c r="CY981" s="223"/>
      <c r="CZ981" s="223"/>
      <c r="DA981" s="223"/>
      <c r="DB981" s="200"/>
      <c r="DC981" s="522"/>
      <c r="DD981" s="200"/>
      <c r="DE981" s="223"/>
      <c r="DF981" s="223"/>
      <c r="DG981" s="223"/>
      <c r="DH981" s="223"/>
      <c r="DI981" s="223"/>
      <c r="DJ981" s="223"/>
      <c r="DK981" s="200"/>
      <c r="DL981" s="200"/>
      <c r="DM981" s="522"/>
      <c r="DN981" s="200"/>
      <c r="DO981" s="223"/>
      <c r="DP981" s="223"/>
      <c r="DQ981" s="223"/>
      <c r="DR981" s="223"/>
      <c r="DS981" s="223"/>
      <c r="DT981" s="223"/>
      <c r="DU981" s="200"/>
      <c r="DV981" s="200"/>
      <c r="DW981" s="522"/>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2"/>
      <c r="R982" s="200"/>
      <c r="S982" s="223"/>
      <c r="T982" s="223"/>
      <c r="U982" s="223"/>
      <c r="V982" s="223"/>
      <c r="W982" s="223"/>
      <c r="X982" s="223"/>
      <c r="Y982" s="200"/>
      <c r="Z982" s="200"/>
      <c r="AA982" s="522"/>
      <c r="AB982" s="200"/>
      <c r="AC982" s="223"/>
      <c r="AD982" s="223"/>
      <c r="AE982" s="223"/>
      <c r="AF982" s="223"/>
      <c r="AG982" s="223"/>
      <c r="AH982" s="223"/>
      <c r="AI982" s="200"/>
      <c r="AJ982" s="200"/>
      <c r="AK982" s="522"/>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2"/>
      <c r="BF982" s="200"/>
      <c r="BG982" s="223"/>
      <c r="BH982" s="223"/>
      <c r="BI982" s="223"/>
      <c r="BJ982" s="223"/>
      <c r="BK982" s="223"/>
      <c r="BL982" s="223"/>
      <c r="BM982" s="200"/>
      <c r="BN982" s="200"/>
      <c r="BO982" s="522"/>
      <c r="BP982" s="200"/>
      <c r="BQ982" s="223"/>
      <c r="BR982" s="223"/>
      <c r="BS982" s="223"/>
      <c r="BT982" s="223"/>
      <c r="BU982" s="223"/>
      <c r="BV982" s="223"/>
      <c r="BW982" s="223"/>
      <c r="BX982" s="200"/>
      <c r="BY982" s="522"/>
      <c r="BZ982" s="200"/>
      <c r="CA982" s="223"/>
      <c r="CB982" s="223"/>
      <c r="CC982" s="223"/>
      <c r="CD982" s="223"/>
      <c r="CE982" s="223"/>
      <c r="CF982" s="223"/>
      <c r="CG982" s="200"/>
      <c r="CH982" s="200"/>
      <c r="CI982" s="522"/>
      <c r="CJ982" s="200"/>
      <c r="CK982" s="223"/>
      <c r="CL982" s="223"/>
      <c r="CM982" s="223"/>
      <c r="CN982" s="223"/>
      <c r="CO982" s="223"/>
      <c r="CP982" s="223"/>
      <c r="CQ982" s="200"/>
      <c r="CR982" s="200"/>
      <c r="CS982" s="522"/>
      <c r="CT982" s="200"/>
      <c r="CU982" s="223"/>
      <c r="CV982" s="223"/>
      <c r="CW982" s="223"/>
      <c r="CX982" s="223"/>
      <c r="CY982" s="223"/>
      <c r="CZ982" s="223"/>
      <c r="DA982" s="223"/>
      <c r="DB982" s="200"/>
      <c r="DC982" s="522"/>
      <c r="DD982" s="200"/>
      <c r="DE982" s="223"/>
      <c r="DF982" s="223"/>
      <c r="DG982" s="223"/>
      <c r="DH982" s="223"/>
      <c r="DI982" s="223"/>
      <c r="DJ982" s="223"/>
      <c r="DK982" s="200"/>
      <c r="DL982" s="200"/>
      <c r="DM982" s="522"/>
      <c r="DN982" s="200"/>
      <c r="DO982" s="223"/>
      <c r="DP982" s="223"/>
      <c r="DQ982" s="223"/>
      <c r="DR982" s="223"/>
      <c r="DS982" s="223"/>
      <c r="DT982" s="223"/>
      <c r="DU982" s="200"/>
      <c r="DV982" s="200"/>
      <c r="DW982" s="522"/>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2"/>
      <c r="R983" s="200"/>
      <c r="S983" s="223"/>
      <c r="T983" s="223"/>
      <c r="U983" s="223"/>
      <c r="V983" s="223"/>
      <c r="W983" s="223"/>
      <c r="X983" s="223"/>
      <c r="Y983" s="200"/>
      <c r="Z983" s="200"/>
      <c r="AA983" s="522"/>
      <c r="AB983" s="200"/>
      <c r="AC983" s="223"/>
      <c r="AD983" s="223"/>
      <c r="AE983" s="223"/>
      <c r="AF983" s="223"/>
      <c r="AG983" s="223"/>
      <c r="AH983" s="223"/>
      <c r="AI983" s="200"/>
      <c r="AJ983" s="200"/>
      <c r="AK983" s="522"/>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2"/>
      <c r="BF983" s="200"/>
      <c r="BG983" s="223"/>
      <c r="BH983" s="223"/>
      <c r="BI983" s="223"/>
      <c r="BJ983" s="223"/>
      <c r="BK983" s="223"/>
      <c r="BL983" s="223"/>
      <c r="BM983" s="200"/>
      <c r="BN983" s="200"/>
      <c r="BO983" s="522"/>
      <c r="BP983" s="200"/>
      <c r="BQ983" s="223"/>
      <c r="BR983" s="223"/>
      <c r="BS983" s="223"/>
      <c r="BT983" s="223"/>
      <c r="BU983" s="223"/>
      <c r="BV983" s="223"/>
      <c r="BW983" s="223"/>
      <c r="BX983" s="200"/>
      <c r="BY983" s="522"/>
      <c r="BZ983" s="200"/>
      <c r="CA983" s="223"/>
      <c r="CB983" s="223"/>
      <c r="CC983" s="223"/>
      <c r="CD983" s="223"/>
      <c r="CE983" s="223"/>
      <c r="CF983" s="223"/>
      <c r="CG983" s="200"/>
      <c r="CH983" s="200"/>
      <c r="CI983" s="522"/>
      <c r="CJ983" s="200"/>
      <c r="CK983" s="223"/>
      <c r="CL983" s="223"/>
      <c r="CM983" s="223"/>
      <c r="CN983" s="223"/>
      <c r="CO983" s="223"/>
      <c r="CP983" s="223"/>
      <c r="CQ983" s="200"/>
      <c r="CR983" s="200"/>
      <c r="CS983" s="522"/>
      <c r="CT983" s="200"/>
      <c r="CU983" s="223"/>
      <c r="CV983" s="223"/>
      <c r="CW983" s="223"/>
      <c r="CX983" s="223"/>
      <c r="CY983" s="223"/>
      <c r="CZ983" s="223"/>
      <c r="DA983" s="223"/>
      <c r="DB983" s="200"/>
      <c r="DC983" s="522"/>
      <c r="DD983" s="200"/>
      <c r="DE983" s="223"/>
      <c r="DF983" s="223"/>
      <c r="DG983" s="223"/>
      <c r="DH983" s="223"/>
      <c r="DI983" s="223"/>
      <c r="DJ983" s="223"/>
      <c r="DK983" s="200"/>
      <c r="DL983" s="200"/>
      <c r="DM983" s="522"/>
      <c r="DN983" s="200"/>
      <c r="DO983" s="223"/>
      <c r="DP983" s="223"/>
      <c r="DQ983" s="223"/>
      <c r="DR983" s="223"/>
      <c r="DS983" s="223"/>
      <c r="DT983" s="223"/>
      <c r="DU983" s="200"/>
      <c r="DV983" s="200"/>
      <c r="DW983" s="522"/>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2"/>
      <c r="R984" s="200"/>
      <c r="S984" s="223"/>
      <c r="T984" s="223"/>
      <c r="U984" s="223"/>
      <c r="V984" s="223"/>
      <c r="W984" s="223"/>
      <c r="X984" s="223"/>
      <c r="Y984" s="200"/>
      <c r="Z984" s="200"/>
      <c r="AA984" s="522"/>
      <c r="AB984" s="200"/>
      <c r="AC984" s="223"/>
      <c r="AD984" s="223"/>
      <c r="AE984" s="223"/>
      <c r="AF984" s="223"/>
      <c r="AG984" s="223"/>
      <c r="AH984" s="223"/>
      <c r="AI984" s="200"/>
      <c r="AJ984" s="200"/>
      <c r="AK984" s="522"/>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2"/>
      <c r="BF984" s="200"/>
      <c r="BG984" s="223"/>
      <c r="BH984" s="223"/>
      <c r="BI984" s="223"/>
      <c r="BJ984" s="223"/>
      <c r="BK984" s="223"/>
      <c r="BL984" s="223"/>
      <c r="BM984" s="200"/>
      <c r="BN984" s="200"/>
      <c r="BO984" s="522"/>
      <c r="BP984" s="200"/>
      <c r="BQ984" s="223"/>
      <c r="BR984" s="223"/>
      <c r="BS984" s="223"/>
      <c r="BT984" s="223"/>
      <c r="BU984" s="223"/>
      <c r="BV984" s="223"/>
      <c r="BW984" s="223"/>
      <c r="BX984" s="200"/>
      <c r="BY984" s="522"/>
      <c r="BZ984" s="200"/>
      <c r="CA984" s="223"/>
      <c r="CB984" s="223"/>
      <c r="CC984" s="223"/>
      <c r="CD984" s="223"/>
      <c r="CE984" s="223"/>
      <c r="CF984" s="223"/>
      <c r="CG984" s="200"/>
      <c r="CH984" s="200"/>
      <c r="CI984" s="522"/>
      <c r="CJ984" s="200"/>
      <c r="CK984" s="223"/>
      <c r="CL984" s="223"/>
      <c r="CM984" s="223"/>
      <c r="CN984" s="223"/>
      <c r="CO984" s="223"/>
      <c r="CP984" s="223"/>
      <c r="CQ984" s="200"/>
      <c r="CR984" s="200"/>
      <c r="CS984" s="522"/>
      <c r="CT984" s="200"/>
      <c r="CU984" s="223"/>
      <c r="CV984" s="223"/>
      <c r="CW984" s="223"/>
      <c r="CX984" s="223"/>
      <c r="CY984" s="223"/>
      <c r="CZ984" s="223"/>
      <c r="DA984" s="223"/>
      <c r="DB984" s="200"/>
      <c r="DC984" s="522"/>
      <c r="DD984" s="200"/>
      <c r="DE984" s="223"/>
      <c r="DF984" s="223"/>
      <c r="DG984" s="223"/>
      <c r="DH984" s="223"/>
      <c r="DI984" s="223"/>
      <c r="DJ984" s="223"/>
      <c r="DK984" s="200"/>
      <c r="DL984" s="200"/>
      <c r="DM984" s="522"/>
      <c r="DN984" s="200"/>
      <c r="DO984" s="223"/>
      <c r="DP984" s="223"/>
      <c r="DQ984" s="223"/>
      <c r="DR984" s="223"/>
      <c r="DS984" s="223"/>
      <c r="DT984" s="223"/>
      <c r="DU984" s="200"/>
      <c r="DV984" s="200"/>
      <c r="DW984" s="522"/>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2"/>
      <c r="R985" s="200"/>
      <c r="S985" s="223"/>
      <c r="T985" s="223"/>
      <c r="U985" s="223"/>
      <c r="V985" s="223"/>
      <c r="W985" s="223"/>
      <c r="X985" s="223"/>
      <c r="Y985" s="200"/>
      <c r="Z985" s="200"/>
      <c r="AA985" s="522"/>
      <c r="AB985" s="200"/>
      <c r="AC985" s="223"/>
      <c r="AD985" s="223"/>
      <c r="AE985" s="223"/>
      <c r="AF985" s="223"/>
      <c r="AG985" s="223"/>
      <c r="AH985" s="223"/>
      <c r="AI985" s="200"/>
      <c r="AJ985" s="200"/>
      <c r="AK985" s="522"/>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2"/>
      <c r="BF985" s="200"/>
      <c r="BG985" s="223"/>
      <c r="BH985" s="223"/>
      <c r="BI985" s="223"/>
      <c r="BJ985" s="223"/>
      <c r="BK985" s="223"/>
      <c r="BL985" s="223"/>
      <c r="BM985" s="200"/>
      <c r="BN985" s="200"/>
      <c r="BO985" s="522"/>
      <c r="BP985" s="200"/>
      <c r="BQ985" s="223"/>
      <c r="BR985" s="223"/>
      <c r="BS985" s="223"/>
      <c r="BT985" s="223"/>
      <c r="BU985" s="223"/>
      <c r="BV985" s="223"/>
      <c r="BW985" s="223"/>
      <c r="BX985" s="200"/>
      <c r="BY985" s="522"/>
      <c r="BZ985" s="200"/>
      <c r="CA985" s="223"/>
      <c r="CB985" s="223"/>
      <c r="CC985" s="223"/>
      <c r="CD985" s="223"/>
      <c r="CE985" s="223"/>
      <c r="CF985" s="223"/>
      <c r="CG985" s="200"/>
      <c r="CH985" s="200"/>
      <c r="CI985" s="522"/>
      <c r="CJ985" s="200"/>
      <c r="CK985" s="223"/>
      <c r="CL985" s="223"/>
      <c r="CM985" s="223"/>
      <c r="CN985" s="223"/>
      <c r="CO985" s="223"/>
      <c r="CP985" s="223"/>
      <c r="CQ985" s="200"/>
      <c r="CR985" s="200"/>
      <c r="CS985" s="522"/>
      <c r="CT985" s="200"/>
      <c r="CU985" s="223"/>
      <c r="CV985" s="223"/>
      <c r="CW985" s="223"/>
      <c r="CX985" s="223"/>
      <c r="CY985" s="223"/>
      <c r="CZ985" s="223"/>
      <c r="DA985" s="223"/>
      <c r="DB985" s="200"/>
      <c r="DC985" s="522"/>
      <c r="DD985" s="200"/>
      <c r="DE985" s="223"/>
      <c r="DF985" s="223"/>
      <c r="DG985" s="223"/>
      <c r="DH985" s="223"/>
      <c r="DI985" s="223"/>
      <c r="DJ985" s="223"/>
      <c r="DK985" s="200"/>
      <c r="DL985" s="200"/>
      <c r="DM985" s="522"/>
      <c r="DN985" s="200"/>
      <c r="DO985" s="223"/>
      <c r="DP985" s="223"/>
      <c r="DQ985" s="223"/>
      <c r="DR985" s="223"/>
      <c r="DS985" s="223"/>
      <c r="DT985" s="223"/>
      <c r="DU985" s="200"/>
      <c r="DV985" s="200"/>
      <c r="DW985" s="522"/>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2"/>
      <c r="R986" s="200"/>
      <c r="S986" s="223"/>
      <c r="T986" s="223"/>
      <c r="U986" s="223"/>
      <c r="V986" s="223"/>
      <c r="W986" s="223"/>
      <c r="X986" s="223"/>
      <c r="Y986" s="200"/>
      <c r="Z986" s="200"/>
      <c r="AA986" s="522"/>
      <c r="AB986" s="200"/>
      <c r="AC986" s="223"/>
      <c r="AD986" s="223"/>
      <c r="AE986" s="223"/>
      <c r="AF986" s="223"/>
      <c r="AG986" s="223"/>
      <c r="AH986" s="223"/>
      <c r="AI986" s="200"/>
      <c r="AJ986" s="200"/>
      <c r="AK986" s="522"/>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2"/>
      <c r="BF986" s="200"/>
      <c r="BG986" s="223"/>
      <c r="BH986" s="223"/>
      <c r="BI986" s="223"/>
      <c r="BJ986" s="223"/>
      <c r="BK986" s="223"/>
      <c r="BL986" s="223"/>
      <c r="BM986" s="200"/>
      <c r="BN986" s="200"/>
      <c r="BO986" s="522"/>
      <c r="BP986" s="200"/>
      <c r="BQ986" s="223"/>
      <c r="BR986" s="223"/>
      <c r="BS986" s="223"/>
      <c r="BT986" s="223"/>
      <c r="BU986" s="223"/>
      <c r="BV986" s="223"/>
      <c r="BW986" s="223"/>
      <c r="BX986" s="200"/>
      <c r="BY986" s="522"/>
      <c r="BZ986" s="200"/>
      <c r="CA986" s="223"/>
      <c r="CB986" s="223"/>
      <c r="CC986" s="223"/>
      <c r="CD986" s="223"/>
      <c r="CE986" s="223"/>
      <c r="CF986" s="223"/>
      <c r="CG986" s="200"/>
      <c r="CH986" s="200"/>
      <c r="CI986" s="522"/>
      <c r="CJ986" s="200"/>
      <c r="CK986" s="223"/>
      <c r="CL986" s="223"/>
      <c r="CM986" s="223"/>
      <c r="CN986" s="223"/>
      <c r="CO986" s="223"/>
      <c r="CP986" s="223"/>
      <c r="CQ986" s="200"/>
      <c r="CR986" s="200"/>
      <c r="CS986" s="522"/>
      <c r="CT986" s="200"/>
      <c r="CU986" s="223"/>
      <c r="CV986" s="223"/>
      <c r="CW986" s="223"/>
      <c r="CX986" s="223"/>
      <c r="CY986" s="223"/>
      <c r="CZ986" s="223"/>
      <c r="DA986" s="223"/>
      <c r="DB986" s="200"/>
      <c r="DC986" s="522"/>
      <c r="DD986" s="200"/>
      <c r="DE986" s="223"/>
      <c r="DF986" s="223"/>
      <c r="DG986" s="223"/>
      <c r="DH986" s="223"/>
      <c r="DI986" s="223"/>
      <c r="DJ986" s="223"/>
      <c r="DK986" s="200"/>
      <c r="DL986" s="200"/>
      <c r="DM986" s="522"/>
      <c r="DN986" s="200"/>
      <c r="DO986" s="223"/>
      <c r="DP986" s="223"/>
      <c r="DQ986" s="223"/>
      <c r="DR986" s="223"/>
      <c r="DS986" s="223"/>
      <c r="DT986" s="223"/>
      <c r="DU986" s="200"/>
      <c r="DV986" s="200"/>
      <c r="DW986" s="522"/>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2"/>
      <c r="R987" s="200"/>
      <c r="S987" s="223"/>
      <c r="T987" s="223"/>
      <c r="U987" s="223"/>
      <c r="V987" s="223"/>
      <c r="W987" s="223"/>
      <c r="X987" s="223"/>
      <c r="Y987" s="200"/>
      <c r="Z987" s="200"/>
      <c r="AA987" s="522"/>
      <c r="AB987" s="200"/>
      <c r="AC987" s="223"/>
      <c r="AD987" s="223"/>
      <c r="AE987" s="223"/>
      <c r="AF987" s="223"/>
      <c r="AG987" s="223"/>
      <c r="AH987" s="223"/>
      <c r="AI987" s="200"/>
      <c r="AJ987" s="200"/>
      <c r="AK987" s="522"/>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2"/>
      <c r="BF987" s="200"/>
      <c r="BG987" s="223"/>
      <c r="BH987" s="223"/>
      <c r="BI987" s="223"/>
      <c r="BJ987" s="223"/>
      <c r="BK987" s="223"/>
      <c r="BL987" s="223"/>
      <c r="BM987" s="200"/>
      <c r="BN987" s="200"/>
      <c r="BO987" s="522"/>
      <c r="BP987" s="200"/>
      <c r="BQ987" s="223"/>
      <c r="BR987" s="223"/>
      <c r="BS987" s="223"/>
      <c r="BT987" s="223"/>
      <c r="BU987" s="223"/>
      <c r="BV987" s="223"/>
      <c r="BW987" s="223"/>
      <c r="BX987" s="200"/>
      <c r="BY987" s="522"/>
      <c r="BZ987" s="200"/>
      <c r="CA987" s="223"/>
      <c r="CB987" s="223"/>
      <c r="CC987" s="223"/>
      <c r="CD987" s="223"/>
      <c r="CE987" s="223"/>
      <c r="CF987" s="223"/>
      <c r="CG987" s="200"/>
      <c r="CH987" s="200"/>
      <c r="CI987" s="522"/>
      <c r="CJ987" s="200"/>
      <c r="CK987" s="223"/>
      <c r="CL987" s="223"/>
      <c r="CM987" s="223"/>
      <c r="CN987" s="223"/>
      <c r="CO987" s="223"/>
      <c r="CP987" s="223"/>
      <c r="CQ987" s="200"/>
      <c r="CR987" s="200"/>
      <c r="CS987" s="522"/>
      <c r="CT987" s="200"/>
      <c r="CU987" s="223"/>
      <c r="CV987" s="223"/>
      <c r="CW987" s="223"/>
      <c r="CX987" s="223"/>
      <c r="CY987" s="223"/>
      <c r="CZ987" s="223"/>
      <c r="DA987" s="223"/>
      <c r="DB987" s="200"/>
      <c r="DC987" s="522"/>
      <c r="DD987" s="200"/>
      <c r="DE987" s="223"/>
      <c r="DF987" s="223"/>
      <c r="DG987" s="223"/>
      <c r="DH987" s="223"/>
      <c r="DI987" s="223"/>
      <c r="DJ987" s="223"/>
      <c r="DK987" s="200"/>
      <c r="DL987" s="200"/>
      <c r="DM987" s="522"/>
      <c r="DN987" s="200"/>
      <c r="DO987" s="223"/>
      <c r="DP987" s="223"/>
      <c r="DQ987" s="223"/>
      <c r="DR987" s="223"/>
      <c r="DS987" s="223"/>
      <c r="DT987" s="223"/>
      <c r="DU987" s="200"/>
      <c r="DV987" s="200"/>
      <c r="DW987" s="522"/>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2"/>
      <c r="R988" s="200"/>
      <c r="S988" s="223"/>
      <c r="T988" s="223"/>
      <c r="U988" s="223"/>
      <c r="V988" s="223"/>
      <c r="W988" s="223"/>
      <c r="X988" s="223"/>
      <c r="Y988" s="200"/>
      <c r="Z988" s="200"/>
      <c r="AA988" s="522"/>
      <c r="AB988" s="200"/>
      <c r="AC988" s="223"/>
      <c r="AD988" s="223"/>
      <c r="AE988" s="223"/>
      <c r="AF988" s="223"/>
      <c r="AG988" s="223"/>
      <c r="AH988" s="223"/>
      <c r="AI988" s="200"/>
      <c r="AJ988" s="200"/>
      <c r="AK988" s="522"/>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2"/>
      <c r="BF988" s="200"/>
      <c r="BG988" s="223"/>
      <c r="BH988" s="223"/>
      <c r="BI988" s="223"/>
      <c r="BJ988" s="223"/>
      <c r="BK988" s="223"/>
      <c r="BL988" s="223"/>
      <c r="BM988" s="200"/>
      <c r="BN988" s="200"/>
      <c r="BO988" s="522"/>
      <c r="BP988" s="200"/>
      <c r="BQ988" s="223"/>
      <c r="BR988" s="223"/>
      <c r="BS988" s="223"/>
      <c r="BT988" s="223"/>
      <c r="BU988" s="223"/>
      <c r="BV988" s="223"/>
      <c r="BW988" s="223"/>
      <c r="BX988" s="200"/>
      <c r="BY988" s="522"/>
      <c r="BZ988" s="200"/>
      <c r="CA988" s="223"/>
      <c r="CB988" s="223"/>
      <c r="CC988" s="223"/>
      <c r="CD988" s="223"/>
      <c r="CE988" s="223"/>
      <c r="CF988" s="223"/>
      <c r="CG988" s="200"/>
      <c r="CH988" s="200"/>
      <c r="CI988" s="522"/>
      <c r="CJ988" s="200"/>
      <c r="CK988" s="223"/>
      <c r="CL988" s="223"/>
      <c r="CM988" s="223"/>
      <c r="CN988" s="223"/>
      <c r="CO988" s="223"/>
      <c r="CP988" s="223"/>
      <c r="CQ988" s="200"/>
      <c r="CR988" s="200"/>
      <c r="CS988" s="522"/>
      <c r="CT988" s="200"/>
      <c r="CU988" s="223"/>
      <c r="CV988" s="223"/>
      <c r="CW988" s="223"/>
      <c r="CX988" s="223"/>
      <c r="CY988" s="223"/>
      <c r="CZ988" s="223"/>
      <c r="DA988" s="223"/>
      <c r="DB988" s="200"/>
      <c r="DC988" s="522"/>
      <c r="DD988" s="200"/>
      <c r="DE988" s="223"/>
      <c r="DF988" s="223"/>
      <c r="DG988" s="223"/>
      <c r="DH988" s="223"/>
      <c r="DI988" s="223"/>
      <c r="DJ988" s="223"/>
      <c r="DK988" s="200"/>
      <c r="DL988" s="200"/>
      <c r="DM988" s="522"/>
      <c r="DN988" s="200"/>
      <c r="DO988" s="223"/>
      <c r="DP988" s="223"/>
      <c r="DQ988" s="223"/>
      <c r="DR988" s="223"/>
      <c r="DS988" s="223"/>
      <c r="DT988" s="223"/>
      <c r="DU988" s="200"/>
      <c r="DV988" s="200"/>
      <c r="DW988" s="522"/>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2"/>
      <c r="R989" s="200"/>
      <c r="S989" s="223"/>
      <c r="T989" s="223"/>
      <c r="U989" s="223"/>
      <c r="V989" s="223"/>
      <c r="W989" s="223"/>
      <c r="X989" s="223"/>
      <c r="Y989" s="200"/>
      <c r="Z989" s="200"/>
      <c r="AA989" s="522"/>
      <c r="AB989" s="200"/>
      <c r="AC989" s="223"/>
      <c r="AD989" s="223"/>
      <c r="AE989" s="223"/>
      <c r="AF989" s="223"/>
      <c r="AG989" s="223"/>
      <c r="AH989" s="223"/>
      <c r="AI989" s="200"/>
      <c r="AJ989" s="200"/>
      <c r="AK989" s="522"/>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2"/>
      <c r="BF989" s="200"/>
      <c r="BG989" s="223"/>
      <c r="BH989" s="223"/>
      <c r="BI989" s="223"/>
      <c r="BJ989" s="223"/>
      <c r="BK989" s="223"/>
      <c r="BL989" s="223"/>
      <c r="BM989" s="200"/>
      <c r="BN989" s="200"/>
      <c r="BO989" s="522"/>
      <c r="BP989" s="200"/>
      <c r="BQ989" s="223"/>
      <c r="BR989" s="223"/>
      <c r="BS989" s="223"/>
      <c r="BT989" s="223"/>
      <c r="BU989" s="223"/>
      <c r="BV989" s="223"/>
      <c r="BW989" s="223"/>
      <c r="BX989" s="200"/>
      <c r="BY989" s="522"/>
      <c r="BZ989" s="200"/>
      <c r="CA989" s="223"/>
      <c r="CB989" s="223"/>
      <c r="CC989" s="223"/>
      <c r="CD989" s="223"/>
      <c r="CE989" s="223"/>
      <c r="CF989" s="223"/>
      <c r="CG989" s="200"/>
      <c r="CH989" s="200"/>
      <c r="CI989" s="522"/>
      <c r="CJ989" s="200"/>
      <c r="CK989" s="223"/>
      <c r="CL989" s="223"/>
      <c r="CM989" s="223"/>
      <c r="CN989" s="223"/>
      <c r="CO989" s="223"/>
      <c r="CP989" s="223"/>
      <c r="CQ989" s="200"/>
      <c r="CR989" s="200"/>
      <c r="CS989" s="522"/>
      <c r="CT989" s="200"/>
      <c r="CU989" s="223"/>
      <c r="CV989" s="223"/>
      <c r="CW989" s="223"/>
      <c r="CX989" s="223"/>
      <c r="CY989" s="223"/>
      <c r="CZ989" s="223"/>
      <c r="DA989" s="223"/>
      <c r="DB989" s="200"/>
      <c r="DC989" s="522"/>
      <c r="DD989" s="200"/>
      <c r="DE989" s="223"/>
      <c r="DF989" s="223"/>
      <c r="DG989" s="223"/>
      <c r="DH989" s="223"/>
      <c r="DI989" s="223"/>
      <c r="DJ989" s="223"/>
      <c r="DK989" s="200"/>
      <c r="DL989" s="200"/>
      <c r="DM989" s="522"/>
      <c r="DN989" s="200"/>
      <c r="DO989" s="223"/>
      <c r="DP989" s="223"/>
      <c r="DQ989" s="223"/>
      <c r="DR989" s="223"/>
      <c r="DS989" s="223"/>
      <c r="DT989" s="223"/>
      <c r="DU989" s="200"/>
      <c r="DV989" s="200"/>
      <c r="DW989" s="522"/>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2"/>
      <c r="R990" s="200"/>
      <c r="S990" s="223"/>
      <c r="T990" s="223"/>
      <c r="U990" s="223"/>
      <c r="V990" s="223"/>
      <c r="W990" s="223"/>
      <c r="X990" s="223"/>
      <c r="Y990" s="200"/>
      <c r="Z990" s="200"/>
      <c r="AA990" s="522"/>
      <c r="AB990" s="200"/>
      <c r="AC990" s="223"/>
      <c r="AD990" s="223"/>
      <c r="AE990" s="223"/>
      <c r="AF990" s="223"/>
      <c r="AG990" s="223"/>
      <c r="AH990" s="223"/>
      <c r="AI990" s="200"/>
      <c r="AJ990" s="200"/>
      <c r="AK990" s="522"/>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2"/>
      <c r="BF990" s="200"/>
      <c r="BG990" s="223"/>
      <c r="BH990" s="223"/>
      <c r="BI990" s="223"/>
      <c r="BJ990" s="223"/>
      <c r="BK990" s="223"/>
      <c r="BL990" s="223"/>
      <c r="BM990" s="200"/>
      <c r="BN990" s="200"/>
      <c r="BO990" s="522"/>
      <c r="BP990" s="200"/>
      <c r="BQ990" s="223"/>
      <c r="BR990" s="223"/>
      <c r="BS990" s="223"/>
      <c r="BT990" s="223"/>
      <c r="BU990" s="223"/>
      <c r="BV990" s="223"/>
      <c r="BW990" s="223"/>
      <c r="BX990" s="200"/>
      <c r="BY990" s="522"/>
      <c r="BZ990" s="200"/>
      <c r="CA990" s="223"/>
      <c r="CB990" s="223"/>
      <c r="CC990" s="223"/>
      <c r="CD990" s="223"/>
      <c r="CE990" s="223"/>
      <c r="CF990" s="223"/>
      <c r="CG990" s="200"/>
      <c r="CH990" s="200"/>
      <c r="CI990" s="522"/>
      <c r="CJ990" s="200"/>
      <c r="CK990" s="223"/>
      <c r="CL990" s="223"/>
      <c r="CM990" s="223"/>
      <c r="CN990" s="223"/>
      <c r="CO990" s="223"/>
      <c r="CP990" s="223"/>
      <c r="CQ990" s="200"/>
      <c r="CR990" s="200"/>
      <c r="CS990" s="522"/>
      <c r="CT990" s="200"/>
      <c r="CU990" s="223"/>
      <c r="CV990" s="223"/>
      <c r="CW990" s="223"/>
      <c r="CX990" s="223"/>
      <c r="CY990" s="223"/>
      <c r="CZ990" s="223"/>
      <c r="DA990" s="223"/>
      <c r="DB990" s="200"/>
      <c r="DC990" s="522"/>
      <c r="DD990" s="200"/>
      <c r="DE990" s="223"/>
      <c r="DF990" s="223"/>
      <c r="DG990" s="223"/>
      <c r="DH990" s="223"/>
      <c r="DI990" s="223"/>
      <c r="DJ990" s="223"/>
      <c r="DK990" s="200"/>
      <c r="DL990" s="200"/>
      <c r="DM990" s="522"/>
      <c r="DN990" s="200"/>
      <c r="DO990" s="223"/>
      <c r="DP990" s="223"/>
      <c r="DQ990" s="223"/>
      <c r="DR990" s="223"/>
      <c r="DS990" s="223"/>
      <c r="DT990" s="223"/>
      <c r="DU990" s="200"/>
      <c r="DV990" s="200"/>
      <c r="DW990" s="522"/>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2"/>
      <c r="R991" s="200"/>
      <c r="S991" s="223"/>
      <c r="T991" s="223"/>
      <c r="U991" s="223"/>
      <c r="V991" s="223"/>
      <c r="W991" s="223"/>
      <c r="X991" s="223"/>
      <c r="Y991" s="200"/>
      <c r="Z991" s="200"/>
      <c r="AA991" s="522"/>
      <c r="AB991" s="200"/>
      <c r="AC991" s="223"/>
      <c r="AD991" s="223"/>
      <c r="AE991" s="223"/>
      <c r="AF991" s="223"/>
      <c r="AG991" s="223"/>
      <c r="AH991" s="223"/>
      <c r="AI991" s="200"/>
      <c r="AJ991" s="200"/>
      <c r="AK991" s="522"/>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2"/>
      <c r="BF991" s="200"/>
      <c r="BG991" s="223"/>
      <c r="BH991" s="223"/>
      <c r="BI991" s="223"/>
      <c r="BJ991" s="223"/>
      <c r="BK991" s="223"/>
      <c r="BL991" s="223"/>
      <c r="BM991" s="200"/>
      <c r="BN991" s="200"/>
      <c r="BO991" s="522"/>
      <c r="BP991" s="200"/>
      <c r="BQ991" s="223"/>
      <c r="BR991" s="223"/>
      <c r="BS991" s="223"/>
      <c r="BT991" s="223"/>
      <c r="BU991" s="223"/>
      <c r="BV991" s="223"/>
      <c r="BW991" s="223"/>
      <c r="BX991" s="200"/>
      <c r="BY991" s="522"/>
      <c r="BZ991" s="200"/>
      <c r="CA991" s="223"/>
      <c r="CB991" s="223"/>
      <c r="CC991" s="223"/>
      <c r="CD991" s="223"/>
      <c r="CE991" s="223"/>
      <c r="CF991" s="223"/>
      <c r="CG991" s="200"/>
      <c r="CH991" s="200"/>
      <c r="CI991" s="522"/>
      <c r="CJ991" s="200"/>
      <c r="CK991" s="223"/>
      <c r="CL991" s="223"/>
      <c r="CM991" s="223"/>
      <c r="CN991" s="223"/>
      <c r="CO991" s="223"/>
      <c r="CP991" s="223"/>
      <c r="CQ991" s="200"/>
      <c r="CR991" s="200"/>
      <c r="CS991" s="522"/>
      <c r="CT991" s="200"/>
      <c r="CU991" s="223"/>
      <c r="CV991" s="223"/>
      <c r="CW991" s="223"/>
      <c r="CX991" s="223"/>
      <c r="CY991" s="223"/>
      <c r="CZ991" s="223"/>
      <c r="DA991" s="223"/>
      <c r="DB991" s="200"/>
      <c r="DC991" s="522"/>
      <c r="DD991" s="200"/>
      <c r="DE991" s="223"/>
      <c r="DF991" s="223"/>
      <c r="DG991" s="223"/>
      <c r="DH991" s="223"/>
      <c r="DI991" s="223"/>
      <c r="DJ991" s="223"/>
      <c r="DK991" s="200"/>
      <c r="DL991" s="200"/>
      <c r="DM991" s="522"/>
      <c r="DN991" s="200"/>
      <c r="DO991" s="223"/>
      <c r="DP991" s="223"/>
      <c r="DQ991" s="223"/>
      <c r="DR991" s="223"/>
      <c r="DS991" s="223"/>
      <c r="DT991" s="223"/>
      <c r="DU991" s="200"/>
      <c r="DV991" s="200"/>
      <c r="DW991" s="522"/>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2"/>
      <c r="R992" s="200"/>
      <c r="S992" s="223"/>
      <c r="T992" s="223"/>
      <c r="U992" s="223"/>
      <c r="V992" s="223"/>
      <c r="W992" s="223"/>
      <c r="X992" s="223"/>
      <c r="Y992" s="200"/>
      <c r="Z992" s="200"/>
      <c r="AA992" s="522"/>
      <c r="AB992" s="200"/>
      <c r="AC992" s="223"/>
      <c r="AD992" s="223"/>
      <c r="AE992" s="223"/>
      <c r="AF992" s="223"/>
      <c r="AG992" s="223"/>
      <c r="AH992" s="223"/>
      <c r="AI992" s="200"/>
      <c r="AJ992" s="200"/>
      <c r="AK992" s="522"/>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2"/>
      <c r="BF992" s="200"/>
      <c r="BG992" s="223"/>
      <c r="BH992" s="223"/>
      <c r="BI992" s="223"/>
      <c r="BJ992" s="223"/>
      <c r="BK992" s="223"/>
      <c r="BL992" s="223"/>
      <c r="BM992" s="200"/>
      <c r="BN992" s="200"/>
      <c r="BO992" s="522"/>
      <c r="BP992" s="200"/>
      <c r="BQ992" s="223"/>
      <c r="BR992" s="223"/>
      <c r="BS992" s="223"/>
      <c r="BT992" s="223"/>
      <c r="BU992" s="223"/>
      <c r="BV992" s="223"/>
      <c r="BW992" s="223"/>
      <c r="BX992" s="200"/>
      <c r="BY992" s="522"/>
      <c r="BZ992" s="200"/>
      <c r="CA992" s="223"/>
      <c r="CB992" s="223"/>
      <c r="CC992" s="223"/>
      <c r="CD992" s="223"/>
      <c r="CE992" s="223"/>
      <c r="CF992" s="223"/>
      <c r="CG992" s="200"/>
      <c r="CH992" s="200"/>
      <c r="CI992" s="522"/>
      <c r="CJ992" s="200"/>
      <c r="CK992" s="223"/>
      <c r="CL992" s="223"/>
      <c r="CM992" s="223"/>
      <c r="CN992" s="223"/>
      <c r="CO992" s="223"/>
      <c r="CP992" s="223"/>
      <c r="CQ992" s="200"/>
      <c r="CR992" s="200"/>
      <c r="CS992" s="522"/>
      <c r="CT992" s="200"/>
      <c r="CU992" s="223"/>
      <c r="CV992" s="223"/>
      <c r="CW992" s="223"/>
      <c r="CX992" s="223"/>
      <c r="CY992" s="223"/>
      <c r="CZ992" s="223"/>
      <c r="DA992" s="223"/>
      <c r="DB992" s="200"/>
      <c r="DC992" s="522"/>
      <c r="DD992" s="200"/>
      <c r="DE992" s="223"/>
      <c r="DF992" s="223"/>
      <c r="DG992" s="223"/>
      <c r="DH992" s="223"/>
      <c r="DI992" s="223"/>
      <c r="DJ992" s="223"/>
      <c r="DK992" s="200"/>
      <c r="DL992" s="200"/>
      <c r="DM992" s="522"/>
      <c r="DN992" s="200"/>
      <c r="DO992" s="223"/>
      <c r="DP992" s="223"/>
      <c r="DQ992" s="223"/>
      <c r="DR992" s="223"/>
      <c r="DS992" s="223"/>
      <c r="DT992" s="223"/>
      <c r="DU992" s="200"/>
      <c r="DV992" s="200"/>
      <c r="DW992" s="522"/>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2"/>
      <c r="R993" s="200"/>
      <c r="S993" s="223"/>
      <c r="T993" s="223"/>
      <c r="U993" s="223"/>
      <c r="V993" s="223"/>
      <c r="W993" s="223"/>
      <c r="X993" s="223"/>
      <c r="Y993" s="200"/>
      <c r="Z993" s="200"/>
      <c r="AA993" s="522"/>
      <c r="AB993" s="200"/>
      <c r="AC993" s="223"/>
      <c r="AD993" s="223"/>
      <c r="AE993" s="223"/>
      <c r="AF993" s="223"/>
      <c r="AG993" s="223"/>
      <c r="AH993" s="223"/>
      <c r="AI993" s="200"/>
      <c r="AJ993" s="200"/>
      <c r="AK993" s="522"/>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2"/>
      <c r="BF993" s="200"/>
      <c r="BG993" s="223"/>
      <c r="BH993" s="223"/>
      <c r="BI993" s="223"/>
      <c r="BJ993" s="223"/>
      <c r="BK993" s="223"/>
      <c r="BL993" s="223"/>
      <c r="BM993" s="200"/>
      <c r="BN993" s="200"/>
      <c r="BO993" s="522"/>
      <c r="BP993" s="200"/>
      <c r="BQ993" s="223"/>
      <c r="BR993" s="223"/>
      <c r="BS993" s="223"/>
      <c r="BT993" s="223"/>
      <c r="BU993" s="223"/>
      <c r="BV993" s="223"/>
      <c r="BW993" s="223"/>
      <c r="BX993" s="200"/>
      <c r="BY993" s="522"/>
      <c r="BZ993" s="200"/>
      <c r="CA993" s="223"/>
      <c r="CB993" s="223"/>
      <c r="CC993" s="223"/>
      <c r="CD993" s="223"/>
      <c r="CE993" s="223"/>
      <c r="CF993" s="223"/>
      <c r="CG993" s="200"/>
      <c r="CH993" s="200"/>
      <c r="CI993" s="522"/>
      <c r="CJ993" s="200"/>
      <c r="CK993" s="223"/>
      <c r="CL993" s="223"/>
      <c r="CM993" s="223"/>
      <c r="CN993" s="223"/>
      <c r="CO993" s="223"/>
      <c r="CP993" s="223"/>
      <c r="CQ993" s="200"/>
      <c r="CR993" s="200"/>
      <c r="CS993" s="522"/>
      <c r="CT993" s="200"/>
      <c r="CU993" s="223"/>
      <c r="CV993" s="223"/>
      <c r="CW993" s="223"/>
      <c r="CX993" s="223"/>
      <c r="CY993" s="223"/>
      <c r="CZ993" s="223"/>
      <c r="DA993" s="223"/>
      <c r="DB993" s="200"/>
      <c r="DC993" s="522"/>
      <c r="DD993" s="200"/>
      <c r="DE993" s="223"/>
      <c r="DF993" s="223"/>
      <c r="DG993" s="223"/>
      <c r="DH993" s="223"/>
      <c r="DI993" s="223"/>
      <c r="DJ993" s="223"/>
      <c r="DK993" s="200"/>
      <c r="DL993" s="200"/>
      <c r="DM993" s="522"/>
      <c r="DN993" s="200"/>
      <c r="DO993" s="223"/>
      <c r="DP993" s="223"/>
      <c r="DQ993" s="223"/>
      <c r="DR993" s="223"/>
      <c r="DS993" s="223"/>
      <c r="DT993" s="223"/>
      <c r="DU993" s="200"/>
      <c r="DV993" s="200"/>
      <c r="DW993" s="522"/>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2"/>
      <c r="R994" s="200"/>
      <c r="S994" s="223"/>
      <c r="T994" s="223"/>
      <c r="U994" s="223"/>
      <c r="V994" s="223"/>
      <c r="W994" s="223"/>
      <c r="X994" s="223"/>
      <c r="Y994" s="200"/>
      <c r="Z994" s="200"/>
      <c r="AA994" s="522"/>
      <c r="AB994" s="200"/>
      <c r="AC994" s="223"/>
      <c r="AD994" s="223"/>
      <c r="AE994" s="223"/>
      <c r="AF994" s="223"/>
      <c r="AG994" s="223"/>
      <c r="AH994" s="223"/>
      <c r="AI994" s="200"/>
      <c r="AJ994" s="200"/>
      <c r="AK994" s="522"/>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2"/>
      <c r="BF994" s="200"/>
      <c r="BG994" s="223"/>
      <c r="BH994" s="223"/>
      <c r="BI994" s="223"/>
      <c r="BJ994" s="223"/>
      <c r="BK994" s="223"/>
      <c r="BL994" s="223"/>
      <c r="BM994" s="200"/>
      <c r="BN994" s="200"/>
      <c r="BO994" s="522"/>
      <c r="BP994" s="200"/>
      <c r="BQ994" s="223"/>
      <c r="BR994" s="223"/>
      <c r="BS994" s="223"/>
      <c r="BT994" s="223"/>
      <c r="BU994" s="223"/>
      <c r="BV994" s="223"/>
      <c r="BW994" s="223"/>
      <c r="BX994" s="200"/>
      <c r="BY994" s="522"/>
      <c r="BZ994" s="200"/>
      <c r="CA994" s="223"/>
      <c r="CB994" s="223"/>
      <c r="CC994" s="223"/>
      <c r="CD994" s="223"/>
      <c r="CE994" s="223"/>
      <c r="CF994" s="223"/>
      <c r="CG994" s="200"/>
      <c r="CH994" s="200"/>
      <c r="CI994" s="522"/>
      <c r="CJ994" s="200"/>
      <c r="CK994" s="223"/>
      <c r="CL994" s="223"/>
      <c r="CM994" s="223"/>
      <c r="CN994" s="223"/>
      <c r="CO994" s="223"/>
      <c r="CP994" s="223"/>
      <c r="CQ994" s="200"/>
      <c r="CR994" s="200"/>
      <c r="CS994" s="522"/>
      <c r="CT994" s="200"/>
      <c r="CU994" s="223"/>
      <c r="CV994" s="223"/>
      <c r="CW994" s="223"/>
      <c r="CX994" s="223"/>
      <c r="CY994" s="223"/>
      <c r="CZ994" s="223"/>
      <c r="DA994" s="223"/>
      <c r="DB994" s="200"/>
      <c r="DC994" s="522"/>
      <c r="DD994" s="200"/>
      <c r="DE994" s="223"/>
      <c r="DF994" s="223"/>
      <c r="DG994" s="223"/>
      <c r="DH994" s="223"/>
      <c r="DI994" s="223"/>
      <c r="DJ994" s="223"/>
      <c r="DK994" s="200"/>
      <c r="DL994" s="200"/>
      <c r="DM994" s="522"/>
      <c r="DN994" s="200"/>
      <c r="DO994" s="223"/>
      <c r="DP994" s="223"/>
      <c r="DQ994" s="223"/>
      <c r="DR994" s="223"/>
      <c r="DS994" s="223"/>
      <c r="DT994" s="223"/>
      <c r="DU994" s="200"/>
      <c r="DV994" s="200"/>
      <c r="DW994" s="522"/>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2"/>
      <c r="R995" s="200"/>
      <c r="S995" s="223"/>
      <c r="T995" s="223"/>
      <c r="U995" s="223"/>
      <c r="V995" s="223"/>
      <c r="W995" s="223"/>
      <c r="X995" s="223"/>
      <c r="Y995" s="200"/>
      <c r="Z995" s="200"/>
      <c r="AA995" s="522"/>
      <c r="AB995" s="200"/>
      <c r="AC995" s="223"/>
      <c r="AD995" s="223"/>
      <c r="AE995" s="223"/>
      <c r="AF995" s="223"/>
      <c r="AG995" s="223"/>
      <c r="AH995" s="223"/>
      <c r="AI995" s="200"/>
      <c r="AJ995" s="200"/>
      <c r="AK995" s="522"/>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2"/>
      <c r="BF995" s="200"/>
      <c r="BG995" s="223"/>
      <c r="BH995" s="223"/>
      <c r="BI995" s="223"/>
      <c r="BJ995" s="223"/>
      <c r="BK995" s="223"/>
      <c r="BL995" s="223"/>
      <c r="BM995" s="200"/>
      <c r="BN995" s="200"/>
      <c r="BO995" s="522"/>
      <c r="BP995" s="200"/>
      <c r="BQ995" s="223"/>
      <c r="BR995" s="223"/>
      <c r="BS995" s="223"/>
      <c r="BT995" s="223"/>
      <c r="BU995" s="223"/>
      <c r="BV995" s="223"/>
      <c r="BW995" s="223"/>
      <c r="BX995" s="200"/>
      <c r="BY995" s="522"/>
      <c r="BZ995" s="200"/>
      <c r="CA995" s="223"/>
      <c r="CB995" s="223"/>
      <c r="CC995" s="223"/>
      <c r="CD995" s="223"/>
      <c r="CE995" s="223"/>
      <c r="CF995" s="223"/>
      <c r="CG995" s="200"/>
      <c r="CH995" s="200"/>
      <c r="CI995" s="522"/>
      <c r="CJ995" s="200"/>
      <c r="CK995" s="223"/>
      <c r="CL995" s="223"/>
      <c r="CM995" s="223"/>
      <c r="CN995" s="223"/>
      <c r="CO995" s="223"/>
      <c r="CP995" s="223"/>
      <c r="CQ995" s="200"/>
      <c r="CR995" s="200"/>
      <c r="CS995" s="522"/>
      <c r="CT995" s="200"/>
      <c r="CU995" s="223"/>
      <c r="CV995" s="223"/>
      <c r="CW995" s="223"/>
      <c r="CX995" s="223"/>
      <c r="CY995" s="223"/>
      <c r="CZ995" s="223"/>
      <c r="DA995" s="223"/>
      <c r="DB995" s="200"/>
      <c r="DC995" s="522"/>
      <c r="DD995" s="200"/>
      <c r="DE995" s="223"/>
      <c r="DF995" s="223"/>
      <c r="DG995" s="223"/>
      <c r="DH995" s="223"/>
      <c r="DI995" s="223"/>
      <c r="DJ995" s="223"/>
      <c r="DK995" s="200"/>
      <c r="DL995" s="200"/>
      <c r="DM995" s="522"/>
      <c r="DN995" s="200"/>
      <c r="DO995" s="223"/>
      <c r="DP995" s="223"/>
      <c r="DQ995" s="223"/>
      <c r="DR995" s="223"/>
      <c r="DS995" s="223"/>
      <c r="DT995" s="223"/>
      <c r="DU995" s="200"/>
      <c r="DV995" s="200"/>
      <c r="DW995" s="522"/>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2"/>
      <c r="R996" s="200"/>
      <c r="S996" s="223"/>
      <c r="T996" s="223"/>
      <c r="U996" s="223"/>
      <c r="V996" s="223"/>
      <c r="W996" s="223"/>
      <c r="X996" s="223"/>
      <c r="Y996" s="200"/>
      <c r="Z996" s="200"/>
      <c r="AA996" s="522"/>
      <c r="AB996" s="200"/>
      <c r="AC996" s="223"/>
      <c r="AD996" s="223"/>
      <c r="AE996" s="223"/>
      <c r="AF996" s="223"/>
      <c r="AG996" s="223"/>
      <c r="AH996" s="223"/>
      <c r="AI996" s="200"/>
      <c r="AJ996" s="200"/>
      <c r="AK996" s="522"/>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2"/>
      <c r="BF996" s="200"/>
      <c r="BG996" s="223"/>
      <c r="BH996" s="223"/>
      <c r="BI996" s="223"/>
      <c r="BJ996" s="223"/>
      <c r="BK996" s="223"/>
      <c r="BL996" s="223"/>
      <c r="BM996" s="200"/>
      <c r="BN996" s="200"/>
      <c r="BO996" s="522"/>
      <c r="BP996" s="200"/>
      <c r="BQ996" s="223"/>
      <c r="BR996" s="223"/>
      <c r="BS996" s="223"/>
      <c r="BT996" s="223"/>
      <c r="BU996" s="223"/>
      <c r="BV996" s="223"/>
      <c r="BW996" s="223"/>
      <c r="BX996" s="200"/>
      <c r="BY996" s="522"/>
      <c r="BZ996" s="200"/>
      <c r="CA996" s="223"/>
      <c r="CB996" s="223"/>
      <c r="CC996" s="223"/>
      <c r="CD996" s="223"/>
      <c r="CE996" s="223"/>
      <c r="CF996" s="223"/>
      <c r="CG996" s="200"/>
      <c r="CH996" s="200"/>
      <c r="CI996" s="522"/>
      <c r="CJ996" s="200"/>
      <c r="CK996" s="223"/>
      <c r="CL996" s="223"/>
      <c r="CM996" s="223"/>
      <c r="CN996" s="223"/>
      <c r="CO996" s="223"/>
      <c r="CP996" s="223"/>
      <c r="CQ996" s="200"/>
      <c r="CR996" s="200"/>
      <c r="CS996" s="522"/>
      <c r="CT996" s="200"/>
      <c r="CU996" s="223"/>
      <c r="CV996" s="223"/>
      <c r="CW996" s="223"/>
      <c r="CX996" s="223"/>
      <c r="CY996" s="223"/>
      <c r="CZ996" s="223"/>
      <c r="DA996" s="223"/>
      <c r="DB996" s="200"/>
      <c r="DC996" s="522"/>
      <c r="DD996" s="200"/>
      <c r="DE996" s="223"/>
      <c r="DF996" s="223"/>
      <c r="DG996" s="223"/>
      <c r="DH996" s="223"/>
      <c r="DI996" s="223"/>
      <c r="DJ996" s="223"/>
      <c r="DK996" s="200"/>
      <c r="DL996" s="200"/>
      <c r="DM996" s="522"/>
      <c r="DN996" s="200"/>
      <c r="DO996" s="223"/>
      <c r="DP996" s="223"/>
      <c r="DQ996" s="223"/>
      <c r="DR996" s="223"/>
      <c r="DS996" s="223"/>
      <c r="DT996" s="223"/>
      <c r="DU996" s="200"/>
      <c r="DV996" s="200"/>
      <c r="DW996" s="522"/>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2"/>
      <c r="R997" s="200"/>
      <c r="S997" s="223"/>
      <c r="T997" s="223"/>
      <c r="U997" s="223"/>
      <c r="V997" s="223"/>
      <c r="W997" s="223"/>
      <c r="X997" s="223"/>
      <c r="Y997" s="200"/>
      <c r="Z997" s="200"/>
      <c r="AA997" s="522"/>
      <c r="AB997" s="200"/>
      <c r="AC997" s="223"/>
      <c r="AD997" s="223"/>
      <c r="AE997" s="223"/>
      <c r="AF997" s="223"/>
      <c r="AG997" s="223"/>
      <c r="AH997" s="223"/>
      <c r="AI997" s="200"/>
      <c r="AJ997" s="200"/>
      <c r="AK997" s="522"/>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2"/>
      <c r="BF997" s="200"/>
      <c r="BG997" s="223"/>
      <c r="BH997" s="223"/>
      <c r="BI997" s="223"/>
      <c r="BJ997" s="223"/>
      <c r="BK997" s="223"/>
      <c r="BL997" s="223"/>
      <c r="BM997" s="200"/>
      <c r="BN997" s="200"/>
      <c r="BO997" s="522"/>
      <c r="BP997" s="200"/>
      <c r="BQ997" s="223"/>
      <c r="BR997" s="223"/>
      <c r="BS997" s="223"/>
      <c r="BT997" s="223"/>
      <c r="BU997" s="223"/>
      <c r="BV997" s="223"/>
      <c r="BW997" s="223"/>
      <c r="BX997" s="200"/>
      <c r="BY997" s="522"/>
      <c r="BZ997" s="200"/>
      <c r="CA997" s="223"/>
      <c r="CB997" s="223"/>
      <c r="CC997" s="223"/>
      <c r="CD997" s="223"/>
      <c r="CE997" s="223"/>
      <c r="CF997" s="223"/>
      <c r="CG997" s="200"/>
      <c r="CH997" s="200"/>
      <c r="CI997" s="522"/>
      <c r="CJ997" s="200"/>
      <c r="CK997" s="223"/>
      <c r="CL997" s="223"/>
      <c r="CM997" s="223"/>
      <c r="CN997" s="223"/>
      <c r="CO997" s="223"/>
      <c r="CP997" s="223"/>
      <c r="CQ997" s="200"/>
      <c r="CR997" s="200"/>
      <c r="CS997" s="522"/>
      <c r="CT997" s="200"/>
      <c r="CU997" s="223"/>
      <c r="CV997" s="223"/>
      <c r="CW997" s="223"/>
      <c r="CX997" s="223"/>
      <c r="CY997" s="223"/>
      <c r="CZ997" s="223"/>
      <c r="DA997" s="223"/>
      <c r="DB997" s="200"/>
      <c r="DC997" s="522"/>
      <c r="DD997" s="200"/>
      <c r="DE997" s="223"/>
      <c r="DF997" s="223"/>
      <c r="DG997" s="223"/>
      <c r="DH997" s="223"/>
      <c r="DI997" s="223"/>
      <c r="DJ997" s="223"/>
      <c r="DK997" s="200"/>
      <c r="DL997" s="200"/>
      <c r="DM997" s="522"/>
      <c r="DN997" s="200"/>
      <c r="DO997" s="223"/>
      <c r="DP997" s="223"/>
      <c r="DQ997" s="223"/>
      <c r="DR997" s="223"/>
      <c r="DS997" s="223"/>
      <c r="DT997" s="223"/>
      <c r="DU997" s="200"/>
      <c r="DV997" s="200"/>
      <c r="DW997" s="522"/>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2"/>
      <c r="R998" s="200"/>
      <c r="S998" s="223"/>
      <c r="T998" s="223"/>
      <c r="U998" s="223"/>
      <c r="V998" s="223"/>
      <c r="W998" s="223"/>
      <c r="X998" s="223"/>
      <c r="Y998" s="200"/>
      <c r="Z998" s="200"/>
      <c r="AA998" s="522"/>
      <c r="AB998" s="200"/>
      <c r="AC998" s="223"/>
      <c r="AD998" s="223"/>
      <c r="AE998" s="223"/>
      <c r="AF998" s="223"/>
      <c r="AG998" s="223"/>
      <c r="AH998" s="223"/>
      <c r="AI998" s="200"/>
      <c r="AJ998" s="200"/>
      <c r="AK998" s="522"/>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2"/>
      <c r="BF998" s="200"/>
      <c r="BG998" s="223"/>
      <c r="BH998" s="223"/>
      <c r="BI998" s="223"/>
      <c r="BJ998" s="223"/>
      <c r="BK998" s="223"/>
      <c r="BL998" s="223"/>
      <c r="BM998" s="200"/>
      <c r="BN998" s="200"/>
      <c r="BO998" s="522"/>
      <c r="BP998" s="200"/>
      <c r="BQ998" s="223"/>
      <c r="BR998" s="223"/>
      <c r="BS998" s="223"/>
      <c r="BT998" s="223"/>
      <c r="BU998" s="223"/>
      <c r="BV998" s="223"/>
      <c r="BW998" s="223"/>
      <c r="BX998" s="200"/>
      <c r="BY998" s="522"/>
      <c r="BZ998" s="200"/>
      <c r="CA998" s="223"/>
      <c r="CB998" s="223"/>
      <c r="CC998" s="223"/>
      <c r="CD998" s="223"/>
      <c r="CE998" s="223"/>
      <c r="CF998" s="223"/>
      <c r="CG998" s="200"/>
      <c r="CH998" s="200"/>
      <c r="CI998" s="522"/>
      <c r="CJ998" s="200"/>
      <c r="CK998" s="223"/>
      <c r="CL998" s="223"/>
      <c r="CM998" s="223"/>
      <c r="CN998" s="223"/>
      <c r="CO998" s="223"/>
      <c r="CP998" s="223"/>
      <c r="CQ998" s="200"/>
      <c r="CR998" s="200"/>
      <c r="CS998" s="522"/>
      <c r="CT998" s="200"/>
      <c r="CU998" s="223"/>
      <c r="CV998" s="223"/>
      <c r="CW998" s="223"/>
      <c r="CX998" s="223"/>
      <c r="CY998" s="223"/>
      <c r="CZ998" s="223"/>
      <c r="DA998" s="223"/>
      <c r="DB998" s="200"/>
      <c r="DC998" s="522"/>
      <c r="DD998" s="200"/>
      <c r="DE998" s="223"/>
      <c r="DF998" s="223"/>
      <c r="DG998" s="223"/>
      <c r="DH998" s="223"/>
      <c r="DI998" s="223"/>
      <c r="DJ998" s="223"/>
      <c r="DK998" s="200"/>
      <c r="DL998" s="200"/>
      <c r="DM998" s="522"/>
      <c r="DN998" s="200"/>
      <c r="DO998" s="223"/>
      <c r="DP998" s="223"/>
      <c r="DQ998" s="223"/>
      <c r="DR998" s="223"/>
      <c r="DS998" s="223"/>
      <c r="DT998" s="223"/>
      <c r="DU998" s="200"/>
      <c r="DV998" s="200"/>
      <c r="DW998" s="522"/>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2"/>
      <c r="R999" s="200"/>
      <c r="S999" s="223"/>
      <c r="T999" s="223"/>
      <c r="U999" s="223"/>
      <c r="V999" s="223"/>
      <c r="W999" s="223"/>
      <c r="X999" s="223"/>
      <c r="Y999" s="200"/>
      <c r="Z999" s="200"/>
      <c r="AA999" s="522"/>
      <c r="AB999" s="200"/>
      <c r="AC999" s="223"/>
      <c r="AD999" s="223"/>
      <c r="AE999" s="223"/>
      <c r="AF999" s="223"/>
      <c r="AG999" s="223"/>
      <c r="AH999" s="223"/>
      <c r="AI999" s="200"/>
      <c r="AJ999" s="200"/>
      <c r="AK999" s="522"/>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2"/>
      <c r="BF999" s="200"/>
      <c r="BG999" s="223"/>
      <c r="BH999" s="223"/>
      <c r="BI999" s="223"/>
      <c r="BJ999" s="223"/>
      <c r="BK999" s="223"/>
      <c r="BL999" s="223"/>
      <c r="BM999" s="200"/>
      <c r="BN999" s="200"/>
      <c r="BO999" s="522"/>
      <c r="BP999" s="200"/>
      <c r="BQ999" s="223"/>
      <c r="BR999" s="223"/>
      <c r="BS999" s="223"/>
      <c r="BT999" s="223"/>
      <c r="BU999" s="223"/>
      <c r="BV999" s="223"/>
      <c r="BW999" s="223"/>
      <c r="BX999" s="200"/>
      <c r="BY999" s="522"/>
      <c r="BZ999" s="200"/>
      <c r="CA999" s="223"/>
      <c r="CB999" s="223"/>
      <c r="CC999" s="223"/>
      <c r="CD999" s="223"/>
      <c r="CE999" s="223"/>
      <c r="CF999" s="223"/>
      <c r="CG999" s="200"/>
      <c r="CH999" s="200"/>
      <c r="CI999" s="522"/>
      <c r="CJ999" s="200"/>
      <c r="CK999" s="223"/>
      <c r="CL999" s="223"/>
      <c r="CM999" s="223"/>
      <c r="CN999" s="223"/>
      <c r="CO999" s="223"/>
      <c r="CP999" s="223"/>
      <c r="CQ999" s="200"/>
      <c r="CR999" s="200"/>
      <c r="CS999" s="522"/>
      <c r="CT999" s="200"/>
      <c r="CU999" s="223"/>
      <c r="CV999" s="223"/>
      <c r="CW999" s="223"/>
      <c r="CX999" s="223"/>
      <c r="CY999" s="223"/>
      <c r="CZ999" s="223"/>
      <c r="DA999" s="223"/>
      <c r="DB999" s="200"/>
      <c r="DC999" s="522"/>
      <c r="DD999" s="200"/>
      <c r="DE999" s="223"/>
      <c r="DF999" s="223"/>
      <c r="DG999" s="223"/>
      <c r="DH999" s="223"/>
      <c r="DI999" s="223"/>
      <c r="DJ999" s="223"/>
      <c r="DK999" s="200"/>
      <c r="DL999" s="200"/>
      <c r="DM999" s="522"/>
      <c r="DN999" s="200"/>
      <c r="DO999" s="223"/>
      <c r="DP999" s="223"/>
      <c r="DQ999" s="223"/>
      <c r="DR999" s="223"/>
      <c r="DS999" s="223"/>
      <c r="DT999" s="223"/>
      <c r="DU999" s="200"/>
      <c r="DV999" s="200"/>
      <c r="DW999" s="522"/>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1016</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IFERROR(__xludf.DUMMYFUNCTION("""COMPUTED_VALUE"""),95402.83333333334)</f>
        <v>95402.83333</v>
      </c>
      <c r="F5" s="24">
        <f>IFERROR(__xludf.DUMMYFUNCTION("""COMPUTED_VALUE"""),103893.16666666667)</f>
        <v>103893.1667</v>
      </c>
      <c r="G5" s="24">
        <f>IFERROR(__xludf.DUMMYFUNCTION("""COMPUTED_VALUE"""),83171.5)</f>
        <v>83171.5</v>
      </c>
      <c r="H5" s="24">
        <f>IFERROR(__xludf.DUMMYFUNCTION("""COMPUTED_VALUE"""),0.0)</f>
        <v>0</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1017</v>
      </c>
      <c r="C30" s="247"/>
      <c r="D30" s="247"/>
      <c r="E30" s="247"/>
      <c r="F30" s="250"/>
    </row>
    <row r="31">
      <c r="B31" s="1116" t="s">
        <v>1018</v>
      </c>
      <c r="C31" s="1117" t="s">
        <v>277</v>
      </c>
      <c r="D31" s="1117" t="s">
        <v>278</v>
      </c>
      <c r="E31" s="1117" t="s">
        <v>944</v>
      </c>
      <c r="F31" s="1118" t="s">
        <v>275</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1019</v>
      </c>
      <c r="E44" s="1123" t="s">
        <v>1019</v>
      </c>
      <c r="F44" s="1123" t="s">
        <v>1019</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1"/>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1"/>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1"/>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5"/>
      <c r="BB40" s="443">
        <f>SUM(AZ40:AZ45)</f>
        <v>0</v>
      </c>
      <c r="BC40" s="315"/>
      <c r="BD40" s="1126"/>
      <c r="BE40" s="445"/>
      <c r="BF40" s="936"/>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1127" t="str">
        <f t="shared" ref="G47:H47" si="16">G44/$E$44</f>
        <v>#DIV/0!</v>
      </c>
      <c r="H47" s="1127" t="str">
        <f t="shared" si="16"/>
        <v>#DIV/0!</v>
      </c>
      <c r="I47" s="1127"/>
      <c r="J47" s="1127"/>
      <c r="K47" s="1127"/>
      <c r="L47" s="1127"/>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1020</v>
      </c>
      <c r="O2" s="535"/>
      <c r="P2" s="536"/>
      <c r="Q2" s="537"/>
      <c r="R2" s="537"/>
      <c r="S2" s="538"/>
      <c r="T2" s="537"/>
      <c r="U2" s="537"/>
      <c r="V2" s="537"/>
      <c r="W2" s="537"/>
      <c r="X2" s="537"/>
      <c r="Y2" s="539"/>
      <c r="Z2" s="281"/>
      <c r="AA2" s="281"/>
      <c r="AB2" s="281"/>
      <c r="AC2" s="281"/>
      <c r="AD2" s="281"/>
      <c r="AE2" s="281"/>
      <c r="AF2" s="540"/>
      <c r="AG2" s="541"/>
      <c r="AH2" s="542"/>
      <c r="AI2" s="543" t="s">
        <v>1021</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1022</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1128"/>
      <c r="BK4" s="250"/>
      <c r="BL4" s="565">
        <v>46143.0</v>
      </c>
      <c r="BT4" s="527"/>
      <c r="BU4" s="527"/>
      <c r="BV4" s="527"/>
      <c r="BW4" s="527"/>
      <c r="BX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142</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46119</v>
      </c>
      <c r="C7" s="615"/>
      <c r="D7" s="530"/>
      <c r="E7" s="616">
        <f>today()+1</f>
        <v>46120</v>
      </c>
      <c r="F7" s="617"/>
      <c r="G7" s="530"/>
      <c r="H7" s="530"/>
      <c r="I7" s="618" t="s">
        <v>422</v>
      </c>
      <c r="J7" s="619" t="s">
        <v>423</v>
      </c>
      <c r="K7" s="620">
        <v>46054.0</v>
      </c>
      <c r="L7" s="621" t="s">
        <v>424</v>
      </c>
      <c r="M7" s="622" t="s">
        <v>425</v>
      </c>
      <c r="N7" s="623">
        <f>K7</f>
        <v>46054</v>
      </c>
      <c r="O7" s="623">
        <f t="shared" ref="O7:AR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23">
        <f t="shared" si="2"/>
        <v>46077</v>
      </c>
      <c r="AL7" s="623">
        <f t="shared" si="2"/>
        <v>46078</v>
      </c>
      <c r="AM7" s="623">
        <f t="shared" si="2"/>
        <v>46079</v>
      </c>
      <c r="AN7" s="623">
        <f t="shared" si="2"/>
        <v>46080</v>
      </c>
      <c r="AO7" s="623">
        <f t="shared" si="2"/>
        <v>46081</v>
      </c>
      <c r="AP7" s="644" t="str">
        <f t="shared" si="2"/>
        <v/>
      </c>
      <c r="AQ7" s="644" t="str">
        <f t="shared" si="2"/>
        <v/>
      </c>
      <c r="AR7" s="624" t="str">
        <f t="shared" si="2"/>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火</v>
      </c>
      <c r="D8" s="119"/>
      <c r="E8" s="631" t="s">
        <v>292</v>
      </c>
      <c r="F8" s="632" t="str">
        <f>TEXT(E7,"ddd")</f>
        <v>水</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
      </c>
      <c r="AQ8" s="624" t="str">
        <f t="shared" si="3"/>
        <v/>
      </c>
      <c r="AR8" s="624" t="str">
        <f t="shared" si="3"/>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104" si="5">if(B9="","", xlookup($B$7,$N$7:$AR$7,$N9:$AR9))</f>
        <v>#N/A</v>
      </c>
      <c r="D9" s="200"/>
      <c r="E9" s="637" t="str">
        <f t="shared" ref="E9:E104" si="6">K9</f>
        <v>出勤者数合計</v>
      </c>
      <c r="F9" s="638" t="str">
        <f t="shared" ref="F9:F103" si="7">if(E9="","", xlookup($E$7,$N$7:$AR$7,$N9:$AR9))</f>
        <v>#N/A</v>
      </c>
      <c r="G9" s="200"/>
      <c r="H9" s="200"/>
      <c r="I9" s="172" t="b">
        <v>0</v>
      </c>
      <c r="J9" s="633"/>
      <c r="K9" s="639" t="s">
        <v>436</v>
      </c>
      <c r="L9" s="640" t="s">
        <v>135</v>
      </c>
      <c r="M9" s="641" t="s">
        <v>437</v>
      </c>
      <c r="N9" s="642">
        <f t="array" ref="N9">SUM(COUNTIF(N11:N104, {"◎","〇","☆","共","特","浴"}))</f>
        <v>0</v>
      </c>
      <c r="O9" s="642">
        <f t="array" ref="O9">SUM(COUNTIF(O11:O104, {"◎","〇","☆","共","特","浴"}))</f>
        <v>0</v>
      </c>
      <c r="P9" s="642">
        <f t="array" ref="P9">SUM(COUNTIF(P11:P104, {"◎","〇","☆","共","特","浴"}))</f>
        <v>0</v>
      </c>
      <c r="Q9" s="642">
        <f t="array" ref="Q9">SUM(COUNTIF(Q11:Q104, {"◎","〇","☆","共","特","浴"}))</f>
        <v>0</v>
      </c>
      <c r="R9" s="642">
        <f t="array" ref="R9">SUM(COUNTIF(R11:R104, {"◎","〇","☆","共","特","浴"}))</f>
        <v>0</v>
      </c>
      <c r="S9" s="642">
        <f t="array" ref="S9">SUM(COUNTIF(S11:S104, {"◎","〇","☆","共","特","浴"}))</f>
        <v>0</v>
      </c>
      <c r="T9" s="642">
        <f t="array" ref="T9">SUM(COUNTIF(T11:T104, {"◎","〇","☆","共","特","浴"}))</f>
        <v>0</v>
      </c>
      <c r="U9" s="642">
        <f t="array" ref="U9">SUM(COUNTIF(U11:U104, {"◎","〇","☆","共","特","浴"}))</f>
        <v>0</v>
      </c>
      <c r="V9" s="642">
        <f t="array" ref="V9">SUM(COUNTIF(V11:V104, {"◎","〇","☆","共","特","浴"}))</f>
        <v>0</v>
      </c>
      <c r="W9" s="642">
        <f t="array" ref="W9">SUM(COUNTIF(W11:W104, {"◎","〇","☆","共","特","浴"}))</f>
        <v>0</v>
      </c>
      <c r="X9" s="642">
        <f t="array" ref="X9">SUM(COUNTIF(X11:X104, {"◎","〇","☆","共","特","浴"}))</f>
        <v>0</v>
      </c>
      <c r="Y9" s="642">
        <f t="array" ref="Y9">SUM(COUNTIF(Y11:Y104, {"◎","〇","☆","共","特","浴"}))</f>
        <v>0</v>
      </c>
      <c r="Z9" s="642">
        <f t="array" ref="Z9">SUM(COUNTIF(Z11:Z104, {"◎","〇","☆","共","特","浴"}))</f>
        <v>0</v>
      </c>
      <c r="AA9" s="642">
        <f t="array" ref="AA9">SUM(COUNTIF(AA11:AA104, {"◎","〇","☆","共","特","浴"}))</f>
        <v>0</v>
      </c>
      <c r="AB9" s="642">
        <f t="array" ref="AB9">SUM(COUNTIF(AB11:AB104, {"◎","〇","☆","共","特","浴"}))</f>
        <v>0</v>
      </c>
      <c r="AC9" s="642">
        <f t="array" ref="AC9">SUM(COUNTIF(AC11:AC104, {"◎","〇","☆","共","特","浴"}))</f>
        <v>0</v>
      </c>
      <c r="AD9" s="642">
        <f t="array" ref="AD9">SUM(COUNTIF(AD11:AD104, {"◎","〇","☆","共","特","浴"}))</f>
        <v>0</v>
      </c>
      <c r="AE9" s="642">
        <f t="array" ref="AE9">SUM(COUNTIF(AE11:AE104, {"◎","〇","☆","共","特","浴"}))</f>
        <v>0</v>
      </c>
      <c r="AF9" s="642">
        <f t="array" ref="AF9">SUM(COUNTIF(AF11:AF104, {"◎","〇","☆","共","特","浴"}))</f>
        <v>0</v>
      </c>
      <c r="AG9" s="642">
        <f t="array" ref="AG9">SUM(COUNTIF(AG11:AG104, {"◎","〇","☆","共","特","浴"}))</f>
        <v>0</v>
      </c>
      <c r="AH9" s="642">
        <f t="array" ref="AH9">SUM(COUNTIF(AH11:AH104, {"◎","〇","☆","共","特","浴"}))</f>
        <v>0</v>
      </c>
      <c r="AI9" s="642">
        <f t="array" ref="AI9">SUM(COUNTIF(AI11:AI104, {"◎","〇","☆","共","特","浴"}))</f>
        <v>0</v>
      </c>
      <c r="AJ9" s="642">
        <f t="array" ref="AJ9">SUM(COUNTIF(AJ11:AJ104, {"◎","〇","☆","共","特","浴"}))</f>
        <v>0</v>
      </c>
      <c r="AK9" s="642">
        <f t="array" ref="AK9">SUM(COUNTIF(AK11:AK104, {"◎","〇","☆","共","特","浴"}))</f>
        <v>0</v>
      </c>
      <c r="AL9" s="642">
        <f t="array" ref="AL9">SUM(COUNTIF(AL11:AL104, {"◎","〇","☆","共","特","浴"}))</f>
        <v>0</v>
      </c>
      <c r="AM9" s="642">
        <f t="array" ref="AM9">SUM(COUNTIF(AM11:AM104, {"◎","〇","☆","共","特","浴"}))</f>
        <v>0</v>
      </c>
      <c r="AN9" s="642">
        <f t="array" ref="AN9">SUM(COUNTIF(AN11:AN104, {"◎","〇","☆","共","特","浴"}))</f>
        <v>0</v>
      </c>
      <c r="AO9" s="642">
        <f t="array" ref="AO9">SUM(COUNTIF(AO11:AO104, {"◎","〇","☆","共","特","浴"}))</f>
        <v>0</v>
      </c>
      <c r="AP9" s="642">
        <f t="array" ref="AP9">SUM(COUNTIF(AP11:AP104, {"◎","〇","☆","共","特","浴"}))</f>
        <v>0</v>
      </c>
      <c r="AQ9" s="642">
        <f t="array" ref="AQ9">SUM(COUNTIF(AQ11:AQ104, {"◎","〇","☆","共","特","浴"}))</f>
        <v>0</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0</v>
      </c>
      <c r="O10" s="642">
        <f t="array" ref="O10">SUM(COUNTIF(O11:O104, {"◎","☆"}))</f>
        <v>0</v>
      </c>
      <c r="P10" s="642">
        <f t="array" ref="P10">SUM(COUNTIF(P11:P104, {"◎","☆"}))</f>
        <v>0</v>
      </c>
      <c r="Q10" s="642">
        <f t="array" ref="Q10">SUM(COUNTIF(Q11:Q104, {"◎","☆"}))</f>
        <v>0</v>
      </c>
      <c r="R10" s="642">
        <f t="array" ref="R10">SUM(COUNTIF(R11:R104, {"◎","☆"}))</f>
        <v>0</v>
      </c>
      <c r="S10" s="642">
        <f t="array" ref="S10">SUM(COUNTIF(S11:S104, {"◎","☆"}))</f>
        <v>0</v>
      </c>
      <c r="T10" s="642">
        <f t="array" ref="T10">SUM(COUNTIF(T11:T104, {"◎","☆"}))</f>
        <v>0</v>
      </c>
      <c r="U10" s="642">
        <f t="array" ref="U10">SUM(COUNTIF(U11:U104, {"◎","☆"}))</f>
        <v>0</v>
      </c>
      <c r="V10" s="642">
        <f t="array" ref="V10">SUM(COUNTIF(V11:V104, {"◎","☆"}))</f>
        <v>0</v>
      </c>
      <c r="W10" s="642">
        <f t="array" ref="W10">SUM(COUNTIF(W11:W104, {"◎","☆"}))</f>
        <v>0</v>
      </c>
      <c r="X10" s="642">
        <f t="array" ref="X10">SUM(COUNTIF(X11:X104, {"◎","☆"}))</f>
        <v>0</v>
      </c>
      <c r="Y10" s="642">
        <f t="array" ref="Y10">SUM(COUNTIF(Y11:Y104, {"◎","☆"}))</f>
        <v>0</v>
      </c>
      <c r="Z10" s="642">
        <f t="array" ref="Z10">SUM(COUNTIF(Z11:Z104, {"◎","☆"}))</f>
        <v>0</v>
      </c>
      <c r="AA10" s="642">
        <f t="array" ref="AA10">SUM(COUNTIF(AA11:AA104, {"◎","☆"}))</f>
        <v>0</v>
      </c>
      <c r="AB10" s="642">
        <f t="array" ref="AB10">SUM(COUNTIF(AB11:AB104, {"◎","☆"}))</f>
        <v>0</v>
      </c>
      <c r="AC10" s="642">
        <f t="array" ref="AC10">SUM(COUNTIF(AC11:AC104, {"◎","☆"}))</f>
        <v>0</v>
      </c>
      <c r="AD10" s="642">
        <f t="array" ref="AD10">SUM(COUNTIF(AD11:AD104, {"◎","☆"}))</f>
        <v>0</v>
      </c>
      <c r="AE10" s="642">
        <f t="array" ref="AE10">SUM(COUNTIF(AE11:AE104, {"◎","☆"}))</f>
        <v>0</v>
      </c>
      <c r="AF10" s="642">
        <f t="array" ref="AF10">SUM(COUNTIF(AF11:AF104, {"◎","☆"}))</f>
        <v>0</v>
      </c>
      <c r="AG10" s="642">
        <f t="array" ref="AG10">SUM(COUNTIF(AG11:AG104, {"◎","☆"}))</f>
        <v>0</v>
      </c>
      <c r="AH10" s="642">
        <f t="array" ref="AH10">SUM(COUNTIF(AH11:AH104, {"◎","☆"}))</f>
        <v>0</v>
      </c>
      <c r="AI10" s="642">
        <f t="array" ref="AI10">SUM(COUNTIF(AI11:AI104, {"◎","☆"}))</f>
        <v>0</v>
      </c>
      <c r="AJ10" s="642">
        <f t="array" ref="AJ10">SUM(COUNTIF(AJ11:AJ104, {"◎","☆"}))</f>
        <v>0</v>
      </c>
      <c r="AK10" s="642">
        <f t="array" ref="AK10">SUM(COUNTIF(AK11:AK104, {"◎","☆"}))</f>
        <v>0</v>
      </c>
      <c r="AL10" s="642">
        <f t="array" ref="AL10">SUM(COUNTIF(AL11:AL104, {"◎","☆"}))</f>
        <v>0</v>
      </c>
      <c r="AM10" s="642">
        <f t="array" ref="AM10">SUM(COUNTIF(AM11:AM104, {"◎","☆"}))</f>
        <v>0</v>
      </c>
      <c r="AN10" s="642">
        <f t="array" ref="AN10">SUM(COUNTIF(AN11:AN104, {"◎","☆"}))</f>
        <v>0</v>
      </c>
      <c r="AO10" s="642">
        <f t="array" ref="AO10">SUM(COUNTIF(AO11:AO104, {"◎","☆"}))</f>
        <v>0</v>
      </c>
      <c r="AP10" s="642">
        <f t="array" ref="AP10">SUM(COUNTIF(AP11:AP104, {"◎","☆"}))</f>
        <v>0</v>
      </c>
      <c r="AQ10" s="642">
        <f t="array" ref="AQ10">SUM(COUNTIF(AQ11:AQ104, {"◎","☆"}))</f>
        <v>0</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シャキラ</v>
      </c>
      <c r="C11" s="638" t="str">
        <f t="shared" si="5"/>
        <v>#N/A</v>
      </c>
      <c r="D11" s="200"/>
      <c r="E11" s="637" t="str">
        <f t="shared" si="6"/>
        <v>シャキラ</v>
      </c>
      <c r="F11" s="638" t="str">
        <f t="shared" si="7"/>
        <v>#N/A</v>
      </c>
      <c r="G11" s="200"/>
      <c r="H11" s="200"/>
      <c r="I11" s="172" t="b">
        <v>0</v>
      </c>
      <c r="J11" s="619"/>
      <c r="K11" s="639" t="s">
        <v>100</v>
      </c>
      <c r="L11" s="640"/>
      <c r="M11" s="646"/>
      <c r="N11" s="647"/>
      <c r="O11" s="647"/>
      <c r="P11" s="647"/>
      <c r="Q11" s="647"/>
      <c r="R11" s="647"/>
      <c r="S11" s="647"/>
      <c r="T11" s="647"/>
      <c r="U11" s="647"/>
      <c r="V11" s="647"/>
      <c r="W11" s="647"/>
      <c r="X11" s="647"/>
      <c r="Y11" s="647"/>
      <c r="Z11" s="647"/>
      <c r="AA11" s="647"/>
      <c r="AB11" s="647"/>
      <c r="AC11" s="647"/>
      <c r="AD11" s="647"/>
      <c r="AE11" s="647"/>
      <c r="AF11" s="647"/>
      <c r="AG11" s="647"/>
      <c r="AH11" s="647"/>
      <c r="AI11" s="647"/>
      <c r="AJ11" s="647"/>
      <c r="AK11" s="647"/>
      <c r="AL11" s="647"/>
      <c r="AM11" s="647"/>
      <c r="AN11" s="647"/>
      <c r="AO11" s="647"/>
      <c r="AP11" s="647"/>
      <c r="AQ11" s="647"/>
      <c r="AR11" s="647"/>
      <c r="AS11" s="648">
        <f t="array" ref="AS11">SUM(COUNTIF(N11:AR11, {"◎","〇","☆","共","特","浴"}))</f>
        <v>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笹田</v>
      </c>
      <c r="C12" s="638" t="str">
        <f t="shared" si="5"/>
        <v>#N/A</v>
      </c>
      <c r="D12" s="200"/>
      <c r="E12" s="637" t="str">
        <f t="shared" si="6"/>
        <v>笹田</v>
      </c>
      <c r="F12" s="638" t="str">
        <f t="shared" si="7"/>
        <v>#N/A</v>
      </c>
      <c r="G12" s="200"/>
      <c r="H12" s="200"/>
      <c r="I12" s="172" t="b">
        <v>0</v>
      </c>
      <c r="J12" s="619"/>
      <c r="K12" s="639" t="s">
        <v>1023</v>
      </c>
      <c r="L12" s="640"/>
      <c r="M12" s="646"/>
      <c r="N12" s="647"/>
      <c r="O12" s="647"/>
      <c r="P12" s="647"/>
      <c r="Q12" s="647"/>
      <c r="R12" s="647"/>
      <c r="S12" s="647"/>
      <c r="T12" s="647"/>
      <c r="U12" s="647"/>
      <c r="V12" s="647"/>
      <c r="W12" s="647"/>
      <c r="X12" s="647"/>
      <c r="Y12" s="647"/>
      <c r="Z12" s="647"/>
      <c r="AA12" s="647"/>
      <c r="AB12" s="647"/>
      <c r="AC12" s="647"/>
      <c r="AD12" s="647"/>
      <c r="AE12" s="647"/>
      <c r="AF12" s="647"/>
      <c r="AG12" s="647"/>
      <c r="AH12" s="647"/>
      <c r="AI12" s="647"/>
      <c r="AJ12" s="647"/>
      <c r="AK12" s="647"/>
      <c r="AL12" s="647"/>
      <c r="AM12" s="647"/>
      <c r="AN12" s="647"/>
      <c r="AO12" s="647"/>
      <c r="AP12" s="647"/>
      <c r="AQ12" s="647"/>
      <c r="AR12" s="647"/>
      <c r="AS12" s="648">
        <f t="array" ref="AS12">SUM(COUNTIF(N12:AR12, {"◎","〇","☆","共","特","浴"}))</f>
        <v>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メイ</v>
      </c>
      <c r="C13" s="638" t="str">
        <f t="shared" si="5"/>
        <v>#N/A</v>
      </c>
      <c r="D13" s="200"/>
      <c r="E13" s="637" t="str">
        <f t="shared" si="6"/>
        <v>メイ</v>
      </c>
      <c r="F13" s="638" t="str">
        <f t="shared" si="7"/>
        <v>#N/A</v>
      </c>
      <c r="G13" s="200"/>
      <c r="H13" s="200"/>
      <c r="I13" s="172" t="b">
        <v>0</v>
      </c>
      <c r="J13" s="619"/>
      <c r="K13" s="639" t="s">
        <v>142</v>
      </c>
      <c r="L13" s="640"/>
      <c r="M13" s="646"/>
      <c r="N13" s="647"/>
      <c r="O13" s="647"/>
      <c r="P13" s="647"/>
      <c r="Q13" s="647"/>
      <c r="R13" s="647"/>
      <c r="S13" s="647"/>
      <c r="T13" s="647"/>
      <c r="U13" s="647"/>
      <c r="V13" s="647"/>
      <c r="W13" s="647"/>
      <c r="X13" s="647"/>
      <c r="Y13" s="647"/>
      <c r="Z13" s="647"/>
      <c r="AA13" s="647"/>
      <c r="AB13" s="647"/>
      <c r="AC13" s="647"/>
      <c r="AD13" s="647"/>
      <c r="AE13" s="647"/>
      <c r="AF13" s="647"/>
      <c r="AG13" s="647"/>
      <c r="AH13" s="647"/>
      <c r="AI13" s="647"/>
      <c r="AJ13" s="647"/>
      <c r="AK13" s="647"/>
      <c r="AL13" s="647"/>
      <c r="AM13" s="647"/>
      <c r="AN13" s="647"/>
      <c r="AO13" s="647"/>
      <c r="AP13" s="647"/>
      <c r="AQ13" s="647"/>
      <c r="AR13" s="642"/>
      <c r="AS13" s="648">
        <f t="array" ref="AS13">SUM(COUNTIF(N13:AR13, {"◎","〇","☆","共","特","浴"}))</f>
        <v>0</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ビマル</v>
      </c>
      <c r="C14" s="638" t="str">
        <f t="shared" si="5"/>
        <v>#N/A</v>
      </c>
      <c r="D14" s="200"/>
      <c r="E14" s="637" t="str">
        <f t="shared" si="6"/>
        <v>ビマル</v>
      </c>
      <c r="F14" s="638" t="str">
        <f t="shared" si="7"/>
        <v>#N/A</v>
      </c>
      <c r="G14" s="200"/>
      <c r="H14" s="200"/>
      <c r="I14" s="172" t="b">
        <v>0</v>
      </c>
      <c r="J14" s="619"/>
      <c r="K14" s="639" t="s">
        <v>119</v>
      </c>
      <c r="L14" s="640"/>
      <c r="M14" s="646"/>
      <c r="N14" s="647"/>
      <c r="O14" s="647"/>
      <c r="P14" s="647"/>
      <c r="Q14" s="647"/>
      <c r="R14" s="647"/>
      <c r="S14" s="647"/>
      <c r="T14" s="647"/>
      <c r="U14" s="647"/>
      <c r="V14" s="647"/>
      <c r="W14" s="647"/>
      <c r="X14" s="647"/>
      <c r="Y14" s="647"/>
      <c r="Z14" s="647"/>
      <c r="AA14" s="647"/>
      <c r="AB14" s="647"/>
      <c r="AC14" s="647"/>
      <c r="AD14" s="647"/>
      <c r="AE14" s="647"/>
      <c r="AF14" s="647"/>
      <c r="AG14" s="647"/>
      <c r="AH14" s="647"/>
      <c r="AI14" s="647"/>
      <c r="AJ14" s="647"/>
      <c r="AK14" s="647"/>
      <c r="AL14" s="647"/>
      <c r="AM14" s="647"/>
      <c r="AN14" s="647"/>
      <c r="AO14" s="647"/>
      <c r="AP14" s="647"/>
      <c r="AQ14" s="647"/>
      <c r="AR14" s="642"/>
      <c r="AS14" s="648">
        <f t="array" ref="AS14">SUM(COUNTIF(N14:AR14, {"◎","〇","☆","共","特","浴"}))</f>
        <v>0</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
      </c>
      <c r="C15" s="638" t="str">
        <f t="shared" si="5"/>
        <v/>
      </c>
      <c r="D15" s="200"/>
      <c r="E15" s="637" t="str">
        <f t="shared" si="6"/>
        <v/>
      </c>
      <c r="F15" s="638" t="str">
        <f t="shared" si="7"/>
        <v/>
      </c>
      <c r="G15" s="200"/>
      <c r="H15" s="200"/>
      <c r="I15" s="172" t="b">
        <v>0</v>
      </c>
      <c r="J15" s="619"/>
      <c r="K15" s="639"/>
      <c r="L15" s="640"/>
      <c r="M15" s="646"/>
      <c r="N15" s="647"/>
      <c r="O15" s="647"/>
      <c r="P15" s="647"/>
      <c r="Q15" s="647"/>
      <c r="R15" s="647"/>
      <c r="S15" s="647"/>
      <c r="T15" s="647"/>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0</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c r="M17" s="646"/>
      <c r="N17" s="647"/>
      <c r="O17" s="647"/>
      <c r="P17" s="647"/>
      <c r="Q17" s="647"/>
      <c r="R17" s="647"/>
      <c r="S17" s="647"/>
      <c r="T17" s="647"/>
      <c r="U17" s="647"/>
      <c r="V17" s="647"/>
      <c r="W17" s="647"/>
      <c r="X17" s="647"/>
      <c r="Y17" s="647"/>
      <c r="Z17" s="647"/>
      <c r="AA17" s="647"/>
      <c r="AB17" s="647"/>
      <c r="AC17" s="647"/>
      <c r="AD17" s="647"/>
      <c r="AE17" s="647"/>
      <c r="AF17" s="647"/>
      <c r="AG17" s="647"/>
      <c r="AH17" s="647"/>
      <c r="AI17" s="647"/>
      <c r="AJ17" s="647"/>
      <c r="AK17" s="647"/>
      <c r="AL17" s="647"/>
      <c r="AM17" s="647"/>
      <c r="AN17" s="647"/>
      <c r="AO17" s="647"/>
      <c r="AP17" s="647"/>
      <c r="AQ17" s="647"/>
      <c r="AR17" s="642"/>
      <c r="AS17" s="648">
        <f t="array" ref="AS17">SUM(COUNTIF(N17:AR17, {"◎","〇","☆","共","特","浴"}))</f>
        <v>0</v>
      </c>
      <c r="AT17" s="652"/>
      <c r="AU17" s="650"/>
      <c r="AV17" s="650"/>
      <c r="AW17" s="650"/>
      <c r="AX17" s="650"/>
      <c r="AY17" s="650"/>
      <c r="AZ17" s="650"/>
      <c r="BA17" s="650"/>
      <c r="BB17" s="653" t="s">
        <v>595</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c r="M18" s="646"/>
      <c r="N18" s="647"/>
      <c r="O18" s="647"/>
      <c r="P18" s="647"/>
      <c r="Q18" s="647"/>
      <c r="R18" s="647"/>
      <c r="S18" s="647"/>
      <c r="T18" s="647"/>
      <c r="U18" s="647"/>
      <c r="V18" s="647"/>
      <c r="W18" s="647"/>
      <c r="X18" s="647"/>
      <c r="Y18" s="647"/>
      <c r="Z18" s="647"/>
      <c r="AA18" s="647"/>
      <c r="AB18" s="647"/>
      <c r="AC18" s="647"/>
      <c r="AD18" s="647"/>
      <c r="AE18" s="647"/>
      <c r="AF18" s="647"/>
      <c r="AG18" s="647"/>
      <c r="AH18" s="647"/>
      <c r="AI18" s="647"/>
      <c r="AJ18" s="647"/>
      <c r="AK18" s="647"/>
      <c r="AL18" s="647"/>
      <c r="AM18" s="647"/>
      <c r="AN18" s="647"/>
      <c r="AO18" s="647"/>
      <c r="AP18" s="647"/>
      <c r="AQ18" s="647"/>
      <c r="AR18" s="642"/>
      <c r="AS18" s="648">
        <f t="array" ref="AS18">SUM(COUNTIF(N18:AR18, {"◎","〇","☆","共","特","浴"}))</f>
        <v>0</v>
      </c>
      <c r="AT18" s="649"/>
      <c r="AU18" s="650"/>
      <c r="AV18" s="650"/>
      <c r="AW18" s="650"/>
      <c r="AX18" s="650"/>
      <c r="AY18" s="650"/>
      <c r="AZ18" s="650"/>
      <c r="BA18" s="650"/>
      <c r="BB18" s="653" t="s">
        <v>596</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c r="M19" s="646"/>
      <c r="N19" s="647"/>
      <c r="O19" s="647"/>
      <c r="P19" s="647"/>
      <c r="Q19" s="647"/>
      <c r="R19" s="647"/>
      <c r="S19" s="647"/>
      <c r="T19" s="647"/>
      <c r="U19" s="647"/>
      <c r="V19" s="647"/>
      <c r="W19" s="647"/>
      <c r="X19" s="647"/>
      <c r="Y19" s="647"/>
      <c r="Z19" s="647"/>
      <c r="AA19" s="647"/>
      <c r="AB19" s="647"/>
      <c r="AC19" s="647"/>
      <c r="AD19" s="647"/>
      <c r="AE19" s="647"/>
      <c r="AF19" s="647"/>
      <c r="AG19" s="647"/>
      <c r="AH19" s="647"/>
      <c r="AI19" s="647"/>
      <c r="AJ19" s="647"/>
      <c r="AK19" s="647"/>
      <c r="AL19" s="647"/>
      <c r="AM19" s="647"/>
      <c r="AN19" s="647"/>
      <c r="AO19" s="647"/>
      <c r="AP19" s="647"/>
      <c r="AQ19" s="647"/>
      <c r="AR19" s="642"/>
      <c r="AS19" s="648">
        <f t="array" ref="AS19">SUM(COUNTIF(N19:AR19, {"◎","〇","☆","共","特","浴"}))</f>
        <v>0</v>
      </c>
      <c r="AT19" s="652"/>
      <c r="AU19" s="650"/>
      <c r="AV19" s="650"/>
      <c r="AW19" s="650"/>
      <c r="AX19" s="650"/>
      <c r="AY19" s="650"/>
      <c r="AZ19" s="650"/>
      <c r="BA19" s="650"/>
      <c r="BB19" s="653" t="s">
        <v>597</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7"/>
      <c r="AL20" s="647"/>
      <c r="AM20" s="642"/>
      <c r="AN20" s="642"/>
      <c r="AO20" s="647"/>
      <c r="AP20" s="647"/>
      <c r="AQ20" s="647"/>
      <c r="AR20" s="647"/>
      <c r="AS20" s="648">
        <f t="array" ref="AS20">SUM(COUNTIF(N20:AR20, {"◎","〇","☆","共","特","浴"}))</f>
        <v>0</v>
      </c>
      <c r="AT20" s="652"/>
      <c r="AU20" s="650"/>
      <c r="AV20" s="650"/>
      <c r="AW20" s="650"/>
      <c r="AX20" s="650"/>
      <c r="AY20" s="650"/>
      <c r="AZ20" s="650"/>
      <c r="BA20" s="650"/>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c r="M21" s="646"/>
      <c r="N21" s="647"/>
      <c r="O21" s="647"/>
      <c r="P21" s="647"/>
      <c r="Q21" s="647"/>
      <c r="R21" s="647"/>
      <c r="S21" s="647"/>
      <c r="T21" s="647"/>
      <c r="U21" s="647"/>
      <c r="V21" s="647"/>
      <c r="W21" s="647"/>
      <c r="X21" s="647"/>
      <c r="Y21" s="647"/>
      <c r="Z21" s="647"/>
      <c r="AA21" s="647"/>
      <c r="AB21" s="647"/>
      <c r="AC21" s="647"/>
      <c r="AD21" s="647"/>
      <c r="AE21" s="647"/>
      <c r="AF21" s="647"/>
      <c r="AG21" s="647"/>
      <c r="AH21" s="647"/>
      <c r="AI21" s="647"/>
      <c r="AJ21" s="647"/>
      <c r="AK21" s="647"/>
      <c r="AL21" s="647"/>
      <c r="AM21" s="647"/>
      <c r="AN21" s="647"/>
      <c r="AO21" s="647"/>
      <c r="AP21" s="647"/>
      <c r="AQ21" s="647"/>
      <c r="AR21" s="642"/>
      <c r="AS21" s="648">
        <f t="array" ref="AS21">SUM(COUNTIF(N21:AR21, {"◎","〇","☆","共","特","浴"}))</f>
        <v>0</v>
      </c>
      <c r="AT21" s="652"/>
      <c r="AU21" s="650"/>
      <c r="AV21" s="650"/>
      <c r="AW21" s="650"/>
      <c r="AX21" s="650"/>
      <c r="AY21" s="650"/>
      <c r="AZ21" s="650"/>
      <c r="BA21" s="650"/>
      <c r="BB21" s="653" t="s">
        <v>599</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オウ</v>
      </c>
      <c r="C22" s="638" t="str">
        <f t="shared" si="5"/>
        <v>#N/A</v>
      </c>
      <c r="D22" s="200"/>
      <c r="E22" s="637" t="str">
        <f t="shared" si="6"/>
        <v>オウ</v>
      </c>
      <c r="F22" s="638" t="str">
        <f t="shared" si="7"/>
        <v>#N/A</v>
      </c>
      <c r="G22" s="200"/>
      <c r="H22" s="200"/>
      <c r="I22" s="172" t="b">
        <v>0</v>
      </c>
      <c r="J22" s="619"/>
      <c r="K22" s="639" t="s">
        <v>522</v>
      </c>
      <c r="L22" s="640"/>
      <c r="M22" s="646"/>
      <c r="N22" s="647"/>
      <c r="O22" s="647"/>
      <c r="P22" s="647"/>
      <c r="Q22" s="647"/>
      <c r="R22" s="647"/>
      <c r="S22" s="647"/>
      <c r="T22" s="647"/>
      <c r="U22" s="647"/>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2"/>
      <c r="AS22" s="648">
        <f t="array" ref="AS22">SUM(COUNTIF(N22:AR22, {"◎","〇","☆","共","特","浴"}))</f>
        <v>0</v>
      </c>
      <c r="AT22" s="649"/>
      <c r="AU22" s="650"/>
      <c r="AV22" s="650"/>
      <c r="AW22" s="650"/>
      <c r="AX22" s="650"/>
      <c r="AY22" s="650"/>
      <c r="AZ22" s="650"/>
      <c r="BA22" s="650"/>
      <c r="BB22" s="651"/>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アラム</v>
      </c>
      <c r="C23" s="638" t="str">
        <f t="shared" si="5"/>
        <v>#N/A</v>
      </c>
      <c r="D23" s="200"/>
      <c r="E23" s="637" t="str">
        <f t="shared" si="6"/>
        <v>アラム</v>
      </c>
      <c r="F23" s="638" t="str">
        <f t="shared" si="7"/>
        <v>#N/A</v>
      </c>
      <c r="G23" s="200"/>
      <c r="H23" s="200"/>
      <c r="I23" s="172" t="b">
        <v>0</v>
      </c>
      <c r="J23" s="619"/>
      <c r="K23" s="639" t="s">
        <v>112</v>
      </c>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t="str">
        <f t="shared" si="5"/>
        <v/>
      </c>
      <c r="D24" s="200"/>
      <c r="E24" s="637" t="str">
        <f t="shared" si="6"/>
        <v/>
      </c>
      <c r="F24" s="638" t="str">
        <f t="shared" si="7"/>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ガルセス</v>
      </c>
      <c r="C25" s="638" t="str">
        <f t="shared" si="5"/>
        <v>#N/A</v>
      </c>
      <c r="D25" s="200"/>
      <c r="E25" s="637" t="str">
        <f t="shared" si="6"/>
        <v>ガルセス</v>
      </c>
      <c r="F25" s="638" t="str">
        <f t="shared" si="7"/>
        <v>#N/A</v>
      </c>
      <c r="G25" s="200"/>
      <c r="H25" s="200"/>
      <c r="I25" s="172" t="b">
        <v>0</v>
      </c>
      <c r="J25" s="619"/>
      <c r="K25" s="639" t="s">
        <v>458</v>
      </c>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4"/>
        <v>グレース</v>
      </c>
      <c r="C26" s="638" t="str">
        <f t="shared" si="5"/>
        <v>#N/A</v>
      </c>
      <c r="D26" s="200"/>
      <c r="E26" s="637" t="str">
        <f t="shared" si="6"/>
        <v>グレース</v>
      </c>
      <c r="F26" s="638" t="str">
        <f t="shared" si="7"/>
        <v>#N/A</v>
      </c>
      <c r="G26" s="200"/>
      <c r="H26" s="200"/>
      <c r="I26" s="172" t="b">
        <v>0</v>
      </c>
      <c r="J26" s="619"/>
      <c r="K26" s="639" t="s">
        <v>460</v>
      </c>
      <c r="L26" s="640"/>
      <c r="M26" s="646"/>
      <c r="N26" s="647"/>
      <c r="O26" s="647"/>
      <c r="P26" s="647"/>
      <c r="Q26" s="647"/>
      <c r="R26" s="647"/>
      <c r="S26" s="647"/>
      <c r="T26" s="647"/>
      <c r="U26" s="647"/>
      <c r="V26" s="647"/>
      <c r="W26" s="647"/>
      <c r="X26" s="647"/>
      <c r="Y26" s="647"/>
      <c r="Z26" s="647"/>
      <c r="AA26" s="647"/>
      <c r="AB26" s="647"/>
      <c r="AC26" s="647"/>
      <c r="AD26" s="647"/>
      <c r="AE26" s="647"/>
      <c r="AF26" s="647"/>
      <c r="AG26" s="647"/>
      <c r="AH26" s="647"/>
      <c r="AI26" s="647"/>
      <c r="AJ26" s="647"/>
      <c r="AK26" s="647"/>
      <c r="AL26" s="647"/>
      <c r="AM26" s="647"/>
      <c r="AN26" s="647"/>
      <c r="AO26" s="647"/>
      <c r="AP26" s="647"/>
      <c r="AQ26" s="647"/>
      <c r="AR26" s="642"/>
      <c r="AS26" s="648">
        <f t="array" ref="AS26">SUM(COUNTIF(N26:AR26, {"◎","〇","☆","共","特","浴"}))</f>
        <v>0</v>
      </c>
      <c r="AT26" s="649"/>
      <c r="AU26" s="650"/>
      <c r="AV26" s="650"/>
      <c r="AW26" s="650"/>
      <c r="AX26" s="650"/>
      <c r="AY26" s="650"/>
      <c r="AZ26" s="650"/>
      <c r="BA26" s="650"/>
      <c r="BB26" s="651"/>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
      </c>
      <c r="C27" s="638" t="str">
        <f t="shared" si="5"/>
        <v/>
      </c>
      <c r="D27" s="200"/>
      <c r="E27" s="637" t="str">
        <f t="shared" si="6"/>
        <v/>
      </c>
      <c r="F27" s="638" t="str">
        <f t="shared" si="7"/>
        <v/>
      </c>
      <c r="G27" s="200"/>
      <c r="H27" s="200"/>
      <c r="I27" s="172" t="b">
        <v>0</v>
      </c>
      <c r="J27" s="619"/>
      <c r="K27" s="639"/>
      <c r="L27" s="640"/>
      <c r="M27" s="646"/>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2"/>
      <c r="AS27" s="648">
        <f t="array" ref="AS27">SUM(COUNTIF(N27:AR27, {"◎","〇","☆","共","特","浴"}))</f>
        <v>0</v>
      </c>
      <c r="AT27" s="649"/>
      <c r="AU27" s="650"/>
      <c r="AV27" s="650"/>
      <c r="AW27" s="650"/>
      <c r="AX27" s="650"/>
      <c r="AY27" s="650"/>
      <c r="AZ27" s="650"/>
      <c r="BA27" s="650"/>
      <c r="BB27" s="651"/>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5"/>
        <v/>
      </c>
      <c r="D28" s="200"/>
      <c r="E28" s="637" t="str">
        <f t="shared" si="6"/>
        <v/>
      </c>
      <c r="F28" s="638" t="str">
        <f t="shared" si="7"/>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5"/>
        <v/>
      </c>
      <c r="D29" s="200"/>
      <c r="E29" s="637" t="str">
        <f t="shared" si="6"/>
        <v/>
      </c>
      <c r="F29" s="638" t="str">
        <f t="shared" si="7"/>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4"/>
        <v/>
      </c>
      <c r="C30" s="638" t="str">
        <f t="shared" si="5"/>
        <v/>
      </c>
      <c r="D30" s="200"/>
      <c r="E30" s="637" t="str">
        <f t="shared" si="6"/>
        <v/>
      </c>
      <c r="F30" s="638" t="str">
        <f t="shared" si="7"/>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4"/>
        <v/>
      </c>
      <c r="C31" s="638" t="str">
        <f t="shared" si="5"/>
        <v/>
      </c>
      <c r="D31" s="200"/>
      <c r="E31" s="637" t="str">
        <f t="shared" si="6"/>
        <v/>
      </c>
      <c r="F31" s="638" t="str">
        <f t="shared" si="7"/>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5"/>
        <v/>
      </c>
      <c r="D32" s="200"/>
      <c r="E32" s="637" t="str">
        <f t="shared" si="6"/>
        <v/>
      </c>
      <c r="F32" s="638" t="str">
        <f t="shared" si="7"/>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5"/>
        <v/>
      </c>
      <c r="D33" s="200"/>
      <c r="E33" s="637" t="str">
        <f t="shared" si="6"/>
        <v/>
      </c>
      <c r="F33" s="638" t="str">
        <f t="shared" si="7"/>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5"/>
        <v/>
      </c>
      <c r="D34" s="200"/>
      <c r="E34" s="637" t="str">
        <f t="shared" si="6"/>
        <v/>
      </c>
      <c r="F34" s="638" t="str">
        <f t="shared" si="7"/>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5"/>
        <v/>
      </c>
      <c r="D35" s="200"/>
      <c r="E35" s="637" t="str">
        <f t="shared" si="6"/>
        <v/>
      </c>
      <c r="F35" s="638" t="str">
        <f t="shared" si="7"/>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5"/>
        <v/>
      </c>
      <c r="D36" s="200"/>
      <c r="E36" s="637" t="str">
        <f t="shared" si="6"/>
        <v/>
      </c>
      <c r="F36" s="638" t="str">
        <f t="shared" si="7"/>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5"/>
        <v/>
      </c>
      <c r="D37" s="200"/>
      <c r="E37" s="637" t="str">
        <f t="shared" si="6"/>
        <v/>
      </c>
      <c r="F37" s="638" t="str">
        <f t="shared" si="7"/>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5"/>
        <v/>
      </c>
      <c r="D38" s="200"/>
      <c r="E38" s="637" t="str">
        <f t="shared" si="6"/>
        <v/>
      </c>
      <c r="F38" s="638" t="str">
        <f t="shared" si="7"/>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5"/>
        <v/>
      </c>
      <c r="D39" s="200"/>
      <c r="E39" s="637" t="str">
        <f t="shared" si="6"/>
        <v/>
      </c>
      <c r="F39" s="638" t="str">
        <f t="shared" si="7"/>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5"/>
        <v/>
      </c>
      <c r="D40" s="200"/>
      <c r="E40" s="637" t="str">
        <f t="shared" si="6"/>
        <v/>
      </c>
      <c r="F40" s="638" t="str">
        <f t="shared" si="7"/>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4"/>
        <v>メイド数</v>
      </c>
      <c r="C41" s="638" t="str">
        <f t="shared" si="5"/>
        <v>#N/A</v>
      </c>
      <c r="D41" s="200"/>
      <c r="E41" s="637" t="str">
        <f t="shared" si="6"/>
        <v>メイド数</v>
      </c>
      <c r="F41" s="638" t="str">
        <f t="shared" si="7"/>
        <v>#N/A</v>
      </c>
      <c r="G41" s="200"/>
      <c r="H41" s="200"/>
      <c r="I41" s="172" t="b">
        <v>0</v>
      </c>
      <c r="J41" s="619"/>
      <c r="K41" s="639" t="s">
        <v>462</v>
      </c>
      <c r="L41" s="640" t="s">
        <v>449</v>
      </c>
      <c r="M41" s="641" t="s">
        <v>192</v>
      </c>
      <c r="N41" s="642">
        <f t="shared" ref="N41:P41" si="8">COUNTIF(N45:N104,"〇")+countif(N14:N40,"〇")</f>
        <v>0</v>
      </c>
      <c r="O41" s="642">
        <f t="shared" si="8"/>
        <v>0</v>
      </c>
      <c r="P41" s="642">
        <f t="shared" si="8"/>
        <v>0</v>
      </c>
      <c r="Q41" s="642">
        <f t="shared" ref="Q41:AR41" si="9">COUNTIF(Q45:Q104,"〇")+countif(Q$11:Q$40,"〇")</f>
        <v>0</v>
      </c>
      <c r="R41" s="642">
        <f t="shared" si="9"/>
        <v>0</v>
      </c>
      <c r="S41" s="642">
        <f t="shared" si="9"/>
        <v>0</v>
      </c>
      <c r="T41" s="642">
        <f t="shared" si="9"/>
        <v>0</v>
      </c>
      <c r="U41" s="642">
        <f t="shared" si="9"/>
        <v>0</v>
      </c>
      <c r="V41" s="642">
        <f t="shared" si="9"/>
        <v>0</v>
      </c>
      <c r="W41" s="642">
        <f t="shared" si="9"/>
        <v>0</v>
      </c>
      <c r="X41" s="642">
        <f t="shared" si="9"/>
        <v>0</v>
      </c>
      <c r="Y41" s="642">
        <f t="shared" si="9"/>
        <v>0</v>
      </c>
      <c r="Z41" s="642">
        <f t="shared" si="9"/>
        <v>0</v>
      </c>
      <c r="AA41" s="642">
        <f t="shared" si="9"/>
        <v>0</v>
      </c>
      <c r="AB41" s="642">
        <f t="shared" si="9"/>
        <v>0</v>
      </c>
      <c r="AC41" s="642">
        <f t="shared" si="9"/>
        <v>0</v>
      </c>
      <c r="AD41" s="642">
        <f t="shared" si="9"/>
        <v>0</v>
      </c>
      <c r="AE41" s="642">
        <f t="shared" si="9"/>
        <v>0</v>
      </c>
      <c r="AF41" s="642">
        <f t="shared" si="9"/>
        <v>0</v>
      </c>
      <c r="AG41" s="642">
        <f t="shared" si="9"/>
        <v>0</v>
      </c>
      <c r="AH41" s="642">
        <f t="shared" si="9"/>
        <v>0</v>
      </c>
      <c r="AI41" s="642">
        <f t="shared" si="9"/>
        <v>0</v>
      </c>
      <c r="AJ41" s="642">
        <f t="shared" si="9"/>
        <v>0</v>
      </c>
      <c r="AK41" s="642">
        <f t="shared" si="9"/>
        <v>0</v>
      </c>
      <c r="AL41" s="642">
        <f t="shared" si="9"/>
        <v>0</v>
      </c>
      <c r="AM41" s="642">
        <f t="shared" si="9"/>
        <v>0</v>
      </c>
      <c r="AN41" s="642">
        <f t="shared" si="9"/>
        <v>0</v>
      </c>
      <c r="AO41" s="642">
        <f t="shared" si="9"/>
        <v>0</v>
      </c>
      <c r="AP41" s="642">
        <f t="shared" si="9"/>
        <v>0</v>
      </c>
      <c r="AQ41" s="642">
        <f t="shared" si="9"/>
        <v>0</v>
      </c>
      <c r="AR41" s="642">
        <f t="shared" si="9"/>
        <v>0</v>
      </c>
      <c r="AS41" s="647" t="s">
        <v>135</v>
      </c>
      <c r="AT41" s="647" t="s">
        <v>135</v>
      </c>
      <c r="AU41" s="642">
        <f t="shared" ref="AU41:BA41" si="10">COUNTIF(AU45:AU104,"〇")+countif(AU$11:AU$40,"〇")</f>
        <v>0</v>
      </c>
      <c r="AV41" s="642">
        <f t="shared" si="10"/>
        <v>0</v>
      </c>
      <c r="AW41" s="642">
        <f t="shared" si="10"/>
        <v>0</v>
      </c>
      <c r="AX41" s="642">
        <f t="shared" si="10"/>
        <v>0</v>
      </c>
      <c r="AY41" s="642">
        <f t="shared" si="10"/>
        <v>0</v>
      </c>
      <c r="AZ41" s="642">
        <f t="shared" si="10"/>
        <v>0</v>
      </c>
      <c r="BA41" s="642">
        <f t="shared" si="10"/>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パブリック数</v>
      </c>
      <c r="C42" s="638" t="str">
        <f t="shared" si="5"/>
        <v>#N/A</v>
      </c>
      <c r="D42" s="200"/>
      <c r="E42" s="637" t="str">
        <f t="shared" si="6"/>
        <v>パブリック数</v>
      </c>
      <c r="F42" s="638" t="str">
        <f t="shared" si="7"/>
        <v>#N/A</v>
      </c>
      <c r="G42" s="200"/>
      <c r="H42" s="200"/>
      <c r="I42" s="172" t="b">
        <v>0</v>
      </c>
      <c r="J42" s="619"/>
      <c r="K42" s="639" t="s">
        <v>463</v>
      </c>
      <c r="L42" s="640" t="s">
        <v>449</v>
      </c>
      <c r="M42" s="641" t="s">
        <v>398</v>
      </c>
      <c r="N42" s="647">
        <f t="shared" ref="N42:AR42" si="11">COUNTIF(N45:N104,"共")+countif(N$11:N$40,"共")</f>
        <v>0</v>
      </c>
      <c r="O42" s="647">
        <f t="shared" si="11"/>
        <v>0</v>
      </c>
      <c r="P42" s="647">
        <f t="shared" si="11"/>
        <v>0</v>
      </c>
      <c r="Q42" s="647">
        <f t="shared" si="11"/>
        <v>0</v>
      </c>
      <c r="R42" s="647">
        <f t="shared" si="11"/>
        <v>0</v>
      </c>
      <c r="S42" s="647">
        <f t="shared" si="11"/>
        <v>0</v>
      </c>
      <c r="T42" s="647">
        <f t="shared" si="11"/>
        <v>0</v>
      </c>
      <c r="U42" s="647">
        <f t="shared" si="11"/>
        <v>0</v>
      </c>
      <c r="V42" s="647">
        <f t="shared" si="11"/>
        <v>0</v>
      </c>
      <c r="W42" s="647">
        <f t="shared" si="11"/>
        <v>0</v>
      </c>
      <c r="X42" s="647">
        <f t="shared" si="11"/>
        <v>0</v>
      </c>
      <c r="Y42" s="647">
        <f t="shared" si="11"/>
        <v>0</v>
      </c>
      <c r="Z42" s="647">
        <f t="shared" si="11"/>
        <v>0</v>
      </c>
      <c r="AA42" s="647">
        <f t="shared" si="11"/>
        <v>0</v>
      </c>
      <c r="AB42" s="647">
        <f t="shared" si="11"/>
        <v>0</v>
      </c>
      <c r="AC42" s="647">
        <f t="shared" si="11"/>
        <v>0</v>
      </c>
      <c r="AD42" s="647">
        <f t="shared" si="11"/>
        <v>0</v>
      </c>
      <c r="AE42" s="647">
        <f t="shared" si="11"/>
        <v>0</v>
      </c>
      <c r="AF42" s="647">
        <f t="shared" si="11"/>
        <v>0</v>
      </c>
      <c r="AG42" s="647">
        <f t="shared" si="11"/>
        <v>0</v>
      </c>
      <c r="AH42" s="647">
        <f t="shared" si="11"/>
        <v>0</v>
      </c>
      <c r="AI42" s="647">
        <f t="shared" si="11"/>
        <v>0</v>
      </c>
      <c r="AJ42" s="647">
        <f t="shared" si="11"/>
        <v>0</v>
      </c>
      <c r="AK42" s="647">
        <f t="shared" si="11"/>
        <v>0</v>
      </c>
      <c r="AL42" s="647">
        <f t="shared" si="11"/>
        <v>0</v>
      </c>
      <c r="AM42" s="647">
        <f t="shared" si="11"/>
        <v>0</v>
      </c>
      <c r="AN42" s="647">
        <f t="shared" si="11"/>
        <v>0</v>
      </c>
      <c r="AO42" s="647">
        <f t="shared" si="11"/>
        <v>0</v>
      </c>
      <c r="AP42" s="647">
        <f t="shared" si="11"/>
        <v>0</v>
      </c>
      <c r="AQ42" s="647">
        <f t="shared" si="11"/>
        <v>0</v>
      </c>
      <c r="AR42" s="647">
        <f t="shared" si="11"/>
        <v>0</v>
      </c>
      <c r="AS42" s="647" t="s">
        <v>135</v>
      </c>
      <c r="AT42" s="647" t="s">
        <v>135</v>
      </c>
      <c r="AU42" s="647">
        <f t="shared" ref="AU42:BA42" si="12">COUNTIF(AU45:AU104,"共")+countif(AU$11:AU$40,"共")</f>
        <v>0</v>
      </c>
      <c r="AV42" s="647">
        <f t="shared" si="12"/>
        <v>0</v>
      </c>
      <c r="AW42" s="647">
        <f t="shared" si="12"/>
        <v>0</v>
      </c>
      <c r="AX42" s="647">
        <f t="shared" si="12"/>
        <v>0</v>
      </c>
      <c r="AY42" s="647">
        <f t="shared" si="12"/>
        <v>0</v>
      </c>
      <c r="AZ42" s="647">
        <f t="shared" si="12"/>
        <v>0</v>
      </c>
      <c r="BA42" s="647">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合計清掃数</v>
      </c>
      <c r="C43" s="638" t="str">
        <f t="shared" si="5"/>
        <v>#N/A</v>
      </c>
      <c r="D43" s="200"/>
      <c r="E43" s="637" t="str">
        <f t="shared" si="6"/>
        <v>合計清掃数</v>
      </c>
      <c r="F43" s="638" t="str">
        <f t="shared" si="7"/>
        <v>#N/A</v>
      </c>
      <c r="G43" s="200"/>
      <c r="H43" s="200"/>
      <c r="I43" s="656" t="b">
        <v>0</v>
      </c>
      <c r="J43" s="619"/>
      <c r="K43" s="657" t="s">
        <v>464</v>
      </c>
      <c r="L43" s="658" t="s">
        <v>447</v>
      </c>
      <c r="M43" s="659"/>
      <c r="N43" s="642">
        <f t="shared" ref="N43:AR43" si="13">sumif(N45:N104,"〇",$J45:$J104)+sumif(N11:N40,"〇",$J11:$J40)</f>
        <v>0</v>
      </c>
      <c r="O43" s="642">
        <f t="shared" si="13"/>
        <v>0</v>
      </c>
      <c r="P43" s="642">
        <f t="shared" si="13"/>
        <v>0</v>
      </c>
      <c r="Q43" s="642">
        <f t="shared" si="13"/>
        <v>0</v>
      </c>
      <c r="R43" s="642">
        <f t="shared" si="13"/>
        <v>0</v>
      </c>
      <c r="S43" s="642">
        <f t="shared" si="13"/>
        <v>0</v>
      </c>
      <c r="T43" s="642">
        <f t="shared" si="13"/>
        <v>0</v>
      </c>
      <c r="U43" s="642">
        <f t="shared" si="13"/>
        <v>0</v>
      </c>
      <c r="V43" s="642">
        <f t="shared" si="13"/>
        <v>0</v>
      </c>
      <c r="W43" s="642">
        <f t="shared" si="13"/>
        <v>0</v>
      </c>
      <c r="X43" s="642">
        <f t="shared" si="13"/>
        <v>0</v>
      </c>
      <c r="Y43" s="642">
        <f t="shared" si="13"/>
        <v>0</v>
      </c>
      <c r="Z43" s="642">
        <f t="shared" si="13"/>
        <v>0</v>
      </c>
      <c r="AA43" s="642">
        <f t="shared" si="13"/>
        <v>0</v>
      </c>
      <c r="AB43" s="642">
        <f t="shared" si="13"/>
        <v>0</v>
      </c>
      <c r="AC43" s="642">
        <f t="shared" si="13"/>
        <v>0</v>
      </c>
      <c r="AD43" s="642">
        <f t="shared" si="13"/>
        <v>0</v>
      </c>
      <c r="AE43" s="642">
        <f t="shared" si="13"/>
        <v>0</v>
      </c>
      <c r="AF43" s="642">
        <f t="shared" si="13"/>
        <v>0</v>
      </c>
      <c r="AG43" s="642">
        <f t="shared" si="13"/>
        <v>0</v>
      </c>
      <c r="AH43" s="642">
        <f t="shared" si="13"/>
        <v>0</v>
      </c>
      <c r="AI43" s="642">
        <f t="shared" si="13"/>
        <v>0</v>
      </c>
      <c r="AJ43" s="642">
        <f t="shared" si="13"/>
        <v>0</v>
      </c>
      <c r="AK43" s="642">
        <f t="shared" si="13"/>
        <v>0</v>
      </c>
      <c r="AL43" s="642">
        <f t="shared" si="13"/>
        <v>0</v>
      </c>
      <c r="AM43" s="642">
        <f t="shared" si="13"/>
        <v>0</v>
      </c>
      <c r="AN43" s="642">
        <f t="shared" si="13"/>
        <v>0</v>
      </c>
      <c r="AO43" s="642">
        <f t="shared" si="13"/>
        <v>0</v>
      </c>
      <c r="AP43" s="642">
        <f t="shared" si="13"/>
        <v>0</v>
      </c>
      <c r="AQ43" s="642">
        <f t="shared" si="13"/>
        <v>0</v>
      </c>
      <c r="AR43" s="642">
        <f t="shared" si="13"/>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稼働予定</v>
      </c>
      <c r="C44" s="638" t="str">
        <f t="shared" si="5"/>
        <v>#N/A</v>
      </c>
      <c r="D44" s="200"/>
      <c r="E44" s="637" t="str">
        <f t="shared" si="6"/>
        <v>稼働予定</v>
      </c>
      <c r="F44" s="638" t="str">
        <f t="shared" si="7"/>
        <v>#N/A</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早川</v>
      </c>
      <c r="C45" s="638" t="str">
        <f t="shared" si="5"/>
        <v>#N/A</v>
      </c>
      <c r="D45" s="200"/>
      <c r="E45" s="637" t="str">
        <f t="shared" si="6"/>
        <v>早川</v>
      </c>
      <c r="F45" s="638" t="str">
        <f t="shared" si="7"/>
        <v>#N/A</v>
      </c>
      <c r="G45" s="200"/>
      <c r="H45" s="200"/>
      <c r="I45" s="172" t="b">
        <v>0</v>
      </c>
      <c r="J45" s="619">
        <v>16.0</v>
      </c>
      <c r="K45" s="639" t="s">
        <v>467</v>
      </c>
      <c r="L45" s="640"/>
      <c r="M45" s="646"/>
      <c r="N45" s="647"/>
      <c r="O45" s="647"/>
      <c r="P45" s="647"/>
      <c r="Q45" s="647"/>
      <c r="R45" s="647"/>
      <c r="S45" s="647"/>
      <c r="T45" s="647"/>
      <c r="U45" s="647"/>
      <c r="V45" s="647"/>
      <c r="W45" s="647"/>
      <c r="X45" s="647"/>
      <c r="Y45" s="647"/>
      <c r="Z45" s="647"/>
      <c r="AA45" s="647"/>
      <c r="AB45" s="647"/>
      <c r="AC45" s="647"/>
      <c r="AD45" s="647"/>
      <c r="AE45" s="647"/>
      <c r="AF45" s="647"/>
      <c r="AG45" s="647"/>
      <c r="AH45" s="647"/>
      <c r="AI45" s="647"/>
      <c r="AJ45" s="647"/>
      <c r="AK45" s="647"/>
      <c r="AL45" s="647"/>
      <c r="AM45" s="647"/>
      <c r="AN45" s="647"/>
      <c r="AO45" s="647"/>
      <c r="AP45" s="647"/>
      <c r="AQ45" s="647"/>
      <c r="AR45" s="642"/>
      <c r="AS45" s="648">
        <f t="array" ref="AS45">SUM(COUNTIF(N45:AR45, {"◎","〇","☆","共","特","浴"}))</f>
        <v>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大沼</v>
      </c>
      <c r="C46" s="638" t="str">
        <f t="shared" si="5"/>
        <v>#N/A</v>
      </c>
      <c r="D46" s="200"/>
      <c r="E46" s="637" t="str">
        <f t="shared" si="6"/>
        <v>大沼</v>
      </c>
      <c r="F46" s="638" t="str">
        <f t="shared" si="7"/>
        <v>#N/A</v>
      </c>
      <c r="G46" s="200"/>
      <c r="H46" s="200"/>
      <c r="I46" s="172" t="b">
        <v>0</v>
      </c>
      <c r="J46" s="619">
        <v>15.0</v>
      </c>
      <c r="K46" s="639" t="s">
        <v>469</v>
      </c>
      <c r="L46" s="640"/>
      <c r="M46" s="646"/>
      <c r="N46" s="647"/>
      <c r="O46" s="647"/>
      <c r="P46" s="647"/>
      <c r="Q46" s="647"/>
      <c r="R46" s="647"/>
      <c r="S46" s="647"/>
      <c r="T46" s="647"/>
      <c r="U46" s="647"/>
      <c r="V46" s="647"/>
      <c r="W46" s="647"/>
      <c r="X46" s="647"/>
      <c r="Y46" s="647"/>
      <c r="Z46" s="647"/>
      <c r="AA46" s="647"/>
      <c r="AB46" s="647"/>
      <c r="AC46" s="647"/>
      <c r="AD46" s="647"/>
      <c r="AE46" s="647"/>
      <c r="AF46" s="647"/>
      <c r="AG46" s="647"/>
      <c r="AH46" s="647"/>
      <c r="AI46" s="647"/>
      <c r="AJ46" s="647"/>
      <c r="AK46" s="647"/>
      <c r="AL46" s="647"/>
      <c r="AM46" s="647"/>
      <c r="AN46" s="647"/>
      <c r="AO46" s="647"/>
      <c r="AP46" s="647"/>
      <c r="AQ46" s="647"/>
      <c r="AR46" s="642"/>
      <c r="AS46" s="648">
        <f t="array" ref="AS46">SUM(COUNTIF(N46:AR46, {"◎","〇","☆","共","特","浴"}))</f>
        <v>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サンタ</v>
      </c>
      <c r="C47" s="638" t="str">
        <f t="shared" si="5"/>
        <v>#N/A</v>
      </c>
      <c r="D47" s="200"/>
      <c r="E47" s="637" t="str">
        <f t="shared" si="6"/>
        <v>サンタ</v>
      </c>
      <c r="F47" s="638" t="str">
        <f t="shared" si="7"/>
        <v>#N/A</v>
      </c>
      <c r="G47" s="200"/>
      <c r="H47" s="200"/>
      <c r="I47" s="172" t="b">
        <v>0</v>
      </c>
      <c r="J47" s="619">
        <v>19.0</v>
      </c>
      <c r="K47" s="639" t="s">
        <v>113</v>
      </c>
      <c r="L47" s="640"/>
      <c r="M47" s="646"/>
      <c r="N47" s="647"/>
      <c r="O47" s="647"/>
      <c r="P47" s="647"/>
      <c r="Q47" s="647"/>
      <c r="R47" s="647"/>
      <c r="S47" s="647"/>
      <c r="T47" s="647"/>
      <c r="U47" s="647"/>
      <c r="V47" s="647"/>
      <c r="W47" s="647"/>
      <c r="X47" s="647"/>
      <c r="Y47" s="647"/>
      <c r="Z47" s="647"/>
      <c r="AA47" s="647"/>
      <c r="AB47" s="647"/>
      <c r="AC47" s="647"/>
      <c r="AD47" s="647"/>
      <c r="AE47" s="647"/>
      <c r="AF47" s="647"/>
      <c r="AG47" s="647"/>
      <c r="AH47" s="647"/>
      <c r="AI47" s="647"/>
      <c r="AJ47" s="647"/>
      <c r="AK47" s="647"/>
      <c r="AL47" s="647"/>
      <c r="AM47" s="647"/>
      <c r="AN47" s="647"/>
      <c r="AO47" s="647"/>
      <c r="AP47" s="647"/>
      <c r="AQ47" s="647"/>
      <c r="AR47" s="642"/>
      <c r="AS47" s="648">
        <f t="array" ref="AS47">SUM(COUNTIF(N47:AR47, {"◎","〇","☆","共","特","浴"}))</f>
        <v>0</v>
      </c>
      <c r="AT47" s="649"/>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タン</v>
      </c>
      <c r="C48" s="638" t="str">
        <f t="shared" si="5"/>
        <v>#N/A</v>
      </c>
      <c r="D48" s="200"/>
      <c r="E48" s="637" t="str">
        <f t="shared" si="6"/>
        <v>タン</v>
      </c>
      <c r="F48" s="638" t="str">
        <f t="shared" si="7"/>
        <v>#N/A</v>
      </c>
      <c r="G48" s="200"/>
      <c r="H48" s="200"/>
      <c r="I48" s="172" t="b">
        <v>0</v>
      </c>
      <c r="J48" s="619">
        <v>17.0</v>
      </c>
      <c r="K48" s="639" t="s">
        <v>472</v>
      </c>
      <c r="L48" s="640"/>
      <c r="M48" s="646"/>
      <c r="N48" s="647"/>
      <c r="O48" s="647"/>
      <c r="P48" s="647"/>
      <c r="Q48" s="647"/>
      <c r="R48" s="647"/>
      <c r="S48" s="647"/>
      <c r="T48" s="647"/>
      <c r="U48" s="647"/>
      <c r="V48" s="647"/>
      <c r="W48" s="647"/>
      <c r="X48" s="647"/>
      <c r="Y48" s="647"/>
      <c r="Z48" s="647"/>
      <c r="AA48" s="647"/>
      <c r="AB48" s="647"/>
      <c r="AC48" s="647"/>
      <c r="AD48" s="647"/>
      <c r="AE48" s="647"/>
      <c r="AF48" s="647"/>
      <c r="AG48" s="647"/>
      <c r="AH48" s="647"/>
      <c r="AI48" s="647"/>
      <c r="AJ48" s="647"/>
      <c r="AK48" s="647"/>
      <c r="AL48" s="647"/>
      <c r="AM48" s="647"/>
      <c r="AN48" s="647"/>
      <c r="AO48" s="647"/>
      <c r="AP48" s="647"/>
      <c r="AQ48" s="647"/>
      <c r="AR48" s="642"/>
      <c r="AS48" s="648">
        <f t="array" ref="AS48">SUM(COUNTIF(N48:AR48, {"◎","〇","☆","共","特","浴"}))</f>
        <v>0</v>
      </c>
      <c r="AT48" s="652"/>
      <c r="AU48" s="650"/>
      <c r="AV48" s="650"/>
      <c r="AW48" s="650"/>
      <c r="AX48" s="650"/>
      <c r="AY48" s="650"/>
      <c r="AZ48" s="650"/>
      <c r="BA48" s="650"/>
      <c r="BB48" s="651"/>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ブラトキ</v>
      </c>
      <c r="C49" s="638" t="str">
        <f t="shared" si="5"/>
        <v>#N/A</v>
      </c>
      <c r="D49" s="200"/>
      <c r="E49" s="637" t="str">
        <f t="shared" si="6"/>
        <v>ブラトキ</v>
      </c>
      <c r="F49" s="638" t="str">
        <f t="shared" si="7"/>
        <v>#N/A</v>
      </c>
      <c r="G49" s="200"/>
      <c r="H49" s="200"/>
      <c r="I49" s="172" t="b">
        <v>0</v>
      </c>
      <c r="J49" s="619">
        <v>17.0</v>
      </c>
      <c r="K49" s="639" t="s">
        <v>624</v>
      </c>
      <c r="L49" s="640"/>
      <c r="M49" s="646"/>
      <c r="N49" s="647"/>
      <c r="O49" s="647"/>
      <c r="P49" s="642"/>
      <c r="Q49" s="647"/>
      <c r="R49" s="647"/>
      <c r="S49" s="647"/>
      <c r="T49" s="647"/>
      <c r="U49" s="647"/>
      <c r="V49" s="647"/>
      <c r="W49" s="647"/>
      <c r="X49" s="647"/>
      <c r="Y49" s="647"/>
      <c r="Z49" s="647"/>
      <c r="AA49" s="647"/>
      <c r="AB49" s="647"/>
      <c r="AC49" s="647"/>
      <c r="AD49" s="647"/>
      <c r="AE49" s="647"/>
      <c r="AF49" s="647"/>
      <c r="AG49" s="647"/>
      <c r="AH49" s="647"/>
      <c r="AI49" s="647"/>
      <c r="AJ49" s="647"/>
      <c r="AK49" s="647"/>
      <c r="AL49" s="647"/>
      <c r="AM49" s="647"/>
      <c r="AN49" s="647"/>
      <c r="AO49" s="647"/>
      <c r="AP49" s="647"/>
      <c r="AQ49" s="642"/>
      <c r="AR49" s="642"/>
      <c r="AS49" s="648">
        <f t="array" ref="AS49">SUM(COUNTIF(N49:AR49, {"◎","〇","☆","共","特","浴"}))</f>
        <v>0</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5"/>
        <v>#N/A</v>
      </c>
      <c r="D50" s="200"/>
      <c r="E50" s="637" t="str">
        <f t="shared" si="6"/>
        <v>タラ</v>
      </c>
      <c r="F50" s="638" t="str">
        <f t="shared" si="7"/>
        <v>#N/A</v>
      </c>
      <c r="G50" s="200"/>
      <c r="H50" s="200"/>
      <c r="I50" s="172" t="b">
        <v>0</v>
      </c>
      <c r="J50" s="619">
        <v>17.0</v>
      </c>
      <c r="K50" s="639" t="s">
        <v>471</v>
      </c>
      <c r="L50" s="640"/>
      <c r="M50" s="646"/>
      <c r="N50" s="647"/>
      <c r="O50" s="642"/>
      <c r="P50" s="642"/>
      <c r="Q50" s="647"/>
      <c r="R50" s="647"/>
      <c r="S50" s="647"/>
      <c r="T50" s="647"/>
      <c r="U50" s="647"/>
      <c r="V50" s="642"/>
      <c r="W50" s="642"/>
      <c r="X50" s="647"/>
      <c r="Y50" s="647"/>
      <c r="Z50" s="647"/>
      <c r="AA50" s="647"/>
      <c r="AB50" s="647"/>
      <c r="AC50" s="642"/>
      <c r="AD50" s="642"/>
      <c r="AE50" s="647"/>
      <c r="AF50" s="647"/>
      <c r="AG50" s="647"/>
      <c r="AH50" s="647"/>
      <c r="AI50" s="647"/>
      <c r="AJ50" s="642"/>
      <c r="AK50" s="642"/>
      <c r="AL50" s="647"/>
      <c r="AM50" s="647"/>
      <c r="AN50" s="647"/>
      <c r="AO50" s="647"/>
      <c r="AP50" s="647"/>
      <c r="AQ50" s="642"/>
      <c r="AR50" s="642"/>
      <c r="AS50" s="648">
        <f t="array" ref="AS50">SUM(COUNTIF(N50:AR50, {"◎","〇","☆","共","特","浴"}))</f>
        <v>0</v>
      </c>
      <c r="AT50" s="652"/>
      <c r="AU50" s="650"/>
      <c r="AV50" s="650"/>
      <c r="AW50" s="650"/>
      <c r="AX50" s="650"/>
      <c r="AY50" s="650"/>
      <c r="AZ50" s="650"/>
      <c r="BA50" s="650"/>
      <c r="BB50" s="651"/>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5"/>
        <v>#N/A</v>
      </c>
      <c r="D51" s="200"/>
      <c r="E51" s="637" t="str">
        <f t="shared" si="6"/>
        <v>スレスタ</v>
      </c>
      <c r="F51" s="638" t="str">
        <f t="shared" si="7"/>
        <v>#N/A</v>
      </c>
      <c r="G51" s="200"/>
      <c r="H51" s="200"/>
      <c r="I51" s="172" t="b">
        <v>0</v>
      </c>
      <c r="J51" s="619">
        <v>15.0</v>
      </c>
      <c r="K51" s="639" t="s">
        <v>477</v>
      </c>
      <c r="L51" s="640"/>
      <c r="M51" s="646"/>
      <c r="N51" s="647"/>
      <c r="O51" s="647"/>
      <c r="P51" s="647"/>
      <c r="Q51" s="647"/>
      <c r="R51" s="647"/>
      <c r="S51" s="647"/>
      <c r="T51" s="647"/>
      <c r="U51" s="647"/>
      <c r="V51" s="647"/>
      <c r="W51" s="647"/>
      <c r="X51" s="647"/>
      <c r="Y51" s="647"/>
      <c r="Z51" s="647"/>
      <c r="AA51" s="647"/>
      <c r="AB51" s="647"/>
      <c r="AC51" s="647"/>
      <c r="AD51" s="647"/>
      <c r="AE51" s="647"/>
      <c r="AF51" s="647"/>
      <c r="AG51" s="647"/>
      <c r="AH51" s="647"/>
      <c r="AI51" s="647"/>
      <c r="AJ51" s="647"/>
      <c r="AK51" s="647"/>
      <c r="AL51" s="647"/>
      <c r="AM51" s="647"/>
      <c r="AN51" s="647"/>
      <c r="AO51" s="647"/>
      <c r="AP51" s="647"/>
      <c r="AQ51" s="647"/>
      <c r="AR51" s="642"/>
      <c r="AS51" s="648">
        <f t="array" ref="AS51">SUM(COUNTIF(N51:AR51, {"◎","〇","☆","共","特","浴"}))</f>
        <v>0</v>
      </c>
      <c r="AT51" s="652"/>
      <c r="AU51" s="650"/>
      <c r="AV51" s="650"/>
      <c r="AW51" s="650"/>
      <c r="AX51" s="650"/>
      <c r="AY51" s="650"/>
      <c r="AZ51" s="650"/>
      <c r="BA51" s="650"/>
      <c r="BB51" s="651"/>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5"/>
        <v>#N/A</v>
      </c>
      <c r="D52" s="200"/>
      <c r="E52" s="637" t="str">
        <f t="shared" si="6"/>
        <v>アリ</v>
      </c>
      <c r="F52" s="638" t="str">
        <f t="shared" si="7"/>
        <v>#N/A</v>
      </c>
      <c r="G52" s="200"/>
      <c r="H52" s="200"/>
      <c r="I52" s="172" t="b">
        <v>0</v>
      </c>
      <c r="J52" s="619">
        <v>10.0</v>
      </c>
      <c r="K52" s="639" t="s">
        <v>484</v>
      </c>
      <c r="L52" s="640"/>
      <c r="M52" s="641"/>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47"/>
      <c r="AR52" s="642"/>
      <c r="AS52" s="648">
        <f t="array" ref="AS52">SUM(COUNTIF(N52:AR52, {"◎","〇","☆","共","特","浴"}))</f>
        <v>0</v>
      </c>
      <c r="AT52" s="649"/>
      <c r="AU52" s="650"/>
      <c r="AV52" s="650"/>
      <c r="AW52" s="650"/>
      <c r="AX52" s="650"/>
      <c r="AY52" s="650"/>
      <c r="AZ52" s="650"/>
      <c r="BA52" s="650"/>
      <c r="BB52" s="651"/>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5"/>
        <v>#N/A</v>
      </c>
      <c r="D53" s="200"/>
      <c r="E53" s="637" t="str">
        <f t="shared" si="6"/>
        <v>バンダリ</v>
      </c>
      <c r="F53" s="638" t="str">
        <f t="shared" si="7"/>
        <v>#N/A</v>
      </c>
      <c r="G53" s="200"/>
      <c r="H53" s="200"/>
      <c r="I53" s="172" t="b">
        <v>0</v>
      </c>
      <c r="J53" s="619">
        <v>15.0</v>
      </c>
      <c r="K53" s="639" t="s">
        <v>479</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サリタ</v>
      </c>
      <c r="C54" s="638" t="str">
        <f t="shared" si="5"/>
        <v>#N/A</v>
      </c>
      <c r="D54" s="200"/>
      <c r="E54" s="637" t="str">
        <f t="shared" si="6"/>
        <v>サリタ</v>
      </c>
      <c r="F54" s="638" t="str">
        <f t="shared" si="7"/>
        <v>#N/A</v>
      </c>
      <c r="G54" s="200"/>
      <c r="H54" s="200"/>
      <c r="I54" s="172" t="b">
        <v>0</v>
      </c>
      <c r="J54" s="619"/>
      <c r="K54" s="639" t="s">
        <v>767</v>
      </c>
      <c r="L54" s="640"/>
      <c r="M54" s="646"/>
      <c r="N54" s="647"/>
      <c r="O54" s="647"/>
      <c r="P54" s="647"/>
      <c r="Q54" s="647"/>
      <c r="R54" s="647"/>
      <c r="S54" s="647"/>
      <c r="T54" s="647"/>
      <c r="U54" s="647"/>
      <c r="V54" s="647"/>
      <c r="W54" s="647"/>
      <c r="X54" s="647"/>
      <c r="Y54" s="647"/>
      <c r="Z54" s="647"/>
      <c r="AA54" s="647"/>
      <c r="AB54" s="647"/>
      <c r="AC54" s="647"/>
      <c r="AD54" s="647"/>
      <c r="AE54" s="647"/>
      <c r="AF54" s="647"/>
      <c r="AG54" s="647"/>
      <c r="AH54" s="647"/>
      <c r="AI54" s="647"/>
      <c r="AJ54" s="647"/>
      <c r="AK54" s="647"/>
      <c r="AL54" s="647"/>
      <c r="AM54" s="647"/>
      <c r="AN54" s="647"/>
      <c r="AO54" s="647"/>
      <c r="AP54" s="647"/>
      <c r="AQ54" s="647"/>
      <c r="AR54" s="642"/>
      <c r="AS54" s="648">
        <f t="array" ref="AS54">SUM(COUNTIF(N54:AR54, {"◎","〇","☆","共","特","浴"}))</f>
        <v>0</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ランジュ</v>
      </c>
      <c r="C55" s="638" t="str">
        <f t="shared" si="5"/>
        <v>#N/A</v>
      </c>
      <c r="D55" s="200"/>
      <c r="E55" s="637" t="str">
        <f t="shared" si="6"/>
        <v>ランジュ</v>
      </c>
      <c r="F55" s="638" t="str">
        <f t="shared" si="7"/>
        <v>#N/A</v>
      </c>
      <c r="G55" s="200"/>
      <c r="H55" s="200"/>
      <c r="I55" s="172" t="b">
        <v>0</v>
      </c>
      <c r="J55" s="619"/>
      <c r="K55" s="639" t="s">
        <v>165</v>
      </c>
      <c r="L55" s="640"/>
      <c r="M55" s="646"/>
      <c r="N55" s="647"/>
      <c r="O55" s="647"/>
      <c r="P55" s="647"/>
      <c r="Q55" s="647"/>
      <c r="R55" s="647"/>
      <c r="S55" s="647"/>
      <c r="T55" s="647"/>
      <c r="U55" s="647"/>
      <c r="V55" s="647"/>
      <c r="W55" s="647"/>
      <c r="X55" s="647"/>
      <c r="Y55" s="647"/>
      <c r="Z55" s="647"/>
      <c r="AA55" s="647"/>
      <c r="AB55" s="647"/>
      <c r="AC55" s="647"/>
      <c r="AD55" s="647"/>
      <c r="AE55" s="647"/>
      <c r="AF55" s="647"/>
      <c r="AG55" s="647"/>
      <c r="AH55" s="647"/>
      <c r="AI55" s="647"/>
      <c r="AJ55" s="647"/>
      <c r="AK55" s="647"/>
      <c r="AL55" s="647"/>
      <c r="AM55" s="647"/>
      <c r="AN55" s="647"/>
      <c r="AO55" s="647"/>
      <c r="AP55" s="647"/>
      <c r="AQ55" s="647"/>
      <c r="AR55" s="647"/>
      <c r="AS55" s="648">
        <f t="array" ref="AS55">SUM(COUNTIF(N55:AR55, {"◎","〇","☆","共","特","浴"}))</f>
        <v>0</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ウィン</v>
      </c>
      <c r="C56" s="638" t="str">
        <f t="shared" si="5"/>
        <v>#N/A</v>
      </c>
      <c r="D56" s="200"/>
      <c r="E56" s="637" t="str">
        <f t="shared" si="6"/>
        <v>ウィン</v>
      </c>
      <c r="F56" s="638" t="str">
        <f t="shared" si="7"/>
        <v>#N/A</v>
      </c>
      <c r="G56" s="200"/>
      <c r="H56" s="200"/>
      <c r="I56" s="172" t="b">
        <v>0</v>
      </c>
      <c r="J56" s="619">
        <v>12.0</v>
      </c>
      <c r="K56" s="639" t="s">
        <v>474</v>
      </c>
      <c r="L56" s="640"/>
      <c r="M56" s="646"/>
      <c r="N56" s="647"/>
      <c r="O56" s="647"/>
      <c r="P56" s="647"/>
      <c r="Q56" s="647"/>
      <c r="R56" s="647"/>
      <c r="S56" s="647"/>
      <c r="T56" s="647"/>
      <c r="U56" s="647"/>
      <c r="V56" s="647"/>
      <c r="W56" s="647"/>
      <c r="X56" s="647"/>
      <c r="Y56" s="647"/>
      <c r="Z56" s="647"/>
      <c r="AA56" s="647"/>
      <c r="AB56" s="647"/>
      <c r="AC56" s="647"/>
      <c r="AD56" s="647"/>
      <c r="AE56" s="647"/>
      <c r="AF56" s="647"/>
      <c r="AG56" s="647"/>
      <c r="AH56" s="647"/>
      <c r="AI56" s="647"/>
      <c r="AJ56" s="647"/>
      <c r="AK56" s="647"/>
      <c r="AL56" s="647"/>
      <c r="AM56" s="647"/>
      <c r="AN56" s="647"/>
      <c r="AO56" s="647"/>
      <c r="AP56" s="647"/>
      <c r="AQ56" s="647"/>
      <c r="AR56" s="642"/>
      <c r="AS56" s="648">
        <f t="array" ref="AS56">SUM(COUNTIF(N56:AR56, {"◎","〇","☆","共","特","浴"}))</f>
        <v>0</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ギミレ</v>
      </c>
      <c r="C57" s="638" t="str">
        <f t="shared" si="5"/>
        <v>#N/A</v>
      </c>
      <c r="D57" s="200"/>
      <c r="E57" s="637" t="str">
        <f t="shared" si="6"/>
        <v>ギミレ</v>
      </c>
      <c r="F57" s="638" t="str">
        <f t="shared" si="7"/>
        <v>#N/A</v>
      </c>
      <c r="G57" s="200"/>
      <c r="H57" s="200"/>
      <c r="I57" s="172" t="b">
        <v>0</v>
      </c>
      <c r="J57" s="619"/>
      <c r="K57" s="639" t="s">
        <v>159</v>
      </c>
      <c r="L57" s="640"/>
      <c r="M57" s="646"/>
      <c r="N57" s="647"/>
      <c r="O57" s="647"/>
      <c r="P57" s="647"/>
      <c r="Q57" s="647"/>
      <c r="R57" s="647"/>
      <c r="S57" s="647"/>
      <c r="T57" s="647"/>
      <c r="U57" s="647"/>
      <c r="V57" s="647"/>
      <c r="W57" s="647"/>
      <c r="X57" s="647"/>
      <c r="Y57" s="647"/>
      <c r="Z57" s="647"/>
      <c r="AA57" s="647"/>
      <c r="AB57" s="647"/>
      <c r="AC57" s="647"/>
      <c r="AD57" s="647"/>
      <c r="AE57" s="647"/>
      <c r="AF57" s="647"/>
      <c r="AG57" s="647"/>
      <c r="AH57" s="647"/>
      <c r="AI57" s="647"/>
      <c r="AJ57" s="647"/>
      <c r="AK57" s="647"/>
      <c r="AL57" s="647"/>
      <c r="AM57" s="647"/>
      <c r="AN57" s="647"/>
      <c r="AO57" s="647"/>
      <c r="AP57" s="642"/>
      <c r="AQ57" s="642"/>
      <c r="AR57" s="642"/>
      <c r="AS57" s="648">
        <f t="array" ref="AS57">SUM(COUNTIF(N57:AR57, {"◎","〇","☆","共","特","浴"}))</f>
        <v>0</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GT</v>
      </c>
      <c r="C58" s="638" t="str">
        <f t="shared" si="5"/>
        <v>#N/A</v>
      </c>
      <c r="D58" s="200"/>
      <c r="E58" s="637" t="str">
        <f t="shared" si="6"/>
        <v>GT</v>
      </c>
      <c r="F58" s="638" t="str">
        <f t="shared" si="7"/>
        <v>#N/A</v>
      </c>
      <c r="G58" s="200"/>
      <c r="H58" s="200"/>
      <c r="I58" s="172" t="b">
        <v>0</v>
      </c>
      <c r="J58" s="619"/>
      <c r="K58" s="639" t="s">
        <v>481</v>
      </c>
      <c r="L58" s="640"/>
      <c r="M58" s="646"/>
      <c r="N58" s="647"/>
      <c r="O58" s="647"/>
      <c r="P58" s="647"/>
      <c r="Q58" s="647"/>
      <c r="R58" s="647"/>
      <c r="S58" s="647"/>
      <c r="T58" s="647"/>
      <c r="U58" s="647"/>
      <c r="V58" s="647"/>
      <c r="W58" s="647"/>
      <c r="X58" s="647"/>
      <c r="Y58" s="647"/>
      <c r="Z58" s="647"/>
      <c r="AA58" s="647"/>
      <c r="AB58" s="647"/>
      <c r="AC58" s="647"/>
      <c r="AD58" s="647"/>
      <c r="AE58" s="647"/>
      <c r="AF58" s="647"/>
      <c r="AG58" s="647"/>
      <c r="AH58" s="647"/>
      <c r="AI58" s="647"/>
      <c r="AJ58" s="647"/>
      <c r="AK58" s="647"/>
      <c r="AL58" s="647"/>
      <c r="AM58" s="647"/>
      <c r="AN58" s="647"/>
      <c r="AO58" s="647"/>
      <c r="AP58" s="647"/>
      <c r="AQ58" s="647"/>
      <c r="AR58" s="642"/>
      <c r="AS58" s="648">
        <f t="array" ref="AS58">SUM(COUNTIF(N58:AR58, {"◎","〇","☆","共","特","浴"}))</f>
        <v>0</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ビケス</v>
      </c>
      <c r="C59" s="638" t="str">
        <f t="shared" si="5"/>
        <v>#N/A</v>
      </c>
      <c r="D59" s="200"/>
      <c r="E59" s="637" t="str">
        <f t="shared" si="6"/>
        <v>ビケス</v>
      </c>
      <c r="F59" s="638" t="str">
        <f t="shared" si="7"/>
        <v>#N/A</v>
      </c>
      <c r="G59" s="200"/>
      <c r="H59" s="200"/>
      <c r="I59" s="172" t="b">
        <v>0</v>
      </c>
      <c r="J59" s="619">
        <v>10.0</v>
      </c>
      <c r="K59" s="639" t="s">
        <v>120</v>
      </c>
      <c r="L59" s="640"/>
      <c r="M59" s="646"/>
      <c r="N59" s="647"/>
      <c r="O59" s="642"/>
      <c r="P59" s="647"/>
      <c r="Q59" s="647"/>
      <c r="R59" s="647"/>
      <c r="S59" s="647"/>
      <c r="T59" s="647"/>
      <c r="U59" s="647"/>
      <c r="V59" s="642"/>
      <c r="W59" s="647"/>
      <c r="X59" s="647"/>
      <c r="Y59" s="647"/>
      <c r="Z59" s="647"/>
      <c r="AA59" s="647"/>
      <c r="AB59" s="647"/>
      <c r="AC59" s="647"/>
      <c r="AD59" s="647"/>
      <c r="AE59" s="647"/>
      <c r="AF59" s="647"/>
      <c r="AG59" s="647"/>
      <c r="AH59" s="647"/>
      <c r="AI59" s="647"/>
      <c r="AJ59" s="647"/>
      <c r="AK59" s="647"/>
      <c r="AL59" s="647"/>
      <c r="AM59" s="647"/>
      <c r="AN59" s="647"/>
      <c r="AO59" s="647"/>
      <c r="AP59" s="647"/>
      <c r="AQ59" s="647"/>
      <c r="AR59" s="642"/>
      <c r="AS59" s="648">
        <f t="array" ref="AS59">SUM(COUNTIF(N59:AR59, {"◎","〇","☆","共","特","浴"}))</f>
        <v>0</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カトリ</v>
      </c>
      <c r="C60" s="638" t="str">
        <f t="shared" si="5"/>
        <v>#N/A</v>
      </c>
      <c r="D60" s="200"/>
      <c r="E60" s="637" t="str">
        <f t="shared" si="6"/>
        <v>カトリ</v>
      </c>
      <c r="F60" s="638" t="str">
        <f t="shared" si="7"/>
        <v>#N/A</v>
      </c>
      <c r="G60" s="200"/>
      <c r="H60" s="200"/>
      <c r="I60" s="172" t="b">
        <v>0</v>
      </c>
      <c r="J60" s="619"/>
      <c r="K60" s="639" t="s">
        <v>125</v>
      </c>
      <c r="L60" s="640"/>
      <c r="M60" s="646"/>
      <c r="N60" s="647"/>
      <c r="O60" s="647"/>
      <c r="P60" s="647"/>
      <c r="Q60" s="647"/>
      <c r="R60" s="642"/>
      <c r="S60" s="647"/>
      <c r="T60" s="647"/>
      <c r="U60" s="647"/>
      <c r="V60" s="647"/>
      <c r="W60" s="647"/>
      <c r="X60" s="647"/>
      <c r="Y60" s="642"/>
      <c r="Z60" s="647"/>
      <c r="AA60" s="647"/>
      <c r="AB60" s="647"/>
      <c r="AC60" s="647"/>
      <c r="AD60" s="647"/>
      <c r="AE60" s="647"/>
      <c r="AF60" s="642"/>
      <c r="AG60" s="647"/>
      <c r="AH60" s="647"/>
      <c r="AI60" s="647"/>
      <c r="AJ60" s="647"/>
      <c r="AK60" s="647"/>
      <c r="AL60" s="647"/>
      <c r="AM60" s="642"/>
      <c r="AN60" s="647"/>
      <c r="AO60" s="647"/>
      <c r="AP60" s="647"/>
      <c r="AQ60" s="642"/>
      <c r="AR60" s="647"/>
      <c r="AS60" s="648">
        <f t="array" ref="AS60">SUM(COUNTIF(N60:AR60, {"◎","〇","☆","共","特","浴"}))</f>
        <v>0</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ライン</v>
      </c>
      <c r="C61" s="638" t="str">
        <f t="shared" si="5"/>
        <v>#N/A</v>
      </c>
      <c r="D61" s="200"/>
      <c r="E61" s="637" t="str">
        <f t="shared" si="6"/>
        <v>ライン</v>
      </c>
      <c r="F61" s="638" t="str">
        <f t="shared" si="7"/>
        <v>#N/A</v>
      </c>
      <c r="G61" s="200"/>
      <c r="H61" s="200"/>
      <c r="I61" s="172" t="b">
        <v>0</v>
      </c>
      <c r="J61" s="619"/>
      <c r="K61" s="639" t="s">
        <v>526</v>
      </c>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カヴィンダ</v>
      </c>
      <c r="C62" s="638" t="str">
        <f t="shared" si="5"/>
        <v>#N/A</v>
      </c>
      <c r="D62" s="200"/>
      <c r="E62" s="637" t="str">
        <f t="shared" si="6"/>
        <v>カヴィンダ</v>
      </c>
      <c r="F62" s="638" t="str">
        <f t="shared" si="7"/>
        <v>#N/A</v>
      </c>
      <c r="G62" s="200"/>
      <c r="H62" s="200"/>
      <c r="I62" s="172" t="b">
        <v>0</v>
      </c>
      <c r="J62" s="619"/>
      <c r="K62" s="639" t="s">
        <v>517</v>
      </c>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ソノダ</v>
      </c>
      <c r="C63" s="638" t="str">
        <f t="shared" si="5"/>
        <v>#N/A</v>
      </c>
      <c r="D63" s="200"/>
      <c r="E63" s="637" t="str">
        <f t="shared" si="6"/>
        <v>ソノダ</v>
      </c>
      <c r="F63" s="638" t="str">
        <f t="shared" si="7"/>
        <v>#N/A</v>
      </c>
      <c r="G63" s="200"/>
      <c r="H63" s="200"/>
      <c r="I63" s="172" t="b">
        <v>0</v>
      </c>
      <c r="J63" s="619"/>
      <c r="K63" s="639" t="s">
        <v>487</v>
      </c>
      <c r="L63" s="640"/>
      <c r="M63" s="646"/>
      <c r="N63" s="647"/>
      <c r="O63" s="647"/>
      <c r="P63" s="647"/>
      <c r="Q63" s="647"/>
      <c r="R63" s="647"/>
      <c r="S63" s="647"/>
      <c r="T63" s="647"/>
      <c r="U63" s="647"/>
      <c r="V63" s="647"/>
      <c r="W63" s="647"/>
      <c r="X63" s="647"/>
      <c r="Y63" s="647"/>
      <c r="Z63" s="647"/>
      <c r="AA63" s="647"/>
      <c r="AB63" s="647"/>
      <c r="AC63" s="647"/>
      <c r="AD63" s="647"/>
      <c r="AE63" s="647"/>
      <c r="AF63" s="647"/>
      <c r="AG63" s="647"/>
      <c r="AH63" s="647"/>
      <c r="AI63" s="647"/>
      <c r="AJ63" s="647"/>
      <c r="AK63" s="647"/>
      <c r="AL63" s="647"/>
      <c r="AM63" s="647"/>
      <c r="AN63" s="647"/>
      <c r="AO63" s="647"/>
      <c r="AP63" s="647"/>
      <c r="AQ63" s="647"/>
      <c r="AR63" s="642"/>
      <c r="AS63" s="648">
        <f t="array" ref="AS63">SUM(COUNTIF(N63:AR63, {"◎","〇","☆","共","特","浴"}))</f>
        <v>0</v>
      </c>
      <c r="AT63" s="652"/>
      <c r="AU63" s="650"/>
      <c r="AV63" s="650"/>
      <c r="AW63" s="650"/>
      <c r="AX63" s="650"/>
      <c r="AY63" s="650"/>
      <c r="AZ63" s="650"/>
      <c r="BA63" s="650"/>
      <c r="BB63" s="651"/>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サルマ</v>
      </c>
      <c r="C64" s="638" t="str">
        <f t="shared" si="5"/>
        <v>#N/A</v>
      </c>
      <c r="D64" s="200"/>
      <c r="E64" s="637" t="str">
        <f t="shared" si="6"/>
        <v>サルマ</v>
      </c>
      <c r="F64" s="638" t="str">
        <f t="shared" si="7"/>
        <v>#N/A</v>
      </c>
      <c r="G64" s="200"/>
      <c r="H64" s="200"/>
      <c r="I64" s="172" t="b">
        <v>0</v>
      </c>
      <c r="J64" s="619"/>
      <c r="K64" s="639" t="s">
        <v>489</v>
      </c>
      <c r="L64" s="640"/>
      <c r="M64" s="646"/>
      <c r="N64" s="647"/>
      <c r="O64" s="647"/>
      <c r="P64" s="647"/>
      <c r="Q64" s="647"/>
      <c r="R64" s="647"/>
      <c r="S64" s="647"/>
      <c r="T64" s="647"/>
      <c r="U64" s="647"/>
      <c r="V64" s="647"/>
      <c r="W64" s="647"/>
      <c r="X64" s="647"/>
      <c r="Y64" s="647"/>
      <c r="Z64" s="647"/>
      <c r="AA64" s="647"/>
      <c r="AB64" s="647"/>
      <c r="AC64" s="647"/>
      <c r="AD64" s="647"/>
      <c r="AE64" s="647"/>
      <c r="AF64" s="647"/>
      <c r="AG64" s="647"/>
      <c r="AH64" s="647"/>
      <c r="AI64" s="647"/>
      <c r="AJ64" s="647"/>
      <c r="AK64" s="647"/>
      <c r="AL64" s="647"/>
      <c r="AM64" s="647"/>
      <c r="AN64" s="647"/>
      <c r="AO64" s="647"/>
      <c r="AP64" s="642"/>
      <c r="AQ64" s="642"/>
      <c r="AR64" s="642"/>
      <c r="AS64" s="648">
        <f t="array" ref="AS64">SUM(COUNTIF(N64:AR64, {"◎","〇","☆","共","特","浴"}))</f>
        <v>0</v>
      </c>
      <c r="AT64" s="652"/>
      <c r="AU64" s="650"/>
      <c r="AV64" s="650"/>
      <c r="AW64" s="650"/>
      <c r="AX64" s="650"/>
      <c r="AY64" s="650"/>
      <c r="AZ64" s="650"/>
      <c r="BA64" s="650"/>
      <c r="BB64" s="651"/>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
      </c>
      <c r="C65" s="638" t="str">
        <f t="shared" si="5"/>
        <v/>
      </c>
      <c r="D65" s="200"/>
      <c r="E65" s="637" t="str">
        <f t="shared" si="6"/>
        <v/>
      </c>
      <c r="F65" s="638" t="str">
        <f t="shared" si="7"/>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5"/>
        <v/>
      </c>
      <c r="D66" s="200"/>
      <c r="E66" s="637" t="str">
        <f t="shared" si="6"/>
        <v/>
      </c>
      <c r="F66" s="638" t="str">
        <f t="shared" si="7"/>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5"/>
        <v/>
      </c>
      <c r="D67" s="200"/>
      <c r="E67" s="637" t="str">
        <f t="shared" si="6"/>
        <v/>
      </c>
      <c r="F67" s="638" t="str">
        <f t="shared" si="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5"/>
        <v/>
      </c>
      <c r="D68" s="200"/>
      <c r="E68" s="637" t="str">
        <f t="shared" si="6"/>
        <v/>
      </c>
      <c r="F68" s="638" t="str">
        <f t="shared" si="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5"/>
        <v/>
      </c>
      <c r="D69" s="200"/>
      <c r="E69" s="637" t="str">
        <f t="shared" si="6"/>
        <v/>
      </c>
      <c r="F69" s="638" t="str">
        <f t="shared" si="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5"/>
        <v/>
      </c>
      <c r="D70" s="200"/>
      <c r="E70" s="637" t="str">
        <f t="shared" si="6"/>
        <v/>
      </c>
      <c r="F70" s="638" t="str">
        <f t="shared" si="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5"/>
        <v/>
      </c>
      <c r="D71" s="200"/>
      <c r="E71" s="637" t="str">
        <f t="shared" si="6"/>
        <v/>
      </c>
      <c r="F71" s="638" t="str">
        <f t="shared" si="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5"/>
        <v/>
      </c>
      <c r="D72" s="200"/>
      <c r="E72" s="637" t="str">
        <f t="shared" si="6"/>
        <v/>
      </c>
      <c r="F72" s="638" t="str">
        <f t="shared" si="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5"/>
        <v/>
      </c>
      <c r="D73" s="200"/>
      <c r="E73" s="637" t="str">
        <f t="shared" si="6"/>
        <v/>
      </c>
      <c r="F73" s="638" t="str">
        <f t="shared" si="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5"/>
        <v/>
      </c>
      <c r="D74" s="200"/>
      <c r="E74" s="637" t="str">
        <f t="shared" si="6"/>
        <v/>
      </c>
      <c r="F74" s="638" t="str">
        <f t="shared" si="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5"/>
        <v/>
      </c>
      <c r="D75" s="200"/>
      <c r="E75" s="637" t="str">
        <f t="shared" si="6"/>
        <v/>
      </c>
      <c r="F75" s="638" t="str">
        <f t="shared" si="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5"/>
        <v/>
      </c>
      <c r="D76" s="200"/>
      <c r="E76" s="637" t="str">
        <f t="shared" si="6"/>
        <v/>
      </c>
      <c r="F76" s="638" t="str">
        <f t="shared" si="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5"/>
        <v/>
      </c>
      <c r="D77" s="200"/>
      <c r="E77" s="637" t="str">
        <f t="shared" si="6"/>
        <v/>
      </c>
      <c r="F77" s="638" t="str">
        <f t="shared" si="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5"/>
        <v/>
      </c>
      <c r="D78" s="200"/>
      <c r="E78" s="637" t="str">
        <f t="shared" si="6"/>
        <v/>
      </c>
      <c r="F78" s="638" t="str">
        <f t="shared" si="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5"/>
        <v/>
      </c>
      <c r="D79" s="200"/>
      <c r="E79" s="637" t="str">
        <f t="shared" si="6"/>
        <v/>
      </c>
      <c r="F79" s="638" t="str">
        <f t="shared" si="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5"/>
        <v/>
      </c>
      <c r="D80" s="200"/>
      <c r="E80" s="637" t="str">
        <f t="shared" si="6"/>
        <v/>
      </c>
      <c r="F80" s="638" t="str">
        <f t="shared" si="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5"/>
        <v/>
      </c>
      <c r="D81" s="200"/>
      <c r="E81" s="637" t="str">
        <f t="shared" si="6"/>
        <v/>
      </c>
      <c r="F81" s="638" t="str">
        <f t="shared" si="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5"/>
        <v/>
      </c>
      <c r="D82" s="200"/>
      <c r="E82" s="637" t="str">
        <f t="shared" si="6"/>
        <v/>
      </c>
      <c r="F82" s="638" t="str">
        <f t="shared" si="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5"/>
        <v/>
      </c>
      <c r="D83" s="200"/>
      <c r="E83" s="637" t="str">
        <f t="shared" si="6"/>
        <v/>
      </c>
      <c r="F83" s="638" t="str">
        <f t="shared" si="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5"/>
        <v/>
      </c>
      <c r="D84" s="200"/>
      <c r="E84" s="637" t="str">
        <f t="shared" si="6"/>
        <v/>
      </c>
      <c r="F84" s="638" t="str">
        <f t="shared" si="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5"/>
        <v/>
      </c>
      <c r="D85" s="200"/>
      <c r="E85" s="637" t="str">
        <f t="shared" si="6"/>
        <v/>
      </c>
      <c r="F85" s="638" t="str">
        <f t="shared" si="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5"/>
        <v/>
      </c>
      <c r="D86" s="200"/>
      <c r="E86" s="637" t="str">
        <f t="shared" si="6"/>
        <v/>
      </c>
      <c r="F86" s="638" t="str">
        <f t="shared" si="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5"/>
        <v/>
      </c>
      <c r="D87" s="200"/>
      <c r="E87" s="637" t="str">
        <f t="shared" si="6"/>
        <v/>
      </c>
      <c r="F87" s="638" t="str">
        <f t="shared" si="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5"/>
        <v/>
      </c>
      <c r="D88" s="200"/>
      <c r="E88" s="637" t="str">
        <f t="shared" si="6"/>
        <v/>
      </c>
      <c r="F88" s="638" t="str">
        <f t="shared" si="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5"/>
        <v/>
      </c>
      <c r="D89" s="200"/>
      <c r="E89" s="637" t="str">
        <f t="shared" si="6"/>
        <v/>
      </c>
      <c r="F89" s="638" t="str">
        <f t="shared" si="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5"/>
        <v/>
      </c>
      <c r="D90" s="200"/>
      <c r="E90" s="637" t="str">
        <f t="shared" si="6"/>
        <v/>
      </c>
      <c r="F90" s="638" t="str">
        <f t="shared" si="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5"/>
        <v/>
      </c>
      <c r="D91" s="200"/>
      <c r="E91" s="637" t="str">
        <f t="shared" si="6"/>
        <v/>
      </c>
      <c r="F91" s="638" t="str">
        <f t="shared" si="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5"/>
        <v/>
      </c>
      <c r="D92" s="200"/>
      <c r="E92" s="637" t="str">
        <f t="shared" si="6"/>
        <v/>
      </c>
      <c r="F92" s="638" t="str">
        <f t="shared" si="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5"/>
        <v/>
      </c>
      <c r="D93" s="200"/>
      <c r="E93" s="637" t="str">
        <f t="shared" si="6"/>
        <v/>
      </c>
      <c r="F93" s="638" t="str">
        <f t="shared" si="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5"/>
        <v/>
      </c>
      <c r="D94" s="200"/>
      <c r="E94" s="637" t="str">
        <f t="shared" si="6"/>
        <v/>
      </c>
      <c r="F94" s="638" t="str">
        <f t="shared" si="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5"/>
        <v/>
      </c>
      <c r="D95" s="200"/>
      <c r="E95" s="637" t="str">
        <f t="shared" si="6"/>
        <v/>
      </c>
      <c r="F95" s="638" t="str">
        <f t="shared" si="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5"/>
        <v/>
      </c>
      <c r="D96" s="200"/>
      <c r="E96" s="637" t="str">
        <f t="shared" si="6"/>
        <v/>
      </c>
      <c r="F96" s="638" t="str">
        <f t="shared" si="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5"/>
        <v/>
      </c>
      <c r="D97" s="200"/>
      <c r="E97" s="637" t="str">
        <f t="shared" si="6"/>
        <v/>
      </c>
      <c r="F97" s="638" t="str">
        <f t="shared" si="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5"/>
        <v/>
      </c>
      <c r="D98" s="200"/>
      <c r="E98" s="637" t="str">
        <f t="shared" si="6"/>
        <v/>
      </c>
      <c r="F98" s="638" t="str">
        <f t="shared" si="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5"/>
        <v/>
      </c>
      <c r="D99" s="200"/>
      <c r="E99" s="637" t="str">
        <f t="shared" si="6"/>
        <v/>
      </c>
      <c r="F99" s="638" t="str">
        <f t="shared" si="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5"/>
        <v/>
      </c>
      <c r="D100" s="200"/>
      <c r="E100" s="637" t="str">
        <f t="shared" si="6"/>
        <v/>
      </c>
      <c r="F100" s="638" t="str">
        <f t="shared" si="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5"/>
        <v/>
      </c>
      <c r="D101" s="200"/>
      <c r="E101" s="637" t="str">
        <f t="shared" si="6"/>
        <v/>
      </c>
      <c r="F101" s="638" t="str">
        <f t="shared" si="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5"/>
        <v/>
      </c>
      <c r="D102" s="200"/>
      <c r="E102" s="637" t="str">
        <f t="shared" si="6"/>
        <v/>
      </c>
      <c r="F102" s="638" t="str">
        <f t="shared" si="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5"/>
        <v/>
      </c>
      <c r="D103" s="200"/>
      <c r="E103" s="637" t="str">
        <f t="shared" si="6"/>
        <v/>
      </c>
      <c r="F103" s="638" t="str">
        <f t="shared" si="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5"/>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537</v>
      </c>
      <c r="G9" s="724" t="s">
        <v>538</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idden="1" outlineLevel="1">
      <c r="A20" s="662"/>
      <c r="B20" s="744"/>
      <c r="C20" s="745">
        <f>IF(C9="","",IF(DAY(C9+1)=1,"",C9+1))</f>
        <v>46055</v>
      </c>
      <c r="D20" s="746" t="str">
        <f>TEXT(C20,"ddd")</f>
        <v>月</v>
      </c>
      <c r="E20" s="747"/>
      <c r="F20" s="748" t="s">
        <v>537</v>
      </c>
      <c r="G20" s="749" t="s">
        <v>538</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757</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idden="1" outlineLevel="1">
      <c r="A30" s="662"/>
      <c r="B30" s="739"/>
      <c r="C30" s="698"/>
      <c r="D30" s="698"/>
      <c r="E30" s="698"/>
      <c r="F30" s="758" t="s">
        <v>518</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537</v>
      </c>
      <c r="G31" s="766" t="s">
        <v>538</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760</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761</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762</v>
      </c>
      <c r="W40" s="662"/>
      <c r="X40" s="757"/>
      <c r="Y40" s="662"/>
      <c r="Z40" s="662"/>
    </row>
    <row r="41" hidden="1" outlineLevel="1">
      <c r="A41" s="662"/>
      <c r="B41" s="739"/>
      <c r="C41" s="698"/>
      <c r="D41" s="698"/>
      <c r="E41" s="698"/>
      <c r="F41" s="740" t="s">
        <v>518</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764</v>
      </c>
      <c r="W41" s="662"/>
      <c r="X41" s="757"/>
      <c r="Y41" s="662"/>
      <c r="Z41" s="662"/>
    </row>
    <row r="42" hidden="1" outlineLevel="1">
      <c r="A42" s="662"/>
      <c r="B42" s="744"/>
      <c r="C42" s="745">
        <f>IF(C31="","",IF(DAY(C31+1)=1,"",C31+1))</f>
        <v>46057</v>
      </c>
      <c r="D42" s="746" t="str">
        <f>TEXT(C42,"ddd")</f>
        <v>水</v>
      </c>
      <c r="E42" s="747"/>
      <c r="F42" s="775" t="s">
        <v>537</v>
      </c>
      <c r="G42" s="776" t="s">
        <v>538</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624</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766</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767</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518</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537</v>
      </c>
      <c r="G53" s="766" t="s">
        <v>538</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533</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537</v>
      </c>
      <c r="G65" s="776" t="s">
        <v>538</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537</v>
      </c>
      <c r="G76" s="766" t="s">
        <v>538</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537</v>
      </c>
      <c r="G87" s="776" t="s">
        <v>538</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537</v>
      </c>
      <c r="G98" s="766" t="s">
        <v>538</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537</v>
      </c>
      <c r="G109" s="776" t="s">
        <v>538</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539</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537</v>
      </c>
      <c r="G121" s="766" t="s">
        <v>538</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537</v>
      </c>
      <c r="G132" s="776" t="s">
        <v>538</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537</v>
      </c>
      <c r="G143" s="766" t="s">
        <v>538</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537</v>
      </c>
      <c r="G154" s="776" t="s">
        <v>538</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537</v>
      </c>
      <c r="G165" s="766" t="s">
        <v>538</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540</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537</v>
      </c>
      <c r="G177" s="776" t="s">
        <v>538</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537</v>
      </c>
      <c r="G188" s="766" t="s">
        <v>538</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537</v>
      </c>
      <c r="G199" s="776" t="s">
        <v>538</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537</v>
      </c>
      <c r="G210" s="766" t="s">
        <v>538</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537</v>
      </c>
      <c r="G221" s="776" t="s">
        <v>538</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541</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537</v>
      </c>
      <c r="G233" s="766" t="s">
        <v>538</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537</v>
      </c>
      <c r="G244" s="776" t="s">
        <v>538</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537</v>
      </c>
      <c r="G255" s="766" t="s">
        <v>538</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537</v>
      </c>
      <c r="G266" s="776" t="s">
        <v>538</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537</v>
      </c>
      <c r="G277" s="766" t="s">
        <v>538</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542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537</v>
      </c>
      <c r="G289" s="776" t="s">
        <v>538</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537</v>
      </c>
      <c r="G300" s="766" t="s">
        <v>538</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537</v>
      </c>
      <c r="G311" s="776" t="s">
        <v>538</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537</v>
      </c>
      <c r="G322" s="766" t="s">
        <v>538</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537</v>
      </c>
      <c r="G333" s="776" t="s">
        <v>538</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537</v>
      </c>
      <c r="G344" s="766" t="s">
        <v>538</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544</v>
      </c>
      <c r="C4" s="806"/>
      <c r="D4" s="807" t="s">
        <v>545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546</v>
      </c>
      <c r="G5" s="812"/>
      <c r="H5" s="813" t="b">
        <v>0</v>
      </c>
      <c r="J5" s="814"/>
      <c r="K5" s="798"/>
      <c r="L5" s="815" t="s">
        <v>547</v>
      </c>
      <c r="T5" s="814"/>
      <c r="U5" s="816" t="s">
        <v>548</v>
      </c>
      <c r="AC5" s="799"/>
      <c r="AD5" s="817" t="s">
        <v>96</v>
      </c>
      <c r="AE5" s="817" t="s">
        <v>549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550</v>
      </c>
      <c r="M7" s="236"/>
      <c r="N7" s="236"/>
      <c r="O7" s="236"/>
      <c r="P7" s="236"/>
      <c r="Q7" s="236"/>
      <c r="R7" s="236"/>
      <c r="S7" s="113"/>
      <c r="T7" s="821" t="s">
        <v>551</v>
      </c>
      <c r="U7" s="822" t="s">
        <v>552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553</v>
      </c>
      <c r="C8" s="824"/>
      <c r="D8" s="825" t="s">
        <v>51</v>
      </c>
      <c r="E8" s="826" t="str">
        <f>IFERROR(__xludf.DUMMYFUNCTION("IFERROR(INDEX(FILTER($AE$6:$AE$200, $AD$6:$AD$200=$B$5, REGEXMATCH($AE$6:$AE$200, ""集計"")), 1), """")
"),"①R8_2集計")</f>
        <v>①R8_2集計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554</v>
      </c>
      <c r="C13" s="844"/>
      <c r="D13" s="845" t="s">
        <v>51</v>
      </c>
      <c r="E13" s="846" t="s">
        <v>555</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556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557</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558</v>
      </c>
      <c r="C20" s="830" t="s">
        <v>559</v>
      </c>
      <c r="D20" s="830" t="s">
        <v>89</v>
      </c>
      <c r="E20" s="830" t="s">
        <v>90</v>
      </c>
      <c r="F20" s="830" t="s">
        <v>560</v>
      </c>
      <c r="G20" s="830" t="s">
        <v>135</v>
      </c>
      <c r="H20" s="830" t="s">
        <v>135</v>
      </c>
      <c r="I20" s="830" t="s">
        <v>561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562</v>
      </c>
      <c r="M21" s="232"/>
      <c r="N21" s="232"/>
      <c r="O21" s="232"/>
      <c r="P21" s="232"/>
      <c r="Q21" s="232"/>
      <c r="R21" s="232"/>
      <c r="S21" s="3"/>
      <c r="T21" s="821" t="s">
        <v>551</v>
      </c>
      <c r="U21" s="822" t="s">
        <v>563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565</v>
      </c>
      <c r="C25" s="870" t="s">
        <v>566</v>
      </c>
      <c r="D25" s="3"/>
      <c r="E25" s="870" t="s">
        <v>567</v>
      </c>
      <c r="F25" s="232"/>
      <c r="G25" s="232"/>
      <c r="H25" s="870" t="s">
        <v>568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569</v>
      </c>
      <c r="M35" s="232"/>
      <c r="N35" s="232"/>
      <c r="O35" s="232"/>
      <c r="P35" s="232"/>
      <c r="Q35" s="232"/>
      <c r="R35" s="232"/>
      <c r="S35" s="3"/>
      <c r="T35" s="821" t="s">
        <v>551</v>
      </c>
      <c r="U35" s="822" t="s">
        <v>569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570</v>
      </c>
      <c r="C37" s="877"/>
      <c r="D37" s="878">
        <f>counta(C39:D48)</f>
        <v>0</v>
      </c>
      <c r="E37" s="879" t="s">
        <v>571</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567</v>
      </c>
      <c r="F38" s="883"/>
      <c r="G38" s="882" t="s">
        <v>572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573</v>
      </c>
      <c r="M49" s="232"/>
      <c r="N49" s="232"/>
      <c r="O49" s="232"/>
      <c r="P49" s="232"/>
      <c r="Q49" s="232"/>
      <c r="R49" s="232"/>
      <c r="S49" s="3"/>
      <c r="T49" s="821" t="s">
        <v>551</v>
      </c>
      <c r="U49" s="822" t="s">
        <v>574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575</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576</v>
      </c>
      <c r="C51" s="882" t="s">
        <v>434</v>
      </c>
      <c r="D51" s="883"/>
      <c r="E51" s="881" t="s">
        <v>577</v>
      </c>
      <c r="F51" s="881" t="s">
        <v>578</v>
      </c>
      <c r="G51" s="881" t="s">
        <v>579</v>
      </c>
      <c r="H51" s="882" t="s">
        <v>580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581</v>
      </c>
      <c r="M63" s="232"/>
      <c r="N63" s="232"/>
      <c r="O63" s="232"/>
      <c r="P63" s="232"/>
      <c r="Q63" s="232"/>
      <c r="R63" s="232"/>
      <c r="S63" s="3"/>
      <c r="T63" s="821" t="s">
        <v>551</v>
      </c>
      <c r="U63" s="822" t="s">
        <v>582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583</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576</v>
      </c>
      <c r="C65" s="882" t="s">
        <v>434</v>
      </c>
      <c r="D65" s="883"/>
      <c r="E65" s="881" t="s">
        <v>584</v>
      </c>
      <c r="F65" s="882" t="s">
        <v>585</v>
      </c>
      <c r="G65" s="883"/>
      <c r="H65" s="882" t="s">
        <v>580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586</v>
      </c>
      <c r="M77" s="232"/>
      <c r="N77" s="232"/>
      <c r="O77" s="232"/>
      <c r="P77" s="232"/>
      <c r="Q77" s="232"/>
      <c r="R77" s="232"/>
      <c r="S77" s="3"/>
      <c r="T77" s="814"/>
      <c r="U77" s="906" t="s">
        <v>587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345</v>
      </c>
      <c r="P3" s="1134"/>
      <c r="Q3" s="1134"/>
      <c r="R3" s="1134"/>
      <c r="S3" s="1134"/>
      <c r="T3" s="1134"/>
      <c r="U3" s="1134"/>
      <c r="V3" s="1143" t="s">
        <v>1024</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1025</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277</v>
      </c>
      <c r="C6" s="1151">
        <f t="shared" ref="C6:N6" si="1">iferror(indirect(C3&amp;"!G8"),"")</f>
        <v>0.8718105736</v>
      </c>
      <c r="D6" s="1151">
        <f t="shared" si="1"/>
        <v>0.8882949309</v>
      </c>
      <c r="E6" s="1151">
        <f t="shared" si="1"/>
        <v>0.8695238095</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0.8765431047</v>
      </c>
      <c r="P6" s="1134"/>
      <c r="Q6" s="1134"/>
      <c r="R6" s="1134"/>
      <c r="S6" s="1134"/>
      <c r="T6" s="1134"/>
      <c r="U6" s="1134"/>
      <c r="V6" s="1143">
        <v>13.0</v>
      </c>
      <c r="W6" s="1136"/>
    </row>
    <row r="7">
      <c r="A7" s="1144"/>
      <c r="B7" s="1150" t="s">
        <v>278</v>
      </c>
      <c r="C7" s="1152">
        <f t="shared" ref="C7:N7" si="2">iferror(indirect(C3&amp;"!H8"),"")</f>
        <v>4791800</v>
      </c>
      <c r="D7" s="1152">
        <f t="shared" si="2"/>
        <v>5290320</v>
      </c>
      <c r="E7" s="1152">
        <f t="shared" si="2"/>
        <v>964040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11046160</v>
      </c>
      <c r="P7" s="1135"/>
      <c r="Q7" s="1134"/>
      <c r="R7" s="1134"/>
      <c r="S7" s="1134"/>
      <c r="T7" s="1134"/>
      <c r="U7" s="1134"/>
      <c r="V7" s="1143">
        <v>4.0</v>
      </c>
      <c r="W7" s="1136"/>
    </row>
    <row r="8">
      <c r="A8" s="1144"/>
      <c r="B8" s="1150" t="s">
        <v>1026</v>
      </c>
      <c r="C8" s="1153">
        <f t="shared" ref="C8:N8" si="3">iferror(indirect(C3&amp;"!AZ20"),"")</f>
        <v>853150</v>
      </c>
      <c r="D8" s="1153">
        <f t="shared" si="3"/>
        <v>700013.6364</v>
      </c>
      <c r="E8" s="1153">
        <f t="shared" si="3"/>
        <v>138772.7273</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1691936.364</v>
      </c>
      <c r="P8" s="1135"/>
      <c r="Q8" s="1134"/>
      <c r="R8" s="1134"/>
      <c r="S8" s="1134"/>
      <c r="T8" s="1134"/>
      <c r="U8" s="1134"/>
      <c r="V8" s="1143">
        <v>5.0</v>
      </c>
      <c r="W8" s="1136"/>
    </row>
    <row r="9">
      <c r="A9" s="1144"/>
      <c r="B9" s="1150" t="s">
        <v>939</v>
      </c>
      <c r="C9" s="1153">
        <f t="shared" ref="C9:N9" si="5">iferror(indirect(C3&amp;"!BG23")-indirect(C3&amp;"!BE24"),"")</f>
        <v>3065489.833</v>
      </c>
      <c r="D9" s="1153">
        <f t="shared" si="5"/>
        <v>3180262.5</v>
      </c>
      <c r="E9" s="1153">
        <f t="shared" si="5"/>
        <v>559156.6667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6804909</v>
      </c>
      <c r="P9" s="1134"/>
      <c r="Q9" s="1135"/>
      <c r="R9" s="1134"/>
      <c r="S9" s="1134"/>
      <c r="T9" s="1134"/>
      <c r="U9" s="1134"/>
      <c r="V9" s="1143">
        <v>6.0</v>
      </c>
      <c r="W9" s="1136"/>
    </row>
    <row r="10">
      <c r="A10" s="1144"/>
      <c r="B10" s="1150" t="s">
        <v>1027</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279</v>
      </c>
      <c r="C11" s="1152">
        <f t="shared" ref="C11:N11" si="7">iferror(indirect(C3&amp;"!I8"),"")</f>
        <v>127312.125</v>
      </c>
      <c r="D11" s="1152">
        <f t="shared" si="7"/>
        <v>104660.7955</v>
      </c>
      <c r="E11" s="1152">
        <f t="shared" si="7"/>
        <v>20932.15909</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252905.0795</v>
      </c>
      <c r="P11" s="1134"/>
      <c r="Q11" s="1134"/>
      <c r="R11" s="1134"/>
      <c r="S11" s="1134"/>
      <c r="T11" s="1134"/>
      <c r="U11" s="1134"/>
      <c r="V11" s="1143">
        <v>8.0</v>
      </c>
      <c r="W11" s="1136"/>
    </row>
    <row r="12">
      <c r="A12" s="1144"/>
      <c r="B12" s="1150" t="s">
        <v>280</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283</v>
      </c>
      <c r="C13" s="1152">
        <f t="shared" ref="C13:N13" si="9">iferror(indirect(C3&amp;"!M8"),"")</f>
        <v>745848.0417</v>
      </c>
      <c r="D13" s="1152">
        <f t="shared" si="9"/>
        <v>1305383.068</v>
      </c>
      <c r="E13" s="1152">
        <f t="shared" si="9"/>
        <v>245178.447</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2296409.557</v>
      </c>
      <c r="P13" s="1134"/>
      <c r="Q13" s="1134"/>
      <c r="R13" s="1134"/>
      <c r="S13" s="1134"/>
      <c r="T13" s="1134"/>
      <c r="U13" s="1134"/>
      <c r="V13" s="1143">
        <v>10.0</v>
      </c>
      <c r="W13" s="1136"/>
    </row>
    <row r="14">
      <c r="A14" s="1144"/>
      <c r="B14" s="1150" t="s">
        <v>930</v>
      </c>
      <c r="C14" s="1151">
        <f t="shared" ref="C14:N14" si="10">iferror(indirect(C3&amp;"!E8"),"")</f>
        <v>0.6397365986</v>
      </c>
      <c r="D14" s="1151">
        <f t="shared" si="10"/>
        <v>0.6011474731</v>
      </c>
      <c r="E14" s="1151">
        <f t="shared" si="10"/>
        <v>0.580013969</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0.6323382062</v>
      </c>
      <c r="P14" s="1134"/>
      <c r="Q14" s="1134"/>
      <c r="R14" s="1134"/>
      <c r="S14" s="1134"/>
      <c r="T14" s="1134"/>
      <c r="U14" s="1134"/>
      <c r="V14" s="1143">
        <v>11.0</v>
      </c>
      <c r="W14" s="1136"/>
    </row>
    <row r="15">
      <c r="A15" s="1144"/>
      <c r="B15" s="1150" t="s">
        <v>275</v>
      </c>
      <c r="C15" s="1151">
        <f t="shared" ref="C15:N15" si="11">iferror(indirect(C3&amp;"!C8"),"")</f>
        <v>0.1556509123</v>
      </c>
      <c r="D15" s="1151">
        <f t="shared" si="11"/>
        <v>0.2467493589</v>
      </c>
      <c r="E15" s="1151">
        <f t="shared" si="11"/>
        <v>0.2543239357</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0.2078921143</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1028</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1028</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278</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1026</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939</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1027</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1029</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280</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283</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930</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275</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1030</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1031</v>
      </c>
      <c r="C3" s="1168"/>
      <c r="D3" s="1168"/>
      <c r="E3" s="1168"/>
      <c r="F3" s="1168"/>
      <c r="G3" s="617"/>
      <c r="H3" s="1169" t="s">
        <v>1032</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433</v>
      </c>
      <c r="D4" s="1172" t="s">
        <v>554</v>
      </c>
      <c r="E4" s="1173" t="s">
        <v>35</v>
      </c>
      <c r="F4" s="1172" t="s">
        <v>1033</v>
      </c>
      <c r="G4" s="1172" t="s">
        <v>1034</v>
      </c>
      <c r="H4" s="1174"/>
      <c r="I4" s="1175" t="s">
        <v>433</v>
      </c>
      <c r="J4" s="1175" t="s">
        <v>554</v>
      </c>
      <c r="K4" s="1176" t="s">
        <v>35</v>
      </c>
      <c r="L4" s="1175" t="s">
        <v>1033</v>
      </c>
      <c r="M4" s="1177" t="s">
        <v>1034</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1</v>
      </c>
      <c r="M6" s="1187">
        <f t="shared" si="1"/>
        <v>0.0002009646302</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957</v>
      </c>
      <c r="J7" s="1184">
        <f>'🔵クレーム'!T12</f>
        <v>0</v>
      </c>
      <c r="K7" s="1185">
        <f>'🔵クレーム'!X12</f>
        <v>0</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1035</v>
      </c>
      <c r="C17" s="1204">
        <f t="shared" ref="C17:D17" si="3">SUM(C4:C16)</f>
        <v>57138</v>
      </c>
      <c r="D17" s="1204">
        <f t="shared" si="3"/>
        <v>75</v>
      </c>
      <c r="E17" s="1205">
        <f>D17/C17</f>
        <v>0.001312611572</v>
      </c>
      <c r="F17" s="1204">
        <f>SUM(F5:F16)</f>
        <v>21</v>
      </c>
      <c r="G17" s="1206">
        <f>F17/C17</f>
        <v>0.0003675312402</v>
      </c>
      <c r="H17" s="1207" t="s">
        <v>1035</v>
      </c>
      <c r="I17" s="1208">
        <f t="shared" ref="I17:J17" si="4">SUM(I5:I16)</f>
        <v>10341</v>
      </c>
      <c r="J17" s="1208">
        <f t="shared" si="4"/>
        <v>12</v>
      </c>
      <c r="K17" s="1209">
        <f>J17/I17</f>
        <v>0.001160429359</v>
      </c>
      <c r="L17" s="1208">
        <f>SUM(L5:L16)</f>
        <v>2</v>
      </c>
      <c r="M17" s="1210">
        <f>L17/I17</f>
        <v>0.0001934048931</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IFERROR(__xludf.DUMMYFUNCTION("""COMPUTED_VALUE"""),0.0)</f>
        <v>0</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IFERROR(__xludf.DUMMYFUNCTION("""COMPUTED_VALUE"""),0.0)</f>
        <v>0</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IFERROR(__xludf.DUMMYFUNCTION("""COMPUTED_VALUE"""),1.0)</f>
        <v>1</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IFERROR(__xludf.DUMMYFUNCTION("""COMPUTED_VALUE"""),2.0)</f>
        <v>2</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1011</v>
      </c>
      <c r="K33" s="17"/>
      <c r="L33" s="17"/>
    </row>
    <row r="34">
      <c r="B34" s="1230" t="s">
        <v>1036</v>
      </c>
      <c r="C34" s="1162"/>
      <c r="D34" s="1162"/>
      <c r="E34" s="1162"/>
      <c r="F34" s="1162"/>
      <c r="G34" s="1162"/>
      <c r="H34" s="1162"/>
      <c r="I34" s="1162"/>
      <c r="J34" s="1162"/>
      <c r="K34" s="1162"/>
      <c r="L34" s="1162"/>
      <c r="M34" s="1163"/>
      <c r="O34" s="1123"/>
      <c r="P34" s="1123"/>
      <c r="Q34" s="1123"/>
      <c r="S34" s="1123"/>
      <c r="T34" s="1123"/>
      <c r="U34" s="1123"/>
    </row>
    <row r="35">
      <c r="B35" s="1231" t="s">
        <v>1037</v>
      </c>
      <c r="D35" s="1232"/>
      <c r="M35" s="1233"/>
      <c r="O35" s="1123"/>
      <c r="P35" s="1123"/>
      <c r="Q35" s="1123"/>
      <c r="S35" s="1123"/>
      <c r="T35" s="1123"/>
      <c r="U35" s="1123"/>
    </row>
    <row r="36">
      <c r="B36" s="1234" t="s">
        <v>1038</v>
      </c>
      <c r="C36" s="1163"/>
      <c r="D36" s="1234" t="s">
        <v>1039</v>
      </c>
      <c r="E36" s="1163"/>
      <c r="F36" s="1234" t="s">
        <v>1040</v>
      </c>
      <c r="G36" s="1162"/>
      <c r="H36" s="1234" t="s">
        <v>1041</v>
      </c>
      <c r="I36" s="1162"/>
      <c r="J36" s="1163"/>
      <c r="K36" s="1234" t="s">
        <v>1042</v>
      </c>
      <c r="L36" s="1162"/>
      <c r="M36" s="1163"/>
      <c r="O36" s="1123" t="s">
        <v>81</v>
      </c>
      <c r="P36" s="1123" t="s">
        <v>82</v>
      </c>
      <c r="Q36" s="1123" t="s">
        <v>1043</v>
      </c>
      <c r="S36" s="1123" t="s">
        <v>89</v>
      </c>
      <c r="T36" s="1123" t="s">
        <v>90</v>
      </c>
      <c r="U36" s="1123" t="s">
        <v>92</v>
      </c>
      <c r="W36" s="1123" t="s">
        <v>81</v>
      </c>
      <c r="X36" s="1123" t="s">
        <v>82</v>
      </c>
      <c r="Y36" s="1123" t="s">
        <v>1043</v>
      </c>
      <c r="AA36" s="1123" t="s">
        <v>89</v>
      </c>
      <c r="AB36" s="1123" t="s">
        <v>90</v>
      </c>
      <c r="AC36" s="1123" t="s">
        <v>92</v>
      </c>
    </row>
    <row r="37">
      <c r="B37" s="1235"/>
      <c r="C37" s="1236"/>
      <c r="D37" s="1235"/>
      <c r="E37" s="1236"/>
      <c r="F37" s="1235"/>
      <c r="G37" s="1237"/>
      <c r="H37" s="1235"/>
      <c r="I37" s="1237"/>
      <c r="J37" s="1236"/>
      <c r="K37" s="1235"/>
      <c r="L37" s="1237"/>
      <c r="M37" s="1236"/>
      <c r="N37" s="1123" t="s">
        <v>1044</v>
      </c>
      <c r="O37" s="286" t="s">
        <v>52</v>
      </c>
      <c r="P37" s="286" t="s">
        <v>1045</v>
      </c>
      <c r="Q37" s="286" t="s">
        <v>40</v>
      </c>
      <c r="R37" s="1238"/>
      <c r="S37" s="286" t="s">
        <v>1046</v>
      </c>
      <c r="T37" s="286" t="s">
        <v>113</v>
      </c>
      <c r="U37" s="1239" t="s">
        <v>1047</v>
      </c>
      <c r="V37" s="1123" t="s">
        <v>1037</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1048</v>
      </c>
      <c r="D38" s="1242" t="s">
        <v>89</v>
      </c>
      <c r="E38" s="1242" t="s">
        <v>1048</v>
      </c>
      <c r="F38" s="1243" t="s">
        <v>1043</v>
      </c>
      <c r="G38" s="1243" t="s">
        <v>1048</v>
      </c>
      <c r="H38" s="1242" t="s">
        <v>1043</v>
      </c>
      <c r="I38" s="1244" t="s">
        <v>1048</v>
      </c>
      <c r="J38" s="1245" t="s">
        <v>1049</v>
      </c>
      <c r="K38" s="1246"/>
      <c r="L38" s="1247" t="s">
        <v>1048</v>
      </c>
      <c r="M38" s="1248" t="s">
        <v>1049</v>
      </c>
      <c r="O38" s="286" t="s">
        <v>52</v>
      </c>
      <c r="P38" s="286" t="s">
        <v>1050</v>
      </c>
      <c r="Q38" s="286" t="s">
        <v>39</v>
      </c>
      <c r="R38" s="1238"/>
      <c r="S38" s="286" t="s">
        <v>171</v>
      </c>
      <c r="T38" s="286" t="s">
        <v>1051</v>
      </c>
      <c r="U38" s="1239" t="s">
        <v>1052</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)"),"カトリ")</f>
        <v>カトリ</v>
      </c>
      <c r="C39" s="1250">
        <f>IFERROR(__xludf.DUMMYFUNCTION("""COMPUTED_VALUE"""),2.0)</f>
        <v>2</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IFERROR(__xludf.DUMMYFUNCTION("""COMPUTED_VALUE"""),6.0)</f>
        <v>6</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IFERROR(__xludf.DUMMYFUNCTION("""COMPUTED_VALUE"""),6.0)</f>
        <v>6</v>
      </c>
      <c r="J39" s="1257">
        <f t="array" ref="J39:J1038">IF(H39:H1038="","", I39:I1038 / SUM(I39:I1038))</f>
        <v>0.5</v>
      </c>
      <c r="K39" s="1258" t="s">
        <v>40</v>
      </c>
      <c r="L39" s="1259">
        <f t="shared" ref="L39:L50" si="5">AB17</f>
        <v>0</v>
      </c>
      <c r="M39" s="1260">
        <f t="shared" ref="M39:M50" si="6">iferror(L39/$L$50,"")</f>
        <v>0</v>
      </c>
      <c r="O39" s="286" t="s">
        <v>52</v>
      </c>
      <c r="P39" s="286" t="s">
        <v>1050</v>
      </c>
      <c r="Q39" s="286" t="s">
        <v>40</v>
      </c>
      <c r="R39" s="1238"/>
      <c r="S39" s="286" t="s">
        <v>171</v>
      </c>
      <c r="T39" s="286" t="s">
        <v>467</v>
      </c>
      <c r="U39" s="1239" t="s">
        <v>1053</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8" t="str">
        <f>IFERROR(__xludf.DUMMYFUNCTION("""COMPUTED_VALUE"""),"サンタ")</f>
        <v>サンタ</v>
      </c>
      <c r="C40" s="1261">
        <f>IFERROR(__xludf.DUMMYFUNCTION("""COMPUTED_VALUE"""),2.0)</f>
        <v>2</v>
      </c>
      <c r="D40" s="1262" t="str">
        <f>IFERROR(__xludf.DUMMYFUNCTION("""COMPUTED_VALUE"""),"シャキラ")</f>
        <v>シャキラ</v>
      </c>
      <c r="E40" s="1263">
        <f>IFERROR(__xludf.DUMMYFUNCTION("""COMPUTED_VALUE"""),2.0)</f>
        <v>2</v>
      </c>
      <c r="F40" s="1262" t="str">
        <f>IFERROR(__xludf.DUMMYFUNCTION("""COMPUTED_VALUE"""),"その他")</f>
        <v>その他</v>
      </c>
      <c r="G40" s="1261">
        <f>IFERROR(__xludf.DUMMYFUNCTION("""COMPUTED_VALUE"""),2.0)</f>
        <v>2</v>
      </c>
      <c r="H40" s="1264" t="str">
        <f>IFERROR(__xludf.DUMMYFUNCTION("""COMPUTED_VALUE"""),"その他")</f>
        <v>その他</v>
      </c>
      <c r="I40" s="1259">
        <f>IFERROR(__xludf.DUMMYFUNCTION("""COMPUTED_VALUE"""),2.0)</f>
        <v>2</v>
      </c>
      <c r="J40" s="1265">
        <v>0.16666666666666666</v>
      </c>
      <c r="K40" s="1258" t="s">
        <v>39</v>
      </c>
      <c r="L40" s="1259">
        <f t="shared" si="5"/>
        <v>0</v>
      </c>
      <c r="M40" s="1260">
        <f t="shared" si="6"/>
        <v>0</v>
      </c>
      <c r="O40" s="286" t="s">
        <v>52</v>
      </c>
      <c r="P40" s="286" t="s">
        <v>170</v>
      </c>
      <c r="Q40" s="286" t="s">
        <v>41</v>
      </c>
      <c r="R40" s="1238"/>
      <c r="S40" s="286" t="s">
        <v>452</v>
      </c>
      <c r="T40" s="286" t="s">
        <v>1054</v>
      </c>
      <c r="U40" s="1239" t="s">
        <v>1055</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IFERROR(__xludf.DUMMYFUNCTION("""COMPUTED_VALUE"""),"`大沼")</f>
        <v>`大沼</v>
      </c>
      <c r="AF40" s="24" t="str">
        <f>IFERROR(__xludf.DUMMYFUNCTION("""COMPUTED_VALUE"""),"その他")</f>
        <v>その他</v>
      </c>
      <c r="AG40" s="24">
        <f>IFERROR(__xludf.DUMMYFUNCTION("""COMPUTED_VALUE"""),2.0)</f>
        <v>2</v>
      </c>
      <c r="AH40" s="24">
        <f>IFERROR(__xludf.DUMMYFUNCTION("""COMPUTED_VALUE"""),0.16666666666666666)</f>
        <v>0.1666666667</v>
      </c>
      <c r="AK40" s="1266"/>
      <c r="AL40" s="1266"/>
      <c r="AM40" s="1267"/>
    </row>
    <row r="41">
      <c r="B41" s="1258" t="str">
        <f>IFERROR(__xludf.DUMMYFUNCTION("""COMPUTED_VALUE"""),"メイ")</f>
        <v>メイ</v>
      </c>
      <c r="C41" s="1261">
        <f>IFERROR(__xludf.DUMMYFUNCTION("""COMPUTED_VALUE"""),2.0)</f>
        <v>2</v>
      </c>
      <c r="D41" s="1262" t="str">
        <f>IFERROR(__xludf.DUMMYFUNCTION("""COMPUTED_VALUE"""),"アラム")</f>
        <v>アラム</v>
      </c>
      <c r="E41" s="1263">
        <f>IFERROR(__xludf.DUMMYFUNCTION("""COMPUTED_VALUE"""),1.0)</f>
        <v>1</v>
      </c>
      <c r="F41" s="1262" t="str">
        <f>IFERROR(__xludf.DUMMYFUNCTION("""COMPUTED_VALUE"""),"清掃不備")</f>
        <v>清掃不備</v>
      </c>
      <c r="G41" s="1261">
        <f>IFERROR(__xludf.DUMMYFUNCTION("""COMPUTED_VALUE"""),2.0)</f>
        <v>2</v>
      </c>
      <c r="H41" s="1264" t="str">
        <f>IFERROR(__xludf.DUMMYFUNCTION("""COMPUTED_VALUE"""),"清掃不備")</f>
        <v>清掃不備</v>
      </c>
      <c r="I41" s="1259">
        <f>IFERROR(__xludf.DUMMYFUNCTION("""COMPUTED_VALUE"""),2.0)</f>
        <v>2</v>
      </c>
      <c r="J41" s="1265">
        <v>0.16666666666666666</v>
      </c>
      <c r="K41" s="1258" t="s">
        <v>38</v>
      </c>
      <c r="L41" s="1259">
        <f t="shared" si="5"/>
        <v>0</v>
      </c>
      <c r="M41" s="1260">
        <f t="shared" si="6"/>
        <v>0</v>
      </c>
      <c r="O41" s="286" t="s">
        <v>52</v>
      </c>
      <c r="P41" s="286" t="s">
        <v>1056</v>
      </c>
      <c r="Q41" s="286" t="s">
        <v>40</v>
      </c>
      <c r="R41" s="1238"/>
      <c r="S41" s="286" t="s">
        <v>1046</v>
      </c>
      <c r="T41" s="286" t="s">
        <v>1057</v>
      </c>
      <c r="U41" s="1239" t="s">
        <v>1058</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IFERROR(__xludf.DUMMYFUNCTION("""COMPUTED_VALUE"""),"ー")</f>
        <v>ー</v>
      </c>
      <c r="AF41" s="24" t="str">
        <f>IFERROR(__xludf.DUMMYFUNCTION("""COMPUTED_VALUE"""),"清掃不備")</f>
        <v>清掃不備</v>
      </c>
      <c r="AG41" s="24">
        <f>IFERROR(__xludf.DUMMYFUNCTION("""COMPUTED_VALUE"""),2.0)</f>
        <v>2</v>
      </c>
      <c r="AH41" s="24">
        <f>IFERROR(__xludf.DUMMYFUNCTION("""COMPUTED_VALUE"""),0.16666666666666666)</f>
        <v>0.1666666667</v>
      </c>
      <c r="AK41" s="1266"/>
      <c r="AL41" s="1266"/>
      <c r="AM41" s="1267"/>
    </row>
    <row r="42">
      <c r="B42" s="1258" t="str">
        <f>IFERROR(__xludf.DUMMYFUNCTION("""COMPUTED_VALUE"""),"ギミレ")</f>
        <v>ギミレ</v>
      </c>
      <c r="C42" s="1261">
        <f>IFERROR(__xludf.DUMMYFUNCTION("""COMPUTED_VALUE"""),1.0)</f>
        <v>1</v>
      </c>
      <c r="D42" s="1262" t="str">
        <f>IFERROR(__xludf.DUMMYFUNCTION("""COMPUTED_VALUE"""),"佐藤")</f>
        <v>佐藤</v>
      </c>
      <c r="E42" s="1263">
        <f>IFERROR(__xludf.DUMMYFUNCTION("""COMPUTED_VALUE"""),1.0)</f>
        <v>1</v>
      </c>
      <c r="F42" s="1262" t="str">
        <f>IFERROR(__xludf.DUMMYFUNCTION("""COMPUTED_VALUE"""),"残置")</f>
        <v>残置</v>
      </c>
      <c r="G42" s="1261">
        <f>IFERROR(__xludf.DUMMYFUNCTION("""COMPUTED_VALUE"""),1.0)</f>
        <v>1</v>
      </c>
      <c r="H42" s="1264" t="str">
        <f>IFERROR(__xludf.DUMMYFUNCTION("""COMPUTED_VALUE"""),"残置")</f>
        <v>残置</v>
      </c>
      <c r="I42" s="1259">
        <f>IFERROR(__xludf.DUMMYFUNCTION("""COMPUTED_VALUE"""),1.0)</f>
        <v>1</v>
      </c>
      <c r="J42" s="1265">
        <v>0.08333333333333333</v>
      </c>
      <c r="K42" s="1258" t="s">
        <v>41</v>
      </c>
      <c r="L42" s="1259">
        <f t="shared" si="5"/>
        <v>0</v>
      </c>
      <c r="M42" s="1260">
        <f t="shared" si="6"/>
        <v>0</v>
      </c>
      <c r="O42" s="286" t="s">
        <v>54</v>
      </c>
      <c r="P42" s="286" t="s">
        <v>1059</v>
      </c>
      <c r="Q42" s="286" t="s">
        <v>42</v>
      </c>
      <c r="R42" s="1238"/>
      <c r="S42" s="286" t="s">
        <v>1060</v>
      </c>
      <c r="T42" s="286" t="s">
        <v>135</v>
      </c>
      <c r="U42" s="1239" t="s">
        <v>1061</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IFERROR(__xludf.DUMMYFUNCTION("""COMPUTED_VALUE"""),"アラム")</f>
        <v>アラム</v>
      </c>
      <c r="AF42" s="24" t="str">
        <f>IFERROR(__xludf.DUMMYFUNCTION("""COMPUTED_VALUE"""),"残置")</f>
        <v>残置</v>
      </c>
      <c r="AG42" s="24">
        <f>IFERROR(__xludf.DUMMYFUNCTION("""COMPUTED_VALUE"""),1.0)</f>
        <v>1</v>
      </c>
      <c r="AH42" s="24">
        <f>IFERROR(__xludf.DUMMYFUNCTION("""COMPUTED_VALUE"""),0.08333333333333333)</f>
        <v>0.08333333333</v>
      </c>
      <c r="AK42" s="1266"/>
      <c r="AL42" s="1266"/>
      <c r="AM42" s="1267"/>
    </row>
    <row r="43">
      <c r="B43" s="1258" t="str">
        <f>IFERROR(__xludf.DUMMYFUNCTION("""COMPUTED_VALUE"""),"ビケス")</f>
        <v>ビケス</v>
      </c>
      <c r="C43" s="1261">
        <f>IFERROR(__xludf.DUMMYFUNCTION("""COMPUTED_VALUE"""),1.0)</f>
        <v>1</v>
      </c>
      <c r="D43" s="1262" t="str">
        <f>IFERROR(__xludf.DUMMYFUNCTION("""COMPUTED_VALUE"""),"宇佐美")</f>
        <v>宇佐美</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0.08333333333333333</v>
      </c>
      <c r="K43" s="1258" t="s">
        <v>43</v>
      </c>
      <c r="L43" s="1259">
        <f t="shared" si="5"/>
        <v>0</v>
      </c>
      <c r="M43" s="1260">
        <f t="shared" si="6"/>
        <v>0</v>
      </c>
      <c r="O43" s="286" t="s">
        <v>54</v>
      </c>
      <c r="P43" s="286" t="s">
        <v>1062</v>
      </c>
      <c r="Q43" s="286" t="s">
        <v>30</v>
      </c>
      <c r="R43" s="1238"/>
      <c r="S43" s="286" t="s">
        <v>451</v>
      </c>
      <c r="T43" s="286" t="s">
        <v>467</v>
      </c>
      <c r="U43" s="1239" t="s">
        <v>1063</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IFERROR(__xludf.DUMMYFUNCTION("""COMPUTED_VALUE"""),0.08333333333333333)</f>
        <v>0.08333333333</v>
      </c>
      <c r="AK43" s="1266"/>
      <c r="AL43" s="1266"/>
      <c r="AM43" s="1267"/>
    </row>
    <row r="44">
      <c r="B44" s="1258" t="str">
        <f>IFERROR(__xludf.DUMMYFUNCTION("""COMPUTED_VALUE"""),"ランジュ")</f>
        <v>ランジュ</v>
      </c>
      <c r="C44" s="1261">
        <f>IFERROR(__xludf.DUMMYFUNCTION("""COMPUTED_VALUE"""),1.0)</f>
        <v>1</v>
      </c>
      <c r="D44" s="1262" t="str">
        <f>IFERROR(__xludf.DUMMYFUNCTION("""COMPUTED_VALUE"""),"福永")</f>
        <v>福永</v>
      </c>
      <c r="E44" s="1263">
        <f>IFERROR(__xludf.DUMMYFUNCTION("""COMPUTED_VALUE"""),1.0)</f>
        <v>1</v>
      </c>
      <c r="F44" s="1262"/>
      <c r="G44" s="1261"/>
      <c r="H44" s="1264"/>
      <c r="I44" s="1259"/>
      <c r="J44" s="1265" t="s">
        <v>1011</v>
      </c>
      <c r="K44" s="1258" t="s">
        <v>42</v>
      </c>
      <c r="L44" s="1259">
        <f t="shared" si="5"/>
        <v>0</v>
      </c>
      <c r="M44" s="1260">
        <f t="shared" si="6"/>
        <v>0</v>
      </c>
      <c r="O44" s="286" t="s">
        <v>54</v>
      </c>
      <c r="P44" s="286" t="s">
        <v>1045</v>
      </c>
      <c r="Q44" s="286" t="s">
        <v>39</v>
      </c>
      <c r="R44" s="1238"/>
      <c r="S44" s="286" t="s">
        <v>452</v>
      </c>
      <c r="T44" s="286" t="s">
        <v>1064</v>
      </c>
      <c r="U44" s="1239" t="s">
        <v>1065</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IFERROR(__xludf.DUMMYFUNCTION("""COMPUTED_VALUE"""),"オウ")</f>
        <v>オウ</v>
      </c>
      <c r="AK44" s="1266"/>
      <c r="AL44" s="1266"/>
      <c r="AM44" s="1267"/>
    </row>
    <row r="45">
      <c r="B45" s="1258" t="str">
        <f>IFERROR(__xludf.DUMMYFUNCTION("""COMPUTED_VALUE"""),"ー")</f>
        <v>ー</v>
      </c>
      <c r="C45" s="1261">
        <f>IFERROR(__xludf.DUMMYFUNCTION("""COMPUTED_VALUE"""),1.0)</f>
        <v>1</v>
      </c>
      <c r="D45" s="1262"/>
      <c r="E45" s="1263"/>
      <c r="F45" s="1262"/>
      <c r="G45" s="1261"/>
      <c r="H45" s="1264"/>
      <c r="I45" s="1259"/>
      <c r="J45" s="1265" t="s">
        <v>1011</v>
      </c>
      <c r="K45" s="1258" t="s">
        <v>1066</v>
      </c>
      <c r="L45" s="1259">
        <f t="shared" si="5"/>
        <v>1</v>
      </c>
      <c r="M45" s="1260">
        <f t="shared" si="6"/>
        <v>0.5</v>
      </c>
      <c r="O45" s="286" t="s">
        <v>54</v>
      </c>
      <c r="P45" s="286" t="s">
        <v>1045</v>
      </c>
      <c r="Q45" s="286" t="s">
        <v>40</v>
      </c>
      <c r="R45" s="1238"/>
      <c r="S45" s="286" t="s">
        <v>452</v>
      </c>
      <c r="T45" s="286" t="s">
        <v>1067</v>
      </c>
      <c r="U45" s="1239" t="s">
        <v>1068</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IFERROR(__xludf.DUMMYFUNCTION("""COMPUTED_VALUE"""),"カブィンダ")</f>
        <v>カブィンダ</v>
      </c>
      <c r="AK45" s="1266"/>
      <c r="AL45" s="1266"/>
      <c r="AM45" s="1267"/>
    </row>
    <row r="46">
      <c r="B46" s="1258" t="str">
        <f>IFERROR(__xludf.DUMMYFUNCTION("""COMPUTED_VALUE"""),"－")</f>
        <v>－</v>
      </c>
      <c r="C46" s="1261">
        <f>IFERROR(__xludf.DUMMYFUNCTION("""COMPUTED_VALUE"""),1.0)</f>
        <v>1</v>
      </c>
      <c r="D46" s="1262"/>
      <c r="E46" s="1263"/>
      <c r="F46" s="1262"/>
      <c r="G46" s="1261"/>
      <c r="H46" s="1264"/>
      <c r="I46" s="1259"/>
      <c r="J46" s="1265" t="s">
        <v>1011</v>
      </c>
      <c r="K46" s="1258" t="s">
        <v>1069</v>
      </c>
      <c r="L46" s="1259">
        <f t="shared" si="5"/>
        <v>1</v>
      </c>
      <c r="M46" s="1260">
        <f t="shared" si="6"/>
        <v>0.5</v>
      </c>
      <c r="O46" s="286" t="s">
        <v>54</v>
      </c>
      <c r="P46" s="286" t="s">
        <v>1045</v>
      </c>
      <c r="Q46" s="286" t="s">
        <v>40</v>
      </c>
      <c r="R46" s="1238"/>
      <c r="S46" s="286" t="s">
        <v>1060</v>
      </c>
      <c r="T46" s="286" t="s">
        <v>1070</v>
      </c>
      <c r="U46" s="1239" t="s">
        <v>1071</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IFERROR(__xludf.DUMMYFUNCTION("""COMPUTED_VALUE"""),"カマラ")</f>
        <v>カマラ</v>
      </c>
      <c r="AK46" s="1266"/>
      <c r="AL46" s="1266"/>
      <c r="AM46" s="1267"/>
    </row>
    <row r="47">
      <c r="B47" s="1258"/>
      <c r="C47" s="1261"/>
      <c r="D47" s="1262"/>
      <c r="E47" s="1263"/>
      <c r="F47" s="1268"/>
      <c r="G47" s="1269"/>
      <c r="H47" s="1264"/>
      <c r="I47" s="1259"/>
      <c r="J47" s="1265" t="s">
        <v>1011</v>
      </c>
      <c r="K47" s="1258" t="s">
        <v>1072</v>
      </c>
      <c r="L47" s="1259">
        <f t="shared" si="5"/>
        <v>0</v>
      </c>
      <c r="M47" s="1260">
        <f t="shared" si="6"/>
        <v>0</v>
      </c>
      <c r="O47" s="286" t="s">
        <v>54</v>
      </c>
      <c r="P47" s="286" t="s">
        <v>1045</v>
      </c>
      <c r="Q47" s="286" t="s">
        <v>39</v>
      </c>
      <c r="R47" s="1238"/>
      <c r="S47" s="286" t="s">
        <v>1060</v>
      </c>
      <c r="T47" s="286" t="s">
        <v>1070</v>
      </c>
      <c r="U47" s="1239" t="s">
        <v>1073</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IFERROR(__xludf.DUMMYFUNCTION("""COMPUTED_VALUE"""),"ガヤン")</f>
        <v>ガヤン</v>
      </c>
      <c r="AK47" s="1266"/>
      <c r="AL47" s="1266"/>
      <c r="AM47" s="1267"/>
    </row>
    <row r="48">
      <c r="B48" s="1258"/>
      <c r="C48" s="1261"/>
      <c r="D48" s="1262"/>
      <c r="E48" s="1263"/>
      <c r="F48" s="1268"/>
      <c r="G48" s="1269"/>
      <c r="H48" s="1264"/>
      <c r="I48" s="1259"/>
      <c r="J48" s="1265" t="s">
        <v>1011</v>
      </c>
      <c r="K48" s="1258" t="s">
        <v>1074</v>
      </c>
      <c r="L48" s="1259">
        <f t="shared" si="5"/>
        <v>0</v>
      </c>
      <c r="M48" s="1260">
        <f t="shared" si="6"/>
        <v>0</v>
      </c>
      <c r="O48" s="286" t="s">
        <v>54</v>
      </c>
      <c r="P48" s="286" t="s">
        <v>176</v>
      </c>
      <c r="Q48" s="286" t="s">
        <v>42</v>
      </c>
      <c r="R48" s="1238"/>
      <c r="S48" s="286" t="s">
        <v>171</v>
      </c>
      <c r="T48" s="286" t="s">
        <v>1075</v>
      </c>
      <c r="U48" s="1239" t="s">
        <v>1076</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IFERROR(__xludf.DUMMYFUNCTION("""COMPUTED_VALUE"""),"ガルセス")</f>
        <v>ガルセス</v>
      </c>
      <c r="AK48" s="1266"/>
      <c r="AL48" s="1266"/>
      <c r="AM48" s="1267"/>
    </row>
    <row r="49">
      <c r="B49" s="1258"/>
      <c r="C49" s="1261"/>
      <c r="D49" s="1262"/>
      <c r="E49" s="1263"/>
      <c r="F49" s="1268"/>
      <c r="G49" s="1269"/>
      <c r="H49" s="1264"/>
      <c r="I49" s="1259"/>
      <c r="J49" s="1265" t="s">
        <v>1011</v>
      </c>
      <c r="K49" s="1258" t="s">
        <v>30</v>
      </c>
      <c r="L49" s="1259">
        <f t="shared" si="5"/>
        <v>0</v>
      </c>
      <c r="M49" s="1260">
        <f t="shared" si="6"/>
        <v>0</v>
      </c>
      <c r="O49" s="286" t="s">
        <v>54</v>
      </c>
      <c r="P49" s="286" t="s">
        <v>140</v>
      </c>
      <c r="Q49" s="286" t="s">
        <v>42</v>
      </c>
      <c r="R49" s="1238"/>
      <c r="S49" s="286" t="s">
        <v>1077</v>
      </c>
      <c r="T49" s="286" t="s">
        <v>103</v>
      </c>
      <c r="U49" s="1239" t="s">
        <v>1078</v>
      </c>
      <c r="W49" s="1238" t="str">
        <f>'🔵クレーム'!C40</f>
        <v/>
      </c>
      <c r="X49" s="1238" t="str">
        <f>'🔵クレーム'!D40</f>
        <v/>
      </c>
      <c r="Y49" s="286" t="str">
        <f>'🔵クレーム'!I40</f>
        <v/>
      </c>
      <c r="Z49" s="1238" t="str">
        <f>'🔵クレーム'!J40</f>
        <v/>
      </c>
      <c r="AA49" s="1238" t="str">
        <f>'🔵クレーム'!K40</f>
        <v/>
      </c>
      <c r="AB49" s="1238" t="str">
        <f>'🔵クレーム'!L40</f>
        <v/>
      </c>
      <c r="AC49" s="1240" t="str">
        <f>'🔵クレーム'!N40</f>
        <v/>
      </c>
      <c r="AE49" s="24" t="str">
        <f>IFERROR(__xludf.DUMMYFUNCTION("""COMPUTED_VALUE"""),"カン")</f>
        <v>カン</v>
      </c>
      <c r="AK49" s="1266"/>
      <c r="AL49" s="1266"/>
      <c r="AM49" s="1267"/>
    </row>
    <row r="50" collapsed="1">
      <c r="B50" s="1258"/>
      <c r="C50" s="1261"/>
      <c r="D50" s="1262"/>
      <c r="E50" s="1263"/>
      <c r="F50" s="1268"/>
      <c r="G50" s="1269"/>
      <c r="H50" s="1264"/>
      <c r="I50" s="1259"/>
      <c r="J50" s="1265" t="s">
        <v>1011</v>
      </c>
      <c r="K50" s="1270" t="s">
        <v>345</v>
      </c>
      <c r="L50" s="1271">
        <f t="shared" si="5"/>
        <v>2</v>
      </c>
      <c r="M50" s="1272">
        <f t="shared" si="6"/>
        <v>1</v>
      </c>
      <c r="O50" s="286" t="s">
        <v>54</v>
      </c>
      <c r="P50" s="286" t="s">
        <v>1079</v>
      </c>
      <c r="Q50" s="286" t="s">
        <v>30</v>
      </c>
      <c r="R50" s="1238"/>
      <c r="S50" s="286" t="s">
        <v>103</v>
      </c>
      <c r="T50" s="286" t="s">
        <v>469</v>
      </c>
      <c r="U50" s="1239" t="s">
        <v>1080</v>
      </c>
      <c r="W50" s="1238" t="str">
        <f>'🔵クレーム'!C41</f>
        <v/>
      </c>
      <c r="X50" s="1238" t="str">
        <f>'🔵クレーム'!D41</f>
        <v/>
      </c>
      <c r="Y50" s="286" t="str">
        <f>'🔵クレーム'!I41</f>
        <v/>
      </c>
      <c r="Z50" s="1238" t="str">
        <f>'🔵クレーム'!J41</f>
        <v/>
      </c>
      <c r="AA50" s="1238" t="str">
        <f>'🔵クレーム'!K41</f>
        <v/>
      </c>
      <c r="AB50" s="1238" t="str">
        <f>'🔵クレーム'!L41</f>
        <v/>
      </c>
      <c r="AC50" s="1240" t="str">
        <f>'🔵クレーム'!N41</f>
        <v/>
      </c>
      <c r="AE50" s="24" t="str">
        <f>IFERROR(__xludf.DUMMYFUNCTION("""COMPUTED_VALUE"""),"ゴマ")</f>
        <v>ゴマ</v>
      </c>
      <c r="AK50" s="1266"/>
      <c r="AL50" s="1266"/>
      <c r="AM50" s="1267"/>
    </row>
    <row r="51" hidden="1" outlineLevel="1">
      <c r="B51" s="1258"/>
      <c r="C51" s="1261"/>
      <c r="D51" s="1262"/>
      <c r="E51" s="1263"/>
      <c r="F51" s="1268"/>
      <c r="G51" s="1269"/>
      <c r="H51" s="1264"/>
      <c r="I51" s="1259"/>
      <c r="J51" s="1273" t="s">
        <v>1011</v>
      </c>
      <c r="K51" s="1232"/>
      <c r="O51" s="286" t="s">
        <v>54</v>
      </c>
      <c r="P51" s="286" t="s">
        <v>1079</v>
      </c>
      <c r="Q51" s="286" t="s">
        <v>42</v>
      </c>
      <c r="R51" s="1238"/>
      <c r="S51" s="286" t="s">
        <v>1077</v>
      </c>
      <c r="T51" s="286" t="s">
        <v>1064</v>
      </c>
      <c r="U51" s="1239" t="s">
        <v>1081</v>
      </c>
      <c r="W51" s="1238" t="str">
        <f>'🔵クレーム'!C42</f>
        <v/>
      </c>
      <c r="X51" s="1238" t="str">
        <f>'🔵クレーム'!D42</f>
        <v/>
      </c>
      <c r="Y51" s="286" t="str">
        <f>'🔵クレーム'!I42</f>
        <v/>
      </c>
      <c r="Z51" s="1238" t="str">
        <f>'🔵クレーム'!J42</f>
        <v/>
      </c>
      <c r="AA51" s="1238" t="str">
        <f>'🔵クレーム'!K42</f>
        <v/>
      </c>
      <c r="AB51" s="1238" t="str">
        <f>'🔵クレーム'!L42</f>
        <v/>
      </c>
      <c r="AC51" s="1240" t="str">
        <f>'🔵クレーム'!N42</f>
        <v/>
      </c>
      <c r="AE51" s="24" t="str">
        <f>IFERROR(__xludf.DUMMYFUNCTION("""COMPUTED_VALUE"""),"サビタ")</f>
        <v>サビタ</v>
      </c>
      <c r="AK51" s="1266"/>
      <c r="AL51" s="1266"/>
      <c r="AM51" s="1267"/>
    </row>
    <row r="52" hidden="1" outlineLevel="1">
      <c r="B52" s="1258"/>
      <c r="C52" s="1261"/>
      <c r="D52" s="1262"/>
      <c r="E52" s="1263"/>
      <c r="F52" s="1268"/>
      <c r="G52" s="1269"/>
      <c r="H52" s="1264"/>
      <c r="I52" s="1259"/>
      <c r="J52" s="1273" t="s">
        <v>1011</v>
      </c>
      <c r="O52" s="286" t="s">
        <v>54</v>
      </c>
      <c r="P52" s="286" t="s">
        <v>1082</v>
      </c>
      <c r="Q52" s="286" t="s">
        <v>43</v>
      </c>
      <c r="R52" s="1238"/>
      <c r="S52" s="286" t="s">
        <v>452</v>
      </c>
      <c r="T52" s="286" t="s">
        <v>1083</v>
      </c>
      <c r="U52" s="1239" t="s">
        <v>1084</v>
      </c>
      <c r="W52" s="1238" t="str">
        <f>'🔵クレーム'!C43</f>
        <v/>
      </c>
      <c r="X52" s="1238" t="str">
        <f>'🔵クレーム'!D43</f>
        <v/>
      </c>
      <c r="Y52" s="286" t="str">
        <f>'🔵クレーム'!I43</f>
        <v/>
      </c>
      <c r="Z52" s="1238" t="str">
        <f>'🔵クレーム'!J43</f>
        <v/>
      </c>
      <c r="AA52" s="1238" t="str">
        <f>'🔵クレーム'!K43</f>
        <v/>
      </c>
      <c r="AB52" s="1238" t="str">
        <f>'🔵クレーム'!L43</f>
        <v/>
      </c>
      <c r="AC52" s="1240" t="str">
        <f>'🔵クレーム'!N43</f>
        <v/>
      </c>
      <c r="AE52" s="24" t="str">
        <f>IFERROR(__xludf.DUMMYFUNCTION("""COMPUTED_VALUE"""),"サンタ")</f>
        <v>サンタ</v>
      </c>
      <c r="AK52" s="1266"/>
    </row>
    <row r="53" hidden="1" outlineLevel="1">
      <c r="B53" s="1258"/>
      <c r="C53" s="1261"/>
      <c r="D53" s="1262"/>
      <c r="E53" s="1263"/>
      <c r="F53" s="1268"/>
      <c r="G53" s="1269"/>
      <c r="H53" s="1264"/>
      <c r="I53" s="1259"/>
      <c r="J53" s="1273" t="s">
        <v>1011</v>
      </c>
      <c r="O53" s="286" t="s">
        <v>34</v>
      </c>
      <c r="P53" s="286" t="s">
        <v>1085</v>
      </c>
      <c r="Q53" s="286" t="s">
        <v>40</v>
      </c>
      <c r="R53" s="1238"/>
      <c r="S53" s="286" t="s">
        <v>1046</v>
      </c>
      <c r="T53" s="286" t="s">
        <v>469</v>
      </c>
      <c r="U53" s="1239" t="s">
        <v>1086</v>
      </c>
      <c r="W53" s="1238" t="str">
        <f>'🔵クレーム'!C44</f>
        <v/>
      </c>
      <c r="X53" s="1238" t="str">
        <f>'🔵クレーム'!D44</f>
        <v/>
      </c>
      <c r="Y53" s="286" t="str">
        <f>'🔵クレーム'!I44</f>
        <v/>
      </c>
      <c r="Z53" s="1238" t="str">
        <f>'🔵クレーム'!J44</f>
        <v/>
      </c>
      <c r="AA53" s="1238" t="str">
        <f>'🔵クレーム'!K44</f>
        <v/>
      </c>
      <c r="AB53" s="1238" t="str">
        <f>'🔵クレーム'!L44</f>
        <v/>
      </c>
      <c r="AC53" s="1240" t="str">
        <f>'🔵クレーム'!N44</f>
        <v/>
      </c>
      <c r="AE53" s="24" t="str">
        <f>IFERROR(__xludf.DUMMYFUNCTION("""COMPUTED_VALUE"""),"シタ")</f>
        <v>シタ</v>
      </c>
    </row>
    <row r="54" hidden="1" outlineLevel="1">
      <c r="B54" s="1258"/>
      <c r="C54" s="1261"/>
      <c r="D54" s="1262"/>
      <c r="E54" s="1263"/>
      <c r="F54" s="1268"/>
      <c r="G54" s="1269"/>
      <c r="H54" s="1264"/>
      <c r="I54" s="1259"/>
      <c r="J54" s="1273" t="s">
        <v>1011</v>
      </c>
      <c r="O54" s="286" t="s">
        <v>34</v>
      </c>
      <c r="P54" s="286" t="s">
        <v>1050</v>
      </c>
      <c r="Q54" s="286" t="s">
        <v>42</v>
      </c>
      <c r="R54" s="1238"/>
      <c r="S54" s="286" t="s">
        <v>1077</v>
      </c>
      <c r="T54" s="286" t="s">
        <v>1083</v>
      </c>
      <c r="U54" s="1239" t="s">
        <v>1087</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c r="AE54" s="24" t="str">
        <f>IFERROR(__xludf.DUMMYFUNCTION("""COMPUTED_VALUE"""),"シャキラ")</f>
        <v>シャキラ</v>
      </c>
    </row>
    <row r="55" hidden="1" outlineLevel="1">
      <c r="B55" s="1258"/>
      <c r="C55" s="1261"/>
      <c r="D55" s="1268"/>
      <c r="E55" s="1274"/>
      <c r="F55" s="1268"/>
      <c r="G55" s="1269"/>
      <c r="H55" s="1264"/>
      <c r="I55" s="1259"/>
      <c r="J55" s="1273" t="s">
        <v>1011</v>
      </c>
      <c r="O55" s="286" t="s">
        <v>57</v>
      </c>
      <c r="P55" s="286" t="s">
        <v>1062</v>
      </c>
      <c r="Q55" s="286" t="s">
        <v>39</v>
      </c>
      <c r="R55" s="1238"/>
      <c r="S55" s="286" t="s">
        <v>452</v>
      </c>
      <c r="T55" s="286" t="s">
        <v>1088</v>
      </c>
      <c r="U55" s="1239" t="s">
        <v>1089</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c r="AE55" s="24" t="str">
        <f>IFERROR(__xludf.DUMMYFUNCTION("""COMPUTED_VALUE"""),"シャミカ")</f>
        <v>シャミカ</v>
      </c>
    </row>
    <row r="56" hidden="1" outlineLevel="1">
      <c r="B56" s="1258"/>
      <c r="C56" s="1261"/>
      <c r="D56" s="1268"/>
      <c r="E56" s="1274"/>
      <c r="F56" s="1268"/>
      <c r="G56" s="1269"/>
      <c r="H56" s="1264"/>
      <c r="I56" s="1259"/>
      <c r="J56" s="1273" t="s">
        <v>1011</v>
      </c>
      <c r="O56" s="286" t="s">
        <v>57</v>
      </c>
      <c r="P56" s="286" t="s">
        <v>1062</v>
      </c>
      <c r="Q56" s="286" t="s">
        <v>38</v>
      </c>
      <c r="R56" s="1238"/>
      <c r="S56" s="286" t="s">
        <v>1077</v>
      </c>
      <c r="T56" s="286" t="s">
        <v>764</v>
      </c>
      <c r="U56" s="1239" t="s">
        <v>1090</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c r="AE56" s="24" t="str">
        <f>IFERROR(__xludf.DUMMYFUNCTION("""COMPUTED_VALUE"""),"タラ")</f>
        <v>タラ</v>
      </c>
    </row>
    <row r="57" hidden="1" outlineLevel="1">
      <c r="B57" s="1258"/>
      <c r="C57" s="1261"/>
      <c r="D57" s="1268"/>
      <c r="E57" s="1274"/>
      <c r="F57" s="1268"/>
      <c r="G57" s="1269"/>
      <c r="H57" s="1264"/>
      <c r="I57" s="1259"/>
      <c r="J57" s="1273" t="s">
        <v>1011</v>
      </c>
      <c r="O57" s="286" t="s">
        <v>57</v>
      </c>
      <c r="P57" s="286" t="s">
        <v>151</v>
      </c>
      <c r="Q57" s="286" t="s">
        <v>43</v>
      </c>
      <c r="R57" s="1238"/>
      <c r="S57" s="286" t="s">
        <v>1060</v>
      </c>
      <c r="T57" s="286" t="s">
        <v>764</v>
      </c>
      <c r="U57" s="1239" t="s">
        <v>1091</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c r="AE57" s="24" t="str">
        <f>IFERROR(__xludf.DUMMYFUNCTION("""COMPUTED_VALUE"""),"タン")</f>
        <v>タン</v>
      </c>
    </row>
    <row r="58" hidden="1" outlineLevel="1">
      <c r="B58" s="1258"/>
      <c r="C58" s="1261"/>
      <c r="D58" s="1268"/>
      <c r="E58" s="1274"/>
      <c r="F58" s="1268"/>
      <c r="G58" s="1269"/>
      <c r="H58" s="1264"/>
      <c r="I58" s="1259"/>
      <c r="J58" s="1273" t="s">
        <v>1011</v>
      </c>
      <c r="O58" s="286" t="s">
        <v>57</v>
      </c>
      <c r="P58" s="286" t="s">
        <v>170</v>
      </c>
      <c r="Q58" s="286" t="s">
        <v>40</v>
      </c>
      <c r="R58" s="1238"/>
      <c r="S58" s="286" t="s">
        <v>1046</v>
      </c>
      <c r="T58" s="286" t="s">
        <v>1092</v>
      </c>
      <c r="U58" s="1239" t="s">
        <v>1093</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c r="AE58" s="24" t="str">
        <f>IFERROR(__xludf.DUMMYFUNCTION("""COMPUTED_VALUE"""),"ティラク")</f>
        <v>ティラク</v>
      </c>
    </row>
    <row r="59" hidden="1" outlineLevel="1">
      <c r="B59" s="1258"/>
      <c r="C59" s="1261"/>
      <c r="D59" s="1268"/>
      <c r="E59" s="1274"/>
      <c r="F59" s="1268"/>
      <c r="G59" s="1269"/>
      <c r="H59" s="1264"/>
      <c r="I59" s="1259"/>
      <c r="J59" s="1273" t="s">
        <v>1011</v>
      </c>
      <c r="O59" s="286" t="s">
        <v>59</v>
      </c>
      <c r="P59" s="286" t="s">
        <v>1050</v>
      </c>
      <c r="Q59" s="286" t="s">
        <v>42</v>
      </c>
      <c r="R59" s="1238"/>
      <c r="S59" s="286" t="s">
        <v>522</v>
      </c>
      <c r="T59" s="286" t="s">
        <v>103</v>
      </c>
      <c r="U59" s="1239" t="s">
        <v>1094</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c r="AE59" s="24" t="str">
        <f>IFERROR(__xludf.DUMMYFUNCTION("""COMPUTED_VALUE"""),"バニヤ")</f>
        <v>バニヤ</v>
      </c>
    </row>
    <row r="60" hidden="1" outlineLevel="1">
      <c r="B60" s="1258"/>
      <c r="C60" s="1261"/>
      <c r="D60" s="1268"/>
      <c r="E60" s="1274"/>
      <c r="F60" s="1268"/>
      <c r="G60" s="1269"/>
      <c r="H60" s="1264"/>
      <c r="I60" s="1259"/>
      <c r="J60" s="1273" t="s">
        <v>1011</v>
      </c>
      <c r="O60" s="286" t="s">
        <v>59</v>
      </c>
      <c r="P60" s="286" t="s">
        <v>1050</v>
      </c>
      <c r="Q60" s="286" t="s">
        <v>43</v>
      </c>
      <c r="R60" s="1238"/>
      <c r="S60" s="286" t="s">
        <v>103</v>
      </c>
      <c r="T60" s="286" t="s">
        <v>479</v>
      </c>
      <c r="U60" s="1239" t="s">
        <v>1095</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c r="AE60" s="24" t="str">
        <f>IFERROR(__xludf.DUMMYFUNCTION("""COMPUTED_VALUE"""),"バンダリ")</f>
        <v>バンダリ</v>
      </c>
    </row>
    <row r="61" hidden="1" outlineLevel="1">
      <c r="B61" s="1258"/>
      <c r="C61" s="1261"/>
      <c r="D61" s="1268"/>
      <c r="E61" s="1274"/>
      <c r="F61" s="1268"/>
      <c r="G61" s="1269"/>
      <c r="H61" s="1264"/>
      <c r="I61" s="1259"/>
      <c r="J61" s="1273" t="s">
        <v>1011</v>
      </c>
      <c r="O61" s="286" t="s">
        <v>59</v>
      </c>
      <c r="P61" s="286" t="s">
        <v>1096</v>
      </c>
      <c r="Q61" s="286" t="s">
        <v>42</v>
      </c>
      <c r="R61" s="1238"/>
      <c r="S61" s="286" t="s">
        <v>1046</v>
      </c>
      <c r="T61" s="286" t="s">
        <v>103</v>
      </c>
      <c r="U61" s="1239" t="s">
        <v>1097</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c r="AE61" s="24" t="str">
        <f>IFERROR(__xludf.DUMMYFUNCTION("""COMPUTED_VALUE"""),"ビケス")</f>
        <v>ビケス</v>
      </c>
    </row>
    <row r="62" hidden="1" outlineLevel="1">
      <c r="B62" s="1258"/>
      <c r="C62" s="1261"/>
      <c r="D62" s="1268"/>
      <c r="E62" s="1274"/>
      <c r="F62" s="1268"/>
      <c r="G62" s="1269"/>
      <c r="H62" s="1264"/>
      <c r="I62" s="1259"/>
      <c r="J62" s="1273" t="s">
        <v>1011</v>
      </c>
      <c r="O62" s="286" t="s">
        <v>59</v>
      </c>
      <c r="P62" s="286" t="s">
        <v>1098</v>
      </c>
      <c r="Q62" s="286" t="s">
        <v>43</v>
      </c>
      <c r="R62" s="1238"/>
      <c r="S62" s="286" t="s">
        <v>1099</v>
      </c>
      <c r="T62" s="286" t="s">
        <v>624</v>
      </c>
      <c r="U62" s="1239" t="s">
        <v>1100</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c r="AE62" s="24" t="str">
        <f>IFERROR(__xludf.DUMMYFUNCTION("""COMPUTED_VALUE"""),"ブラトキ")</f>
        <v>ブラトキ</v>
      </c>
    </row>
    <row r="63" hidden="1" outlineLevel="1">
      <c r="B63" s="1258"/>
      <c r="C63" s="1261"/>
      <c r="D63" s="1268"/>
      <c r="E63" s="1274"/>
      <c r="F63" s="1268"/>
      <c r="G63" s="1269"/>
      <c r="H63" s="1264"/>
      <c r="I63" s="1259"/>
      <c r="J63" s="1273" t="s">
        <v>1011</v>
      </c>
      <c r="O63" s="286" t="s">
        <v>59</v>
      </c>
      <c r="P63" s="286" t="s">
        <v>1101</v>
      </c>
      <c r="Q63" s="286" t="s">
        <v>40</v>
      </c>
      <c r="R63" s="1238"/>
      <c r="S63" s="286" t="s">
        <v>1099</v>
      </c>
      <c r="T63" s="286" t="s">
        <v>624</v>
      </c>
      <c r="U63" s="1239" t="s">
        <v>1102</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c r="AE63" s="24" t="str">
        <f>IFERROR(__xludf.DUMMYFUNCTION("""COMPUTED_VALUE"""),"プラミラ")</f>
        <v>プラミラ</v>
      </c>
    </row>
    <row r="64" hidden="1" outlineLevel="1">
      <c r="B64" s="1258"/>
      <c r="C64" s="1261"/>
      <c r="D64" s="1268"/>
      <c r="E64" s="1274"/>
      <c r="F64" s="1268"/>
      <c r="G64" s="1269"/>
      <c r="H64" s="1264"/>
      <c r="I64" s="1259"/>
      <c r="J64" s="1273" t="s">
        <v>1011</v>
      </c>
      <c r="O64" s="286" t="s">
        <v>59</v>
      </c>
      <c r="P64" s="286" t="s">
        <v>1101</v>
      </c>
      <c r="Q64" s="286" t="s">
        <v>39</v>
      </c>
      <c r="R64" s="1238"/>
      <c r="S64" s="286" t="s">
        <v>171</v>
      </c>
      <c r="T64" s="286" t="s">
        <v>761</v>
      </c>
      <c r="U64" s="1239" t="s">
        <v>1103</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c r="AE64" s="24" t="str">
        <f>IFERROR(__xludf.DUMMYFUNCTION("""COMPUTED_VALUE"""),"メイ")</f>
        <v>メイ</v>
      </c>
    </row>
    <row r="65" hidden="1" outlineLevel="1">
      <c r="B65" s="1258"/>
      <c r="C65" s="1261"/>
      <c r="D65" s="1268"/>
      <c r="E65" s="1274"/>
      <c r="F65" s="1268"/>
      <c r="G65" s="1269"/>
      <c r="H65" s="1264"/>
      <c r="I65" s="1259"/>
      <c r="J65" s="1273" t="s">
        <v>1011</v>
      </c>
      <c r="O65" s="286" t="s">
        <v>61</v>
      </c>
      <c r="P65" s="286" t="s">
        <v>1059</v>
      </c>
      <c r="Q65" s="286" t="s">
        <v>43</v>
      </c>
      <c r="R65" s="1238"/>
      <c r="S65" s="286" t="s">
        <v>1046</v>
      </c>
      <c r="T65" s="286" t="s">
        <v>761</v>
      </c>
      <c r="U65" s="1239" t="s">
        <v>1104</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c r="AE65" s="24" t="str">
        <f>IFERROR(__xludf.DUMMYFUNCTION("""COMPUTED_VALUE"""),"ルサル")</f>
        <v>ルサル</v>
      </c>
    </row>
    <row r="66" hidden="1" outlineLevel="1">
      <c r="B66" s="1258"/>
      <c r="C66" s="1261"/>
      <c r="D66" s="1268"/>
      <c r="E66" s="1274"/>
      <c r="F66" s="1268"/>
      <c r="G66" s="1269"/>
      <c r="H66" s="1264"/>
      <c r="I66" s="1259"/>
      <c r="J66" s="1273" t="s">
        <v>1011</v>
      </c>
      <c r="O66" s="286" t="s">
        <v>61</v>
      </c>
      <c r="P66" s="286" t="s">
        <v>1059</v>
      </c>
      <c r="Q66" s="286" t="s">
        <v>40</v>
      </c>
      <c r="R66" s="1238"/>
      <c r="S66" s="286" t="s">
        <v>448</v>
      </c>
      <c r="T66" s="286" t="s">
        <v>762</v>
      </c>
      <c r="U66" s="1239" t="s">
        <v>1105</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c r="AE66" s="24" t="str">
        <f>IFERROR(__xludf.DUMMYFUNCTION("""COMPUTED_VALUE"""),"ルパ")</f>
        <v>ルパ</v>
      </c>
    </row>
    <row r="67" hidden="1" outlineLevel="1">
      <c r="B67" s="1258"/>
      <c r="C67" s="1261"/>
      <c r="D67" s="1268"/>
      <c r="E67" s="1274"/>
      <c r="F67" s="1268"/>
      <c r="G67" s="1269"/>
      <c r="H67" s="1264"/>
      <c r="I67" s="1259"/>
      <c r="J67" s="1273" t="s">
        <v>1011</v>
      </c>
      <c r="O67" s="286" t="s">
        <v>61</v>
      </c>
      <c r="P67" s="286" t="s">
        <v>164</v>
      </c>
      <c r="Q67" s="286" t="s">
        <v>40</v>
      </c>
      <c r="R67" s="1238"/>
      <c r="S67" s="286" t="s">
        <v>452</v>
      </c>
      <c r="T67" s="286" t="s">
        <v>113</v>
      </c>
      <c r="U67" s="1239" t="s">
        <v>1106</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c r="AE67" s="24" t="str">
        <f>IFERROR(__xludf.DUMMYFUNCTION("""COMPUTED_VALUE"""),"宇佐見")</f>
        <v>宇佐見</v>
      </c>
    </row>
    <row r="68" hidden="1" outlineLevel="1">
      <c r="B68" s="1275"/>
      <c r="C68" s="1269"/>
      <c r="D68" s="1268"/>
      <c r="E68" s="1274"/>
      <c r="F68" s="1268"/>
      <c r="G68" s="1269"/>
      <c r="H68" s="1264"/>
      <c r="I68" s="1259"/>
      <c r="J68" s="1273" t="s">
        <v>1011</v>
      </c>
      <c r="O68" s="286" t="s">
        <v>61</v>
      </c>
      <c r="P68" s="286" t="s">
        <v>1098</v>
      </c>
      <c r="Q68" s="286" t="s">
        <v>41</v>
      </c>
      <c r="R68" s="1238"/>
      <c r="S68" s="286" t="s">
        <v>171</v>
      </c>
      <c r="T68" s="286" t="s">
        <v>1107</v>
      </c>
      <c r="U68" s="1239" t="s">
        <v>1108</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c r="AE68" s="24" t="str">
        <f>IFERROR(__xludf.DUMMYFUNCTION("""COMPUTED_VALUE"""),"佐藤")</f>
        <v>佐藤</v>
      </c>
    </row>
    <row r="69" hidden="1" outlineLevel="1">
      <c r="B69" s="1258"/>
      <c r="C69" s="1261"/>
      <c r="D69" s="1262"/>
      <c r="E69" s="1263"/>
      <c r="F69" s="1268"/>
      <c r="G69" s="1269"/>
      <c r="H69" s="1264"/>
      <c r="I69" s="1259"/>
      <c r="J69" s="1273" t="s">
        <v>1011</v>
      </c>
      <c r="O69" s="286" t="s">
        <v>61</v>
      </c>
      <c r="P69" s="286" t="s">
        <v>1109</v>
      </c>
      <c r="Q69" s="286" t="s">
        <v>40</v>
      </c>
      <c r="R69" s="1238"/>
      <c r="S69" s="286" t="s">
        <v>1046</v>
      </c>
      <c r="T69" s="286" t="s">
        <v>762</v>
      </c>
      <c r="U69" s="1239" t="s">
        <v>1110</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c r="AE69" s="24" t="str">
        <f>IFERROR(__xludf.DUMMYFUNCTION("""COMPUTED_VALUE"""),"笹田")</f>
        <v>笹田</v>
      </c>
    </row>
    <row r="70" hidden="1" outlineLevel="1">
      <c r="B70" s="1258"/>
      <c r="C70" s="1261"/>
      <c r="D70" s="1262"/>
      <c r="E70" s="1263"/>
      <c r="F70" s="1268"/>
      <c r="G70" s="1269"/>
      <c r="H70" s="1264"/>
      <c r="I70" s="1259"/>
      <c r="J70" s="1273" t="s">
        <v>1011</v>
      </c>
      <c r="O70" s="286" t="s">
        <v>63</v>
      </c>
      <c r="P70" s="286" t="s">
        <v>109</v>
      </c>
      <c r="Q70" s="286" t="s">
        <v>28</v>
      </c>
      <c r="R70" s="1238"/>
      <c r="S70" s="286"/>
      <c r="T70" s="286"/>
      <c r="U70" s="1239" t="s">
        <v>1111</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c r="AE70" s="24" t="str">
        <f>IFERROR(__xludf.DUMMYFUNCTION("""COMPUTED_VALUE"""),"小沼")</f>
        <v>小沼</v>
      </c>
    </row>
    <row r="71" hidden="1" outlineLevel="1">
      <c r="B71" s="1258"/>
      <c r="C71" s="1261"/>
      <c r="D71" s="1262"/>
      <c r="E71" s="1263"/>
      <c r="F71" s="1268"/>
      <c r="G71" s="1269"/>
      <c r="H71" s="1264"/>
      <c r="I71" s="1259"/>
      <c r="J71" s="1273" t="s">
        <v>1011</v>
      </c>
      <c r="O71" s="286" t="s">
        <v>63</v>
      </c>
      <c r="P71" s="286" t="s">
        <v>1112</v>
      </c>
      <c r="Q71" s="286" t="s">
        <v>43</v>
      </c>
      <c r="R71" s="1238"/>
      <c r="S71" s="286" t="s">
        <v>1046</v>
      </c>
      <c r="T71" s="286" t="s">
        <v>120</v>
      </c>
      <c r="U71" s="1239" t="s">
        <v>1113</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c r="AE71" s="24" t="str">
        <f>IFERROR(__xludf.DUMMYFUNCTION("""COMPUTED_VALUE"""),"小田原")</f>
        <v>小田原</v>
      </c>
    </row>
    <row r="72" hidden="1" outlineLevel="1">
      <c r="B72" s="1258"/>
      <c r="C72" s="1261"/>
      <c r="D72" s="1262"/>
      <c r="E72" s="1263"/>
      <c r="F72" s="1268"/>
      <c r="G72" s="1269"/>
      <c r="H72" s="1264"/>
      <c r="I72" s="1259"/>
      <c r="J72" s="1273" t="s">
        <v>1011</v>
      </c>
      <c r="O72" s="286" t="s">
        <v>63</v>
      </c>
      <c r="P72" s="286" t="s">
        <v>1112</v>
      </c>
      <c r="Q72" s="286" t="s">
        <v>38</v>
      </c>
      <c r="R72" s="1238"/>
      <c r="S72" s="286" t="s">
        <v>452</v>
      </c>
      <c r="T72" s="286" t="s">
        <v>113</v>
      </c>
      <c r="U72" s="1239" t="s">
        <v>1114</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c r="AE72" s="24" t="str">
        <f>IFERROR(__xludf.DUMMYFUNCTION("""COMPUTED_VALUE"""),"小林")</f>
        <v>小林</v>
      </c>
    </row>
    <row r="73" hidden="1" outlineLevel="1">
      <c r="B73" s="1258"/>
      <c r="C73" s="1261"/>
      <c r="D73" s="1262"/>
      <c r="E73" s="1263"/>
      <c r="F73" s="1268"/>
      <c r="G73" s="1269"/>
      <c r="H73" s="1264"/>
      <c r="I73" s="1259"/>
      <c r="J73" s="1273" t="s">
        <v>1011</v>
      </c>
      <c r="O73" s="286" t="s">
        <v>63</v>
      </c>
      <c r="P73" s="286" t="s">
        <v>1115</v>
      </c>
      <c r="Q73" s="286" t="s">
        <v>28</v>
      </c>
      <c r="R73" s="1238"/>
      <c r="S73" s="286" t="s">
        <v>1099</v>
      </c>
      <c r="T73" s="286" t="s">
        <v>761</v>
      </c>
      <c r="U73" s="1239" t="s">
        <v>1116</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c r="AE73" s="24" t="str">
        <f>IFERROR(__xludf.DUMMYFUNCTION("""COMPUTED_VALUE"""),"早川")</f>
        <v>早川</v>
      </c>
    </row>
    <row r="74" hidden="1" outlineLevel="1">
      <c r="B74" s="1258"/>
      <c r="C74" s="1261"/>
      <c r="D74" s="1262"/>
      <c r="E74" s="1263"/>
      <c r="F74" s="1268"/>
      <c r="G74" s="1269"/>
      <c r="H74" s="1264"/>
      <c r="I74" s="1259"/>
      <c r="J74" s="1273" t="s">
        <v>1011</v>
      </c>
      <c r="O74" s="286" t="s">
        <v>63</v>
      </c>
      <c r="P74" s="286" t="s">
        <v>130</v>
      </c>
      <c r="Q74" s="286" t="s">
        <v>43</v>
      </c>
      <c r="R74" s="1238"/>
      <c r="S74" s="286" t="s">
        <v>103</v>
      </c>
      <c r="T74" s="286" t="s">
        <v>103</v>
      </c>
      <c r="U74" s="1239" t="s">
        <v>1117</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c r="AE74" s="24" t="str">
        <f>IFERROR(__xludf.DUMMYFUNCTION("""COMPUTED_VALUE"""),"大沼")</f>
        <v>大沼</v>
      </c>
    </row>
    <row r="75" hidden="1" outlineLevel="1">
      <c r="B75" s="1258"/>
      <c r="C75" s="1261"/>
      <c r="D75" s="1262"/>
      <c r="E75" s="1263"/>
      <c r="F75" s="1268"/>
      <c r="G75" s="1269"/>
      <c r="H75" s="1264"/>
      <c r="I75" s="1259"/>
      <c r="J75" s="1273" t="s">
        <v>1011</v>
      </c>
      <c r="O75" s="286" t="s">
        <v>63</v>
      </c>
      <c r="P75" s="286" t="s">
        <v>1118</v>
      </c>
      <c r="Q75" s="286" t="s">
        <v>28</v>
      </c>
      <c r="R75" s="1238"/>
      <c r="S75" s="286" t="s">
        <v>103</v>
      </c>
      <c r="T75" s="286" t="s">
        <v>103</v>
      </c>
      <c r="U75" s="1239" t="s">
        <v>1119</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c r="AE75" s="24" t="str">
        <f>IFERROR(__xludf.DUMMYFUNCTION("""COMPUTED_VALUE"""),"中村")</f>
        <v>中村</v>
      </c>
    </row>
    <row r="76" hidden="1" outlineLevel="1">
      <c r="B76" s="1258"/>
      <c r="C76" s="1261"/>
      <c r="D76" s="1262"/>
      <c r="E76" s="1263"/>
      <c r="F76" s="1268"/>
      <c r="G76" s="1269"/>
      <c r="H76" s="1264"/>
      <c r="I76" s="1259"/>
      <c r="J76" s="1273" t="s">
        <v>1011</v>
      </c>
      <c r="O76" s="286" t="s">
        <v>63</v>
      </c>
      <c r="P76" s="286" t="s">
        <v>176</v>
      </c>
      <c r="Q76" s="286" t="s">
        <v>42</v>
      </c>
      <c r="R76" s="1238"/>
      <c r="S76" s="286" t="s">
        <v>1099</v>
      </c>
      <c r="T76" s="286" t="s">
        <v>761</v>
      </c>
      <c r="U76" s="1239" t="s">
        <v>1120</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1011</v>
      </c>
      <c r="O77" s="286" t="s">
        <v>63</v>
      </c>
      <c r="P77" s="286" t="s">
        <v>176</v>
      </c>
      <c r="Q77" s="286" t="s">
        <v>40</v>
      </c>
      <c r="R77" s="1238"/>
      <c r="S77" s="286" t="s">
        <v>452</v>
      </c>
      <c r="T77" s="286" t="s">
        <v>467</v>
      </c>
      <c r="U77" s="1239" t="s">
        <v>1106</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1011</v>
      </c>
      <c r="O78" s="286" t="s">
        <v>63</v>
      </c>
      <c r="P78" s="286" t="s">
        <v>1121</v>
      </c>
      <c r="Q78" s="286" t="s">
        <v>41</v>
      </c>
      <c r="R78" s="1238"/>
      <c r="S78" s="286" t="s">
        <v>1046</v>
      </c>
      <c r="T78" s="286" t="s">
        <v>761</v>
      </c>
      <c r="U78" s="1239" t="s">
        <v>1122</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1011</v>
      </c>
      <c r="O79" s="286" t="s">
        <v>63</v>
      </c>
      <c r="P79" s="286" t="s">
        <v>1121</v>
      </c>
      <c r="Q79" s="286" t="s">
        <v>43</v>
      </c>
      <c r="R79" s="1238"/>
      <c r="S79" s="286" t="s">
        <v>458</v>
      </c>
      <c r="T79" s="286" t="s">
        <v>135</v>
      </c>
      <c r="U79" s="1239" t="s">
        <v>1123</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1011</v>
      </c>
      <c r="O80" s="286" t="s">
        <v>63</v>
      </c>
      <c r="P80" s="286" t="s">
        <v>1082</v>
      </c>
      <c r="Q80" s="286" t="s">
        <v>28</v>
      </c>
      <c r="R80" s="1238"/>
      <c r="S80" s="286" t="s">
        <v>1054</v>
      </c>
      <c r="T80" s="286" t="s">
        <v>1054</v>
      </c>
      <c r="U80" s="1239" t="s">
        <v>1124</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1011</v>
      </c>
      <c r="O81" s="286" t="s">
        <v>65</v>
      </c>
      <c r="P81" s="286" t="s">
        <v>1125</v>
      </c>
      <c r="Q81" s="286" t="s">
        <v>30</v>
      </c>
      <c r="R81" s="1238"/>
      <c r="S81" s="286" t="s">
        <v>448</v>
      </c>
      <c r="T81" s="286" t="s">
        <v>469</v>
      </c>
      <c r="U81" s="1239" t="s">
        <v>1126</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1011</v>
      </c>
      <c r="O82" s="286" t="s">
        <v>65</v>
      </c>
      <c r="P82" s="286" t="s">
        <v>98</v>
      </c>
      <c r="Q82" s="286" t="s">
        <v>39</v>
      </c>
      <c r="R82" s="1238"/>
      <c r="S82" s="286" t="s">
        <v>1099</v>
      </c>
      <c r="T82" s="286" t="s">
        <v>467</v>
      </c>
      <c r="U82" s="1239" t="s">
        <v>1127</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1011</v>
      </c>
      <c r="O83" s="286" t="s">
        <v>65</v>
      </c>
      <c r="P83" s="286" t="s">
        <v>98</v>
      </c>
      <c r="Q83" s="286" t="s">
        <v>28</v>
      </c>
      <c r="R83" s="1238"/>
      <c r="S83" s="286" t="s">
        <v>1054</v>
      </c>
      <c r="T83" s="286" t="s">
        <v>1054</v>
      </c>
      <c r="U83" s="1239" t="s">
        <v>1128</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1011</v>
      </c>
      <c r="O84" s="286" t="s">
        <v>65</v>
      </c>
      <c r="P84" s="286" t="s">
        <v>1096</v>
      </c>
      <c r="Q84" s="286" t="s">
        <v>40</v>
      </c>
      <c r="R84" s="1238"/>
      <c r="S84" s="286" t="s">
        <v>452</v>
      </c>
      <c r="T84" s="286" t="s">
        <v>135</v>
      </c>
      <c r="U84" s="1239" t="s">
        <v>1129</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1011</v>
      </c>
      <c r="O85" s="286" t="s">
        <v>65</v>
      </c>
      <c r="P85" s="286" t="s">
        <v>1096</v>
      </c>
      <c r="Q85" s="286" t="s">
        <v>39</v>
      </c>
      <c r="R85" s="1238"/>
      <c r="S85" s="286" t="s">
        <v>451</v>
      </c>
      <c r="T85" s="286" t="s">
        <v>469</v>
      </c>
      <c r="U85" s="1239" t="s">
        <v>1130</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1011</v>
      </c>
      <c r="O86" s="286" t="s">
        <v>65</v>
      </c>
      <c r="P86" s="286" t="s">
        <v>1056</v>
      </c>
      <c r="Q86" s="286" t="s">
        <v>30</v>
      </c>
      <c r="R86" s="1238"/>
      <c r="S86" s="286" t="s">
        <v>100</v>
      </c>
      <c r="T86" s="286" t="s">
        <v>624</v>
      </c>
      <c r="U86" s="1239" t="s">
        <v>1131</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1011</v>
      </c>
      <c r="O87" s="286" t="s">
        <v>67</v>
      </c>
      <c r="P87" s="286" t="s">
        <v>1062</v>
      </c>
      <c r="Q87" s="286" t="s">
        <v>28</v>
      </c>
      <c r="R87" s="1238"/>
      <c r="S87" s="286"/>
      <c r="T87" s="286"/>
      <c r="U87" s="1239" t="s">
        <v>1132</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1011</v>
      </c>
      <c r="O88" s="286" t="s">
        <v>67</v>
      </c>
      <c r="P88" s="286" t="s">
        <v>151</v>
      </c>
      <c r="Q88" s="286" t="s">
        <v>38</v>
      </c>
      <c r="R88" s="1238"/>
      <c r="S88" s="286" t="s">
        <v>452</v>
      </c>
      <c r="T88" s="286" t="s">
        <v>469</v>
      </c>
      <c r="U88" s="1239" t="s">
        <v>1133</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1011</v>
      </c>
      <c r="O89" s="286" t="s">
        <v>67</v>
      </c>
      <c r="P89" s="286" t="s">
        <v>1085</v>
      </c>
      <c r="Q89" s="286" t="s">
        <v>40</v>
      </c>
      <c r="R89" s="1238"/>
      <c r="S89" s="286" t="s">
        <v>452</v>
      </c>
      <c r="T89" s="286" t="s">
        <v>113</v>
      </c>
      <c r="U89" s="1239" t="s">
        <v>1134</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1011</v>
      </c>
      <c r="O90" s="286" t="s">
        <v>67</v>
      </c>
      <c r="P90" s="286" t="s">
        <v>1045</v>
      </c>
      <c r="Q90" s="286" t="s">
        <v>28</v>
      </c>
      <c r="R90" s="1238"/>
      <c r="S90" s="286"/>
      <c r="T90" s="286"/>
      <c r="U90" s="1239" t="s">
        <v>1135</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1011</v>
      </c>
      <c r="K91" s="17"/>
      <c r="L91" s="17"/>
      <c r="M91" s="17"/>
      <c r="O91" s="286" t="s">
        <v>67</v>
      </c>
      <c r="P91" s="286" t="s">
        <v>1085</v>
      </c>
      <c r="Q91" s="286" t="s">
        <v>28</v>
      </c>
      <c r="R91" s="1238"/>
      <c r="S91" s="286"/>
      <c r="T91" s="286"/>
      <c r="U91" s="1239" t="s">
        <v>1136</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1137</v>
      </c>
      <c r="C92" s="1162"/>
      <c r="D92" s="1162"/>
      <c r="E92" s="1162"/>
      <c r="F92" s="1162"/>
      <c r="G92" s="1162"/>
      <c r="H92" s="1162"/>
      <c r="I92" s="1162"/>
      <c r="J92" s="1162"/>
      <c r="K92" s="1162"/>
      <c r="L92" s="1162"/>
      <c r="M92" s="1163"/>
      <c r="O92" s="286" t="s">
        <v>67</v>
      </c>
      <c r="P92" s="286" t="s">
        <v>1118</v>
      </c>
      <c r="Q92" s="286" t="s">
        <v>28</v>
      </c>
      <c r="R92" s="1238"/>
      <c r="S92" s="286"/>
      <c r="T92" s="286"/>
      <c r="U92" s="1239" t="s">
        <v>1138</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1139</v>
      </c>
      <c r="C93" s="250"/>
      <c r="D93" s="1282" t="s">
        <v>1044</v>
      </c>
      <c r="F93" s="6"/>
      <c r="M93" s="1233"/>
      <c r="O93" s="286" t="s">
        <v>67</v>
      </c>
      <c r="P93" s="286" t="s">
        <v>1115</v>
      </c>
      <c r="Q93" s="286" t="s">
        <v>38</v>
      </c>
      <c r="R93" s="1238"/>
      <c r="S93" s="286" t="s">
        <v>452</v>
      </c>
      <c r="T93" s="286" t="s">
        <v>469</v>
      </c>
      <c r="U93" s="1239" t="s">
        <v>1140</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452</v>
      </c>
      <c r="T94" s="286" t="s">
        <v>469</v>
      </c>
      <c r="U94" s="1239" t="s">
        <v>1141</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IFERROR(__xludf.DUMMYFUNCTION("""COMPUTED_VALUE"""),"9日")</f>
        <v>9日</v>
      </c>
      <c r="D95" s="1291" t="str">
        <f>IFERROR(__xludf.DUMMYFUNCTION("""COMPUTED_VALUE"""),"セット漏れ")</f>
        <v>セット漏れ</v>
      </c>
      <c r="E95" s="981" t="str">
        <f>IFERROR(__xludf.DUMMYFUNCTION("""COMPUTED_VALUE"""),"エリ")</f>
        <v>エリ</v>
      </c>
      <c r="F95" s="981" t="str">
        <f>IFERROR(__xludf.DUMMYFUNCTION("""COMPUTED_VALUE"""),"サンタ")</f>
        <v>サンタ</v>
      </c>
      <c r="G95" s="1292" t="str">
        <f>IFERROR(__xludf.DUMMYFUNCTION("""COMPUTED_VALUE"""),"パジャマの設置漏れ")</f>
        <v>パジャマの設置漏れ</v>
      </c>
      <c r="H95" s="232"/>
      <c r="I95" s="232"/>
      <c r="J95" s="232"/>
      <c r="K95" s="232"/>
      <c r="L95" s="232"/>
      <c r="M95" s="1293"/>
      <c r="O95" s="286" t="s">
        <v>67</v>
      </c>
      <c r="P95" s="286" t="s">
        <v>176</v>
      </c>
      <c r="Q95" s="286" t="s">
        <v>40</v>
      </c>
      <c r="R95" s="1238"/>
      <c r="S95" s="286" t="s">
        <v>1046</v>
      </c>
      <c r="T95" s="286" t="s">
        <v>761</v>
      </c>
      <c r="U95" s="1239" t="s">
        <v>1142</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IFERROR(__xludf.DUMMYFUNCTION("""COMPUTED_VALUE"""),"15日")</f>
        <v>15日</v>
      </c>
      <c r="D96" s="981" t="str">
        <f>IFERROR(__xludf.DUMMYFUNCTION("""COMPUTED_VALUE"""),"残置")</f>
        <v>残置</v>
      </c>
      <c r="E96" s="981" t="str">
        <f>IFERROR(__xludf.DUMMYFUNCTION("""COMPUTED_VALUE"""),"佐藤")</f>
        <v>佐藤</v>
      </c>
      <c r="F96" s="981" t="str">
        <f>IFERROR(__xludf.DUMMYFUNCTION("""COMPUTED_VALUE"""),"中村")</f>
        <v>中村</v>
      </c>
      <c r="G96" s="1292" t="str">
        <f>IFERROR(__xludf.DUMMYFUNCTION("""COMPUTED_VALUE"""),"テーブルの下に前泊者のカードが落ちていた。")</f>
        <v>テーブルの下に前泊者のカードが落ちていた。</v>
      </c>
      <c r="H96" s="232"/>
      <c r="I96" s="232"/>
      <c r="J96" s="232"/>
      <c r="K96" s="232"/>
      <c r="L96" s="232"/>
      <c r="M96" s="1293"/>
      <c r="O96" s="286" t="s">
        <v>69</v>
      </c>
      <c r="P96" s="286" t="s">
        <v>1062</v>
      </c>
      <c r="Q96" s="286" t="s">
        <v>39</v>
      </c>
      <c r="R96" s="1238"/>
      <c r="S96" s="286" t="s">
        <v>1099</v>
      </c>
      <c r="T96" s="286" t="s">
        <v>467</v>
      </c>
      <c r="U96" s="1239" t="s">
        <v>1143</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IFERROR(__xludf.DUMMYFUNCTION("""COMPUTED_VALUE"""),"15日")</f>
        <v>15日</v>
      </c>
      <c r="D97" s="981" t="str">
        <f>IFERROR(__xludf.DUMMYFUNCTION("""COMPUTED_VALUE"""),"セット漏れ")</f>
        <v>セット漏れ</v>
      </c>
      <c r="E97" s="981" t="str">
        <f>IFERROR(__xludf.DUMMYFUNCTION("""COMPUTED_VALUE"""),"佐藤")</f>
        <v>佐藤</v>
      </c>
      <c r="F97" s="981" t="str">
        <f>IFERROR(__xludf.DUMMYFUNCTION("""COMPUTED_VALUE"""),"早川")</f>
        <v>早川</v>
      </c>
      <c r="G97" s="1292" t="str">
        <f>IFERROR(__xludf.DUMMYFUNCTION("""COMPUTED_VALUE"""),"ボディーソープボトルごとなかった。")</f>
        <v>ボディーソープボトルごとなかった。</v>
      </c>
      <c r="H97" s="232"/>
      <c r="I97" s="232"/>
      <c r="J97" s="232"/>
      <c r="K97" s="232"/>
      <c r="L97" s="232"/>
      <c r="M97" s="1293"/>
      <c r="O97" s="286" t="s">
        <v>69</v>
      </c>
      <c r="P97" s="286" t="s">
        <v>140</v>
      </c>
      <c r="Q97" s="286" t="s">
        <v>40</v>
      </c>
      <c r="R97" s="1238"/>
      <c r="S97" s="286" t="s">
        <v>1023</v>
      </c>
      <c r="T97" s="286" t="s">
        <v>472</v>
      </c>
      <c r="U97" s="1239" t="s">
        <v>1144</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IFERROR(__xludf.DUMMYFUNCTION("""COMPUTED_VALUE"""),"18日")</f>
        <v>18日</v>
      </c>
      <c r="D98" s="981" t="str">
        <f>IFERROR(__xludf.DUMMYFUNCTION("""COMPUTED_VALUE"""),"汚れ")</f>
        <v>汚れ</v>
      </c>
      <c r="E98" s="981" t="str">
        <f>IFERROR(__xludf.DUMMYFUNCTION("""COMPUTED_VALUE"""),"カン")</f>
        <v>カン</v>
      </c>
      <c r="F98" s="981" t="str">
        <f>IFERROR(__xludf.DUMMYFUNCTION("""COMPUTED_VALUE"""),"―")</f>
        <v>―</v>
      </c>
      <c r="G98" s="1292" t="str">
        <f>IFERROR(__xludf.DUMMYFUNCTION("""COMPUTED_VALUE"""),"エコー清掃でカップ類交換してなかった。")</f>
        <v>エコー清掃でカップ類交換してなかった。</v>
      </c>
      <c r="H98" s="232"/>
      <c r="I98" s="232"/>
      <c r="J98" s="232"/>
      <c r="K98" s="232"/>
      <c r="L98" s="232"/>
      <c r="M98" s="1293"/>
      <c r="O98" s="286" t="s">
        <v>69</v>
      </c>
      <c r="P98" s="286" t="s">
        <v>1101</v>
      </c>
      <c r="Q98" s="286"/>
      <c r="R98" s="1238"/>
      <c r="S98" s="286"/>
      <c r="T98" s="286"/>
      <c r="U98" s="1239" t="s">
        <v>1145</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IFERROR(__xludf.DUMMYFUNCTION("""COMPUTED_VALUE"""),"22日")</f>
        <v>22日</v>
      </c>
      <c r="D99" s="981" t="str">
        <f>IFERROR(__xludf.DUMMYFUNCTION("""COMPUTED_VALUE"""),"セット漏れ")</f>
        <v>セット漏れ</v>
      </c>
      <c r="E99" s="981" t="str">
        <f>IFERROR(__xludf.DUMMYFUNCTION("""COMPUTED_VALUE"""),"エリ")</f>
        <v>エリ</v>
      </c>
      <c r="F99" s="981" t="str">
        <f>IFERROR(__xludf.DUMMYFUNCTION("""COMPUTED_VALUE"""),"シャミカ")</f>
        <v>シャミカ</v>
      </c>
      <c r="G99" s="1292" t="str">
        <f>IFERROR(__xludf.DUMMYFUNCTION("""COMPUTED_VALUE"""),"2名指示のお部屋が1名セットだった。")</f>
        <v>2名指示のお部屋が1名セットだった。</v>
      </c>
      <c r="H99" s="232"/>
      <c r="I99" s="232"/>
      <c r="J99" s="232"/>
      <c r="K99" s="232"/>
      <c r="L99" s="232"/>
      <c r="M99" s="1293"/>
      <c r="O99" s="286" t="s">
        <v>69</v>
      </c>
      <c r="P99" s="286" t="s">
        <v>1121</v>
      </c>
      <c r="Q99" s="286" t="s">
        <v>43</v>
      </c>
      <c r="R99" s="1238"/>
      <c r="S99" s="286" t="s">
        <v>171</v>
      </c>
      <c r="T99" s="286" t="s">
        <v>469</v>
      </c>
      <c r="U99" s="1239" t="s">
        <v>1146</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IFERROR(__xludf.DUMMYFUNCTION("""COMPUTED_VALUE"""),"3月")</f>
        <v>3月</v>
      </c>
      <c r="C100" s="981" t="str">
        <f>IFERROR(__xludf.DUMMYFUNCTION("""COMPUTED_VALUE"""),"2日")</f>
        <v>2日</v>
      </c>
      <c r="D100" s="981" t="str">
        <f>IFERROR(__xludf.DUMMYFUNCTION("""COMPUTED_VALUE"""),"手配ミス")</f>
        <v>手配ミス</v>
      </c>
      <c r="E100" s="981" t="str">
        <f>IFERROR(__xludf.DUMMYFUNCTION("""COMPUTED_VALUE"""),"バニヤ")</f>
        <v>バニヤ</v>
      </c>
      <c r="F100" s="981" t="str">
        <f>IFERROR(__xludf.DUMMYFUNCTION("""COMPUTED_VALUE"""),"ー")</f>
        <v>ー</v>
      </c>
      <c r="G100" s="1292" t="str">
        <f>IFERROR(__xludf.DUMMYFUNCTION("""COMPUTED_VALUE"""),"通常清掃の時午前中ノックした")</f>
        <v>通常清掃の時午前中ノックした</v>
      </c>
      <c r="H100" s="232"/>
      <c r="I100" s="232"/>
      <c r="J100" s="232"/>
      <c r="K100" s="232"/>
      <c r="L100" s="232"/>
      <c r="M100" s="1293"/>
      <c r="O100" s="286" t="s">
        <v>69</v>
      </c>
      <c r="P100" s="286" t="s">
        <v>1109</v>
      </c>
      <c r="Q100" s="286" t="s">
        <v>38</v>
      </c>
      <c r="R100" s="1238"/>
      <c r="S100" s="286" t="s">
        <v>171</v>
      </c>
      <c r="T100" s="286" t="s">
        <v>469</v>
      </c>
      <c r="U100" s="1239" t="s">
        <v>1147</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IFERROR(__xludf.DUMMYFUNCTION("""COMPUTED_VALUE"""),"3月")</f>
        <v>3月</v>
      </c>
      <c r="C101" s="981" t="str">
        <f>IFERROR(__xludf.DUMMYFUNCTION("""COMPUTED_VALUE"""),"5日")</f>
        <v>5日</v>
      </c>
      <c r="D101" s="981" t="str">
        <f>IFERROR(__xludf.DUMMYFUNCTION("""COMPUTED_VALUE"""),"その他")</f>
        <v>その他</v>
      </c>
      <c r="E101" s="981" t="str">
        <f>IFERROR(__xludf.DUMMYFUNCTION("""COMPUTED_VALUE"""),"小田原")</f>
        <v>小田原</v>
      </c>
      <c r="F101" s="981" t="str">
        <f>IFERROR(__xludf.DUMMYFUNCTION("""COMPUTED_VALUE"""),"早川")</f>
        <v>早川</v>
      </c>
      <c r="G101" s="1292" t="str">
        <f>IFERROR(__xludf.DUMMYFUNCTION("""COMPUTED_VALUE"""),"充電器破損")</f>
        <v>充電器破損</v>
      </c>
      <c r="H101" s="232"/>
      <c r="I101" s="232"/>
      <c r="J101" s="232"/>
      <c r="K101" s="232"/>
      <c r="L101" s="232"/>
      <c r="M101" s="1293"/>
      <c r="O101" s="286" t="s">
        <v>69</v>
      </c>
      <c r="P101" s="286" t="s">
        <v>1109</v>
      </c>
      <c r="Q101" s="286" t="s">
        <v>43</v>
      </c>
      <c r="R101" s="1238"/>
      <c r="S101" s="286" t="s">
        <v>452</v>
      </c>
      <c r="T101" s="286" t="s">
        <v>113</v>
      </c>
      <c r="U101" s="1239" t="s">
        <v>1148</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IFERROR(__xludf.DUMMYFUNCTION("""COMPUTED_VALUE"""),"9日")</f>
        <v>9日</v>
      </c>
      <c r="D102" s="981" t="str">
        <f>IFERROR(__xludf.DUMMYFUNCTION("""COMPUTED_VALUE"""),"残置")</f>
        <v>残置</v>
      </c>
      <c r="E102" s="981" t="str">
        <f>IFERROR(__xludf.DUMMYFUNCTION("""COMPUTED_VALUE"""),"カン")</f>
        <v>カン</v>
      </c>
      <c r="F102" s="981" t="str">
        <f>IFERROR(__xludf.DUMMYFUNCTION("""COMPUTED_VALUE"""),"シタ")</f>
        <v>シタ</v>
      </c>
      <c r="G102" s="1292" t="str">
        <f>IFERROR(__xludf.DUMMYFUNCTION("""COMPUTED_VALUE"""),"前の連泊の靴下が部屋に落ちてありました。")</f>
        <v>前の連泊の靴下が部屋に落ちてありました。</v>
      </c>
      <c r="H102" s="232"/>
      <c r="I102" s="232"/>
      <c r="J102" s="232"/>
      <c r="K102" s="232"/>
      <c r="L102" s="232"/>
      <c r="M102" s="1293"/>
      <c r="O102" s="286" t="s">
        <v>71</v>
      </c>
      <c r="P102" s="286" t="s">
        <v>1125</v>
      </c>
      <c r="Q102" s="286" t="s">
        <v>39</v>
      </c>
      <c r="R102" s="1238"/>
      <c r="S102" s="286" t="s">
        <v>452</v>
      </c>
      <c r="T102" s="286" t="s">
        <v>471</v>
      </c>
      <c r="U102" s="1239" t="s">
        <v>1149</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IFERROR(__xludf.DUMMYFUNCTION("""COMPUTED_VALUE"""),"9日")</f>
        <v>9日</v>
      </c>
      <c r="D103" s="981" t="str">
        <f>IFERROR(__xludf.DUMMYFUNCTION("""COMPUTED_VALUE"""),"セット漏れ")</f>
        <v>セット漏れ</v>
      </c>
      <c r="E103" s="981" t="str">
        <f>IFERROR(__xludf.DUMMYFUNCTION("""COMPUTED_VALUE"""),"カン")</f>
        <v>カン</v>
      </c>
      <c r="F103" s="981" t="str">
        <f>IFERROR(__xludf.DUMMYFUNCTION("""COMPUTED_VALUE"""),"ガヤン")</f>
        <v>ガヤン</v>
      </c>
      <c r="G103" s="1292" t="str">
        <f>IFERROR(__xludf.DUMMYFUNCTION("""COMPUTED_VALUE"""),"バスタオル設置漏れ")</f>
        <v>バスタオル設置漏れ</v>
      </c>
      <c r="H103" s="232"/>
      <c r="I103" s="232"/>
      <c r="J103" s="232"/>
      <c r="K103" s="232"/>
      <c r="L103" s="232"/>
      <c r="M103" s="1293"/>
      <c r="O103" s="286" t="s">
        <v>71</v>
      </c>
      <c r="P103" s="286" t="s">
        <v>1085</v>
      </c>
      <c r="Q103" s="286" t="s">
        <v>39</v>
      </c>
      <c r="R103" s="1238"/>
      <c r="S103" s="286" t="s">
        <v>1046</v>
      </c>
      <c r="T103" s="286" t="s">
        <v>762</v>
      </c>
      <c r="U103" s="1239" t="s">
        <v>1150</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IFERROR(__xludf.DUMMYFUNCTION("""COMPUTED_VALUE"""),"9日")</f>
        <v>9日</v>
      </c>
      <c r="D104" s="981" t="str">
        <f>IFERROR(__xludf.DUMMYFUNCTION("""COMPUTED_VALUE"""),"セット漏れ")</f>
        <v>セット漏れ</v>
      </c>
      <c r="E104" s="981" t="str">
        <f>IFERROR(__xludf.DUMMYFUNCTION("""COMPUTED_VALUE"""),"バニヤ")</f>
        <v>バニヤ</v>
      </c>
      <c r="F104" s="981" t="str">
        <f>IFERROR(__xludf.DUMMYFUNCTION("""COMPUTED_VALUE"""),"ルサル")</f>
        <v>ルサル</v>
      </c>
      <c r="G104" s="1292" t="str">
        <f>IFERROR(__xludf.DUMMYFUNCTION("""COMPUTED_VALUE"""),"ソープボトルる3種はなし")</f>
        <v>ソープボトルる3種はなし</v>
      </c>
      <c r="H104" s="232"/>
      <c r="I104" s="232"/>
      <c r="J104" s="232"/>
      <c r="K104" s="232"/>
      <c r="L104" s="232"/>
      <c r="M104" s="1293"/>
      <c r="O104" s="286" t="s">
        <v>71</v>
      </c>
      <c r="P104" s="286" t="s">
        <v>1085</v>
      </c>
      <c r="Q104" s="286" t="s">
        <v>40</v>
      </c>
      <c r="R104" s="1238"/>
      <c r="S104" s="286" t="s">
        <v>1046</v>
      </c>
      <c r="T104" s="286" t="s">
        <v>469</v>
      </c>
      <c r="U104" s="1239" t="s">
        <v>1151</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IFERROR(__xludf.DUMMYFUNCTION("""COMPUTED_VALUE"""),"9日")</f>
        <v>9日</v>
      </c>
      <c r="D105" s="981" t="str">
        <f>IFERROR(__xludf.DUMMYFUNCTION("""COMPUTED_VALUE"""),"残置")</f>
        <v>残置</v>
      </c>
      <c r="E105" s="981" t="str">
        <f>IFERROR(__xludf.DUMMYFUNCTION("""COMPUTED_VALUE"""),"バニヤ")</f>
        <v>バニヤ</v>
      </c>
      <c r="F105" s="981" t="str">
        <f>IFERROR(__xludf.DUMMYFUNCTION("""COMPUTED_VALUE"""),"ルサル")</f>
        <v>ルサル</v>
      </c>
      <c r="G105" s="1292" t="str">
        <f>IFERROR(__xludf.DUMMYFUNCTION("""COMPUTED_VALUE"""),"バスルームのドアにかけていた前のお客様のブレスレットがあります。")</f>
        <v>バスルームのドアにかけていた前のお客様のブレスレットがあります。</v>
      </c>
      <c r="H105" s="232"/>
      <c r="I105" s="232"/>
      <c r="J105" s="232"/>
      <c r="K105" s="232"/>
      <c r="L105" s="232"/>
      <c r="M105" s="1293"/>
      <c r="O105" s="286" t="s">
        <v>71</v>
      </c>
      <c r="P105" s="286" t="s">
        <v>151</v>
      </c>
      <c r="Q105" s="286" t="s">
        <v>30</v>
      </c>
      <c r="R105" s="1238"/>
      <c r="S105" s="286" t="s">
        <v>1046</v>
      </c>
      <c r="T105" s="286"/>
      <c r="U105" s="1239" t="s">
        <v>1152</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IFERROR(__xludf.DUMMYFUNCTION("""COMPUTED_VALUE"""),"手配ミス")</f>
        <v>手配ミス</v>
      </c>
      <c r="E106" s="981" t="str">
        <f>IFERROR(__xludf.DUMMYFUNCTION("""COMPUTED_VALUE"""),"佐藤")</f>
        <v>佐藤</v>
      </c>
      <c r="F106" s="981" t="str">
        <f>IFERROR(__xludf.DUMMYFUNCTION("""COMPUTED_VALUE"""),"`大沼")</f>
        <v>`大沼</v>
      </c>
      <c r="G106" s="1292" t="str">
        <f>IFERROR(__xludf.DUMMYFUNCTION("""COMPUTED_VALUE"""),"906清掃不要との指示でしたが、清掃入ってしまった。")</f>
        <v>906清掃不要との指示でしたが、清掃入ってしまった。</v>
      </c>
      <c r="H106" s="232"/>
      <c r="I106" s="232"/>
      <c r="J106" s="232"/>
      <c r="K106" s="232"/>
      <c r="L106" s="232"/>
      <c r="M106" s="1293"/>
      <c r="O106" s="286" t="s">
        <v>71</v>
      </c>
      <c r="P106" s="286" t="s">
        <v>1112</v>
      </c>
      <c r="Q106" s="286" t="s">
        <v>28</v>
      </c>
      <c r="R106" s="1238"/>
      <c r="S106" s="286"/>
      <c r="T106" s="286"/>
      <c r="U106" s="1239" t="s">
        <v>1153</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t="str">
        <f>IFERROR(__xludf.DUMMYFUNCTION("""COMPUTED_VALUE"""),"3月")</f>
        <v>3月</v>
      </c>
      <c r="C107" s="981" t="str">
        <f>IFERROR(__xludf.DUMMYFUNCTION("""COMPUTED_VALUE"""),"23日")</f>
        <v>23日</v>
      </c>
      <c r="D107" s="981" t="str">
        <f>IFERROR(__xludf.DUMMYFUNCTION("""COMPUTED_VALUE"""),"手配ミス")</f>
        <v>手配ミス</v>
      </c>
      <c r="E107" s="981" t="str">
        <f>IFERROR(__xludf.DUMMYFUNCTION("""COMPUTED_VALUE"""),"小沼")</f>
        <v>小沼</v>
      </c>
      <c r="F107" s="981" t="str">
        <f>IFERROR(__xludf.DUMMYFUNCTION("""COMPUTED_VALUE"""),"－")</f>
        <v>－</v>
      </c>
      <c r="G107" s="1292" t="str">
        <f>IFERROR(__xludf.DUMMYFUNCTION("""COMPUTED_VALUE"""),"1001号室2名指示でしたが、1名セットでした。")</f>
        <v>1001号室2名指示でしたが、1名セットでした。</v>
      </c>
      <c r="H107" s="232"/>
      <c r="I107" s="232"/>
      <c r="J107" s="232"/>
      <c r="K107" s="232"/>
      <c r="L107" s="232"/>
      <c r="M107" s="1293"/>
      <c r="O107" s="286" t="s">
        <v>71</v>
      </c>
      <c r="P107" s="286" t="s">
        <v>1056</v>
      </c>
      <c r="Q107" s="286" t="s">
        <v>43</v>
      </c>
      <c r="R107" s="1238"/>
      <c r="S107" s="286" t="s">
        <v>1046</v>
      </c>
      <c r="T107" s="286" t="s">
        <v>467</v>
      </c>
      <c r="U107" s="1239" t="s">
        <v>1154</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t="str">
        <f>IFERROR(__xludf.DUMMYFUNCTION("""COMPUTED_VALUE"""),"3月")</f>
        <v>3月</v>
      </c>
      <c r="C108" s="981" t="str">
        <f>IFERROR(__xludf.DUMMYFUNCTION("""COMPUTED_VALUE"""),"30日")</f>
        <v>30日</v>
      </c>
      <c r="D108" s="981" t="str">
        <f>IFERROR(__xludf.DUMMYFUNCTION("""COMPUTED_VALUE"""),"その他")</f>
        <v>その他</v>
      </c>
      <c r="E108" s="981" t="str">
        <f>IFERROR(__xludf.DUMMYFUNCTION("""COMPUTED_VALUE"""),"－")</f>
        <v>－</v>
      </c>
      <c r="F108" s="981" t="str">
        <f>IFERROR(__xludf.DUMMYFUNCTION("""COMPUTED_VALUE"""),"大沼")</f>
        <v>大沼</v>
      </c>
      <c r="G108" s="1292" t="str">
        <f>IFERROR(__xludf.DUMMYFUNCTION("""COMPUTED_VALUE"""),"忘れ物に書いてた部屋番号間違え")</f>
        <v>忘れ物に書いてた部屋番号間違え</v>
      </c>
      <c r="H108" s="232"/>
      <c r="I108" s="232"/>
      <c r="J108" s="232"/>
      <c r="K108" s="232"/>
      <c r="L108" s="232"/>
      <c r="M108" s="1293"/>
      <c r="O108" s="286" t="s">
        <v>71</v>
      </c>
      <c r="P108" s="286" t="s">
        <v>1096</v>
      </c>
      <c r="Q108" s="286" t="s">
        <v>40</v>
      </c>
      <c r="R108" s="1238"/>
      <c r="S108" s="286" t="s">
        <v>1023</v>
      </c>
      <c r="T108" s="286" t="s">
        <v>761</v>
      </c>
      <c r="U108" s="1239" t="s">
        <v>1155</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t="str">
        <f>IFERROR(__xludf.DUMMYFUNCTION("""COMPUTED_VALUE"""),"3月")</f>
        <v>3月</v>
      </c>
      <c r="C109" s="981" t="str">
        <f>IFERROR(__xludf.DUMMYFUNCTION("""COMPUTED_VALUE"""),"30日")</f>
        <v>30日</v>
      </c>
      <c r="D109" s="981" t="str">
        <f>IFERROR(__xludf.DUMMYFUNCTION("""COMPUTED_VALUE"""),"手配ミス")</f>
        <v>手配ミス</v>
      </c>
      <c r="E109" s="981" t="str">
        <f>IFERROR(__xludf.DUMMYFUNCTION("""COMPUTED_VALUE"""),"小沼")</f>
        <v>小沼</v>
      </c>
      <c r="F109" s="981" t="str">
        <f>IFERROR(__xludf.DUMMYFUNCTION("""COMPUTED_VALUE"""),"シタ")</f>
        <v>シタ</v>
      </c>
      <c r="G109" s="1292" t="str">
        <f>IFERROR(__xludf.DUMMYFUNCTION("""COMPUTED_VALUE"""),"アウトになる前アウト清掃しました。お客様のもの忘れ物にしました。")</f>
        <v>アウトになる前アウト清掃しました。お客様のもの忘れ物にしました。</v>
      </c>
      <c r="H109" s="232"/>
      <c r="I109" s="232"/>
      <c r="J109" s="232"/>
      <c r="K109" s="232"/>
      <c r="L109" s="232"/>
      <c r="M109" s="1293"/>
      <c r="O109" s="286" t="s">
        <v>71</v>
      </c>
      <c r="P109" s="286" t="s">
        <v>157</v>
      </c>
      <c r="Q109" s="286" t="s">
        <v>28</v>
      </c>
      <c r="R109" s="1238"/>
      <c r="S109" s="286" t="s">
        <v>448</v>
      </c>
      <c r="T109" s="286" t="s">
        <v>761</v>
      </c>
      <c r="U109" s="1239" t="s">
        <v>1156</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t="str">
        <f>IFERROR(__xludf.DUMMYFUNCTION("""COMPUTED_VALUE"""),"3月")</f>
        <v>3月</v>
      </c>
      <c r="C110" s="981" t="str">
        <f>IFERROR(__xludf.DUMMYFUNCTION("""COMPUTED_VALUE"""),"31日")</f>
        <v>31日</v>
      </c>
      <c r="D110" s="981" t="str">
        <f>IFERROR(__xludf.DUMMYFUNCTION("""COMPUTED_VALUE"""),"清掃不備")</f>
        <v>清掃不備</v>
      </c>
      <c r="E110" s="981" t="str">
        <f>IFERROR(__xludf.DUMMYFUNCTION("""COMPUTED_VALUE"""),"カン")</f>
        <v>カン</v>
      </c>
      <c r="F110" s="981" t="str">
        <f>IFERROR(__xludf.DUMMYFUNCTION("""COMPUTED_VALUE"""),"ゴマ")</f>
        <v>ゴマ</v>
      </c>
      <c r="G110" s="1292" t="str">
        <f>IFERROR(__xludf.DUMMYFUNCTION("""COMPUTED_VALUE"""),"409 冷蔵庫の電源が抜けていた。")</f>
        <v>409 冷蔵庫の電源が抜けていた。</v>
      </c>
      <c r="H110" s="232"/>
      <c r="I110" s="232"/>
      <c r="J110" s="232"/>
      <c r="K110" s="232"/>
      <c r="L110" s="232"/>
      <c r="M110" s="1293"/>
      <c r="O110" s="286" t="s">
        <v>71</v>
      </c>
      <c r="P110" s="286" t="s">
        <v>1157</v>
      </c>
      <c r="Q110" s="286" t="s">
        <v>30</v>
      </c>
      <c r="R110" s="1238"/>
      <c r="S110" s="286"/>
      <c r="T110" s="286" t="s">
        <v>112</v>
      </c>
      <c r="U110" s="1239" t="s">
        <v>1158</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t="str">
        <f>IFERROR(__xludf.DUMMYFUNCTION("""COMPUTED_VALUE"""),"4月")</f>
        <v>4月</v>
      </c>
      <c r="C111" s="981" t="str">
        <f>IFERROR(__xludf.DUMMYFUNCTION("""COMPUTED_VALUE"""),"12日")</f>
        <v>12日</v>
      </c>
      <c r="D111" s="981" t="str">
        <f>IFERROR(__xludf.DUMMYFUNCTION("""COMPUTED_VALUE"""),"セット漏れ")</f>
        <v>セット漏れ</v>
      </c>
      <c r="E111" s="981" t="str">
        <f>IFERROR(__xludf.DUMMYFUNCTION("""COMPUTED_VALUE"""),"エリ")</f>
        <v>エリ</v>
      </c>
      <c r="F111" s="981" t="str">
        <f>IFERROR(__xludf.DUMMYFUNCTION("""COMPUTED_VALUE"""),"大沼")</f>
        <v>大沼</v>
      </c>
      <c r="G111" s="1292" t="str">
        <f>IFERROR(__xludf.DUMMYFUNCTION("""COMPUTED_VALUE"""),"204号室2名セットでパジャマが1枚しかなかった。")</f>
        <v>204号室2名セットでパジャマが1枚しかなかった。</v>
      </c>
      <c r="H111" s="232"/>
      <c r="I111" s="232"/>
      <c r="J111" s="232"/>
      <c r="K111" s="232"/>
      <c r="L111" s="232"/>
      <c r="M111" s="1293"/>
      <c r="O111" s="286" t="s">
        <v>73</v>
      </c>
      <c r="P111" s="286" t="s">
        <v>1125</v>
      </c>
      <c r="Q111" s="286" t="s">
        <v>40</v>
      </c>
      <c r="R111" s="1238"/>
      <c r="S111" s="286" t="s">
        <v>1023</v>
      </c>
      <c r="T111" s="286"/>
      <c r="U111" s="1239" t="s">
        <v>1159</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t="str">
        <f>IFERROR(__xludf.DUMMYFUNCTION("""COMPUTED_VALUE"""),"4月")</f>
        <v>4月</v>
      </c>
      <c r="C112" s="981" t="str">
        <f>IFERROR(__xludf.DUMMYFUNCTION("""COMPUTED_VALUE"""),"15日")</f>
        <v>15日</v>
      </c>
      <c r="D112" s="981" t="str">
        <f>IFERROR(__xludf.DUMMYFUNCTION("""COMPUTED_VALUE"""),"手配ミス")</f>
        <v>手配ミス</v>
      </c>
      <c r="E112" s="981" t="str">
        <f>IFERROR(__xludf.DUMMYFUNCTION("""COMPUTED_VALUE"""),"小沼")</f>
        <v>小沼</v>
      </c>
      <c r="F112" s="981" t="str">
        <f>IFERROR(__xludf.DUMMYFUNCTION("""COMPUTED_VALUE"""),"ゴマ")</f>
        <v>ゴマ</v>
      </c>
      <c r="G112" s="1292" t="str">
        <f>IFERROR(__xludf.DUMMYFUNCTION("""COMPUTED_VALUE"""),"702番清掃不要だったんですが、通常清掃入りました。")</f>
        <v>702番清掃不要だったんですが、通常清掃入りました。</v>
      </c>
      <c r="H112" s="232"/>
      <c r="I112" s="232"/>
      <c r="J112" s="232"/>
      <c r="K112" s="232"/>
      <c r="L112" s="232"/>
      <c r="M112" s="1293"/>
      <c r="O112" s="286" t="s">
        <v>73</v>
      </c>
      <c r="P112" s="286" t="s">
        <v>98</v>
      </c>
      <c r="Q112" s="286" t="s">
        <v>30</v>
      </c>
      <c r="R112" s="1238"/>
      <c r="S112" s="286" t="s">
        <v>451</v>
      </c>
      <c r="T112" s="286" t="s">
        <v>467</v>
      </c>
      <c r="U112" s="1239" t="s">
        <v>1160</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t="str">
        <f>IFERROR(__xludf.DUMMYFUNCTION("""COMPUTED_VALUE"""),"5月")</f>
        <v>5月</v>
      </c>
      <c r="C113" s="981" t="str">
        <f>IFERROR(__xludf.DUMMYFUNCTION("""COMPUTED_VALUE"""),"5日")</f>
        <v>5日</v>
      </c>
      <c r="D113" s="981" t="str">
        <f>IFERROR(__xludf.DUMMYFUNCTION("""COMPUTED_VALUE"""),"残置")</f>
        <v>残置</v>
      </c>
      <c r="E113" s="981" t="str">
        <f>IFERROR(__xludf.DUMMYFUNCTION("""COMPUTED_VALUE"""),"カン")</f>
        <v>カン</v>
      </c>
      <c r="F113" s="981" t="str">
        <f>IFERROR(__xludf.DUMMYFUNCTION("""COMPUTED_VALUE"""),"カマラ")</f>
        <v>カマラ</v>
      </c>
      <c r="G113" s="1292" t="str">
        <f>IFERROR(__xludf.DUMMYFUNCTION("""COMPUTED_VALUE"""),"512窓にペットボトルがありました。")</f>
        <v>512窓にペットボトルがありました。</v>
      </c>
      <c r="H113" s="232"/>
      <c r="I113" s="232"/>
      <c r="J113" s="232"/>
      <c r="K113" s="232"/>
      <c r="L113" s="232"/>
      <c r="M113" s="1293"/>
      <c r="O113" s="286" t="s">
        <v>73</v>
      </c>
      <c r="P113" s="286" t="s">
        <v>1050</v>
      </c>
      <c r="Q113" s="286" t="s">
        <v>40</v>
      </c>
      <c r="R113" s="1238"/>
      <c r="S113" s="286" t="s">
        <v>171</v>
      </c>
      <c r="T113" s="286" t="s">
        <v>103</v>
      </c>
      <c r="U113" s="1239" t="s">
        <v>1161</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t="str">
        <f>IFERROR(__xludf.DUMMYFUNCTION("""COMPUTED_VALUE"""),"5月")</f>
        <v>5月</v>
      </c>
      <c r="C114" s="981" t="str">
        <f>IFERROR(__xludf.DUMMYFUNCTION("""COMPUTED_VALUE"""),"5日")</f>
        <v>5日</v>
      </c>
      <c r="D114" s="981" t="str">
        <f>IFERROR(__xludf.DUMMYFUNCTION("""COMPUTED_VALUE"""),"髪の毛")</f>
        <v>髪の毛</v>
      </c>
      <c r="E114" s="981" t="str">
        <f>IFERROR(__xludf.DUMMYFUNCTION("""COMPUTED_VALUE"""),"小沼")</f>
        <v>小沼</v>
      </c>
      <c r="F114" s="981" t="str">
        <f>IFERROR(__xludf.DUMMYFUNCTION("""COMPUTED_VALUE"""),"サビタ")</f>
        <v>サビタ</v>
      </c>
      <c r="G114" s="1292" t="str">
        <f>IFERROR(__xludf.DUMMYFUNCTION("""COMPUTED_VALUE"""),"1216デュへカバーの中に髪の毛ありました。")</f>
        <v>1216デュへカバーの中に髪の毛ありました。</v>
      </c>
      <c r="H114" s="232"/>
      <c r="I114" s="232"/>
      <c r="J114" s="232"/>
      <c r="K114" s="232"/>
      <c r="L114" s="232"/>
      <c r="M114" s="1293"/>
      <c r="O114" s="286" t="s">
        <v>73</v>
      </c>
      <c r="P114" s="286" t="s">
        <v>1115</v>
      </c>
      <c r="Q114" s="286" t="s">
        <v>43</v>
      </c>
      <c r="R114" s="1238"/>
      <c r="S114" s="286" t="s">
        <v>452</v>
      </c>
      <c r="T114" s="286" t="s">
        <v>469</v>
      </c>
      <c r="U114" s="1239" t="s">
        <v>1162</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t="str">
        <f>IFERROR(__xludf.DUMMYFUNCTION("""COMPUTED_VALUE"""),"5月")</f>
        <v>5月</v>
      </c>
      <c r="C115" s="981" t="str">
        <f>IFERROR(__xludf.DUMMYFUNCTION("""COMPUTED_VALUE"""),"10日")</f>
        <v>10日</v>
      </c>
      <c r="D115" s="981" t="str">
        <f>IFERROR(__xludf.DUMMYFUNCTION("""COMPUTED_VALUE"""),"清掃不備")</f>
        <v>清掃不備</v>
      </c>
      <c r="E115" s="981" t="str">
        <f>IFERROR(__xludf.DUMMYFUNCTION("""COMPUTED_VALUE"""),"バニヤ")</f>
        <v>バニヤ</v>
      </c>
      <c r="F115" s="981" t="str">
        <f>IFERROR(__xludf.DUMMYFUNCTION("""COMPUTED_VALUE"""),"サビタ")</f>
        <v>サビタ</v>
      </c>
      <c r="G115" s="1292" t="str">
        <f>IFERROR(__xludf.DUMMYFUNCTION("""COMPUTED_VALUE"""),"710ポットのヒビがあってお湯溢した")</f>
        <v>710ポットのヒビがあってお湯溢した</v>
      </c>
      <c r="H115" s="232"/>
      <c r="I115" s="232"/>
      <c r="J115" s="232"/>
      <c r="K115" s="232"/>
      <c r="L115" s="232"/>
      <c r="M115" s="1293"/>
      <c r="O115" s="286" t="s">
        <v>73</v>
      </c>
      <c r="P115" s="286" t="s">
        <v>1115</v>
      </c>
      <c r="Q115" s="286" t="s">
        <v>42</v>
      </c>
      <c r="R115" s="1238"/>
      <c r="S115" s="286" t="s">
        <v>103</v>
      </c>
      <c r="T115" s="286" t="s">
        <v>522</v>
      </c>
      <c r="U115" s="1239" t="s">
        <v>1163</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t="str">
        <f>IFERROR(__xludf.DUMMYFUNCTION("""COMPUTED_VALUE"""),"5月")</f>
        <v>5月</v>
      </c>
      <c r="C116" s="981" t="str">
        <f>IFERROR(__xludf.DUMMYFUNCTION("""COMPUTED_VALUE"""),"18日")</f>
        <v>18日</v>
      </c>
      <c r="D116" s="981" t="str">
        <f>IFERROR(__xludf.DUMMYFUNCTION("""COMPUTED_VALUE"""),"セット漏れ")</f>
        <v>セット漏れ</v>
      </c>
      <c r="E116" s="981" t="str">
        <f>IFERROR(__xludf.DUMMYFUNCTION("""COMPUTED_VALUE"""),"エリ")</f>
        <v>エリ</v>
      </c>
      <c r="F116" s="981" t="str">
        <f>IFERROR(__xludf.DUMMYFUNCTION("""COMPUTED_VALUE"""),"カブィンダ")</f>
        <v>カブィンダ</v>
      </c>
      <c r="G116" s="1292" t="str">
        <f>IFERROR(__xludf.DUMMYFUNCTION("""COMPUTED_VALUE"""),"612バスマットセット漏れ")</f>
        <v>612バスマットセット漏れ</v>
      </c>
      <c r="H116" s="232"/>
      <c r="I116" s="232"/>
      <c r="J116" s="232"/>
      <c r="K116" s="232"/>
      <c r="L116" s="232"/>
      <c r="M116" s="1293"/>
      <c r="O116" s="286" t="s">
        <v>73</v>
      </c>
      <c r="P116" s="286" t="s">
        <v>1115</v>
      </c>
      <c r="Q116" s="286" t="s">
        <v>42</v>
      </c>
      <c r="R116" s="1238"/>
      <c r="S116" s="286" t="s">
        <v>103</v>
      </c>
      <c r="T116" s="286" t="s">
        <v>522</v>
      </c>
      <c r="U116" s="1239" t="s">
        <v>1163</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t="str">
        <f>IFERROR(__xludf.DUMMYFUNCTION("""COMPUTED_VALUE"""),"6月")</f>
        <v>6月</v>
      </c>
      <c r="C117" s="981" t="str">
        <f>IFERROR(__xludf.DUMMYFUNCTION("""COMPUTED_VALUE"""),"15日")</f>
        <v>15日</v>
      </c>
      <c r="D117" s="981" t="str">
        <f>IFERROR(__xludf.DUMMYFUNCTION("""COMPUTED_VALUE"""),"手配ミス")</f>
        <v>手配ミス</v>
      </c>
      <c r="E117" s="981" t="str">
        <f>IFERROR(__xludf.DUMMYFUNCTION("""COMPUTED_VALUE"""),"オウ")</f>
        <v>オウ</v>
      </c>
      <c r="F117" s="981" t="str">
        <f>IFERROR(__xludf.DUMMYFUNCTION("""COMPUTED_VALUE"""),"－")</f>
        <v>－</v>
      </c>
      <c r="G117" s="1292" t="str">
        <f>IFERROR(__xludf.DUMMYFUNCTION("""COMPUTED_VALUE"""),"1214手配のそば枕セット漏れ")</f>
        <v>1214手配のそば枕セット漏れ</v>
      </c>
      <c r="H117" s="232"/>
      <c r="I117" s="232"/>
      <c r="J117" s="232"/>
      <c r="K117" s="232"/>
      <c r="L117" s="232"/>
      <c r="M117" s="1293"/>
      <c r="O117" s="286" t="s">
        <v>73</v>
      </c>
      <c r="P117" s="286" t="s">
        <v>1115</v>
      </c>
      <c r="Q117" s="286" t="s">
        <v>30</v>
      </c>
      <c r="R117" s="1238"/>
      <c r="S117" s="286" t="s">
        <v>142</v>
      </c>
      <c r="T117" s="286"/>
      <c r="U117" s="1239" t="s">
        <v>1164</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t="str">
        <f>IFERROR(__xludf.DUMMYFUNCTION("""COMPUTED_VALUE"""),"6月")</f>
        <v>6月</v>
      </c>
      <c r="C118" s="981" t="str">
        <f>IFERROR(__xludf.DUMMYFUNCTION("""COMPUTED_VALUE"""),"15日")</f>
        <v>15日</v>
      </c>
      <c r="D118" s="981" t="str">
        <f>IFERROR(__xludf.DUMMYFUNCTION("""COMPUTED_VALUE"""),"清掃不備")</f>
        <v>清掃不備</v>
      </c>
      <c r="E118" s="981" t="str">
        <f>IFERROR(__xludf.DUMMYFUNCTION("""COMPUTED_VALUE"""),"－")</f>
        <v>－</v>
      </c>
      <c r="F118" s="981" t="str">
        <f>IFERROR(__xludf.DUMMYFUNCTION("""COMPUTED_VALUE"""),"バンダリ")</f>
        <v>バンダリ</v>
      </c>
      <c r="G118" s="1292" t="str">
        <f>IFERROR(__xludf.DUMMYFUNCTION("""COMPUTED_VALUE"""),"1201電気カードホールダーにあったお客様のカードを誤回収しました。")</f>
        <v>1201電気カードホールダーにあったお客様のカードを誤回収しました。</v>
      </c>
      <c r="H118" s="232"/>
      <c r="I118" s="232"/>
      <c r="J118" s="232"/>
      <c r="K118" s="232"/>
      <c r="L118" s="232"/>
      <c r="M118" s="1293"/>
      <c r="O118" s="286" t="s">
        <v>73</v>
      </c>
      <c r="P118" s="286" t="s">
        <v>170</v>
      </c>
      <c r="Q118" s="286" t="s">
        <v>30</v>
      </c>
      <c r="R118" s="1238"/>
      <c r="S118" s="286" t="s">
        <v>452</v>
      </c>
      <c r="T118" s="286"/>
      <c r="U118" s="1239" t="s">
        <v>1164</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t="str">
        <f>IFERROR(__xludf.DUMMYFUNCTION("""COMPUTED_VALUE"""),"6月")</f>
        <v>6月</v>
      </c>
      <c r="C119" s="981" t="str">
        <f>IFERROR(__xludf.DUMMYFUNCTION("""COMPUTED_VALUE"""),"16日")</f>
        <v>16日</v>
      </c>
      <c r="D119" s="981" t="str">
        <f>IFERROR(__xludf.DUMMYFUNCTION("""COMPUTED_VALUE"""),"手配ミス")</f>
        <v>手配ミス</v>
      </c>
      <c r="E119" s="981" t="str">
        <f>IFERROR(__xludf.DUMMYFUNCTION("""COMPUTED_VALUE"""),"エリ")</f>
        <v>エリ</v>
      </c>
      <c r="F119" s="981" t="str">
        <f>IFERROR(__xludf.DUMMYFUNCTION("""COMPUTED_VALUE"""),"－")</f>
        <v>－</v>
      </c>
      <c r="G119" s="1292" t="str">
        <f>IFERROR(__xludf.DUMMYFUNCTION("""COMPUTED_VALUE"""),"ベッドガードの設置漏れ")</f>
        <v>ベッドガードの設置漏れ</v>
      </c>
      <c r="H119" s="232"/>
      <c r="I119" s="232"/>
      <c r="J119" s="232"/>
      <c r="K119" s="232"/>
      <c r="L119" s="232"/>
      <c r="M119" s="1293"/>
      <c r="O119" s="286" t="s">
        <v>73</v>
      </c>
      <c r="P119" s="286" t="s">
        <v>170</v>
      </c>
      <c r="Q119" s="286" t="s">
        <v>30</v>
      </c>
      <c r="R119" s="1238"/>
      <c r="S119" s="286" t="s">
        <v>142</v>
      </c>
      <c r="T119" s="286"/>
      <c r="U119" s="1239" t="s">
        <v>1164</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t="str">
        <f>IFERROR(__xludf.DUMMYFUNCTION("""COMPUTED_VALUE"""),"6月")</f>
        <v>6月</v>
      </c>
      <c r="C120" s="981" t="str">
        <f>IFERROR(__xludf.DUMMYFUNCTION("""COMPUTED_VALUE"""),"25日")</f>
        <v>25日</v>
      </c>
      <c r="D120" s="981" t="str">
        <f>IFERROR(__xludf.DUMMYFUNCTION("""COMPUTED_VALUE"""),"清掃不備")</f>
        <v>清掃不備</v>
      </c>
      <c r="E120" s="981" t="str">
        <f>IFERROR(__xludf.DUMMYFUNCTION("""COMPUTED_VALUE"""),"ティラク")</f>
        <v>ティラク</v>
      </c>
      <c r="F120" s="981" t="str">
        <f>IFERROR(__xludf.DUMMYFUNCTION("""COMPUTED_VALUE"""),"ブラトキ")</f>
        <v>ブラトキ</v>
      </c>
      <c r="G120" s="1292" t="str">
        <f>IFERROR(__xludf.DUMMYFUNCTION("""COMPUTED_VALUE"""),"ガラス片が床に落ちてた。")</f>
        <v>ガラス片が床に落ちてた。</v>
      </c>
      <c r="H120" s="232"/>
      <c r="I120" s="232"/>
      <c r="J120" s="232"/>
      <c r="K120" s="232"/>
      <c r="L120" s="232"/>
      <c r="M120" s="1293"/>
      <c r="O120" s="286" t="s">
        <v>73</v>
      </c>
      <c r="P120" s="286" t="s">
        <v>170</v>
      </c>
      <c r="Q120" s="286" t="s">
        <v>30</v>
      </c>
      <c r="R120" s="1238"/>
      <c r="S120" s="286" t="s">
        <v>142</v>
      </c>
      <c r="T120" s="286"/>
      <c r="U120" s="1239" t="s">
        <v>1165</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t="str">
        <f>IFERROR(__xludf.DUMMYFUNCTION("""COMPUTED_VALUE"""),"6月")</f>
        <v>6月</v>
      </c>
      <c r="C121" s="981" t="str">
        <f>IFERROR(__xludf.DUMMYFUNCTION("""COMPUTED_VALUE"""),"26日")</f>
        <v>26日</v>
      </c>
      <c r="D121" s="981" t="str">
        <f>IFERROR(__xludf.DUMMYFUNCTION("""COMPUTED_VALUE"""),"セット漏れ")</f>
        <v>セット漏れ</v>
      </c>
      <c r="E121" s="981" t="str">
        <f>IFERROR(__xludf.DUMMYFUNCTION("""COMPUTED_VALUE"""),"ティラク")</f>
        <v>ティラク</v>
      </c>
      <c r="F121" s="981" t="str">
        <f>IFERROR(__xludf.DUMMYFUNCTION("""COMPUTED_VALUE"""),"ブラトキ")</f>
        <v>ブラトキ</v>
      </c>
      <c r="G121" s="1292" t="str">
        <f>IFERROR(__xludf.DUMMYFUNCTION("""COMPUTED_VALUE"""),"バスマット設置漏れ")</f>
        <v>バスマット設置漏れ</v>
      </c>
      <c r="H121" s="232"/>
      <c r="I121" s="232"/>
      <c r="J121" s="232"/>
      <c r="K121" s="232"/>
      <c r="L121" s="232"/>
      <c r="M121" s="1293"/>
      <c r="O121" s="286" t="s">
        <v>73</v>
      </c>
      <c r="P121" s="286" t="s">
        <v>170</v>
      </c>
      <c r="Q121" s="286" t="s">
        <v>30</v>
      </c>
      <c r="R121" s="1238"/>
      <c r="S121" s="286" t="s">
        <v>142</v>
      </c>
      <c r="T121" s="286"/>
      <c r="U121" s="1239" t="s">
        <v>1165</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t="str">
        <f>IFERROR(__xludf.DUMMYFUNCTION("""COMPUTED_VALUE"""),"6月")</f>
        <v>6月</v>
      </c>
      <c r="C122" s="981" t="str">
        <f>IFERROR(__xludf.DUMMYFUNCTION("""COMPUTED_VALUE"""),"26日")</f>
        <v>26日</v>
      </c>
      <c r="D122" s="981" t="str">
        <f>IFERROR(__xludf.DUMMYFUNCTION("""COMPUTED_VALUE"""),"残置")</f>
        <v>残置</v>
      </c>
      <c r="E122" s="981" t="str">
        <f>IFERROR(__xludf.DUMMYFUNCTION("""COMPUTED_VALUE"""),"佐藤")</f>
        <v>佐藤</v>
      </c>
      <c r="F122" s="981" t="str">
        <f>IFERROR(__xludf.DUMMYFUNCTION("""COMPUTED_VALUE"""),"プラミラ")</f>
        <v>プラミラ</v>
      </c>
      <c r="G122" s="1292" t="str">
        <f>IFERROR(__xludf.DUMMYFUNCTION("""COMPUTED_VALUE"""),"冷蔵庫の前に吸い殻と葉っぱがありました。")</f>
        <v>冷蔵庫の前に吸い殻と葉っぱがありました。</v>
      </c>
      <c r="H122" s="232"/>
      <c r="I122" s="232"/>
      <c r="J122" s="232"/>
      <c r="K122" s="232"/>
      <c r="L122" s="232"/>
      <c r="M122" s="1293"/>
      <c r="O122" s="286" t="s">
        <v>73</v>
      </c>
      <c r="P122" s="286" t="s">
        <v>170</v>
      </c>
      <c r="Q122" s="286" t="s">
        <v>30</v>
      </c>
      <c r="R122" s="1238"/>
      <c r="S122" s="286" t="s">
        <v>1023</v>
      </c>
      <c r="T122" s="286"/>
      <c r="U122" s="1239" t="s">
        <v>1165</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t="str">
        <f>IFERROR(__xludf.DUMMYFUNCTION("""COMPUTED_VALUE"""),"7月")</f>
        <v>7月</v>
      </c>
      <c r="C123" s="981" t="str">
        <f>IFERROR(__xludf.DUMMYFUNCTION("""COMPUTED_VALUE"""),"2日")</f>
        <v>2日</v>
      </c>
      <c r="D123" s="981" t="str">
        <f>IFERROR(__xludf.DUMMYFUNCTION("""COMPUTED_VALUE"""),"清掃不備")</f>
        <v>清掃不備</v>
      </c>
      <c r="E123" s="981" t="str">
        <f>IFERROR(__xludf.DUMMYFUNCTION("""COMPUTED_VALUE"""),"エリ")</f>
        <v>エリ</v>
      </c>
      <c r="F123" s="981" t="str">
        <f>IFERROR(__xludf.DUMMYFUNCTION("""COMPUTED_VALUE"""),"プラミラ")</f>
        <v>プラミラ</v>
      </c>
      <c r="G123" s="1292" t="str">
        <f>IFERROR(__xludf.DUMMYFUNCTION("""COMPUTED_VALUE"""),"ドアの裏側に割りばしの袋あり。")</f>
        <v>ドアの裏側に割りばしの袋あり。</v>
      </c>
      <c r="H123" s="232"/>
      <c r="I123" s="232"/>
      <c r="J123" s="232"/>
      <c r="K123" s="232"/>
      <c r="L123" s="232"/>
      <c r="M123" s="1293"/>
      <c r="O123" s="286" t="s">
        <v>73</v>
      </c>
      <c r="P123" s="286" t="s">
        <v>170</v>
      </c>
      <c r="Q123" s="286" t="s">
        <v>30</v>
      </c>
      <c r="R123" s="1238"/>
      <c r="S123" s="286" t="s">
        <v>1023</v>
      </c>
      <c r="T123" s="286"/>
      <c r="U123" s="1239" t="s">
        <v>1165</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t="str">
        <f>IFERROR(__xludf.DUMMYFUNCTION("""COMPUTED_VALUE"""),"7月")</f>
        <v>7月</v>
      </c>
      <c r="C124" s="981" t="str">
        <f>IFERROR(__xludf.DUMMYFUNCTION("""COMPUTED_VALUE"""),"2日")</f>
        <v>2日</v>
      </c>
      <c r="D124" s="981" t="str">
        <f>IFERROR(__xludf.DUMMYFUNCTION("""COMPUTED_VALUE"""),"セット漏れ")</f>
        <v>セット漏れ</v>
      </c>
      <c r="E124" s="981" t="str">
        <f>IFERROR(__xludf.DUMMYFUNCTION("""COMPUTED_VALUE"""),"宇佐見")</f>
        <v>宇佐見</v>
      </c>
      <c r="F124" s="981" t="str">
        <f>IFERROR(__xludf.DUMMYFUNCTION("""COMPUTED_VALUE"""),"ルパ")</f>
        <v>ルパ</v>
      </c>
      <c r="G124" s="1292" t="str">
        <f>IFERROR(__xludf.DUMMYFUNCTION("""COMPUTED_VALUE"""),"ボディーソープ設置漏れ")</f>
        <v>ボディーソープ設置漏れ</v>
      </c>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t="str">
        <f>IFERROR(__xludf.DUMMYFUNCTION("""COMPUTED_VALUE"""),"7月")</f>
        <v>7月</v>
      </c>
      <c r="C125" s="981" t="str">
        <f>IFERROR(__xludf.DUMMYFUNCTION("""COMPUTED_VALUE"""),"14日")</f>
        <v>14日</v>
      </c>
      <c r="D125" s="981" t="str">
        <f>IFERROR(__xludf.DUMMYFUNCTION("""COMPUTED_VALUE"""),"セット漏れ")</f>
        <v>セット漏れ</v>
      </c>
      <c r="E125" s="981" t="str">
        <f>IFERROR(__xludf.DUMMYFUNCTION("""COMPUTED_VALUE"""),"カン")</f>
        <v>カン</v>
      </c>
      <c r="F125" s="981" t="str">
        <f>IFERROR(__xludf.DUMMYFUNCTION("""COMPUTED_VALUE"""),"サンタ")</f>
        <v>サンタ</v>
      </c>
      <c r="G125" s="1292" t="str">
        <f>IFERROR(__xludf.DUMMYFUNCTION("""COMPUTED_VALUE"""),"2名セットになってなかった。")</f>
        <v>2名セットになってなかった。</v>
      </c>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t="str">
        <f>IFERROR(__xludf.DUMMYFUNCTION("""COMPUTED_VALUE"""),"7月")</f>
        <v>7月</v>
      </c>
      <c r="C126" s="981" t="str">
        <f>IFERROR(__xludf.DUMMYFUNCTION("""COMPUTED_VALUE"""),"25日")</f>
        <v>25日</v>
      </c>
      <c r="D126" s="981" t="str">
        <f>IFERROR(__xludf.DUMMYFUNCTION("""COMPUTED_VALUE"""),"汚れ")</f>
        <v>汚れ</v>
      </c>
      <c r="E126" s="981" t="str">
        <f>IFERROR(__xludf.DUMMYFUNCTION("""COMPUTED_VALUE"""),"佐藤")</f>
        <v>佐藤</v>
      </c>
      <c r="F126" s="981" t="str">
        <f>IFERROR(__xludf.DUMMYFUNCTION("""COMPUTED_VALUE"""),"小林")</f>
        <v>小林</v>
      </c>
      <c r="G126" s="1292" t="str">
        <f>IFERROR(__xludf.DUMMYFUNCTION("""COMPUTED_VALUE"""),"トイレ汚れ")</f>
        <v>トイレ汚れ</v>
      </c>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t="str">
        <f>IFERROR(__xludf.DUMMYFUNCTION("""COMPUTED_VALUE"""),"7月")</f>
        <v>7月</v>
      </c>
      <c r="C127" s="981" t="str">
        <f>IFERROR(__xludf.DUMMYFUNCTION("""COMPUTED_VALUE"""),"28日")</f>
        <v>28日</v>
      </c>
      <c r="D127" s="981" t="str">
        <f>IFERROR(__xludf.DUMMYFUNCTION("""COMPUTED_VALUE"""),"セット漏れ")</f>
        <v>セット漏れ</v>
      </c>
      <c r="E127" s="981" t="str">
        <f>IFERROR(__xludf.DUMMYFUNCTION("""COMPUTED_VALUE"""),"エリ")</f>
        <v>エリ</v>
      </c>
      <c r="F127" s="981" t="str">
        <f>IFERROR(__xludf.DUMMYFUNCTION("""COMPUTED_VALUE"""),"ルパ")</f>
        <v>ルパ</v>
      </c>
      <c r="G127" s="1292" t="str">
        <f>IFERROR(__xludf.DUMMYFUNCTION("""COMPUTED_VALUE"""),"シャンプーがなくボディーソープが2本ある")</f>
        <v>シャンプーがなくボディーソープが2本ある</v>
      </c>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t="str">
        <f>IFERROR(__xludf.DUMMYFUNCTION("""COMPUTED_VALUE"""),"8月")</f>
        <v>8月</v>
      </c>
      <c r="C128" s="981" t="str">
        <f>IFERROR(__xludf.DUMMYFUNCTION("""COMPUTED_VALUE"""),"7日")</f>
        <v>7日</v>
      </c>
      <c r="D128" s="981" t="str">
        <f>IFERROR(__xludf.DUMMYFUNCTION("""COMPUTED_VALUE"""),"口コミ")</f>
        <v>口コミ</v>
      </c>
      <c r="E128" s="981"/>
      <c r="F128" s="981"/>
      <c r="G128" s="1292" t="str">
        <f>IFERROR(__xludf.DUMMYFUNCTION("""COMPUTED_VALUE"""),"ドアの後ろカビがある。メイド笑顔でいなかった。")</f>
        <v>ドアの後ろカビがある。メイド笑顔でいなかった。</v>
      </c>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t="str">
        <f>IFERROR(__xludf.DUMMYFUNCTION("""COMPUTED_VALUE"""),"8月")</f>
        <v>8月</v>
      </c>
      <c r="C129" s="981" t="str">
        <f>IFERROR(__xludf.DUMMYFUNCTION("""COMPUTED_VALUE"""),"13日")</f>
        <v>13日</v>
      </c>
      <c r="D129" s="981" t="str">
        <f>IFERROR(__xludf.DUMMYFUNCTION("""COMPUTED_VALUE"""),"清掃不備")</f>
        <v>清掃不備</v>
      </c>
      <c r="E129" s="981" t="str">
        <f>IFERROR(__xludf.DUMMYFUNCTION("""COMPUTED_VALUE"""),"エリ")</f>
        <v>エリ</v>
      </c>
      <c r="F129" s="981" t="str">
        <f>IFERROR(__xludf.DUMMYFUNCTION("""COMPUTED_VALUE"""),"ビケス")</f>
        <v>ビケス</v>
      </c>
      <c r="G129" s="1292" t="str">
        <f>IFERROR(__xludf.DUMMYFUNCTION("""COMPUTED_VALUE"""),"排水口つまり,ケトルに生きてる小さい虫がいた")</f>
        <v>排水口つまり,ケトルに生きてる小さい虫がいた</v>
      </c>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t="str">
        <f>IFERROR(__xludf.DUMMYFUNCTION("""COMPUTED_VALUE"""),"8月")</f>
        <v>8月</v>
      </c>
      <c r="C130" s="981" t="str">
        <f>IFERROR(__xludf.DUMMYFUNCTION("""COMPUTED_VALUE"""),"13日")</f>
        <v>13日</v>
      </c>
      <c r="D130" s="981" t="str">
        <f>IFERROR(__xludf.DUMMYFUNCTION("""COMPUTED_VALUE"""),"髪の毛")</f>
        <v>髪の毛</v>
      </c>
      <c r="E130" s="981" t="str">
        <f>IFERROR(__xludf.DUMMYFUNCTION("""COMPUTED_VALUE"""),"カン")</f>
        <v>カン</v>
      </c>
      <c r="F130" s="981" t="str">
        <f>IFERROR(__xludf.DUMMYFUNCTION("""COMPUTED_VALUE"""),"サンタ")</f>
        <v>サンタ</v>
      </c>
      <c r="G130" s="1292" t="str">
        <f>IFERROR(__xludf.DUMMYFUNCTION("""COMPUTED_VALUE"""),"バスルーム異臭バスタブに髪の毛とざらつ き")</f>
        <v>バスルーム異臭バスタブに髪の毛とざらつ き</v>
      </c>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t="str">
        <f>IFERROR(__xludf.DUMMYFUNCTION("""COMPUTED_VALUE"""),"8月")</f>
        <v>8月</v>
      </c>
      <c r="C131" s="981" t="str">
        <f>IFERROR(__xludf.DUMMYFUNCTION("""COMPUTED_VALUE"""),"17日")</f>
        <v>17日</v>
      </c>
      <c r="D131" s="981" t="str">
        <f>IFERROR(__xludf.DUMMYFUNCTION("""COMPUTED_VALUE"""),"口コミ")</f>
        <v>口コミ</v>
      </c>
      <c r="E131" s="981" t="str">
        <f>IFERROR(__xludf.DUMMYFUNCTION("""COMPUTED_VALUE"""),"ティラク")</f>
        <v>ティラク</v>
      </c>
      <c r="F131" s="981" t="str">
        <f>IFERROR(__xludf.DUMMYFUNCTION("""COMPUTED_VALUE"""),"プラミラ")</f>
        <v>プラミラ</v>
      </c>
      <c r="G131" s="1292" t="str">
        <f>IFERROR(__xludf.DUMMYFUNCTION("""COMPUTED_VALUE"""),"清掃甘い。髪の毛と床にゴミがある。カーペット汚れ。")</f>
        <v>清掃甘い。髪の毛と床にゴミがある。カーペット汚れ。</v>
      </c>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t="str">
        <f>IFERROR(__xludf.DUMMYFUNCTION("""COMPUTED_VALUE"""),"8月")</f>
        <v>8月</v>
      </c>
      <c r="C132" s="981" t="str">
        <f>IFERROR(__xludf.DUMMYFUNCTION("""COMPUTED_VALUE"""),"19日")</f>
        <v>19日</v>
      </c>
      <c r="D132" s="981" t="str">
        <f>IFERROR(__xludf.DUMMYFUNCTION("""COMPUTED_VALUE"""),"清掃不備")</f>
        <v>清掃不備</v>
      </c>
      <c r="E132" s="981" t="str">
        <f>IFERROR(__xludf.DUMMYFUNCTION("""COMPUTED_VALUE"""),"－")</f>
        <v>－</v>
      </c>
      <c r="F132" s="981" t="str">
        <f>IFERROR(__xludf.DUMMYFUNCTION("""COMPUTED_VALUE"""),"－")</f>
        <v>－</v>
      </c>
      <c r="G132" s="1292" t="str">
        <f>IFERROR(__xludf.DUMMYFUNCTION("""COMPUTED_VALUE"""),"ステイ清掃時事物の扱いが雑だったと CO時クレーム有")</f>
        <v>ステイ清掃時事物の扱いが雑だったと CO時クレーム有</v>
      </c>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t="str">
        <f>IFERROR(__xludf.DUMMYFUNCTION("""COMPUTED_VALUE"""),"8月")</f>
        <v>8月</v>
      </c>
      <c r="C133" s="981" t="str">
        <f>IFERROR(__xludf.DUMMYFUNCTION("""COMPUTED_VALUE"""),"20日")</f>
        <v>20日</v>
      </c>
      <c r="D133" s="981" t="str">
        <f>IFERROR(__xludf.DUMMYFUNCTION("""COMPUTED_VALUE"""),"口コミ")</f>
        <v>口コミ</v>
      </c>
      <c r="E133" s="981" t="str">
        <f>IFERROR(__xludf.DUMMYFUNCTION("""COMPUTED_VALUE"""),"－")</f>
        <v>－</v>
      </c>
      <c r="F133" s="981" t="str">
        <f>IFERROR(__xludf.DUMMYFUNCTION("""COMPUTED_VALUE"""),"－")</f>
        <v>－</v>
      </c>
      <c r="G133" s="1292" t="str">
        <f>IFERROR(__xludf.DUMMYFUNCTION("""COMPUTED_VALUE"""),"一番の不満は清掃スタッフです。")</f>
        <v>一番の不満は清掃スタッフです。</v>
      </c>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t="str">
        <f>IFERROR(__xludf.DUMMYFUNCTION("""COMPUTED_VALUE"""),"8月")</f>
        <v>8月</v>
      </c>
      <c r="C134" s="981" t="str">
        <f>IFERROR(__xludf.DUMMYFUNCTION("""COMPUTED_VALUE"""),"21日")</f>
        <v>21日</v>
      </c>
      <c r="D134" s="981" t="str">
        <f>IFERROR(__xludf.DUMMYFUNCTION("""COMPUTED_VALUE"""),"手配ミス")</f>
        <v>手配ミス</v>
      </c>
      <c r="E134" s="981" t="str">
        <f>IFERROR(__xludf.DUMMYFUNCTION("""COMPUTED_VALUE"""),"ティラク")</f>
        <v>ティラク</v>
      </c>
      <c r="F134" s="981" t="str">
        <f>IFERROR(__xludf.DUMMYFUNCTION("""COMPUTED_VALUE"""),"プラミラ")</f>
        <v>プラミラ</v>
      </c>
      <c r="G134" s="1292" t="str">
        <f>IFERROR(__xludf.DUMMYFUNCTION("""COMPUTED_VALUE"""),"通常清掃必備だったが入っていなっかった")</f>
        <v>通常清掃必備だったが入っていなっかった</v>
      </c>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t="str">
        <f>IFERROR(__xludf.DUMMYFUNCTION("""COMPUTED_VALUE"""),"8月")</f>
        <v>8月</v>
      </c>
      <c r="C135" s="981" t="str">
        <f>IFERROR(__xludf.DUMMYFUNCTION("""COMPUTED_VALUE"""),"21日")</f>
        <v>21日</v>
      </c>
      <c r="D135" s="981" t="str">
        <f>IFERROR(__xludf.DUMMYFUNCTION("""COMPUTED_VALUE"""),"セット漏れ")</f>
        <v>セット漏れ</v>
      </c>
      <c r="E135" s="981" t="str">
        <f>IFERROR(__xludf.DUMMYFUNCTION("""COMPUTED_VALUE"""),"カン")</f>
        <v>カン</v>
      </c>
      <c r="F135" s="981" t="str">
        <f>IFERROR(__xludf.DUMMYFUNCTION("""COMPUTED_VALUE"""),"早川")</f>
        <v>早川</v>
      </c>
      <c r="G135" s="1292" t="str">
        <f>IFERROR(__xludf.DUMMYFUNCTION("""COMPUTED_VALUE"""),"2名セットになってなかった。")</f>
        <v>2名セットになってなかった。</v>
      </c>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t="str">
        <f>IFERROR(__xludf.DUMMYFUNCTION("""COMPUTED_VALUE"""),"8月")</f>
        <v>8月</v>
      </c>
      <c r="C136" s="981" t="str">
        <f>IFERROR(__xludf.DUMMYFUNCTION("""COMPUTED_VALUE"""),"27日")</f>
        <v>27日</v>
      </c>
      <c r="D136" s="981" t="str">
        <f>IFERROR(__xludf.DUMMYFUNCTION("""COMPUTED_VALUE"""),"汚れ")</f>
        <v>汚れ</v>
      </c>
      <c r="E136" s="981" t="str">
        <f>IFERROR(__xludf.DUMMYFUNCTION("""COMPUTED_VALUE"""),"エリ")</f>
        <v>エリ</v>
      </c>
      <c r="F136" s="981" t="str">
        <f>IFERROR(__xludf.DUMMYFUNCTION("""COMPUTED_VALUE"""),"プラミラ")</f>
        <v>プラミラ</v>
      </c>
      <c r="G136" s="1292" t="str">
        <f>IFERROR(__xludf.DUMMYFUNCTION("""COMPUTED_VALUE"""),"洗面台サビ，ハンドソープに髪の毛あり")</f>
        <v>洗面台サビ，ハンドソープに髪の毛あり</v>
      </c>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t="str">
        <f>IFERROR(__xludf.DUMMYFUNCTION("""COMPUTED_VALUE"""),"8月")</f>
        <v>8月</v>
      </c>
      <c r="C137" s="981" t="str">
        <f>IFERROR(__xludf.DUMMYFUNCTION("""COMPUTED_VALUE"""),"27日")</f>
        <v>27日</v>
      </c>
      <c r="D137" s="981" t="str">
        <f>IFERROR(__xludf.DUMMYFUNCTION("""COMPUTED_VALUE"""),"清掃不備")</f>
        <v>清掃不備</v>
      </c>
      <c r="E137" s="981" t="str">
        <f>IFERROR(__xludf.DUMMYFUNCTION("""COMPUTED_VALUE"""),"ガルセス")</f>
        <v>ガルセス</v>
      </c>
      <c r="F137" s="981" t="str">
        <f>IFERROR(__xludf.DUMMYFUNCTION("""COMPUTED_VALUE"""),"ー")</f>
        <v>ー</v>
      </c>
      <c r="G137" s="1292" t="str">
        <f>IFERROR(__xludf.DUMMYFUNCTION("""COMPUTED_VALUE"""),"廊下に食べかけのドロップが落ちていた")</f>
        <v>廊下に食べかけのドロップが落ちていた</v>
      </c>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t="str">
        <f>IFERROR(__xludf.DUMMYFUNCTION("""COMPUTED_VALUE"""),"8月")</f>
        <v>8月</v>
      </c>
      <c r="C138" s="981" t="str">
        <f>IFERROR(__xludf.DUMMYFUNCTION("""COMPUTED_VALUE"""),"31日")</f>
        <v>31日</v>
      </c>
      <c r="D138" s="981" t="str">
        <f>IFERROR(__xludf.DUMMYFUNCTION("""COMPUTED_VALUE"""),"口コミ")</f>
        <v>口コミ</v>
      </c>
      <c r="E138" s="981" t="str">
        <f>IFERROR(__xludf.DUMMYFUNCTION("""COMPUTED_VALUE"""),"―")</f>
        <v>―</v>
      </c>
      <c r="F138" s="981" t="str">
        <f>IFERROR(__xludf.DUMMYFUNCTION("""COMPUTED_VALUE"""),"―")</f>
        <v>―</v>
      </c>
      <c r="G138" s="1292" t="str">
        <f>IFERROR(__xludf.DUMMYFUNCTION("""COMPUTED_VALUE"""),"お風呂の匂いあり，ゴミ箱の蓋は目に見えて汚れています。")</f>
        <v>お風呂の匂いあり，ゴミ箱の蓋は目に見えて汚れています。</v>
      </c>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t="str">
        <f>IFERROR(__xludf.DUMMYFUNCTION("""COMPUTED_VALUE"""),"9月")</f>
        <v>9月</v>
      </c>
      <c r="C139" s="981" t="str">
        <f>IFERROR(__xludf.DUMMYFUNCTION("""COMPUTED_VALUE"""),"4日")</f>
        <v>4日</v>
      </c>
      <c r="D139" s="981" t="str">
        <f>IFERROR(__xludf.DUMMYFUNCTION("""COMPUTED_VALUE"""),"その他")</f>
        <v>その他</v>
      </c>
      <c r="E139" s="981" t="str">
        <f>IFERROR(__xludf.DUMMYFUNCTION("""COMPUTED_VALUE"""),"宇佐見")</f>
        <v>宇佐見</v>
      </c>
      <c r="F139" s="981" t="str">
        <f>IFERROR(__xludf.DUMMYFUNCTION("""COMPUTED_VALUE"""),"大沼")</f>
        <v>大沼</v>
      </c>
      <c r="G139" s="1292" t="str">
        <f>IFERROR(__xludf.DUMMYFUNCTION("""COMPUTED_VALUE"""),"ドア全開。ドアの裏側に紙がありました。")</f>
        <v>ドア全開。ドアの裏側に紙がありました。</v>
      </c>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t="str">
        <f>IFERROR(__xludf.DUMMYFUNCTION("""COMPUTED_VALUE"""),"9月")</f>
        <v>9月</v>
      </c>
      <c r="C140" s="981" t="str">
        <f>IFERROR(__xludf.DUMMYFUNCTION("""COMPUTED_VALUE"""),"6日")</f>
        <v>6日</v>
      </c>
      <c r="D140" s="981" t="str">
        <f>IFERROR(__xludf.DUMMYFUNCTION("""COMPUTED_VALUE"""),"残置")</f>
        <v>残置</v>
      </c>
      <c r="E140" s="981" t="str">
        <f>IFERROR(__xludf.DUMMYFUNCTION("""COMPUTED_VALUE"""),"ティラク")</f>
        <v>ティラク</v>
      </c>
      <c r="F140" s="981" t="str">
        <f>IFERROR(__xludf.DUMMYFUNCTION("""COMPUTED_VALUE"""),"早川")</f>
        <v>早川</v>
      </c>
      <c r="G140" s="1292" t="str">
        <f>IFERROR(__xludf.DUMMYFUNCTION("""COMPUTED_VALUE"""),"8/30にCOしたお客さんの携帯見つかりました。")</f>
        <v>8/30にCOしたお客さんの携帯見つかりました。</v>
      </c>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t="str">
        <f>IFERROR(__xludf.DUMMYFUNCTION("""COMPUTED_VALUE"""),"9月")</f>
        <v>9月</v>
      </c>
      <c r="C141" s="981" t="str">
        <f>IFERROR(__xludf.DUMMYFUNCTION("""COMPUTED_VALUE"""),"6日")</f>
        <v>6日</v>
      </c>
      <c r="D141" s="981" t="str">
        <f>IFERROR(__xludf.DUMMYFUNCTION("""COMPUTED_VALUE"""),"口コミ")</f>
        <v>口コミ</v>
      </c>
      <c r="E141" s="981" t="str">
        <f>IFERROR(__xludf.DUMMYFUNCTION("""COMPUTED_VALUE"""),"―")</f>
        <v>―</v>
      </c>
      <c r="F141" s="981" t="str">
        <f>IFERROR(__xludf.DUMMYFUNCTION("""COMPUTED_VALUE"""),"―")</f>
        <v>―</v>
      </c>
      <c r="G141" s="1292" t="str">
        <f>IFERROR(__xludf.DUMMYFUNCTION("""COMPUTED_VALUE"""),"ベッドサイドに埃が多すぎる")</f>
        <v>ベッドサイドに埃が多すぎる</v>
      </c>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t="str">
        <f>IFERROR(__xludf.DUMMYFUNCTION("""COMPUTED_VALUE"""),"9月")</f>
        <v>9月</v>
      </c>
      <c r="C142" s="981" t="str">
        <f>IFERROR(__xludf.DUMMYFUNCTION("""COMPUTED_VALUE"""),"16日")</f>
        <v>16日</v>
      </c>
      <c r="D142" s="981" t="str">
        <f>IFERROR(__xludf.DUMMYFUNCTION("""COMPUTED_VALUE"""),"セット漏れ")</f>
        <v>セット漏れ</v>
      </c>
      <c r="E142" s="981" t="str">
        <f>IFERROR(__xludf.DUMMYFUNCTION("""COMPUTED_VALUE"""),"カン")</f>
        <v>カン</v>
      </c>
      <c r="F142" s="981" t="str">
        <f>IFERROR(__xludf.DUMMYFUNCTION("""COMPUTED_VALUE"""),"ー")</f>
        <v>ー</v>
      </c>
      <c r="G142" s="1292" t="str">
        <f>IFERROR(__xludf.DUMMYFUNCTION("""COMPUTED_VALUE"""),"ランドリー袋設置漏れ")</f>
        <v>ランドリー袋設置漏れ</v>
      </c>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t="str">
        <f>IFERROR(__xludf.DUMMYFUNCTION("""COMPUTED_VALUE"""),"9月")</f>
        <v>9月</v>
      </c>
      <c r="C143" s="981" t="str">
        <f>IFERROR(__xludf.DUMMYFUNCTION("""COMPUTED_VALUE"""),"16日")</f>
        <v>16日</v>
      </c>
      <c r="D143" s="981" t="str">
        <f>IFERROR(__xludf.DUMMYFUNCTION("""COMPUTED_VALUE"""),"残置")</f>
        <v>残置</v>
      </c>
      <c r="E143" s="981" t="str">
        <f>IFERROR(__xludf.DUMMYFUNCTION("""COMPUTED_VALUE"""),"小田原")</f>
        <v>小田原</v>
      </c>
      <c r="F143" s="981" t="str">
        <f>IFERROR(__xludf.DUMMYFUNCTION("""COMPUTED_VALUE"""),"大沼")</f>
        <v>大沼</v>
      </c>
      <c r="G143" s="1292" t="str">
        <f>IFERROR(__xludf.DUMMYFUNCTION("""COMPUTED_VALUE"""),"違う部屋のrk残ってきた")</f>
        <v>違う部屋のrk残ってきた</v>
      </c>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t="str">
        <f>IFERROR(__xludf.DUMMYFUNCTION("""COMPUTED_VALUE"""),"9月")</f>
        <v>9月</v>
      </c>
      <c r="C144" s="981" t="str">
        <f>IFERROR(__xludf.DUMMYFUNCTION("""COMPUTED_VALUE"""),"22日")</f>
        <v>22日</v>
      </c>
      <c r="D144" s="981" t="str">
        <f>IFERROR(__xludf.DUMMYFUNCTION("""COMPUTED_VALUE"""),"その他")</f>
        <v>その他</v>
      </c>
      <c r="E144" s="981" t="str">
        <f>IFERROR(__xludf.DUMMYFUNCTION("""COMPUTED_VALUE"""),"シャキラ")</f>
        <v>シャキラ</v>
      </c>
      <c r="F144" s="981" t="str">
        <f>IFERROR(__xludf.DUMMYFUNCTION("""COMPUTED_VALUE"""),"ブラトキ")</f>
        <v>ブラトキ</v>
      </c>
      <c r="G144" s="1292" t="str">
        <f>IFERROR(__xludf.DUMMYFUNCTION("""COMPUTED_VALUE"""),"メイドの電気カードカードホルターにありました。")</f>
        <v>メイドの電気カードカードホルターにありました。</v>
      </c>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t="str">
        <f>IFERROR(__xludf.DUMMYFUNCTION("""COMPUTED_VALUE"""),"10月")</f>
        <v>10月</v>
      </c>
      <c r="C145" s="981" t="str">
        <f>IFERROR(__xludf.DUMMYFUNCTION("""COMPUTED_VALUE"""),"5日")</f>
        <v>5日</v>
      </c>
      <c r="D145" s="981" t="str">
        <f>IFERROR(__xludf.DUMMYFUNCTION("""COMPUTED_VALUE"""),"口コミ")</f>
        <v>口コミ</v>
      </c>
      <c r="E145" s="981"/>
      <c r="F145" s="981"/>
      <c r="G145" s="1292" t="str">
        <f>IFERROR(__xludf.DUMMYFUNCTION("""COMPUTED_VALUE"""),"タオルと加湿器のフィルターが少し汚れています")</f>
        <v>タオルと加湿器のフィルターが少し汚れています</v>
      </c>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t="str">
        <f>IFERROR(__xludf.DUMMYFUNCTION("""COMPUTED_VALUE"""),"10月")</f>
        <v>10月</v>
      </c>
      <c r="C146" s="981" t="str">
        <f>IFERROR(__xludf.DUMMYFUNCTION("""COMPUTED_VALUE"""),"9日")</f>
        <v>9日</v>
      </c>
      <c r="D146" s="981" t="str">
        <f>IFERROR(__xludf.DUMMYFUNCTION("""COMPUTED_VALUE"""),"口コミ")</f>
        <v>口コミ</v>
      </c>
      <c r="E146" s="981"/>
      <c r="F146" s="981"/>
      <c r="G146" s="1292" t="str">
        <f>IFERROR(__xludf.DUMMYFUNCTION("""COMPUTED_VALUE"""),"2晩続けてベッドの上に長い髪の毛が落ちていた")</f>
        <v>2晩続けてベッドの上に長い髪の毛が落ちていた</v>
      </c>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t="str">
        <f>IFERROR(__xludf.DUMMYFUNCTION("""COMPUTED_VALUE"""),"10月")</f>
        <v>10月</v>
      </c>
      <c r="C147" s="981" t="str">
        <f>IFERROR(__xludf.DUMMYFUNCTION("""COMPUTED_VALUE"""),"10日")</f>
        <v>10日</v>
      </c>
      <c r="D147" s="981" t="str">
        <f>IFERROR(__xludf.DUMMYFUNCTION("""COMPUTED_VALUE"""),"髪の毛")</f>
        <v>髪の毛</v>
      </c>
      <c r="E147" s="981" t="str">
        <f>IFERROR(__xludf.DUMMYFUNCTION("""COMPUTED_VALUE"""),"カン")</f>
        <v>カン</v>
      </c>
      <c r="F147" s="981" t="str">
        <f>IFERROR(__xludf.DUMMYFUNCTION("""COMPUTED_VALUE"""),"大沼")</f>
        <v>大沼</v>
      </c>
      <c r="G147" s="1292" t="str">
        <f>IFERROR(__xludf.DUMMYFUNCTION("""COMPUTED_VALUE"""),"お風呂に髪の毛")</f>
        <v>お風呂に髪の毛</v>
      </c>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t="str">
        <f>IFERROR(__xludf.DUMMYFUNCTION("""COMPUTED_VALUE"""),"10月")</f>
        <v>10月</v>
      </c>
      <c r="C148" s="981" t="str">
        <f>IFERROR(__xludf.DUMMYFUNCTION("""COMPUTED_VALUE"""),"12日")</f>
        <v>12日</v>
      </c>
      <c r="D148" s="981" t="str">
        <f>IFERROR(__xludf.DUMMYFUNCTION("""COMPUTED_VALUE"""),"セット漏れ")</f>
        <v>セット漏れ</v>
      </c>
      <c r="E148" s="981" t="str">
        <f>IFERROR(__xludf.DUMMYFUNCTION("""COMPUTED_VALUE"""),"カン")</f>
        <v>カン</v>
      </c>
      <c r="F148" s="981" t="str">
        <f>IFERROR(__xludf.DUMMYFUNCTION("""COMPUTED_VALUE"""),"サンタ")</f>
        <v>サンタ</v>
      </c>
      <c r="G148" s="1292" t="str">
        <f>IFERROR(__xludf.DUMMYFUNCTION("""COMPUTED_VALUE"""),"灰皿設置漏れ")</f>
        <v>灰皿設置漏れ</v>
      </c>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t="str">
        <f>IFERROR(__xludf.DUMMYFUNCTION("""COMPUTED_VALUE"""),"10月")</f>
        <v>10月</v>
      </c>
      <c r="C149" s="981" t="str">
        <f>IFERROR(__xludf.DUMMYFUNCTION("""COMPUTED_VALUE"""),"12日")</f>
        <v>12日</v>
      </c>
      <c r="D149" s="981" t="str">
        <f>IFERROR(__xludf.DUMMYFUNCTION("""COMPUTED_VALUE"""),"口コミ")</f>
        <v>口コミ</v>
      </c>
      <c r="E149" s="981"/>
      <c r="F149" s="981"/>
      <c r="G149" s="1292" t="str">
        <f>IFERROR(__xludf.DUMMYFUNCTION("""COMPUTED_VALUE"""),"ベッドサイドの埃")</f>
        <v>ベッドサイドの埃</v>
      </c>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t="str">
        <f>IFERROR(__xludf.DUMMYFUNCTION("""COMPUTED_VALUE"""),"10月")</f>
        <v>10月</v>
      </c>
      <c r="C150" s="981" t="str">
        <f>IFERROR(__xludf.DUMMYFUNCTION("""COMPUTED_VALUE"""),"17日")</f>
        <v>17日</v>
      </c>
      <c r="D150" s="981" t="str">
        <f>IFERROR(__xludf.DUMMYFUNCTION("""COMPUTED_VALUE"""),"髪の毛")</f>
        <v>髪の毛</v>
      </c>
      <c r="E150" s="981" t="str">
        <f>IFERROR(__xludf.DUMMYFUNCTION("""COMPUTED_VALUE"""),"カン")</f>
        <v>カン</v>
      </c>
      <c r="F150" s="981" t="str">
        <f>IFERROR(__xludf.DUMMYFUNCTION("""COMPUTED_VALUE"""),"大沼")</f>
        <v>大沼</v>
      </c>
      <c r="G150" s="1292" t="str">
        <f>IFERROR(__xludf.DUMMYFUNCTION("""COMPUTED_VALUE"""),"シーツに髪の毛あります。")</f>
        <v>シーツに髪の毛あります。</v>
      </c>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t="str">
        <f>IFERROR(__xludf.DUMMYFUNCTION("""COMPUTED_VALUE"""),"10月")</f>
        <v>10月</v>
      </c>
      <c r="C151" s="981" t="str">
        <f>IFERROR(__xludf.DUMMYFUNCTION("""COMPUTED_VALUE"""),"18日")</f>
        <v>18日</v>
      </c>
      <c r="D151" s="981" t="str">
        <f>IFERROR(__xludf.DUMMYFUNCTION("""COMPUTED_VALUE"""),"セット漏れ")</f>
        <v>セット漏れ</v>
      </c>
      <c r="E151" s="981" t="str">
        <f>IFERROR(__xludf.DUMMYFUNCTION("""COMPUTED_VALUE"""),"カン")</f>
        <v>カン</v>
      </c>
      <c r="F151" s="981" t="str">
        <f>IFERROR(__xludf.DUMMYFUNCTION("""COMPUTED_VALUE"""),"大沼")</f>
        <v>大沼</v>
      </c>
      <c r="G151" s="1292" t="str">
        <f>IFERROR(__xludf.DUMMYFUNCTION("""COMPUTED_VALUE"""),"通常清掃の時パジャマとスリッパの入れ忘れ")</f>
        <v>通常清掃の時パジャマとスリッパの入れ忘れ</v>
      </c>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t="str">
        <f>IFERROR(__xludf.DUMMYFUNCTION("""COMPUTED_VALUE"""),"10月")</f>
        <v>10月</v>
      </c>
      <c r="C152" s="981" t="str">
        <f>IFERROR(__xludf.DUMMYFUNCTION("""COMPUTED_VALUE"""),"20日")</f>
        <v>20日</v>
      </c>
      <c r="D152" s="981" t="str">
        <f>IFERROR(__xludf.DUMMYFUNCTION("""COMPUTED_VALUE"""),"口コミ")</f>
        <v>口コミ</v>
      </c>
      <c r="E152" s="981"/>
      <c r="F152" s="981"/>
      <c r="G152" s="1292" t="str">
        <f>IFERROR(__xludf.DUMMYFUNCTION("""COMPUTED_VALUE"""),"部屋に埃あり")</f>
        <v>部屋に埃あり</v>
      </c>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t="str">
        <f>IFERROR(__xludf.DUMMYFUNCTION("""COMPUTED_VALUE"""),"10月")</f>
        <v>10月</v>
      </c>
      <c r="C153" s="981" t="str">
        <f>IFERROR(__xludf.DUMMYFUNCTION("""COMPUTED_VALUE"""),"21日")</f>
        <v>21日</v>
      </c>
      <c r="D153" s="981" t="str">
        <f>IFERROR(__xludf.DUMMYFUNCTION("""COMPUTED_VALUE"""),"セット漏れ")</f>
        <v>セット漏れ</v>
      </c>
      <c r="E153" s="981" t="str">
        <f>IFERROR(__xludf.DUMMYFUNCTION("""COMPUTED_VALUE"""),"エリ")</f>
        <v>エリ</v>
      </c>
      <c r="F153" s="981" t="str">
        <f>IFERROR(__xludf.DUMMYFUNCTION("""COMPUTED_VALUE"""),"プラミラ")</f>
        <v>プラミラ</v>
      </c>
      <c r="G153" s="1292" t="str">
        <f>IFERROR(__xludf.DUMMYFUNCTION("""COMPUTED_VALUE"""),"通常清掃の時パジャマ入れ忘れ")</f>
        <v>通常清掃の時パジャマ入れ忘れ</v>
      </c>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t="str">
        <f>IFERROR(__xludf.DUMMYFUNCTION("""COMPUTED_VALUE"""),"11月")</f>
        <v>11月</v>
      </c>
      <c r="C154" s="981" t="str">
        <f>IFERROR(__xludf.DUMMYFUNCTION("""COMPUTED_VALUE"""),"5日")</f>
        <v>5日</v>
      </c>
      <c r="D154" s="981" t="str">
        <f>IFERROR(__xludf.DUMMYFUNCTION("""COMPUTED_VALUE"""),"残置")</f>
        <v>残置</v>
      </c>
      <c r="E154" s="981" t="str">
        <f>IFERROR(__xludf.DUMMYFUNCTION("""COMPUTED_VALUE"""),"ティラク")</f>
        <v>ティラク</v>
      </c>
      <c r="F154" s="981" t="str">
        <f>IFERROR(__xludf.DUMMYFUNCTION("""COMPUTED_VALUE"""),"早川")</f>
        <v>早川</v>
      </c>
      <c r="G154" s="1292" t="str">
        <f>IFERROR(__xludf.DUMMYFUNCTION("""COMPUTED_VALUE"""),"前泊者の靴下丸いテーブルの横に落ちてた")</f>
        <v>前泊者の靴下丸いテーブルの横に落ちてた</v>
      </c>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t="str">
        <f>IFERROR(__xludf.DUMMYFUNCTION("""COMPUTED_VALUE"""),"11月")</f>
        <v>11月</v>
      </c>
      <c r="C155" s="981" t="str">
        <f>IFERROR(__xludf.DUMMYFUNCTION("""COMPUTED_VALUE"""),"23日")</f>
        <v>23日</v>
      </c>
      <c r="D155" s="981" t="str">
        <f>IFERROR(__xludf.DUMMYFUNCTION("""COMPUTED_VALUE"""),"セット漏れ")</f>
        <v>セット漏れ</v>
      </c>
      <c r="E155" s="981" t="str">
        <f>IFERROR(__xludf.DUMMYFUNCTION("""COMPUTED_VALUE"""),"笹田")</f>
        <v>笹田</v>
      </c>
      <c r="F155" s="981" t="str">
        <f>IFERROR(__xludf.DUMMYFUNCTION("""COMPUTED_VALUE"""),"タン")</f>
        <v>タン</v>
      </c>
      <c r="G155" s="1292" t="str">
        <f>IFERROR(__xludf.DUMMYFUNCTION("""COMPUTED_VALUE"""),"スリッパ設置してなかった")</f>
        <v>スリッパ設置してなかった</v>
      </c>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t="str">
        <f>IFERROR(__xludf.DUMMYFUNCTION("""COMPUTED_VALUE"""),"11月")</f>
        <v>11月</v>
      </c>
      <c r="C156" s="981" t="str">
        <f>IFERROR(__xludf.DUMMYFUNCTION("""COMPUTED_VALUE"""),"26日")</f>
        <v>26日</v>
      </c>
      <c r="D156" s="981"/>
      <c r="E156" s="981"/>
      <c r="F156" s="981"/>
      <c r="G156" s="1292" t="str">
        <f>IFERROR(__xludf.DUMMYFUNCTION("""COMPUTED_VALUE"""),"赤カビと空気清浄機に水残っていた")</f>
        <v>赤カビと空気清浄機に水残っていた</v>
      </c>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t="str">
        <f>IFERROR(__xludf.DUMMYFUNCTION("""COMPUTED_VALUE"""),"11月")</f>
        <v>11月</v>
      </c>
      <c r="C157" s="981" t="str">
        <f>IFERROR(__xludf.DUMMYFUNCTION("""COMPUTED_VALUE"""),"27日")</f>
        <v>27日</v>
      </c>
      <c r="D157" s="981" t="str">
        <f>IFERROR(__xludf.DUMMYFUNCTION("""COMPUTED_VALUE"""),"清掃不備")</f>
        <v>清掃不備</v>
      </c>
      <c r="E157" s="981" t="str">
        <f>IFERROR(__xludf.DUMMYFUNCTION("""COMPUTED_VALUE"""),"佐藤")</f>
        <v>佐藤</v>
      </c>
      <c r="F157" s="981" t="str">
        <f>IFERROR(__xludf.DUMMYFUNCTION("""COMPUTED_VALUE"""),"大沼")</f>
        <v>大沼</v>
      </c>
      <c r="G157" s="1292" t="str">
        <f>IFERROR(__xludf.DUMMYFUNCTION("""COMPUTED_VALUE"""),"シツに髪の毛と爪があった")</f>
        <v>シツに髪の毛と爪があった</v>
      </c>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t="str">
        <f>IFERROR(__xludf.DUMMYFUNCTION("""COMPUTED_VALUE"""),"11月")</f>
        <v>11月</v>
      </c>
      <c r="C158" s="981" t="str">
        <f>IFERROR(__xludf.DUMMYFUNCTION("""COMPUTED_VALUE"""),"28日")</f>
        <v>28日</v>
      </c>
      <c r="D158" s="981" t="str">
        <f>IFERROR(__xludf.DUMMYFUNCTION("""COMPUTED_VALUE"""),"髪の毛")</f>
        <v>髪の毛</v>
      </c>
      <c r="E158" s="981" t="str">
        <f>IFERROR(__xludf.DUMMYFUNCTION("""COMPUTED_VALUE"""),"佐藤")</f>
        <v>佐藤</v>
      </c>
      <c r="F158" s="981" t="str">
        <f>IFERROR(__xludf.DUMMYFUNCTION("""COMPUTED_VALUE"""),"大沼")</f>
        <v>大沼</v>
      </c>
      <c r="G158" s="1292" t="str">
        <f>IFERROR(__xludf.DUMMYFUNCTION("""COMPUTED_VALUE"""),"シーツに髪の毛")</f>
        <v>シーツに髪の毛</v>
      </c>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t="str">
        <f>IFERROR(__xludf.DUMMYFUNCTION("""COMPUTED_VALUE"""),"11月")</f>
        <v>11月</v>
      </c>
      <c r="C159" s="981" t="str">
        <f>IFERROR(__xludf.DUMMYFUNCTION("""COMPUTED_VALUE"""),"28日")</f>
        <v>28日</v>
      </c>
      <c r="D159" s="981" t="str">
        <f>IFERROR(__xludf.DUMMYFUNCTION("""COMPUTED_VALUE"""),"清掃不備")</f>
        <v>清掃不備</v>
      </c>
      <c r="E159" s="981" t="str">
        <f>IFERROR(__xludf.DUMMYFUNCTION("""COMPUTED_VALUE"""),"カン")</f>
        <v>カン</v>
      </c>
      <c r="F159" s="981" t="str">
        <f>IFERROR(__xludf.DUMMYFUNCTION("""COMPUTED_VALUE"""),"サンタ")</f>
        <v>サンタ</v>
      </c>
      <c r="G159" s="1292" t="str">
        <f>IFERROR(__xludf.DUMMYFUNCTION("""COMPUTED_VALUE"""),"ハンガー全くなし")</f>
        <v>ハンガー全くなし</v>
      </c>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t="str">
        <f>IFERROR(__xludf.DUMMYFUNCTION("""COMPUTED_VALUE"""),"12月")</f>
        <v>12月</v>
      </c>
      <c r="C160" s="981" t="str">
        <f>IFERROR(__xludf.DUMMYFUNCTION("""COMPUTED_VALUE"""),"4日")</f>
        <v>4日</v>
      </c>
      <c r="D160" s="981" t="str">
        <f>IFERROR(__xludf.DUMMYFUNCTION("""COMPUTED_VALUE"""),"残置")</f>
        <v>残置</v>
      </c>
      <c r="E160" s="981" t="str">
        <f>IFERROR(__xludf.DUMMYFUNCTION("""COMPUTED_VALUE"""),"カン")</f>
        <v>カン</v>
      </c>
      <c r="F160" s="981" t="str">
        <f>IFERROR(__xludf.DUMMYFUNCTION("""COMPUTED_VALUE"""),"タラ")</f>
        <v>タラ</v>
      </c>
      <c r="G160" s="1292" t="str">
        <f>IFERROR(__xludf.DUMMYFUNCTION("""COMPUTED_VALUE"""),"12／5アウト清掃で見つかった財布12/4COなったお客さんのものでした。")</f>
        <v>12／5アウト清掃で見つかった財布12/4COなったお客さんのものでした。</v>
      </c>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t="str">
        <f>IFERROR(__xludf.DUMMYFUNCTION("""COMPUTED_VALUE"""),"12月")</f>
        <v>12月</v>
      </c>
      <c r="C161" s="981" t="str">
        <f>IFERROR(__xludf.DUMMYFUNCTION("""COMPUTED_VALUE"""),"10日")</f>
        <v>10日</v>
      </c>
      <c r="D161" s="981" t="str">
        <f>IFERROR(__xludf.DUMMYFUNCTION("""COMPUTED_VALUE"""),"その他")</f>
        <v>その他</v>
      </c>
      <c r="E161" s="981" t="str">
        <f>IFERROR(__xludf.DUMMYFUNCTION("""COMPUTED_VALUE"""),"エリ")</f>
        <v>エリ</v>
      </c>
      <c r="F161" s="981"/>
      <c r="G161" s="1292" t="str">
        <f>IFERROR(__xludf.DUMMYFUNCTION("""COMPUTED_VALUE"""),"517、ドアしっかり閉めてなかった。")</f>
        <v>517、ドアしっかり閉めてなかった。</v>
      </c>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t="str">
        <f>IFERROR(__xludf.DUMMYFUNCTION("""COMPUTED_VALUE"""),"12月")</f>
        <v>12月</v>
      </c>
      <c r="C162" s="981" t="str">
        <f>IFERROR(__xludf.DUMMYFUNCTION("""COMPUTED_VALUE"""),"11日")</f>
        <v>11日</v>
      </c>
      <c r="D162" s="981" t="str">
        <f>IFERROR(__xludf.DUMMYFUNCTION("""COMPUTED_VALUE"""),"口コミ")</f>
        <v>口コミ</v>
      </c>
      <c r="E162" s="981" t="str">
        <f>IFERROR(__xludf.DUMMYFUNCTION("""COMPUTED_VALUE"""),"宇佐見")</f>
        <v>宇佐見</v>
      </c>
      <c r="F162" s="981" t="str">
        <f>IFERROR(__xludf.DUMMYFUNCTION("""COMPUTED_VALUE"""),"プラミラ")</f>
        <v>プラミラ</v>
      </c>
      <c r="G162" s="1292" t="str">
        <f>IFERROR(__xludf.DUMMYFUNCTION("""COMPUTED_VALUE"""),"シャワーカーテンが臭かった")</f>
        <v>シャワーカーテンが臭かった</v>
      </c>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t="str">
        <f>IFERROR(__xludf.DUMMYFUNCTION("""COMPUTED_VALUE"""),"12月")</f>
        <v>12月</v>
      </c>
      <c r="C163" s="981" t="str">
        <f>IFERROR(__xludf.DUMMYFUNCTION("""COMPUTED_VALUE"""),"12日")</f>
        <v>12日</v>
      </c>
      <c r="D163" s="981" t="str">
        <f>IFERROR(__xludf.DUMMYFUNCTION("""COMPUTED_VALUE"""),"残置")</f>
        <v>残置</v>
      </c>
      <c r="E163" s="981" t="str">
        <f>IFERROR(__xludf.DUMMYFUNCTION("""COMPUTED_VALUE"""),"エリ")</f>
        <v>エリ</v>
      </c>
      <c r="F163" s="981" t="str">
        <f>IFERROR(__xludf.DUMMYFUNCTION("""COMPUTED_VALUE"""),"ルパ")</f>
        <v>ルパ</v>
      </c>
      <c r="G163" s="1292" t="str">
        <f>IFERROR(__xludf.DUMMYFUNCTION("""COMPUTED_VALUE"""),"部屋の中拭き上げタオル置きっぱなし。")</f>
        <v>部屋の中拭き上げタオル置きっぱなし。</v>
      </c>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t="str">
        <f>IFERROR(__xludf.DUMMYFUNCTION("""COMPUTED_VALUE"""),"12月")</f>
        <v>12月</v>
      </c>
      <c r="C164" s="981" t="str">
        <f>IFERROR(__xludf.DUMMYFUNCTION("""COMPUTED_VALUE"""),"12日")</f>
        <v>12日</v>
      </c>
      <c r="D164" s="981" t="str">
        <f>IFERROR(__xludf.DUMMYFUNCTION("""COMPUTED_VALUE"""),"セット漏れ")</f>
        <v>セット漏れ</v>
      </c>
      <c r="E164" s="981" t="str">
        <f>IFERROR(__xludf.DUMMYFUNCTION("""COMPUTED_VALUE"""),"エリ")</f>
        <v>エリ</v>
      </c>
      <c r="F164" s="981" t="str">
        <f>IFERROR(__xludf.DUMMYFUNCTION("""COMPUTED_VALUE"""),"大沼")</f>
        <v>大沼</v>
      </c>
      <c r="G164" s="1292" t="str">
        <f>IFERROR(__xludf.DUMMYFUNCTION("""COMPUTED_VALUE"""),"タオルセットミス")</f>
        <v>タオルセットミス</v>
      </c>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t="str">
        <f>IFERROR(__xludf.DUMMYFUNCTION("""COMPUTED_VALUE"""),"12月")</f>
        <v>12月</v>
      </c>
      <c r="C165" s="981" t="str">
        <f>IFERROR(__xludf.DUMMYFUNCTION("""COMPUTED_VALUE"""),"13日")</f>
        <v>13日</v>
      </c>
      <c r="D165" s="981" t="str">
        <f>IFERROR(__xludf.DUMMYFUNCTION("""COMPUTED_VALUE"""),"口コミ")</f>
        <v>口コミ</v>
      </c>
      <c r="E165" s="981"/>
      <c r="F165" s="981"/>
      <c r="G165" s="1292" t="str">
        <f>IFERROR(__xludf.DUMMYFUNCTION("""COMPUTED_VALUE"""),"ゴミと判断して捨てた物がある")</f>
        <v>ゴミと判断して捨てた物がある</v>
      </c>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t="str">
        <f>IFERROR(__xludf.DUMMYFUNCTION("""COMPUTED_VALUE"""),"12月")</f>
        <v>12月</v>
      </c>
      <c r="C166" s="981" t="str">
        <f>IFERROR(__xludf.DUMMYFUNCTION("""COMPUTED_VALUE"""),"16日")</f>
        <v>16日</v>
      </c>
      <c r="D166" s="981" t="str">
        <f>IFERROR(__xludf.DUMMYFUNCTION("""COMPUTED_VALUE"""),"セット漏れ")</f>
        <v>セット漏れ</v>
      </c>
      <c r="E166" s="981" t="str">
        <f>IFERROR(__xludf.DUMMYFUNCTION("""COMPUTED_VALUE"""),"笹田")</f>
        <v>笹田</v>
      </c>
      <c r="F166" s="981" t="str">
        <f>IFERROR(__xludf.DUMMYFUNCTION("""COMPUTED_VALUE"""),"プラミラ")</f>
        <v>プラミラ</v>
      </c>
      <c r="G166" s="1292" t="str">
        <f>IFERROR(__xludf.DUMMYFUNCTION("""COMPUTED_VALUE"""),"パジャマ設置漏れ")</f>
        <v>パジャマ設置漏れ</v>
      </c>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t="str">
        <f>IFERROR(__xludf.DUMMYFUNCTION("""COMPUTED_VALUE"""),"12月")</f>
        <v>12月</v>
      </c>
      <c r="C167" s="981" t="str">
        <f>IFERROR(__xludf.DUMMYFUNCTION("""COMPUTED_VALUE"""),"22日")</f>
        <v>22日</v>
      </c>
      <c r="D167" s="981" t="str">
        <f>IFERROR(__xludf.DUMMYFUNCTION("""COMPUTED_VALUE"""),"清掃不備")</f>
        <v>清掃不備</v>
      </c>
      <c r="E167" s="981" t="str">
        <f>IFERROR(__xludf.DUMMYFUNCTION("""COMPUTED_VALUE"""),"エリ")</f>
        <v>エリ</v>
      </c>
      <c r="F167" s="981" t="str">
        <f>IFERROR(__xludf.DUMMYFUNCTION("""COMPUTED_VALUE"""),"早川")</f>
        <v>早川</v>
      </c>
      <c r="G167" s="1292" t="str">
        <f>IFERROR(__xludf.DUMMYFUNCTION("""COMPUTED_VALUE"""),"グラスにヒビあり")</f>
        <v>グラスにヒビあり</v>
      </c>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t="str">
        <f>IFERROR(__xludf.DUMMYFUNCTION("""COMPUTED_VALUE"""),"12月")</f>
        <v>12月</v>
      </c>
      <c r="C168" s="981" t="str">
        <f>IFERROR(__xludf.DUMMYFUNCTION("""COMPUTED_VALUE"""),"29日")</f>
        <v>29日</v>
      </c>
      <c r="D168" s="981" t="str">
        <f>IFERROR(__xludf.DUMMYFUNCTION("""COMPUTED_VALUE"""),"その他")</f>
        <v>その他</v>
      </c>
      <c r="E168" s="981"/>
      <c r="F168" s="981" t="str">
        <f>IFERROR(__xludf.DUMMYFUNCTION("""COMPUTED_VALUE"""),"アラム")</f>
        <v>アラム</v>
      </c>
      <c r="G168" s="1292" t="str">
        <f>IFERROR(__xludf.DUMMYFUNCTION("""COMPUTED_VALUE"""),"29日の忘れ物リネン庫にありました。")</f>
        <v>29日の忘れ物リネン庫にありました。</v>
      </c>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t="str">
        <f>IFERROR(__xludf.DUMMYFUNCTION("""COMPUTED_VALUE"""),"1月")</f>
        <v>1月</v>
      </c>
      <c r="C169" s="981" t="str">
        <f>IFERROR(__xludf.DUMMYFUNCTION("""COMPUTED_VALUE"""),"4日")</f>
        <v>4日</v>
      </c>
      <c r="D169" s="981" t="str">
        <f>IFERROR(__xludf.DUMMYFUNCTION("""COMPUTED_VALUE"""),"セット漏れ")</f>
        <v>セット漏れ</v>
      </c>
      <c r="E169" s="981" t="str">
        <f>IFERROR(__xludf.DUMMYFUNCTION("""COMPUTED_VALUE"""),"笹田")</f>
        <v>笹田</v>
      </c>
      <c r="F169" s="981"/>
      <c r="G169" s="1292" t="str">
        <f>IFERROR(__xludf.DUMMYFUNCTION("""COMPUTED_VALUE"""),"エキストラベッド設置漏れ")</f>
        <v>エキストラベッド設置漏れ</v>
      </c>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t="str">
        <f>IFERROR(__xludf.DUMMYFUNCTION("""COMPUTED_VALUE"""),"1月")</f>
        <v>1月</v>
      </c>
      <c r="C170" s="981" t="str">
        <f>IFERROR(__xludf.DUMMYFUNCTION("""COMPUTED_VALUE"""),"6日")</f>
        <v>6日</v>
      </c>
      <c r="D170" s="981" t="str">
        <f>IFERROR(__xludf.DUMMYFUNCTION("""COMPUTED_VALUE"""),"その他")</f>
        <v>その他</v>
      </c>
      <c r="E170" s="981" t="str">
        <f>IFERROR(__xludf.DUMMYFUNCTION("""COMPUTED_VALUE"""),"小田原")</f>
        <v>小田原</v>
      </c>
      <c r="F170" s="981" t="str">
        <f>IFERROR(__xludf.DUMMYFUNCTION("""COMPUTED_VALUE"""),"早川")</f>
        <v>早川</v>
      </c>
      <c r="G170" s="1292" t="str">
        <f>IFERROR(__xludf.DUMMYFUNCTION("""COMPUTED_VALUE"""),"バスマットに死んだ虫いました")</f>
        <v>バスマットに死んだ虫いました</v>
      </c>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t="str">
        <f>IFERROR(__xludf.DUMMYFUNCTION("""COMPUTED_VALUE"""),"1月")</f>
        <v>1月</v>
      </c>
      <c r="C171" s="981" t="str">
        <f>IFERROR(__xludf.DUMMYFUNCTION("""COMPUTED_VALUE"""),"15日")</f>
        <v>15日</v>
      </c>
      <c r="D171" s="981" t="str">
        <f>IFERROR(__xludf.DUMMYFUNCTION("""COMPUTED_VALUE"""),"セット漏れ")</f>
        <v>セット漏れ</v>
      </c>
      <c r="E171" s="981" t="str">
        <f>IFERROR(__xludf.DUMMYFUNCTION("""COMPUTED_VALUE"""),"佐藤")</f>
        <v>佐藤</v>
      </c>
      <c r="F171" s="981" t="str">
        <f>IFERROR(__xludf.DUMMYFUNCTION("""COMPUTED_VALUE"""),"－")</f>
        <v>－</v>
      </c>
      <c r="G171" s="1292" t="str">
        <f>IFERROR(__xludf.DUMMYFUNCTION("""COMPUTED_VALUE"""),"エコ清掃の部屋で2名セットの変更していなかった。")</f>
        <v>エコ清掃の部屋で2名セットの変更していなかった。</v>
      </c>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t="str">
        <f>IFERROR(__xludf.DUMMYFUNCTION("""COMPUTED_VALUE"""),"1月")</f>
        <v>1月</v>
      </c>
      <c r="C172" s="981" t="str">
        <f>IFERROR(__xludf.DUMMYFUNCTION("""COMPUTED_VALUE"""),"17日")</f>
        <v>17日</v>
      </c>
      <c r="D172" s="981" t="str">
        <f>IFERROR(__xludf.DUMMYFUNCTION("""COMPUTED_VALUE"""),"清掃不備")</f>
        <v>清掃不備</v>
      </c>
      <c r="E172" s="981" t="str">
        <f>IFERROR(__xludf.DUMMYFUNCTION("""COMPUTED_VALUE"""),"カン")</f>
        <v>カン</v>
      </c>
      <c r="F172" s="981" t="str">
        <f>IFERROR(__xludf.DUMMYFUNCTION("""COMPUTED_VALUE"""),"大沼")</f>
        <v>大沼</v>
      </c>
      <c r="G172" s="1292" t="str">
        <f>IFERROR(__xludf.DUMMYFUNCTION("""COMPUTED_VALUE"""),"机に髪の毛、トイレットペーパー
ずれてる、排水溝の蓋ずれている")</f>
        <v>机に髪の毛、トイレットペーパー
ずれてる、排水溝の蓋ずれている</v>
      </c>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t="str">
        <f>IFERROR(__xludf.DUMMYFUNCTION("""COMPUTED_VALUE"""),"1月")</f>
        <v>1月</v>
      </c>
      <c r="C173" s="981" t="str">
        <f>IFERROR(__xludf.DUMMYFUNCTION("""COMPUTED_VALUE"""),"17日")</f>
        <v>17日</v>
      </c>
      <c r="D173" s="981" t="str">
        <f>IFERROR(__xludf.DUMMYFUNCTION("""COMPUTED_VALUE"""),"手配ミス")</f>
        <v>手配ミス</v>
      </c>
      <c r="E173" s="981" t="str">
        <f>IFERROR(__xludf.DUMMYFUNCTION("""COMPUTED_VALUE"""),"－")</f>
        <v>－</v>
      </c>
      <c r="F173" s="981" t="str">
        <f>IFERROR(__xludf.DUMMYFUNCTION("""COMPUTED_VALUE"""),"オウ")</f>
        <v>オウ</v>
      </c>
      <c r="G173" s="1292" t="str">
        <f>IFERROR(__xludf.DUMMYFUNCTION("""COMPUTED_VALUE"""),"エコ清掃されていない")</f>
        <v>エコ清掃されていない</v>
      </c>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t="str">
        <f>IFERROR(__xludf.DUMMYFUNCTION("""COMPUTED_VALUE"""),"1月")</f>
        <v>1月</v>
      </c>
      <c r="C174" s="981" t="str">
        <f>IFERROR(__xludf.DUMMYFUNCTION("""COMPUTED_VALUE"""),"17日")</f>
        <v>17日</v>
      </c>
      <c r="D174" s="981" t="str">
        <f>IFERROR(__xludf.DUMMYFUNCTION("""COMPUTED_VALUE"""),"手配ミス")</f>
        <v>手配ミス</v>
      </c>
      <c r="E174" s="981" t="str">
        <f>IFERROR(__xludf.DUMMYFUNCTION("""COMPUTED_VALUE"""),"－")</f>
        <v>－</v>
      </c>
      <c r="F174" s="981" t="str">
        <f>IFERROR(__xludf.DUMMYFUNCTION("""COMPUTED_VALUE"""),"オウ")</f>
        <v>オウ</v>
      </c>
      <c r="G174" s="1292" t="str">
        <f>IFERROR(__xludf.DUMMYFUNCTION("""COMPUTED_VALUE"""),"エコ清掃されていない")</f>
        <v>エコ清掃されていない</v>
      </c>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t="str">
        <f>IFERROR(__xludf.DUMMYFUNCTION("""COMPUTED_VALUE"""),"1月")</f>
        <v>1月</v>
      </c>
      <c r="C175" s="981" t="str">
        <f>IFERROR(__xludf.DUMMYFUNCTION("""COMPUTED_VALUE"""),"17日")</f>
        <v>17日</v>
      </c>
      <c r="D175" s="981" t="str">
        <f>IFERROR(__xludf.DUMMYFUNCTION("""COMPUTED_VALUE"""),"その他")</f>
        <v>その他</v>
      </c>
      <c r="E175" s="981" t="str">
        <f>IFERROR(__xludf.DUMMYFUNCTION("""COMPUTED_VALUE"""),"メイ")</f>
        <v>メイ</v>
      </c>
      <c r="F175" s="981"/>
      <c r="G175" s="1292" t="str">
        <f>IFERROR(__xludf.DUMMYFUNCTION("""COMPUTED_VALUE"""),"インカム確認漏れ")</f>
        <v>インカム確認漏れ</v>
      </c>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t="str">
        <f>IFERROR(__xludf.DUMMYFUNCTION("""COMPUTED_VALUE"""),"1月")</f>
        <v>1月</v>
      </c>
      <c r="C176" s="981" t="str">
        <f>IFERROR(__xludf.DUMMYFUNCTION("""COMPUTED_VALUE"""),"18日")</f>
        <v>18日</v>
      </c>
      <c r="D176" s="981" t="str">
        <f>IFERROR(__xludf.DUMMYFUNCTION("""COMPUTED_VALUE"""),"その他")</f>
        <v>その他</v>
      </c>
      <c r="E176" s="981" t="str">
        <f>IFERROR(__xludf.DUMMYFUNCTION("""COMPUTED_VALUE"""),"カン")</f>
        <v>カン</v>
      </c>
      <c r="F176" s="981"/>
      <c r="G176" s="1292" t="str">
        <f>IFERROR(__xludf.DUMMYFUNCTION("""COMPUTED_VALUE"""),"インカム確認漏れ")</f>
        <v>インカム確認漏れ</v>
      </c>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t="str">
        <f>IFERROR(__xludf.DUMMYFUNCTION("""COMPUTED_VALUE"""),"1月")</f>
        <v>1月</v>
      </c>
      <c r="C177" s="981" t="str">
        <f>IFERROR(__xludf.DUMMYFUNCTION("""COMPUTED_VALUE"""),"18日")</f>
        <v>18日</v>
      </c>
      <c r="D177" s="981" t="str">
        <f>IFERROR(__xludf.DUMMYFUNCTION("""COMPUTED_VALUE"""),"その他")</f>
        <v>その他</v>
      </c>
      <c r="E177" s="981" t="str">
        <f>IFERROR(__xludf.DUMMYFUNCTION("""COMPUTED_VALUE"""),"メイ")</f>
        <v>メイ</v>
      </c>
      <c r="F177" s="981"/>
      <c r="G177" s="1292" t="str">
        <f>IFERROR(__xludf.DUMMYFUNCTION("""COMPUTED_VALUE"""),"インカム確認漏れ")</f>
        <v>インカム確認漏れ</v>
      </c>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t="str">
        <f>IFERROR(__xludf.DUMMYFUNCTION("""COMPUTED_VALUE"""),"1月")</f>
        <v>1月</v>
      </c>
      <c r="C178" s="981" t="str">
        <f>IFERROR(__xludf.DUMMYFUNCTION("""COMPUTED_VALUE"""),"18日")</f>
        <v>18日</v>
      </c>
      <c r="D178" s="981" t="str">
        <f>IFERROR(__xludf.DUMMYFUNCTION("""COMPUTED_VALUE"""),"その他")</f>
        <v>その他</v>
      </c>
      <c r="E178" s="981" t="str">
        <f>IFERROR(__xludf.DUMMYFUNCTION("""COMPUTED_VALUE"""),"メイ")</f>
        <v>メイ</v>
      </c>
      <c r="F178" s="981"/>
      <c r="G178" s="1292" t="str">
        <f>IFERROR(__xludf.DUMMYFUNCTION("""COMPUTED_VALUE"""),"エコ清掃入っていない")</f>
        <v>エコ清掃入っていない</v>
      </c>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t="str">
        <f>IFERROR(__xludf.DUMMYFUNCTION("""COMPUTED_VALUE"""),"1月")</f>
        <v>1月</v>
      </c>
      <c r="C179" s="981" t="str">
        <f>IFERROR(__xludf.DUMMYFUNCTION("""COMPUTED_VALUE"""),"18日")</f>
        <v>18日</v>
      </c>
      <c r="D179" s="981" t="str">
        <f>IFERROR(__xludf.DUMMYFUNCTION("""COMPUTED_VALUE"""),"その他")</f>
        <v>その他</v>
      </c>
      <c r="E179" s="981" t="str">
        <f>IFERROR(__xludf.DUMMYFUNCTION("""COMPUTED_VALUE"""),"メイ")</f>
        <v>メイ</v>
      </c>
      <c r="F179" s="981"/>
      <c r="G179" s="1292" t="str">
        <f>IFERROR(__xludf.DUMMYFUNCTION("""COMPUTED_VALUE"""),"エコ清掃入っていない")</f>
        <v>エコ清掃入っていない</v>
      </c>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t="str">
        <f>IFERROR(__xludf.DUMMYFUNCTION("""COMPUTED_VALUE"""),"1月")</f>
        <v>1月</v>
      </c>
      <c r="C180" s="981" t="str">
        <f>IFERROR(__xludf.DUMMYFUNCTION("""COMPUTED_VALUE"""),"18日")</f>
        <v>18日</v>
      </c>
      <c r="D180" s="981" t="str">
        <f>IFERROR(__xludf.DUMMYFUNCTION("""COMPUTED_VALUE"""),"その他")</f>
        <v>その他</v>
      </c>
      <c r="E180" s="981" t="str">
        <f>IFERROR(__xludf.DUMMYFUNCTION("""COMPUTED_VALUE"""),"笹田")</f>
        <v>笹田</v>
      </c>
      <c r="F180" s="981"/>
      <c r="G180" s="1292" t="str">
        <f>IFERROR(__xludf.DUMMYFUNCTION("""COMPUTED_VALUE"""),"エコ清掃入っていない")</f>
        <v>エコ清掃入っていない</v>
      </c>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t="str">
        <f>IFERROR(__xludf.DUMMYFUNCTION("""COMPUTED_VALUE"""),"1月")</f>
        <v>1月</v>
      </c>
      <c r="C181" s="981" t="str">
        <f>IFERROR(__xludf.DUMMYFUNCTION("""COMPUTED_VALUE"""),"18日")</f>
        <v>18日</v>
      </c>
      <c r="D181" s="981" t="str">
        <f>IFERROR(__xludf.DUMMYFUNCTION("""COMPUTED_VALUE"""),"その他")</f>
        <v>その他</v>
      </c>
      <c r="E181" s="981" t="str">
        <f>IFERROR(__xludf.DUMMYFUNCTION("""COMPUTED_VALUE"""),"笹田")</f>
        <v>笹田</v>
      </c>
      <c r="F181" s="981"/>
      <c r="G181" s="1292" t="str">
        <f>IFERROR(__xludf.DUMMYFUNCTION("""COMPUTED_VALUE"""),"エコ清掃入っていない")</f>
        <v>エコ清掃入っていない</v>
      </c>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1011</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1011</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1011</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1011</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1011</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1011</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1011</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1011</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1011</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1011</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1011</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1011</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1011</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1011</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1011</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1011</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1011</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1011</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1011</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1011</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1011</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1011</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1011</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1011</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1011</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1011</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1011</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1011</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1011</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1011</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1011</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1011</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1011</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1011</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1011</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1011</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1011</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1011</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1011</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1011</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1011</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1011</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1011</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1011</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1011</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1011</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1011</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1011</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1011</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1011</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1011</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1011</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1011</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1011</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1011</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1011</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1011</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1011</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1011</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1011</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1011</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1011</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1011</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1011</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1011</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1011</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1011</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1011</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1011</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1011</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1011</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1011</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1011</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1011</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1011</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1011</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1011</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1011</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1011</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1011</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1011</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1011</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1011</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1011</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1011</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1011</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1011</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1011</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1011</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1011</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1011</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1011</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1011</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1011</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1011</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1011</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1011</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1011</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1011</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1011</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1011</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1011</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1011</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1011</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1011</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1011</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1011</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1011</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1011</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1011</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1011</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1011</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1011</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1011</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1011</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1011</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1011</v>
      </c>
      <c r="K417" s="17"/>
      <c r="L417" s="17"/>
      <c r="AC417" s="1301"/>
    </row>
    <row r="418">
      <c r="B418" s="17"/>
      <c r="C418" s="17"/>
      <c r="D418" s="17"/>
      <c r="E418" s="343"/>
      <c r="F418" s="17"/>
      <c r="G418" s="17"/>
      <c r="H418" s="17"/>
      <c r="I418" s="17"/>
      <c r="J418" s="17" t="s">
        <v>1011</v>
      </c>
      <c r="K418" s="17"/>
      <c r="L418" s="17"/>
      <c r="AC418" s="1301"/>
    </row>
    <row r="419">
      <c r="B419" s="17"/>
      <c r="C419" s="17"/>
      <c r="D419" s="17"/>
      <c r="E419" s="343"/>
      <c r="F419" s="17"/>
      <c r="G419" s="17"/>
      <c r="H419" s="17"/>
      <c r="I419" s="17"/>
      <c r="J419" s="17" t="s">
        <v>1011</v>
      </c>
      <c r="K419" s="17"/>
      <c r="L419" s="17"/>
      <c r="AC419" s="1301"/>
    </row>
    <row r="420">
      <c r="B420" s="17"/>
      <c r="C420" s="17"/>
      <c r="D420" s="17"/>
      <c r="E420" s="343"/>
      <c r="F420" s="17"/>
      <c r="G420" s="17"/>
      <c r="H420" s="17"/>
      <c r="I420" s="17"/>
      <c r="J420" s="17" t="s">
        <v>1011</v>
      </c>
      <c r="K420" s="17"/>
      <c r="L420" s="17"/>
      <c r="AC420" s="1301"/>
    </row>
    <row r="421">
      <c r="B421" s="17"/>
      <c r="C421" s="17"/>
      <c r="D421" s="17"/>
      <c r="E421" s="343"/>
      <c r="F421" s="17"/>
      <c r="G421" s="17"/>
      <c r="H421" s="17"/>
      <c r="I421" s="17"/>
      <c r="J421" s="17" t="s">
        <v>1011</v>
      </c>
      <c r="K421" s="17"/>
      <c r="L421" s="17"/>
      <c r="AC421" s="1301"/>
    </row>
    <row r="422">
      <c r="B422" s="17"/>
      <c r="C422" s="17"/>
      <c r="D422" s="17"/>
      <c r="E422" s="343"/>
      <c r="F422" s="17"/>
      <c r="G422" s="17"/>
      <c r="H422" s="17"/>
      <c r="I422" s="17"/>
      <c r="J422" s="17" t="s">
        <v>1011</v>
      </c>
      <c r="K422" s="17"/>
      <c r="L422" s="17"/>
      <c r="AC422" s="1301"/>
    </row>
    <row r="423">
      <c r="B423" s="17"/>
      <c r="C423" s="17"/>
      <c r="D423" s="17"/>
      <c r="E423" s="343"/>
      <c r="F423" s="17"/>
      <c r="G423" s="17"/>
      <c r="H423" s="17"/>
      <c r="I423" s="17"/>
      <c r="J423" s="17" t="s">
        <v>1011</v>
      </c>
      <c r="K423" s="17"/>
      <c r="L423" s="17"/>
      <c r="AC423" s="1301"/>
    </row>
    <row r="424">
      <c r="B424" s="17"/>
      <c r="C424" s="17"/>
      <c r="D424" s="17"/>
      <c r="E424" s="343"/>
      <c r="F424" s="17"/>
      <c r="G424" s="17"/>
      <c r="H424" s="17"/>
      <c r="I424" s="17"/>
      <c r="J424" s="17" t="s">
        <v>1011</v>
      </c>
      <c r="K424" s="17"/>
      <c r="L424" s="17"/>
      <c r="AC424" s="1301"/>
    </row>
    <row r="425">
      <c r="B425" s="17"/>
      <c r="C425" s="17"/>
      <c r="D425" s="17"/>
      <c r="E425" s="343"/>
      <c r="F425" s="17"/>
      <c r="G425" s="17"/>
      <c r="H425" s="17"/>
      <c r="I425" s="17"/>
      <c r="J425" s="17" t="s">
        <v>1011</v>
      </c>
      <c r="K425" s="17"/>
      <c r="L425" s="17"/>
      <c r="AC425" s="1301"/>
    </row>
    <row r="426">
      <c r="B426" s="17"/>
      <c r="C426" s="17"/>
      <c r="D426" s="17"/>
      <c r="E426" s="343"/>
      <c r="F426" s="17"/>
      <c r="G426" s="17"/>
      <c r="H426" s="17"/>
      <c r="I426" s="17"/>
      <c r="J426" s="17" t="s">
        <v>1011</v>
      </c>
      <c r="K426" s="17"/>
      <c r="L426" s="17"/>
      <c r="AC426" s="1301"/>
    </row>
    <row r="427">
      <c r="B427" s="17"/>
      <c r="C427" s="17"/>
      <c r="D427" s="17"/>
      <c r="E427" s="343"/>
      <c r="F427" s="17"/>
      <c r="G427" s="17"/>
      <c r="H427" s="17"/>
      <c r="I427" s="17"/>
      <c r="J427" s="17" t="s">
        <v>1011</v>
      </c>
      <c r="K427" s="17"/>
      <c r="L427" s="17"/>
      <c r="AC427" s="1301"/>
    </row>
    <row r="428">
      <c r="B428" s="17"/>
      <c r="C428" s="17"/>
      <c r="D428" s="17"/>
      <c r="E428" s="343"/>
      <c r="F428" s="17"/>
      <c r="G428" s="17"/>
      <c r="H428" s="17"/>
      <c r="I428" s="17"/>
      <c r="J428" s="17" t="s">
        <v>1011</v>
      </c>
      <c r="K428" s="17"/>
      <c r="L428" s="17"/>
      <c r="AC428" s="1301"/>
    </row>
    <row r="429">
      <c r="B429" s="17"/>
      <c r="C429" s="17"/>
      <c r="D429" s="17"/>
      <c r="E429" s="343"/>
      <c r="F429" s="17"/>
      <c r="G429" s="17"/>
      <c r="H429" s="17"/>
      <c r="I429" s="17"/>
      <c r="J429" s="17" t="s">
        <v>1011</v>
      </c>
      <c r="K429" s="17"/>
      <c r="L429" s="17"/>
      <c r="AC429" s="1301"/>
    </row>
    <row r="430">
      <c r="B430" s="17"/>
      <c r="C430" s="17"/>
      <c r="D430" s="17"/>
      <c r="E430" s="343"/>
      <c r="F430" s="17"/>
      <c r="G430" s="17"/>
      <c r="H430" s="17"/>
      <c r="I430" s="17"/>
      <c r="J430" s="17" t="s">
        <v>1011</v>
      </c>
      <c r="K430" s="17"/>
      <c r="L430" s="17"/>
      <c r="AC430" s="1301"/>
    </row>
    <row r="431">
      <c r="B431" s="17"/>
      <c r="C431" s="17"/>
      <c r="D431" s="17"/>
      <c r="E431" s="343"/>
      <c r="F431" s="17"/>
      <c r="G431" s="17"/>
      <c r="H431" s="17"/>
      <c r="I431" s="17"/>
      <c r="J431" s="17" t="s">
        <v>1011</v>
      </c>
      <c r="K431" s="17"/>
      <c r="L431" s="17"/>
      <c r="AC431" s="1301"/>
    </row>
    <row r="432">
      <c r="B432" s="17"/>
      <c r="C432" s="17"/>
      <c r="D432" s="17"/>
      <c r="E432" s="343"/>
      <c r="F432" s="17"/>
      <c r="G432" s="17"/>
      <c r="H432" s="17"/>
      <c r="I432" s="17"/>
      <c r="J432" s="17" t="s">
        <v>1011</v>
      </c>
      <c r="K432" s="17"/>
      <c r="L432" s="17"/>
      <c r="AC432" s="1301"/>
    </row>
    <row r="433">
      <c r="B433" s="17"/>
      <c r="C433" s="17"/>
      <c r="D433" s="17"/>
      <c r="E433" s="343"/>
      <c r="F433" s="17"/>
      <c r="G433" s="17"/>
      <c r="H433" s="17"/>
      <c r="I433" s="17"/>
      <c r="J433" s="17" t="s">
        <v>1011</v>
      </c>
      <c r="K433" s="17"/>
      <c r="L433" s="17"/>
      <c r="AC433" s="1301"/>
    </row>
    <row r="434">
      <c r="B434" s="17"/>
      <c r="C434" s="17"/>
      <c r="D434" s="17"/>
      <c r="E434" s="343"/>
      <c r="F434" s="17"/>
      <c r="G434" s="17"/>
      <c r="H434" s="17"/>
      <c r="I434" s="17"/>
      <c r="J434" s="17" t="s">
        <v>1011</v>
      </c>
      <c r="K434" s="17"/>
      <c r="L434" s="17"/>
      <c r="AC434" s="1301"/>
    </row>
    <row r="435">
      <c r="B435" s="17"/>
      <c r="C435" s="17"/>
      <c r="D435" s="17"/>
      <c r="E435" s="343"/>
      <c r="F435" s="17"/>
      <c r="G435" s="17"/>
      <c r="H435" s="17"/>
      <c r="I435" s="17"/>
      <c r="J435" s="17" t="s">
        <v>1011</v>
      </c>
      <c r="K435" s="17"/>
      <c r="L435" s="17"/>
      <c r="AC435" s="1301"/>
    </row>
    <row r="436">
      <c r="B436" s="17"/>
      <c r="C436" s="17"/>
      <c r="D436" s="17"/>
      <c r="E436" s="343"/>
      <c r="F436" s="17"/>
      <c r="G436" s="17"/>
      <c r="H436" s="17"/>
      <c r="I436" s="17"/>
      <c r="J436" s="17" t="s">
        <v>1011</v>
      </c>
      <c r="K436" s="17"/>
      <c r="L436" s="17"/>
      <c r="AC436" s="1301"/>
    </row>
    <row r="437">
      <c r="B437" s="17"/>
      <c r="C437" s="17"/>
      <c r="D437" s="17"/>
      <c r="E437" s="343"/>
      <c r="F437" s="17"/>
      <c r="G437" s="17"/>
      <c r="H437" s="17"/>
      <c r="I437" s="17"/>
      <c r="J437" s="17" t="s">
        <v>1011</v>
      </c>
      <c r="K437" s="17"/>
      <c r="L437" s="17"/>
      <c r="AC437" s="1301"/>
    </row>
    <row r="438">
      <c r="B438" s="17"/>
      <c r="C438" s="17"/>
      <c r="D438" s="17"/>
      <c r="E438" s="343"/>
      <c r="F438" s="17"/>
      <c r="G438" s="17"/>
      <c r="H438" s="17"/>
      <c r="I438" s="17"/>
      <c r="J438" s="17" t="s">
        <v>1011</v>
      </c>
      <c r="K438" s="17"/>
      <c r="L438" s="17"/>
      <c r="AC438" s="1301"/>
    </row>
    <row r="439">
      <c r="B439" s="17"/>
      <c r="C439" s="17"/>
      <c r="D439" s="17"/>
      <c r="E439" s="343"/>
      <c r="F439" s="17"/>
      <c r="G439" s="17"/>
      <c r="H439" s="17"/>
      <c r="I439" s="17"/>
      <c r="J439" s="17" t="s">
        <v>1011</v>
      </c>
      <c r="K439" s="17"/>
      <c r="L439" s="17"/>
      <c r="AC439" s="1301"/>
    </row>
    <row r="440">
      <c r="B440" s="17"/>
      <c r="C440" s="17"/>
      <c r="D440" s="17"/>
      <c r="E440" s="343"/>
      <c r="F440" s="17"/>
      <c r="G440" s="17"/>
      <c r="H440" s="17"/>
      <c r="I440" s="17"/>
      <c r="J440" s="17" t="s">
        <v>1011</v>
      </c>
      <c r="K440" s="17"/>
      <c r="L440" s="17"/>
      <c r="AC440" s="1301"/>
    </row>
    <row r="441">
      <c r="B441" s="17"/>
      <c r="C441" s="17"/>
      <c r="D441" s="17"/>
      <c r="E441" s="343"/>
      <c r="F441" s="17"/>
      <c r="G441" s="17"/>
      <c r="H441" s="17"/>
      <c r="I441" s="17"/>
      <c r="J441" s="17" t="s">
        <v>1011</v>
      </c>
      <c r="K441" s="17"/>
      <c r="L441" s="17"/>
      <c r="AC441" s="1301"/>
    </row>
    <row r="442">
      <c r="B442" s="17"/>
      <c r="C442" s="17"/>
      <c r="D442" s="17"/>
      <c r="E442" s="343"/>
      <c r="F442" s="17"/>
      <c r="G442" s="17"/>
      <c r="H442" s="17"/>
      <c r="I442" s="17"/>
      <c r="J442" s="17" t="s">
        <v>1011</v>
      </c>
      <c r="K442" s="17"/>
      <c r="L442" s="17"/>
      <c r="AC442" s="1301"/>
    </row>
    <row r="443">
      <c r="B443" s="17"/>
      <c r="C443" s="17"/>
      <c r="D443" s="17"/>
      <c r="E443" s="343"/>
      <c r="F443" s="17"/>
      <c r="G443" s="17"/>
      <c r="H443" s="17"/>
      <c r="I443" s="17"/>
      <c r="J443" s="17" t="s">
        <v>1011</v>
      </c>
      <c r="K443" s="17"/>
      <c r="L443" s="17"/>
      <c r="AC443" s="1301"/>
    </row>
    <row r="444">
      <c r="B444" s="17"/>
      <c r="C444" s="17"/>
      <c r="D444" s="17"/>
      <c r="E444" s="343"/>
      <c r="F444" s="17"/>
      <c r="G444" s="17"/>
      <c r="H444" s="17"/>
      <c r="I444" s="17"/>
      <c r="J444" s="17" t="s">
        <v>1011</v>
      </c>
      <c r="K444" s="17"/>
      <c r="L444" s="17"/>
      <c r="AC444" s="1301"/>
    </row>
    <row r="445">
      <c r="B445" s="17"/>
      <c r="C445" s="17"/>
      <c r="D445" s="17"/>
      <c r="E445" s="343"/>
      <c r="F445" s="17"/>
      <c r="G445" s="17"/>
      <c r="H445" s="17"/>
      <c r="I445" s="17"/>
      <c r="J445" s="17" t="s">
        <v>1011</v>
      </c>
      <c r="K445" s="17"/>
      <c r="L445" s="17"/>
      <c r="AC445" s="1301"/>
    </row>
    <row r="446">
      <c r="B446" s="17"/>
      <c r="C446" s="17"/>
      <c r="D446" s="17"/>
      <c r="E446" s="343"/>
      <c r="F446" s="17"/>
      <c r="G446" s="17"/>
      <c r="H446" s="17"/>
      <c r="I446" s="17"/>
      <c r="J446" s="17" t="s">
        <v>1011</v>
      </c>
      <c r="K446" s="17"/>
      <c r="L446" s="17"/>
      <c r="AC446" s="1301"/>
    </row>
    <row r="447">
      <c r="B447" s="17"/>
      <c r="C447" s="17"/>
      <c r="D447" s="17"/>
      <c r="E447" s="343"/>
      <c r="F447" s="17"/>
      <c r="G447" s="17"/>
      <c r="H447" s="17"/>
      <c r="I447" s="17"/>
      <c r="J447" s="17" t="s">
        <v>1011</v>
      </c>
      <c r="K447" s="17"/>
      <c r="L447" s="17"/>
      <c r="AC447" s="1301"/>
    </row>
    <row r="448">
      <c r="B448" s="17"/>
      <c r="C448" s="17"/>
      <c r="D448" s="17"/>
      <c r="E448" s="343"/>
      <c r="F448" s="17"/>
      <c r="G448" s="17"/>
      <c r="H448" s="17"/>
      <c r="I448" s="17"/>
      <c r="J448" s="17" t="s">
        <v>1011</v>
      </c>
      <c r="K448" s="17"/>
      <c r="L448" s="17"/>
      <c r="AC448" s="1301"/>
    </row>
    <row r="449">
      <c r="B449" s="17"/>
      <c r="C449" s="17"/>
      <c r="D449" s="17"/>
      <c r="E449" s="343"/>
      <c r="F449" s="17"/>
      <c r="G449" s="17"/>
      <c r="H449" s="17"/>
      <c r="I449" s="17"/>
      <c r="J449" s="17" t="s">
        <v>1011</v>
      </c>
      <c r="K449" s="17"/>
      <c r="L449" s="17"/>
      <c r="AC449" s="1301"/>
    </row>
    <row r="450">
      <c r="B450" s="17"/>
      <c r="C450" s="17"/>
      <c r="D450" s="17"/>
      <c r="E450" s="343"/>
      <c r="F450" s="17"/>
      <c r="G450" s="17"/>
      <c r="H450" s="17"/>
      <c r="I450" s="17"/>
      <c r="J450" s="17" t="s">
        <v>1011</v>
      </c>
      <c r="K450" s="17"/>
      <c r="L450" s="17"/>
      <c r="AC450" s="1301"/>
    </row>
    <row r="451">
      <c r="B451" s="17"/>
      <c r="C451" s="17"/>
      <c r="D451" s="17"/>
      <c r="E451" s="343"/>
      <c r="F451" s="17"/>
      <c r="G451" s="17"/>
      <c r="H451" s="17"/>
      <c r="I451" s="17"/>
      <c r="J451" s="17" t="s">
        <v>1011</v>
      </c>
      <c r="K451" s="17"/>
      <c r="L451" s="17"/>
      <c r="AC451" s="1301"/>
    </row>
    <row r="452">
      <c r="B452" s="17"/>
      <c r="C452" s="17"/>
      <c r="D452" s="17"/>
      <c r="E452" s="343"/>
      <c r="F452" s="17"/>
      <c r="G452" s="17"/>
      <c r="H452" s="17"/>
      <c r="I452" s="17"/>
      <c r="J452" s="17" t="s">
        <v>1011</v>
      </c>
      <c r="K452" s="17"/>
      <c r="L452" s="17"/>
      <c r="AC452" s="1301"/>
    </row>
    <row r="453">
      <c r="B453" s="17"/>
      <c r="C453" s="17"/>
      <c r="D453" s="17"/>
      <c r="E453" s="343"/>
      <c r="F453" s="17"/>
      <c r="G453" s="17"/>
      <c r="H453" s="17"/>
      <c r="I453" s="17"/>
      <c r="J453" s="17" t="s">
        <v>1011</v>
      </c>
      <c r="K453" s="17"/>
      <c r="L453" s="17"/>
      <c r="AC453" s="1301"/>
    </row>
    <row r="454">
      <c r="B454" s="17"/>
      <c r="C454" s="17"/>
      <c r="D454" s="17"/>
      <c r="E454" s="343"/>
      <c r="F454" s="17"/>
      <c r="G454" s="17"/>
      <c r="H454" s="17"/>
      <c r="I454" s="17"/>
      <c r="J454" s="17" t="s">
        <v>1011</v>
      </c>
      <c r="K454" s="17"/>
      <c r="L454" s="17"/>
      <c r="AC454" s="1301"/>
    </row>
    <row r="455">
      <c r="B455" s="17"/>
      <c r="C455" s="17"/>
      <c r="D455" s="17"/>
      <c r="E455" s="343"/>
      <c r="F455" s="17"/>
      <c r="G455" s="17"/>
      <c r="H455" s="17"/>
      <c r="I455" s="17"/>
      <c r="J455" s="17" t="s">
        <v>1011</v>
      </c>
      <c r="K455" s="17"/>
      <c r="L455" s="17"/>
      <c r="AC455" s="1301"/>
    </row>
    <row r="456">
      <c r="B456" s="17"/>
      <c r="C456" s="17"/>
      <c r="D456" s="17"/>
      <c r="E456" s="343"/>
      <c r="F456" s="17"/>
      <c r="G456" s="17"/>
      <c r="H456" s="17"/>
      <c r="I456" s="17"/>
      <c r="J456" s="17" t="s">
        <v>1011</v>
      </c>
      <c r="K456" s="17"/>
      <c r="L456" s="17"/>
      <c r="AC456" s="1301"/>
    </row>
    <row r="457">
      <c r="B457" s="17"/>
      <c r="C457" s="17"/>
      <c r="D457" s="17"/>
      <c r="E457" s="343"/>
      <c r="F457" s="17"/>
      <c r="G457" s="17"/>
      <c r="H457" s="17"/>
      <c r="I457" s="17"/>
      <c r="J457" s="17" t="s">
        <v>1011</v>
      </c>
      <c r="K457" s="17"/>
      <c r="L457" s="17"/>
      <c r="AC457" s="1301"/>
    </row>
    <row r="458">
      <c r="B458" s="17"/>
      <c r="C458" s="17"/>
      <c r="D458" s="17"/>
      <c r="E458" s="343"/>
      <c r="F458" s="17"/>
      <c r="G458" s="17"/>
      <c r="H458" s="17"/>
      <c r="I458" s="17"/>
      <c r="J458" s="17" t="s">
        <v>1011</v>
      </c>
      <c r="K458" s="17"/>
      <c r="L458" s="17"/>
      <c r="AC458" s="1301"/>
    </row>
    <row r="459">
      <c r="B459" s="17"/>
      <c r="C459" s="17"/>
      <c r="D459" s="17"/>
      <c r="E459" s="343"/>
      <c r="F459" s="17"/>
      <c r="G459" s="17"/>
      <c r="H459" s="17"/>
      <c r="I459" s="17"/>
      <c r="J459" s="17" t="s">
        <v>1011</v>
      </c>
      <c r="K459" s="17"/>
      <c r="L459" s="17"/>
      <c r="AC459" s="1301"/>
    </row>
    <row r="460">
      <c r="B460" s="17"/>
      <c r="C460" s="17"/>
      <c r="D460" s="17"/>
      <c r="E460" s="343"/>
      <c r="F460" s="17"/>
      <c r="G460" s="17"/>
      <c r="H460" s="17"/>
      <c r="I460" s="17"/>
      <c r="J460" s="17" t="s">
        <v>1011</v>
      </c>
      <c r="K460" s="17"/>
      <c r="L460" s="17"/>
      <c r="AC460" s="1301"/>
    </row>
    <row r="461">
      <c r="B461" s="17"/>
      <c r="C461" s="17"/>
      <c r="D461" s="17"/>
      <c r="E461" s="343"/>
      <c r="F461" s="17"/>
      <c r="G461" s="17"/>
      <c r="H461" s="17"/>
      <c r="I461" s="17"/>
      <c r="J461" s="17" t="s">
        <v>1011</v>
      </c>
      <c r="K461" s="17"/>
      <c r="L461" s="17"/>
      <c r="AC461" s="1301"/>
    </row>
    <row r="462">
      <c r="B462" s="17"/>
      <c r="C462" s="17"/>
      <c r="D462" s="17"/>
      <c r="E462" s="343"/>
      <c r="F462" s="17"/>
      <c r="G462" s="17"/>
      <c r="H462" s="17"/>
      <c r="I462" s="17"/>
      <c r="J462" s="17" t="s">
        <v>1011</v>
      </c>
      <c r="K462" s="17"/>
      <c r="L462" s="17"/>
      <c r="AC462" s="1301"/>
    </row>
    <row r="463">
      <c r="B463" s="17"/>
      <c r="C463" s="17"/>
      <c r="D463" s="17"/>
      <c r="E463" s="343"/>
      <c r="F463" s="17"/>
      <c r="G463" s="17"/>
      <c r="H463" s="17"/>
      <c r="I463" s="17"/>
      <c r="J463" s="17" t="s">
        <v>1011</v>
      </c>
      <c r="K463" s="17"/>
      <c r="L463" s="17"/>
      <c r="AC463" s="1301"/>
    </row>
    <row r="464">
      <c r="B464" s="17"/>
      <c r="C464" s="17"/>
      <c r="D464" s="17"/>
      <c r="E464" s="343"/>
      <c r="F464" s="17"/>
      <c r="G464" s="17"/>
      <c r="H464" s="17"/>
      <c r="I464" s="17"/>
      <c r="J464" s="17" t="s">
        <v>1011</v>
      </c>
      <c r="K464" s="17"/>
      <c r="L464" s="17"/>
      <c r="AC464" s="1301"/>
    </row>
    <row r="465">
      <c r="B465" s="17"/>
      <c r="C465" s="17"/>
      <c r="D465" s="17"/>
      <c r="E465" s="343"/>
      <c r="F465" s="17"/>
      <c r="G465" s="17"/>
      <c r="H465" s="17"/>
      <c r="I465" s="17"/>
      <c r="J465" s="17" t="s">
        <v>1011</v>
      </c>
      <c r="K465" s="17"/>
      <c r="L465" s="17"/>
      <c r="AC465" s="1301"/>
    </row>
    <row r="466">
      <c r="B466" s="17"/>
      <c r="C466" s="17"/>
      <c r="D466" s="17"/>
      <c r="E466" s="343"/>
      <c r="F466" s="17"/>
      <c r="G466" s="17"/>
      <c r="H466" s="17"/>
      <c r="I466" s="17"/>
      <c r="J466" s="17" t="s">
        <v>1011</v>
      </c>
      <c r="K466" s="17"/>
      <c r="L466" s="17"/>
      <c r="AC466" s="1301"/>
    </row>
    <row r="467">
      <c r="B467" s="17"/>
      <c r="C467" s="17"/>
      <c r="D467" s="17"/>
      <c r="E467" s="343"/>
      <c r="F467" s="17"/>
      <c r="G467" s="17"/>
      <c r="H467" s="17"/>
      <c r="I467" s="17"/>
      <c r="J467" s="17" t="s">
        <v>1011</v>
      </c>
      <c r="K467" s="17"/>
      <c r="L467" s="17"/>
      <c r="AC467" s="1301"/>
    </row>
    <row r="468">
      <c r="B468" s="17"/>
      <c r="C468" s="17"/>
      <c r="D468" s="17"/>
      <c r="E468" s="343"/>
      <c r="F468" s="17"/>
      <c r="G468" s="17"/>
      <c r="H468" s="17"/>
      <c r="I468" s="17"/>
      <c r="J468" s="17" t="s">
        <v>1011</v>
      </c>
      <c r="K468" s="17"/>
      <c r="L468" s="17"/>
      <c r="AC468" s="1301"/>
    </row>
    <row r="469">
      <c r="B469" s="17"/>
      <c r="C469" s="17"/>
      <c r="D469" s="17"/>
      <c r="E469" s="343"/>
      <c r="F469" s="17"/>
      <c r="G469" s="17"/>
      <c r="H469" s="17"/>
      <c r="I469" s="17"/>
      <c r="J469" s="17" t="s">
        <v>1011</v>
      </c>
      <c r="K469" s="17"/>
      <c r="L469" s="17"/>
      <c r="AC469" s="1301"/>
    </row>
    <row r="470">
      <c r="B470" s="17"/>
      <c r="C470" s="17"/>
      <c r="D470" s="17"/>
      <c r="E470" s="343"/>
      <c r="F470" s="17"/>
      <c r="G470" s="17"/>
      <c r="H470" s="17"/>
      <c r="I470" s="17"/>
      <c r="J470" s="17" t="s">
        <v>1011</v>
      </c>
      <c r="K470" s="17"/>
      <c r="L470" s="17"/>
      <c r="AC470" s="1301"/>
    </row>
    <row r="471">
      <c r="B471" s="17"/>
      <c r="C471" s="17"/>
      <c r="D471" s="17"/>
      <c r="E471" s="343"/>
      <c r="F471" s="17"/>
      <c r="G471" s="17"/>
      <c r="H471" s="17"/>
      <c r="I471" s="17"/>
      <c r="J471" s="17" t="s">
        <v>1011</v>
      </c>
      <c r="K471" s="17"/>
      <c r="L471" s="17"/>
      <c r="AC471" s="1301"/>
    </row>
    <row r="472">
      <c r="B472" s="17"/>
      <c r="C472" s="17"/>
      <c r="D472" s="17"/>
      <c r="E472" s="343"/>
      <c r="F472" s="17"/>
      <c r="G472" s="17"/>
      <c r="H472" s="17"/>
      <c r="I472" s="17"/>
      <c r="J472" s="17" t="s">
        <v>1011</v>
      </c>
      <c r="K472" s="17"/>
      <c r="L472" s="17"/>
      <c r="AC472" s="1301"/>
    </row>
    <row r="473">
      <c r="B473" s="17"/>
      <c r="C473" s="17"/>
      <c r="D473" s="17"/>
      <c r="E473" s="343"/>
      <c r="F473" s="17"/>
      <c r="G473" s="17"/>
      <c r="H473" s="17"/>
      <c r="I473" s="17"/>
      <c r="J473" s="17" t="s">
        <v>1011</v>
      </c>
      <c r="K473" s="17"/>
      <c r="L473" s="17"/>
      <c r="AC473" s="1301"/>
    </row>
    <row r="474">
      <c r="B474" s="17"/>
      <c r="C474" s="17"/>
      <c r="D474" s="17"/>
      <c r="E474" s="343"/>
      <c r="F474" s="17"/>
      <c r="G474" s="17"/>
      <c r="H474" s="17"/>
      <c r="I474" s="17"/>
      <c r="J474" s="17" t="s">
        <v>1011</v>
      </c>
      <c r="K474" s="17"/>
      <c r="L474" s="17"/>
      <c r="AC474" s="1301"/>
    </row>
    <row r="475">
      <c r="B475" s="17"/>
      <c r="C475" s="17"/>
      <c r="D475" s="17"/>
      <c r="E475" s="343"/>
      <c r="F475" s="17"/>
      <c r="G475" s="17"/>
      <c r="H475" s="17"/>
      <c r="I475" s="17"/>
      <c r="J475" s="17" t="s">
        <v>1011</v>
      </c>
      <c r="K475" s="17"/>
      <c r="L475" s="17"/>
      <c r="AC475" s="1301"/>
    </row>
    <row r="476">
      <c r="B476" s="17"/>
      <c r="C476" s="17"/>
      <c r="D476" s="17"/>
      <c r="E476" s="343"/>
      <c r="F476" s="17"/>
      <c r="G476" s="17"/>
      <c r="H476" s="17"/>
      <c r="I476" s="17"/>
      <c r="J476" s="17" t="s">
        <v>1011</v>
      </c>
      <c r="K476" s="17"/>
      <c r="L476" s="17"/>
      <c r="AC476" s="1301"/>
    </row>
    <row r="477">
      <c r="B477" s="17"/>
      <c r="C477" s="17"/>
      <c r="D477" s="17"/>
      <c r="E477" s="343"/>
      <c r="F477" s="17"/>
      <c r="G477" s="17"/>
      <c r="H477" s="17"/>
      <c r="I477" s="17"/>
      <c r="J477" s="17" t="s">
        <v>1011</v>
      </c>
      <c r="K477" s="17"/>
      <c r="L477" s="17"/>
      <c r="AC477" s="1301"/>
    </row>
    <row r="478">
      <c r="B478" s="17"/>
      <c r="C478" s="17"/>
      <c r="D478" s="17"/>
      <c r="E478" s="343"/>
      <c r="F478" s="17"/>
      <c r="G478" s="17"/>
      <c r="H478" s="17"/>
      <c r="I478" s="17"/>
      <c r="J478" s="17" t="s">
        <v>1011</v>
      </c>
      <c r="K478" s="17"/>
      <c r="L478" s="17"/>
      <c r="AC478" s="1301"/>
    </row>
    <row r="479">
      <c r="B479" s="17"/>
      <c r="C479" s="17"/>
      <c r="D479" s="17"/>
      <c r="E479" s="343"/>
      <c r="F479" s="17"/>
      <c r="G479" s="17"/>
      <c r="H479" s="17"/>
      <c r="I479" s="17"/>
      <c r="J479" s="17" t="s">
        <v>1011</v>
      </c>
      <c r="K479" s="17"/>
      <c r="L479" s="17"/>
      <c r="AC479" s="1301"/>
    </row>
    <row r="480">
      <c r="B480" s="17"/>
      <c r="C480" s="17"/>
      <c r="D480" s="17"/>
      <c r="E480" s="343"/>
      <c r="F480" s="17"/>
      <c r="G480" s="17"/>
      <c r="H480" s="17"/>
      <c r="I480" s="17"/>
      <c r="J480" s="17" t="s">
        <v>1011</v>
      </c>
      <c r="K480" s="17"/>
      <c r="L480" s="17"/>
      <c r="AC480" s="1301"/>
    </row>
    <row r="481">
      <c r="B481" s="17"/>
      <c r="C481" s="17"/>
      <c r="D481" s="17"/>
      <c r="E481" s="343"/>
      <c r="F481" s="17"/>
      <c r="G481" s="17"/>
      <c r="H481" s="17"/>
      <c r="I481" s="17"/>
      <c r="J481" s="17" t="s">
        <v>1011</v>
      </c>
      <c r="K481" s="17"/>
      <c r="L481" s="17"/>
      <c r="AC481" s="1301"/>
    </row>
    <row r="482">
      <c r="B482" s="17"/>
      <c r="C482" s="17"/>
      <c r="D482" s="17"/>
      <c r="E482" s="343"/>
      <c r="F482" s="17"/>
      <c r="G482" s="17"/>
      <c r="H482" s="17"/>
      <c r="I482" s="17"/>
      <c r="J482" s="17" t="s">
        <v>1011</v>
      </c>
      <c r="K482" s="17"/>
      <c r="L482" s="17"/>
      <c r="AC482" s="1301"/>
    </row>
    <row r="483">
      <c r="B483" s="17"/>
      <c r="C483" s="17"/>
      <c r="D483" s="17"/>
      <c r="E483" s="343"/>
      <c r="F483" s="17"/>
      <c r="G483" s="17"/>
      <c r="H483" s="17"/>
      <c r="I483" s="17"/>
      <c r="J483" s="17" t="s">
        <v>1011</v>
      </c>
      <c r="K483" s="17"/>
      <c r="L483" s="17"/>
      <c r="AC483" s="1301"/>
    </row>
    <row r="484">
      <c r="B484" s="17"/>
      <c r="C484" s="17"/>
      <c r="D484" s="17"/>
      <c r="E484" s="343"/>
      <c r="F484" s="17"/>
      <c r="G484" s="17"/>
      <c r="H484" s="17"/>
      <c r="I484" s="17"/>
      <c r="J484" s="17" t="s">
        <v>1011</v>
      </c>
      <c r="K484" s="17"/>
      <c r="L484" s="17"/>
      <c r="AC484" s="1301"/>
    </row>
    <row r="485">
      <c r="B485" s="17"/>
      <c r="C485" s="17"/>
      <c r="D485" s="17"/>
      <c r="E485" s="343"/>
      <c r="F485" s="17"/>
      <c r="G485" s="17"/>
      <c r="H485" s="17"/>
      <c r="I485" s="17"/>
      <c r="J485" s="17" t="s">
        <v>1011</v>
      </c>
      <c r="K485" s="17"/>
      <c r="L485" s="17"/>
      <c r="AC485" s="1301"/>
    </row>
    <row r="486">
      <c r="B486" s="17"/>
      <c r="C486" s="17"/>
      <c r="D486" s="17"/>
      <c r="E486" s="343"/>
      <c r="F486" s="17"/>
      <c r="G486" s="17"/>
      <c r="H486" s="17"/>
      <c r="I486" s="17"/>
      <c r="J486" s="17" t="s">
        <v>1011</v>
      </c>
      <c r="K486" s="17"/>
      <c r="L486" s="17"/>
      <c r="AC486" s="1301"/>
    </row>
    <row r="487">
      <c r="B487" s="17"/>
      <c r="C487" s="17"/>
      <c r="D487" s="17"/>
      <c r="E487" s="343"/>
      <c r="F487" s="17"/>
      <c r="G487" s="17"/>
      <c r="H487" s="17"/>
      <c r="I487" s="17"/>
      <c r="J487" s="17" t="s">
        <v>1011</v>
      </c>
      <c r="K487" s="17"/>
      <c r="L487" s="17"/>
      <c r="AC487" s="1301"/>
    </row>
    <row r="488">
      <c r="B488" s="17"/>
      <c r="C488" s="17"/>
      <c r="D488" s="17"/>
      <c r="E488" s="343"/>
      <c r="F488" s="17"/>
      <c r="G488" s="17"/>
      <c r="H488" s="17"/>
      <c r="I488" s="17"/>
      <c r="J488" s="17" t="s">
        <v>1011</v>
      </c>
      <c r="K488" s="17"/>
      <c r="L488" s="17"/>
      <c r="AC488" s="1301"/>
    </row>
    <row r="489">
      <c r="B489" s="17"/>
      <c r="C489" s="17"/>
      <c r="D489" s="17"/>
      <c r="E489" s="343"/>
      <c r="F489" s="17"/>
      <c r="G489" s="17"/>
      <c r="H489" s="17"/>
      <c r="I489" s="17"/>
      <c r="J489" s="17" t="s">
        <v>1011</v>
      </c>
      <c r="K489" s="17"/>
      <c r="L489" s="17"/>
      <c r="AC489" s="1301"/>
    </row>
    <row r="490">
      <c r="B490" s="17"/>
      <c r="C490" s="17"/>
      <c r="D490" s="17"/>
      <c r="E490" s="343"/>
      <c r="F490" s="17"/>
      <c r="G490" s="17"/>
      <c r="H490" s="17"/>
      <c r="I490" s="17"/>
      <c r="J490" s="17" t="s">
        <v>1011</v>
      </c>
      <c r="K490" s="17"/>
      <c r="L490" s="17"/>
      <c r="AC490" s="1301"/>
    </row>
    <row r="491">
      <c r="B491" s="17"/>
      <c r="C491" s="17"/>
      <c r="D491" s="17"/>
      <c r="E491" s="343"/>
      <c r="F491" s="17"/>
      <c r="G491" s="17"/>
      <c r="H491" s="17"/>
      <c r="I491" s="17"/>
      <c r="J491" s="17" t="s">
        <v>1011</v>
      </c>
      <c r="K491" s="17"/>
      <c r="L491" s="17"/>
      <c r="AC491" s="1301"/>
    </row>
    <row r="492">
      <c r="B492" s="17"/>
      <c r="C492" s="17"/>
      <c r="D492" s="17"/>
      <c r="E492" s="343"/>
      <c r="F492" s="17"/>
      <c r="G492" s="17"/>
      <c r="H492" s="17"/>
      <c r="I492" s="17"/>
      <c r="J492" s="17" t="s">
        <v>1011</v>
      </c>
      <c r="K492" s="17"/>
      <c r="L492" s="17"/>
      <c r="AC492" s="1301"/>
    </row>
    <row r="493">
      <c r="B493" s="17"/>
      <c r="C493" s="17"/>
      <c r="D493" s="17"/>
      <c r="E493" s="343"/>
      <c r="F493" s="17"/>
      <c r="G493" s="17"/>
      <c r="H493" s="17"/>
      <c r="I493" s="17"/>
      <c r="J493" s="17" t="s">
        <v>1011</v>
      </c>
      <c r="K493" s="17"/>
      <c r="L493" s="17"/>
      <c r="AC493" s="1301"/>
    </row>
    <row r="494">
      <c r="B494" s="17"/>
      <c r="C494" s="17"/>
      <c r="D494" s="17"/>
      <c r="E494" s="343"/>
      <c r="F494" s="17"/>
      <c r="G494" s="17"/>
      <c r="H494" s="17"/>
      <c r="I494" s="17"/>
      <c r="J494" s="17" t="s">
        <v>1011</v>
      </c>
      <c r="K494" s="17"/>
      <c r="L494" s="17"/>
      <c r="AC494" s="1301"/>
    </row>
    <row r="495">
      <c r="B495" s="17"/>
      <c r="C495" s="17"/>
      <c r="D495" s="17"/>
      <c r="E495" s="343"/>
      <c r="F495" s="17"/>
      <c r="G495" s="17"/>
      <c r="H495" s="17"/>
      <c r="I495" s="17"/>
      <c r="J495" s="17" t="s">
        <v>1011</v>
      </c>
      <c r="K495" s="17"/>
      <c r="L495" s="17"/>
      <c r="AC495" s="1301"/>
    </row>
    <row r="496">
      <c r="B496" s="17"/>
      <c r="C496" s="17"/>
      <c r="D496" s="17"/>
      <c r="E496" s="343"/>
      <c r="F496" s="17"/>
      <c r="G496" s="17"/>
      <c r="H496" s="17"/>
      <c r="I496" s="17"/>
      <c r="J496" s="17" t="s">
        <v>1011</v>
      </c>
      <c r="K496" s="17"/>
      <c r="L496" s="17"/>
      <c r="AC496" s="1301"/>
    </row>
    <row r="497">
      <c r="B497" s="17"/>
      <c r="C497" s="17"/>
      <c r="D497" s="17"/>
      <c r="E497" s="343"/>
      <c r="F497" s="17"/>
      <c r="G497" s="17"/>
      <c r="H497" s="17"/>
      <c r="I497" s="17"/>
      <c r="J497" s="17" t="s">
        <v>1011</v>
      </c>
      <c r="K497" s="17"/>
      <c r="L497" s="17"/>
      <c r="AC497" s="1301"/>
    </row>
    <row r="498">
      <c r="B498" s="17"/>
      <c r="C498" s="17"/>
      <c r="D498" s="17"/>
      <c r="E498" s="343"/>
      <c r="F498" s="17"/>
      <c r="G498" s="17"/>
      <c r="H498" s="17"/>
      <c r="I498" s="17"/>
      <c r="J498" s="17" t="s">
        <v>1011</v>
      </c>
      <c r="K498" s="17"/>
      <c r="L498" s="17"/>
      <c r="AC498" s="1301"/>
    </row>
    <row r="499">
      <c r="B499" s="17"/>
      <c r="C499" s="17"/>
      <c r="D499" s="17"/>
      <c r="E499" s="343"/>
      <c r="F499" s="17"/>
      <c r="G499" s="17"/>
      <c r="H499" s="17"/>
      <c r="I499" s="17"/>
      <c r="J499" s="17" t="s">
        <v>1011</v>
      </c>
      <c r="K499" s="17"/>
      <c r="L499" s="17"/>
      <c r="AC499" s="1301"/>
    </row>
    <row r="500">
      <c r="B500" s="17"/>
      <c r="C500" s="17"/>
      <c r="D500" s="17"/>
      <c r="E500" s="343"/>
      <c r="F500" s="17"/>
      <c r="G500" s="17"/>
      <c r="H500" s="17"/>
      <c r="I500" s="17"/>
      <c r="J500" s="17" t="s">
        <v>1011</v>
      </c>
      <c r="K500" s="17"/>
      <c r="L500" s="17"/>
      <c r="AC500" s="1301"/>
    </row>
    <row r="501">
      <c r="B501" s="17"/>
      <c r="C501" s="17"/>
      <c r="D501" s="17"/>
      <c r="E501" s="343"/>
      <c r="F501" s="17"/>
      <c r="G501" s="17"/>
      <c r="H501" s="17"/>
      <c r="I501" s="17"/>
      <c r="J501" s="17" t="s">
        <v>1011</v>
      </c>
      <c r="K501" s="17"/>
      <c r="L501" s="17"/>
      <c r="AC501" s="1301"/>
    </row>
    <row r="502">
      <c r="B502" s="17"/>
      <c r="C502" s="17"/>
      <c r="D502" s="17"/>
      <c r="E502" s="343"/>
      <c r="F502" s="17"/>
      <c r="G502" s="17"/>
      <c r="H502" s="17"/>
      <c r="I502" s="17"/>
      <c r="J502" s="17" t="s">
        <v>1011</v>
      </c>
      <c r="K502" s="17"/>
      <c r="L502" s="17"/>
      <c r="AC502" s="1301"/>
    </row>
    <row r="503">
      <c r="B503" s="17"/>
      <c r="C503" s="17"/>
      <c r="D503" s="17"/>
      <c r="E503" s="343"/>
      <c r="F503" s="17"/>
      <c r="G503" s="17"/>
      <c r="H503" s="17"/>
      <c r="I503" s="17"/>
      <c r="J503" s="17" t="s">
        <v>1011</v>
      </c>
      <c r="K503" s="17"/>
      <c r="L503" s="17"/>
      <c r="AC503" s="1301"/>
    </row>
    <row r="504">
      <c r="B504" s="17"/>
      <c r="C504" s="17"/>
      <c r="D504" s="17"/>
      <c r="E504" s="343"/>
      <c r="F504" s="17"/>
      <c r="G504" s="17"/>
      <c r="H504" s="17"/>
      <c r="I504" s="17"/>
      <c r="J504" s="17" t="s">
        <v>1011</v>
      </c>
      <c r="K504" s="17"/>
      <c r="L504" s="17"/>
      <c r="AC504" s="1301"/>
    </row>
    <row r="505">
      <c r="B505" s="17"/>
      <c r="C505" s="17"/>
      <c r="D505" s="17"/>
      <c r="E505" s="343"/>
      <c r="F505" s="17"/>
      <c r="G505" s="17"/>
      <c r="H505" s="17"/>
      <c r="I505" s="17"/>
      <c r="J505" s="17" t="s">
        <v>1011</v>
      </c>
      <c r="K505" s="17"/>
      <c r="L505" s="17"/>
      <c r="AC505" s="1301"/>
    </row>
    <row r="506">
      <c r="B506" s="17"/>
      <c r="C506" s="17"/>
      <c r="D506" s="17"/>
      <c r="E506" s="343"/>
      <c r="F506" s="17"/>
      <c r="G506" s="17"/>
      <c r="H506" s="17"/>
      <c r="I506" s="17"/>
      <c r="J506" s="17" t="s">
        <v>1011</v>
      </c>
      <c r="K506" s="17"/>
      <c r="L506" s="17"/>
      <c r="AC506" s="1301"/>
    </row>
    <row r="507">
      <c r="B507" s="17"/>
      <c r="C507" s="17"/>
      <c r="D507" s="17"/>
      <c r="E507" s="343"/>
      <c r="F507" s="17"/>
      <c r="G507" s="17"/>
      <c r="H507" s="17"/>
      <c r="I507" s="17"/>
      <c r="J507" s="17" t="s">
        <v>1011</v>
      </c>
      <c r="K507" s="17"/>
      <c r="L507" s="17"/>
      <c r="AC507" s="1301"/>
    </row>
    <row r="508">
      <c r="B508" s="17"/>
      <c r="C508" s="17"/>
      <c r="D508" s="17"/>
      <c r="E508" s="343"/>
      <c r="F508" s="17"/>
      <c r="G508" s="17"/>
      <c r="H508" s="17"/>
      <c r="I508" s="17"/>
      <c r="J508" s="17" t="s">
        <v>1011</v>
      </c>
      <c r="K508" s="17"/>
      <c r="L508" s="17"/>
      <c r="AC508" s="1301"/>
    </row>
    <row r="509">
      <c r="B509" s="17"/>
      <c r="C509" s="17"/>
      <c r="D509" s="17"/>
      <c r="E509" s="343"/>
      <c r="F509" s="17"/>
      <c r="G509" s="17"/>
      <c r="H509" s="17"/>
      <c r="I509" s="17"/>
      <c r="J509" s="17" t="s">
        <v>1011</v>
      </c>
      <c r="K509" s="17"/>
      <c r="L509" s="17"/>
      <c r="AC509" s="1301"/>
    </row>
    <row r="510">
      <c r="B510" s="17"/>
      <c r="C510" s="17"/>
      <c r="D510" s="17"/>
      <c r="E510" s="343"/>
      <c r="F510" s="17"/>
      <c r="G510" s="17"/>
      <c r="H510" s="17"/>
      <c r="I510" s="17"/>
      <c r="J510" s="17" t="s">
        <v>1011</v>
      </c>
      <c r="K510" s="17"/>
      <c r="L510" s="17"/>
      <c r="AC510" s="1301"/>
    </row>
    <row r="511">
      <c r="B511" s="17"/>
      <c r="C511" s="17"/>
      <c r="D511" s="17"/>
      <c r="E511" s="343"/>
      <c r="F511" s="17"/>
      <c r="G511" s="17"/>
      <c r="H511" s="17"/>
      <c r="I511" s="17"/>
      <c r="J511" s="17" t="s">
        <v>1011</v>
      </c>
      <c r="K511" s="17"/>
      <c r="L511" s="17"/>
      <c r="AC511" s="1301"/>
    </row>
    <row r="512">
      <c r="B512" s="17"/>
      <c r="C512" s="17"/>
      <c r="D512" s="17"/>
      <c r="E512" s="343"/>
      <c r="F512" s="17"/>
      <c r="G512" s="17"/>
      <c r="H512" s="17"/>
      <c r="I512" s="17"/>
      <c r="J512" s="17" t="s">
        <v>1011</v>
      </c>
      <c r="K512" s="17"/>
      <c r="L512" s="17"/>
      <c r="AC512" s="1301"/>
    </row>
    <row r="513">
      <c r="B513" s="17"/>
      <c r="C513" s="17"/>
      <c r="D513" s="17"/>
      <c r="E513" s="343"/>
      <c r="F513" s="17"/>
      <c r="G513" s="17"/>
      <c r="H513" s="17"/>
      <c r="I513" s="17"/>
      <c r="J513" s="17" t="s">
        <v>1011</v>
      </c>
      <c r="K513" s="17"/>
      <c r="L513" s="17"/>
      <c r="AC513" s="1301"/>
    </row>
    <row r="514">
      <c r="B514" s="17"/>
      <c r="C514" s="17"/>
      <c r="D514" s="17"/>
      <c r="E514" s="343"/>
      <c r="F514" s="17"/>
      <c r="G514" s="17"/>
      <c r="H514" s="17"/>
      <c r="I514" s="17"/>
      <c r="J514" s="17" t="s">
        <v>1011</v>
      </c>
      <c r="K514" s="17"/>
      <c r="L514" s="17"/>
      <c r="AC514" s="1301"/>
    </row>
    <row r="515">
      <c r="B515" s="17"/>
      <c r="C515" s="17"/>
      <c r="D515" s="17"/>
      <c r="E515" s="343"/>
      <c r="F515" s="17"/>
      <c r="G515" s="17"/>
      <c r="H515" s="17"/>
      <c r="I515" s="17"/>
      <c r="J515" s="17" t="s">
        <v>1011</v>
      </c>
      <c r="K515" s="17"/>
      <c r="L515" s="17"/>
      <c r="AC515" s="1301"/>
    </row>
    <row r="516">
      <c r="B516" s="17"/>
      <c r="C516" s="17"/>
      <c r="D516" s="17"/>
      <c r="E516" s="343"/>
      <c r="F516" s="17"/>
      <c r="G516" s="17"/>
      <c r="H516" s="17"/>
      <c r="I516" s="17"/>
      <c r="J516" s="17" t="s">
        <v>1011</v>
      </c>
      <c r="K516" s="17"/>
      <c r="L516" s="17"/>
      <c r="AC516" s="1301"/>
    </row>
    <row r="517">
      <c r="B517" s="17"/>
      <c r="C517" s="17"/>
      <c r="D517" s="17"/>
      <c r="E517" s="343"/>
      <c r="F517" s="17"/>
      <c r="G517" s="17"/>
      <c r="H517" s="17"/>
      <c r="I517" s="17"/>
      <c r="J517" s="17" t="s">
        <v>1011</v>
      </c>
      <c r="K517" s="17"/>
      <c r="L517" s="17"/>
      <c r="AC517" s="1301"/>
    </row>
    <row r="518">
      <c r="B518" s="17"/>
      <c r="C518" s="17"/>
      <c r="D518" s="17"/>
      <c r="E518" s="343"/>
      <c r="F518" s="17"/>
      <c r="G518" s="17"/>
      <c r="H518" s="17"/>
      <c r="I518" s="17"/>
      <c r="J518" s="17" t="s">
        <v>1011</v>
      </c>
      <c r="K518" s="17"/>
      <c r="L518" s="17"/>
      <c r="AC518" s="1301"/>
    </row>
    <row r="519">
      <c r="B519" s="17"/>
      <c r="C519" s="17"/>
      <c r="D519" s="17"/>
      <c r="E519" s="343"/>
      <c r="F519" s="17"/>
      <c r="G519" s="17"/>
      <c r="H519" s="17"/>
      <c r="I519" s="17"/>
      <c r="J519" s="17" t="s">
        <v>1011</v>
      </c>
      <c r="K519" s="17"/>
      <c r="L519" s="17"/>
      <c r="AC519" s="1301"/>
    </row>
    <row r="520">
      <c r="B520" s="17"/>
      <c r="C520" s="17"/>
      <c r="D520" s="17"/>
      <c r="E520" s="343"/>
      <c r="F520" s="17"/>
      <c r="G520" s="17"/>
      <c r="H520" s="17"/>
      <c r="I520" s="17"/>
      <c r="J520" s="17" t="s">
        <v>1011</v>
      </c>
      <c r="K520" s="17"/>
      <c r="L520" s="17"/>
      <c r="AC520" s="1301"/>
    </row>
    <row r="521">
      <c r="B521" s="17"/>
      <c r="C521" s="17"/>
      <c r="D521" s="17"/>
      <c r="E521" s="343"/>
      <c r="F521" s="17"/>
      <c r="G521" s="17"/>
      <c r="H521" s="17"/>
      <c r="I521" s="17"/>
      <c r="J521" s="17" t="s">
        <v>1011</v>
      </c>
      <c r="K521" s="17"/>
      <c r="L521" s="17"/>
      <c r="AC521" s="1301"/>
    </row>
    <row r="522">
      <c r="B522" s="17"/>
      <c r="C522" s="17"/>
      <c r="D522" s="17"/>
      <c r="E522" s="343"/>
      <c r="F522" s="17"/>
      <c r="G522" s="17"/>
      <c r="H522" s="17"/>
      <c r="I522" s="17"/>
      <c r="J522" s="17" t="s">
        <v>1011</v>
      </c>
      <c r="K522" s="17"/>
      <c r="L522" s="17"/>
      <c r="AC522" s="1301"/>
    </row>
    <row r="523">
      <c r="B523" s="17"/>
      <c r="C523" s="17"/>
      <c r="D523" s="17"/>
      <c r="E523" s="343"/>
      <c r="F523" s="17"/>
      <c r="G523" s="17"/>
      <c r="H523" s="17"/>
      <c r="I523" s="17"/>
      <c r="J523" s="17" t="s">
        <v>1011</v>
      </c>
      <c r="K523" s="17"/>
      <c r="L523" s="17"/>
      <c r="AC523" s="1301"/>
    </row>
    <row r="524">
      <c r="B524" s="17"/>
      <c r="C524" s="17"/>
      <c r="D524" s="17"/>
      <c r="E524" s="343"/>
      <c r="F524" s="17"/>
      <c r="G524" s="17"/>
      <c r="H524" s="17"/>
      <c r="I524" s="17"/>
      <c r="J524" s="17" t="s">
        <v>1011</v>
      </c>
      <c r="K524" s="17"/>
      <c r="L524" s="17"/>
      <c r="AC524" s="1301"/>
    </row>
    <row r="525">
      <c r="B525" s="17"/>
      <c r="C525" s="17"/>
      <c r="D525" s="17"/>
      <c r="E525" s="343"/>
      <c r="F525" s="17"/>
      <c r="G525" s="17"/>
      <c r="H525" s="17"/>
      <c r="I525" s="17"/>
      <c r="J525" s="17" t="s">
        <v>1011</v>
      </c>
      <c r="K525" s="17"/>
      <c r="L525" s="17"/>
      <c r="AC525" s="1301"/>
    </row>
    <row r="526">
      <c r="B526" s="17"/>
      <c r="C526" s="17"/>
      <c r="D526" s="17"/>
      <c r="E526" s="343"/>
      <c r="F526" s="17"/>
      <c r="G526" s="17"/>
      <c r="H526" s="17"/>
      <c r="I526" s="17"/>
      <c r="J526" s="17" t="s">
        <v>1011</v>
      </c>
      <c r="K526" s="17"/>
      <c r="L526" s="17"/>
      <c r="AC526" s="1301"/>
    </row>
    <row r="527">
      <c r="B527" s="17"/>
      <c r="C527" s="17"/>
      <c r="D527" s="17"/>
      <c r="E527" s="343"/>
      <c r="F527" s="17"/>
      <c r="G527" s="17"/>
      <c r="H527" s="17"/>
      <c r="I527" s="17"/>
      <c r="J527" s="17" t="s">
        <v>1011</v>
      </c>
      <c r="K527" s="17"/>
      <c r="L527" s="17"/>
      <c r="AC527" s="1301"/>
    </row>
    <row r="528">
      <c r="B528" s="17"/>
      <c r="C528" s="17"/>
      <c r="D528" s="17"/>
      <c r="E528" s="343"/>
      <c r="F528" s="17"/>
      <c r="G528" s="17"/>
      <c r="H528" s="17"/>
      <c r="I528" s="17"/>
      <c r="J528" s="17" t="s">
        <v>1011</v>
      </c>
      <c r="K528" s="17"/>
      <c r="L528" s="17"/>
      <c r="AC528" s="1301"/>
    </row>
    <row r="529">
      <c r="B529" s="17"/>
      <c r="C529" s="17"/>
      <c r="D529" s="17"/>
      <c r="E529" s="343"/>
      <c r="F529" s="17"/>
      <c r="G529" s="17"/>
      <c r="H529" s="17"/>
      <c r="I529" s="17"/>
      <c r="J529" s="17" t="s">
        <v>1011</v>
      </c>
      <c r="K529" s="17"/>
      <c r="L529" s="17"/>
      <c r="AC529" s="1301"/>
    </row>
    <row r="530">
      <c r="B530" s="17"/>
      <c r="C530" s="17"/>
      <c r="D530" s="17"/>
      <c r="E530" s="343"/>
      <c r="F530" s="17"/>
      <c r="G530" s="17"/>
      <c r="H530" s="17"/>
      <c r="I530" s="17"/>
      <c r="J530" s="17" t="s">
        <v>1011</v>
      </c>
      <c r="K530" s="17"/>
      <c r="L530" s="17"/>
      <c r="AC530" s="1301"/>
    </row>
    <row r="531">
      <c r="B531" s="17"/>
      <c r="C531" s="17"/>
      <c r="D531" s="17"/>
      <c r="E531" s="343"/>
      <c r="F531" s="17"/>
      <c r="G531" s="17"/>
      <c r="H531" s="17"/>
      <c r="I531" s="17"/>
      <c r="J531" s="17" t="s">
        <v>1011</v>
      </c>
      <c r="K531" s="17"/>
      <c r="L531" s="17"/>
      <c r="AC531" s="1301"/>
    </row>
    <row r="532">
      <c r="B532" s="17"/>
      <c r="C532" s="17"/>
      <c r="D532" s="17"/>
      <c r="E532" s="343"/>
      <c r="F532" s="17"/>
      <c r="G532" s="17"/>
      <c r="H532" s="17"/>
      <c r="I532" s="17"/>
      <c r="J532" s="17" t="s">
        <v>1011</v>
      </c>
      <c r="K532" s="17"/>
      <c r="L532" s="17"/>
      <c r="AC532" s="1301"/>
    </row>
    <row r="533">
      <c r="B533" s="17"/>
      <c r="C533" s="17"/>
      <c r="D533" s="17"/>
      <c r="E533" s="343"/>
      <c r="F533" s="17"/>
      <c r="G533" s="17"/>
      <c r="H533" s="17"/>
      <c r="I533" s="17"/>
      <c r="J533" s="17" t="s">
        <v>1011</v>
      </c>
      <c r="K533" s="17"/>
      <c r="L533" s="17"/>
      <c r="AC533" s="1301"/>
    </row>
    <row r="534">
      <c r="B534" s="17"/>
      <c r="C534" s="17"/>
      <c r="D534" s="17"/>
      <c r="E534" s="343"/>
      <c r="F534" s="17"/>
      <c r="G534" s="17"/>
      <c r="H534" s="17"/>
      <c r="I534" s="17"/>
      <c r="J534" s="17" t="s">
        <v>1011</v>
      </c>
      <c r="K534" s="17"/>
      <c r="L534" s="17"/>
      <c r="AC534" s="1301"/>
    </row>
    <row r="535">
      <c r="B535" s="17"/>
      <c r="C535" s="17"/>
      <c r="D535" s="17"/>
      <c r="E535" s="343"/>
      <c r="F535" s="17"/>
      <c r="G535" s="17"/>
      <c r="H535" s="17"/>
      <c r="I535" s="17"/>
      <c r="J535" s="17" t="s">
        <v>1011</v>
      </c>
      <c r="K535" s="17"/>
      <c r="L535" s="17"/>
      <c r="AC535" s="1301"/>
    </row>
    <row r="536">
      <c r="B536" s="17"/>
      <c r="C536" s="17"/>
      <c r="D536" s="17"/>
      <c r="E536" s="343"/>
      <c r="F536" s="17"/>
      <c r="G536" s="17"/>
      <c r="H536" s="17"/>
      <c r="I536" s="17"/>
      <c r="J536" s="17" t="s">
        <v>1011</v>
      </c>
      <c r="K536" s="17"/>
      <c r="L536" s="17"/>
      <c r="AC536" s="1301"/>
    </row>
    <row r="537">
      <c r="B537" s="17"/>
      <c r="C537" s="17"/>
      <c r="D537" s="17"/>
      <c r="E537" s="343"/>
      <c r="F537" s="17"/>
      <c r="G537" s="17"/>
      <c r="H537" s="17"/>
      <c r="I537" s="17"/>
      <c r="J537" s="17" t="s">
        <v>1011</v>
      </c>
      <c r="K537" s="17"/>
      <c r="L537" s="17"/>
      <c r="AC537" s="1301"/>
    </row>
    <row r="538">
      <c r="B538" s="17"/>
      <c r="C538" s="17"/>
      <c r="D538" s="17"/>
      <c r="E538" s="343"/>
      <c r="F538" s="17"/>
      <c r="G538" s="17"/>
      <c r="H538" s="17"/>
      <c r="I538" s="17"/>
      <c r="J538" s="17" t="s">
        <v>1011</v>
      </c>
      <c r="K538" s="17"/>
      <c r="L538" s="17"/>
      <c r="AC538" s="1301"/>
    </row>
    <row r="539">
      <c r="B539" s="17"/>
      <c r="C539" s="17"/>
      <c r="D539" s="17"/>
      <c r="E539" s="343"/>
      <c r="F539" s="17"/>
      <c r="G539" s="17"/>
      <c r="H539" s="17"/>
      <c r="I539" s="17"/>
      <c r="J539" s="17" t="s">
        <v>1011</v>
      </c>
      <c r="K539" s="17"/>
      <c r="L539" s="17"/>
      <c r="AC539" s="1301"/>
    </row>
    <row r="540">
      <c r="B540" s="17"/>
      <c r="C540" s="17"/>
      <c r="D540" s="17"/>
      <c r="E540" s="343"/>
      <c r="F540" s="17"/>
      <c r="G540" s="17"/>
      <c r="H540" s="17"/>
      <c r="I540" s="17"/>
      <c r="J540" s="17" t="s">
        <v>1011</v>
      </c>
      <c r="K540" s="17"/>
      <c r="L540" s="17"/>
      <c r="AC540" s="1301"/>
    </row>
    <row r="541">
      <c r="B541" s="17"/>
      <c r="C541" s="17"/>
      <c r="D541" s="17"/>
      <c r="E541" s="343"/>
      <c r="F541" s="17"/>
      <c r="G541" s="17"/>
      <c r="H541" s="17"/>
      <c r="I541" s="17"/>
      <c r="J541" s="17" t="s">
        <v>1011</v>
      </c>
      <c r="K541" s="17"/>
      <c r="L541" s="17"/>
      <c r="AC541" s="1301"/>
    </row>
    <row r="542">
      <c r="B542" s="17"/>
      <c r="C542" s="17"/>
      <c r="D542" s="17"/>
      <c r="E542" s="343"/>
      <c r="F542" s="17"/>
      <c r="G542" s="17"/>
      <c r="H542" s="17"/>
      <c r="I542" s="17"/>
      <c r="J542" s="17" t="s">
        <v>1011</v>
      </c>
      <c r="K542" s="17"/>
      <c r="L542" s="17"/>
      <c r="AC542" s="1301"/>
    </row>
    <row r="543">
      <c r="B543" s="17"/>
      <c r="C543" s="17"/>
      <c r="D543" s="17"/>
      <c r="E543" s="343"/>
      <c r="F543" s="17"/>
      <c r="G543" s="17"/>
      <c r="H543" s="17"/>
      <c r="I543" s="17"/>
      <c r="J543" s="17" t="s">
        <v>1011</v>
      </c>
      <c r="K543" s="17"/>
      <c r="L543" s="17"/>
      <c r="AC543" s="1301"/>
    </row>
    <row r="544">
      <c r="B544" s="17"/>
      <c r="C544" s="17"/>
      <c r="D544" s="17"/>
      <c r="E544" s="343"/>
      <c r="F544" s="17"/>
      <c r="G544" s="17"/>
      <c r="H544" s="17"/>
      <c r="I544" s="17"/>
      <c r="J544" s="17" t="s">
        <v>1011</v>
      </c>
      <c r="K544" s="17"/>
      <c r="L544" s="17"/>
      <c r="AC544" s="1301"/>
    </row>
    <row r="545">
      <c r="B545" s="17"/>
      <c r="C545" s="17"/>
      <c r="D545" s="17"/>
      <c r="E545" s="343"/>
      <c r="F545" s="17"/>
      <c r="G545" s="17"/>
      <c r="H545" s="17"/>
      <c r="I545" s="17"/>
      <c r="J545" s="17" t="s">
        <v>1011</v>
      </c>
      <c r="K545" s="17"/>
      <c r="L545" s="17"/>
      <c r="AC545" s="1301"/>
    </row>
    <row r="546">
      <c r="B546" s="17"/>
      <c r="C546" s="17"/>
      <c r="D546" s="17"/>
      <c r="E546" s="343"/>
      <c r="F546" s="17"/>
      <c r="G546" s="17"/>
      <c r="H546" s="17"/>
      <c r="I546" s="17"/>
      <c r="J546" s="17" t="s">
        <v>1011</v>
      </c>
      <c r="K546" s="17"/>
      <c r="L546" s="17"/>
      <c r="AC546" s="1301"/>
    </row>
    <row r="547">
      <c r="B547" s="17"/>
      <c r="C547" s="17"/>
      <c r="D547" s="17"/>
      <c r="E547" s="343"/>
      <c r="F547" s="17"/>
      <c r="G547" s="17"/>
      <c r="H547" s="17"/>
      <c r="I547" s="17"/>
      <c r="J547" s="17" t="s">
        <v>1011</v>
      </c>
      <c r="K547" s="17"/>
      <c r="L547" s="17"/>
      <c r="AC547" s="1301"/>
    </row>
    <row r="548">
      <c r="B548" s="17"/>
      <c r="C548" s="17"/>
      <c r="D548" s="17"/>
      <c r="E548" s="343"/>
      <c r="F548" s="17"/>
      <c r="G548" s="17"/>
      <c r="H548" s="17"/>
      <c r="I548" s="17"/>
      <c r="J548" s="17" t="s">
        <v>1011</v>
      </c>
      <c r="K548" s="17"/>
      <c r="L548" s="17"/>
      <c r="AC548" s="1301"/>
    </row>
    <row r="549">
      <c r="B549" s="17"/>
      <c r="C549" s="17"/>
      <c r="D549" s="17"/>
      <c r="E549" s="343"/>
      <c r="F549" s="17"/>
      <c r="G549" s="17"/>
      <c r="H549" s="17"/>
      <c r="I549" s="17"/>
      <c r="J549" s="17" t="s">
        <v>1011</v>
      </c>
      <c r="K549" s="17"/>
      <c r="L549" s="17"/>
      <c r="AC549" s="1301"/>
    </row>
    <row r="550">
      <c r="B550" s="17"/>
      <c r="C550" s="17"/>
      <c r="D550" s="17"/>
      <c r="E550" s="343"/>
      <c r="F550" s="17"/>
      <c r="G550" s="17"/>
      <c r="H550" s="17"/>
      <c r="I550" s="17"/>
      <c r="J550" s="17" t="s">
        <v>1011</v>
      </c>
      <c r="K550" s="17"/>
      <c r="L550" s="17"/>
      <c r="AC550" s="1301"/>
    </row>
    <row r="551">
      <c r="B551" s="17"/>
      <c r="C551" s="17"/>
      <c r="D551" s="17"/>
      <c r="E551" s="343"/>
      <c r="F551" s="17"/>
      <c r="G551" s="17"/>
      <c r="H551" s="17"/>
      <c r="I551" s="17"/>
      <c r="J551" s="17" t="s">
        <v>1011</v>
      </c>
      <c r="K551" s="17"/>
      <c r="L551" s="17"/>
      <c r="AC551" s="1301"/>
    </row>
    <row r="552">
      <c r="B552" s="17"/>
      <c r="C552" s="17"/>
      <c r="D552" s="17"/>
      <c r="E552" s="343"/>
      <c r="F552" s="17"/>
      <c r="G552" s="17"/>
      <c r="H552" s="17"/>
      <c r="I552" s="17"/>
      <c r="J552" s="17" t="s">
        <v>1011</v>
      </c>
      <c r="K552" s="17"/>
      <c r="L552" s="17"/>
      <c r="AC552" s="1301"/>
    </row>
    <row r="553">
      <c r="B553" s="17"/>
      <c r="C553" s="17"/>
      <c r="D553" s="17"/>
      <c r="E553" s="343"/>
      <c r="F553" s="17"/>
      <c r="G553" s="17"/>
      <c r="H553" s="17"/>
      <c r="I553" s="17"/>
      <c r="J553" s="17" t="s">
        <v>1011</v>
      </c>
      <c r="K553" s="17"/>
      <c r="L553" s="17"/>
      <c r="AC553" s="1301"/>
    </row>
    <row r="554">
      <c r="B554" s="17"/>
      <c r="C554" s="17"/>
      <c r="D554" s="17"/>
      <c r="E554" s="343"/>
      <c r="F554" s="17"/>
      <c r="G554" s="17"/>
      <c r="H554" s="17"/>
      <c r="I554" s="17"/>
      <c r="J554" s="17" t="s">
        <v>1011</v>
      </c>
      <c r="K554" s="17"/>
      <c r="L554" s="17"/>
      <c r="AC554" s="1301"/>
    </row>
    <row r="555">
      <c r="B555" s="17"/>
      <c r="C555" s="17"/>
      <c r="D555" s="17"/>
      <c r="E555" s="343"/>
      <c r="F555" s="17"/>
      <c r="G555" s="17"/>
      <c r="H555" s="17"/>
      <c r="I555" s="17"/>
      <c r="J555" s="17" t="s">
        <v>1011</v>
      </c>
      <c r="K555" s="17"/>
      <c r="L555" s="17"/>
      <c r="AC555" s="1301"/>
    </row>
    <row r="556">
      <c r="B556" s="17"/>
      <c r="C556" s="17"/>
      <c r="D556" s="17"/>
      <c r="E556" s="343"/>
      <c r="F556" s="17"/>
      <c r="G556" s="17"/>
      <c r="H556" s="17"/>
      <c r="I556" s="17"/>
      <c r="J556" s="17" t="s">
        <v>1011</v>
      </c>
      <c r="K556" s="17"/>
      <c r="L556" s="17"/>
      <c r="AC556" s="1301"/>
    </row>
    <row r="557">
      <c r="B557" s="17"/>
      <c r="C557" s="17"/>
      <c r="D557" s="17"/>
      <c r="E557" s="343"/>
      <c r="F557" s="17"/>
      <c r="G557" s="17"/>
      <c r="H557" s="17"/>
      <c r="I557" s="17"/>
      <c r="J557" s="17" t="s">
        <v>1011</v>
      </c>
      <c r="K557" s="17"/>
      <c r="L557" s="17"/>
      <c r="AC557" s="1301"/>
    </row>
    <row r="558">
      <c r="B558" s="17"/>
      <c r="C558" s="17"/>
      <c r="D558" s="17"/>
      <c r="E558" s="343"/>
      <c r="F558" s="17"/>
      <c r="G558" s="17"/>
      <c r="H558" s="17"/>
      <c r="I558" s="17"/>
      <c r="J558" s="17" t="s">
        <v>1011</v>
      </c>
      <c r="K558" s="17"/>
      <c r="L558" s="17"/>
      <c r="AC558" s="1301"/>
    </row>
    <row r="559">
      <c r="B559" s="17"/>
      <c r="C559" s="17"/>
      <c r="D559" s="17"/>
      <c r="E559" s="343"/>
      <c r="F559" s="17"/>
      <c r="G559" s="17"/>
      <c r="H559" s="17"/>
      <c r="I559" s="17"/>
      <c r="J559" s="17" t="s">
        <v>1011</v>
      </c>
      <c r="K559" s="17"/>
      <c r="L559" s="17"/>
      <c r="AC559" s="1301"/>
    </row>
    <row r="560">
      <c r="B560" s="17"/>
      <c r="C560" s="17"/>
      <c r="D560" s="17"/>
      <c r="E560" s="343"/>
      <c r="F560" s="17"/>
      <c r="G560" s="17"/>
      <c r="H560" s="17"/>
      <c r="I560" s="17"/>
      <c r="J560" s="17" t="s">
        <v>1011</v>
      </c>
      <c r="K560" s="17"/>
      <c r="L560" s="17"/>
      <c r="AC560" s="1301"/>
    </row>
    <row r="561">
      <c r="B561" s="17"/>
      <c r="C561" s="17"/>
      <c r="D561" s="17"/>
      <c r="E561" s="343"/>
      <c r="F561" s="17"/>
      <c r="G561" s="17"/>
      <c r="H561" s="17"/>
      <c r="I561" s="17"/>
      <c r="J561" s="17" t="s">
        <v>1011</v>
      </c>
      <c r="K561" s="17"/>
      <c r="L561" s="17"/>
      <c r="AC561" s="1301"/>
    </row>
    <row r="562">
      <c r="B562" s="17"/>
      <c r="C562" s="17"/>
      <c r="D562" s="17"/>
      <c r="E562" s="343"/>
      <c r="F562" s="17"/>
      <c r="G562" s="17"/>
      <c r="H562" s="17"/>
      <c r="I562" s="17"/>
      <c r="J562" s="17" t="s">
        <v>1011</v>
      </c>
      <c r="K562" s="17"/>
      <c r="L562" s="17"/>
      <c r="AC562" s="1301"/>
    </row>
    <row r="563">
      <c r="B563" s="17"/>
      <c r="C563" s="17"/>
      <c r="D563" s="17"/>
      <c r="E563" s="343"/>
      <c r="F563" s="17"/>
      <c r="G563" s="17"/>
      <c r="H563" s="17"/>
      <c r="I563" s="17"/>
      <c r="J563" s="17" t="s">
        <v>1011</v>
      </c>
      <c r="K563" s="17"/>
      <c r="L563" s="17"/>
      <c r="AC563" s="1301"/>
    </row>
    <row r="564">
      <c r="B564" s="17"/>
      <c r="C564" s="17"/>
      <c r="D564" s="17"/>
      <c r="E564" s="343"/>
      <c r="F564" s="17"/>
      <c r="G564" s="17"/>
      <c r="H564" s="17"/>
      <c r="I564" s="17"/>
      <c r="J564" s="17" t="s">
        <v>1011</v>
      </c>
      <c r="K564" s="17"/>
      <c r="L564" s="17"/>
      <c r="AC564" s="1301"/>
    </row>
    <row r="565">
      <c r="B565" s="17"/>
      <c r="C565" s="17"/>
      <c r="D565" s="17"/>
      <c r="E565" s="343"/>
      <c r="F565" s="17"/>
      <c r="G565" s="17"/>
      <c r="H565" s="17"/>
      <c r="I565" s="17"/>
      <c r="J565" s="17" t="s">
        <v>1011</v>
      </c>
      <c r="K565" s="17"/>
      <c r="L565" s="17"/>
      <c r="AC565" s="1301"/>
    </row>
    <row r="566">
      <c r="B566" s="17"/>
      <c r="C566" s="17"/>
      <c r="D566" s="17"/>
      <c r="E566" s="343"/>
      <c r="F566" s="17"/>
      <c r="G566" s="17"/>
      <c r="H566" s="17"/>
      <c r="I566" s="17"/>
      <c r="J566" s="17" t="s">
        <v>1011</v>
      </c>
      <c r="K566" s="17"/>
      <c r="L566" s="17"/>
      <c r="AC566" s="1301"/>
    </row>
    <row r="567">
      <c r="B567" s="17"/>
      <c r="C567" s="17"/>
      <c r="D567" s="17"/>
      <c r="E567" s="343"/>
      <c r="F567" s="17"/>
      <c r="G567" s="17"/>
      <c r="H567" s="17"/>
      <c r="I567" s="17"/>
      <c r="J567" s="17" t="s">
        <v>1011</v>
      </c>
      <c r="K567" s="17"/>
      <c r="L567" s="17"/>
      <c r="AC567" s="1301"/>
    </row>
    <row r="568">
      <c r="B568" s="17"/>
      <c r="C568" s="17"/>
      <c r="D568" s="17"/>
      <c r="E568" s="343"/>
      <c r="F568" s="17"/>
      <c r="G568" s="17"/>
      <c r="H568" s="17"/>
      <c r="I568" s="17"/>
      <c r="J568" s="17" t="s">
        <v>1011</v>
      </c>
      <c r="K568" s="17"/>
      <c r="L568" s="17"/>
      <c r="AC568" s="1301"/>
    </row>
    <row r="569">
      <c r="B569" s="17"/>
      <c r="C569" s="17"/>
      <c r="D569" s="17"/>
      <c r="E569" s="343"/>
      <c r="F569" s="17"/>
      <c r="G569" s="17"/>
      <c r="H569" s="17"/>
      <c r="I569" s="17"/>
      <c r="J569" s="17" t="s">
        <v>1011</v>
      </c>
      <c r="K569" s="17"/>
      <c r="L569" s="17"/>
      <c r="AC569" s="1301"/>
    </row>
    <row r="570">
      <c r="B570" s="17"/>
      <c r="C570" s="17"/>
      <c r="D570" s="17"/>
      <c r="E570" s="343"/>
      <c r="F570" s="17"/>
      <c r="G570" s="17"/>
      <c r="H570" s="17"/>
      <c r="I570" s="17"/>
      <c r="J570" s="17" t="s">
        <v>1011</v>
      </c>
      <c r="K570" s="17"/>
      <c r="L570" s="17"/>
      <c r="AC570" s="1301"/>
    </row>
    <row r="571">
      <c r="B571" s="17"/>
      <c r="C571" s="17"/>
      <c r="D571" s="17"/>
      <c r="E571" s="343"/>
      <c r="F571" s="17"/>
      <c r="G571" s="17"/>
      <c r="H571" s="17"/>
      <c r="I571" s="17"/>
      <c r="J571" s="17" t="s">
        <v>1011</v>
      </c>
      <c r="K571" s="17"/>
      <c r="L571" s="17"/>
      <c r="AC571" s="1301"/>
    </row>
    <row r="572">
      <c r="B572" s="17"/>
      <c r="C572" s="17"/>
      <c r="D572" s="17"/>
      <c r="E572" s="343"/>
      <c r="F572" s="17"/>
      <c r="G572" s="17"/>
      <c r="H572" s="17"/>
      <c r="I572" s="17"/>
      <c r="J572" s="17" t="s">
        <v>1011</v>
      </c>
      <c r="K572" s="17"/>
      <c r="L572" s="17"/>
      <c r="AC572" s="1301"/>
    </row>
    <row r="573">
      <c r="B573" s="17"/>
      <c r="C573" s="17"/>
      <c r="D573" s="17"/>
      <c r="E573" s="343"/>
      <c r="F573" s="17"/>
      <c r="G573" s="17"/>
      <c r="H573" s="17"/>
      <c r="I573" s="17"/>
      <c r="J573" s="17" t="s">
        <v>1011</v>
      </c>
      <c r="K573" s="17"/>
      <c r="L573" s="17"/>
      <c r="AC573" s="1301"/>
    </row>
    <row r="574">
      <c r="B574" s="17"/>
      <c r="C574" s="17"/>
      <c r="D574" s="17"/>
      <c r="E574" s="343"/>
      <c r="F574" s="17"/>
      <c r="G574" s="17"/>
      <c r="H574" s="17"/>
      <c r="I574" s="17"/>
      <c r="J574" s="17" t="s">
        <v>1011</v>
      </c>
      <c r="K574" s="17"/>
      <c r="L574" s="17"/>
      <c r="AC574" s="1301"/>
    </row>
    <row r="575">
      <c r="B575" s="17"/>
      <c r="C575" s="17"/>
      <c r="D575" s="17"/>
      <c r="E575" s="343"/>
      <c r="F575" s="17"/>
      <c r="G575" s="17"/>
      <c r="H575" s="17"/>
      <c r="I575" s="17"/>
      <c r="J575" s="17" t="s">
        <v>1011</v>
      </c>
      <c r="K575" s="17"/>
      <c r="L575" s="17"/>
      <c r="AC575" s="1301"/>
    </row>
    <row r="576">
      <c r="B576" s="17"/>
      <c r="C576" s="17"/>
      <c r="D576" s="17"/>
      <c r="E576" s="343"/>
      <c r="F576" s="17"/>
      <c r="G576" s="17"/>
      <c r="H576" s="17"/>
      <c r="I576" s="17"/>
      <c r="J576" s="17" t="s">
        <v>1011</v>
      </c>
      <c r="K576" s="17"/>
      <c r="L576" s="17"/>
      <c r="AC576" s="1301"/>
    </row>
    <row r="577">
      <c r="B577" s="17"/>
      <c r="C577" s="17"/>
      <c r="D577" s="17"/>
      <c r="E577" s="343"/>
      <c r="F577" s="17"/>
      <c r="G577" s="17"/>
      <c r="H577" s="17"/>
      <c r="I577" s="17"/>
      <c r="J577" s="17" t="s">
        <v>1011</v>
      </c>
      <c r="K577" s="17"/>
      <c r="L577" s="17"/>
      <c r="AC577" s="1301"/>
    </row>
    <row r="578">
      <c r="B578" s="17"/>
      <c r="C578" s="17"/>
      <c r="D578" s="17"/>
      <c r="E578" s="343"/>
      <c r="F578" s="17"/>
      <c r="G578" s="17"/>
      <c r="H578" s="17"/>
      <c r="I578" s="17"/>
      <c r="J578" s="17" t="s">
        <v>1011</v>
      </c>
      <c r="K578" s="17"/>
      <c r="L578" s="17"/>
      <c r="AC578" s="1301"/>
    </row>
    <row r="579">
      <c r="B579" s="17"/>
      <c r="C579" s="17"/>
      <c r="D579" s="17"/>
      <c r="E579" s="343"/>
      <c r="F579" s="17"/>
      <c r="G579" s="17"/>
      <c r="H579" s="17"/>
      <c r="I579" s="17"/>
      <c r="J579" s="17" t="s">
        <v>1011</v>
      </c>
      <c r="K579" s="17"/>
      <c r="L579" s="17"/>
      <c r="AC579" s="1301"/>
    </row>
    <row r="580">
      <c r="B580" s="17"/>
      <c r="C580" s="17"/>
      <c r="D580" s="17"/>
      <c r="E580" s="343"/>
      <c r="F580" s="17"/>
      <c r="G580" s="17"/>
      <c r="H580" s="17"/>
      <c r="I580" s="17"/>
      <c r="J580" s="17" t="s">
        <v>1011</v>
      </c>
      <c r="K580" s="17"/>
      <c r="L580" s="17"/>
      <c r="AC580" s="1301"/>
    </row>
    <row r="581">
      <c r="B581" s="17"/>
      <c r="C581" s="17"/>
      <c r="D581" s="17"/>
      <c r="E581" s="343"/>
      <c r="F581" s="17"/>
      <c r="G581" s="17"/>
      <c r="H581" s="17"/>
      <c r="I581" s="17"/>
      <c r="J581" s="17" t="s">
        <v>1011</v>
      </c>
      <c r="K581" s="17"/>
      <c r="L581" s="17"/>
      <c r="AC581" s="1301"/>
    </row>
    <row r="582">
      <c r="B582" s="17"/>
      <c r="C582" s="17"/>
      <c r="D582" s="17"/>
      <c r="E582" s="343"/>
      <c r="F582" s="17"/>
      <c r="G582" s="17"/>
      <c r="H582" s="17"/>
      <c r="I582" s="17"/>
      <c r="J582" s="17" t="s">
        <v>1011</v>
      </c>
      <c r="K582" s="17"/>
      <c r="L582" s="17"/>
      <c r="AC582" s="1301"/>
    </row>
    <row r="583">
      <c r="B583" s="17"/>
      <c r="C583" s="17"/>
      <c r="D583" s="17"/>
      <c r="E583" s="343"/>
      <c r="F583" s="17"/>
      <c r="G583" s="17"/>
      <c r="H583" s="17"/>
      <c r="I583" s="17"/>
      <c r="J583" s="17" t="s">
        <v>1011</v>
      </c>
      <c r="K583" s="17"/>
      <c r="L583" s="17"/>
      <c r="AC583" s="1301"/>
    </row>
    <row r="584">
      <c r="B584" s="17"/>
      <c r="C584" s="17"/>
      <c r="D584" s="17"/>
      <c r="E584" s="343"/>
      <c r="F584" s="17"/>
      <c r="G584" s="17"/>
      <c r="H584" s="17"/>
      <c r="I584" s="17"/>
      <c r="J584" s="17" t="s">
        <v>1011</v>
      </c>
      <c r="K584" s="17"/>
      <c r="L584" s="17"/>
      <c r="AC584" s="1301"/>
    </row>
    <row r="585">
      <c r="B585" s="17"/>
      <c r="C585" s="17"/>
      <c r="D585" s="17"/>
      <c r="E585" s="343"/>
      <c r="F585" s="17"/>
      <c r="G585" s="17"/>
      <c r="H585" s="17"/>
      <c r="I585" s="17"/>
      <c r="J585" s="17" t="s">
        <v>1011</v>
      </c>
      <c r="K585" s="17"/>
      <c r="L585" s="17"/>
      <c r="AC585" s="1301"/>
    </row>
    <row r="586">
      <c r="B586" s="17"/>
      <c r="C586" s="17"/>
      <c r="D586" s="17"/>
      <c r="E586" s="343"/>
      <c r="F586" s="17"/>
      <c r="G586" s="17"/>
      <c r="H586" s="17"/>
      <c r="I586" s="17"/>
      <c r="J586" s="17" t="s">
        <v>1011</v>
      </c>
      <c r="K586" s="17"/>
      <c r="L586" s="17"/>
      <c r="AC586" s="1301"/>
    </row>
    <row r="587">
      <c r="B587" s="17"/>
      <c r="C587" s="17"/>
      <c r="D587" s="17"/>
      <c r="E587" s="343"/>
      <c r="F587" s="17"/>
      <c r="G587" s="17"/>
      <c r="H587" s="17"/>
      <c r="I587" s="17"/>
      <c r="J587" s="17" t="s">
        <v>1011</v>
      </c>
      <c r="K587" s="17"/>
      <c r="L587" s="17"/>
      <c r="AC587" s="1301"/>
    </row>
    <row r="588">
      <c r="B588" s="17"/>
      <c r="C588" s="17"/>
      <c r="D588" s="17"/>
      <c r="E588" s="343"/>
      <c r="F588" s="17"/>
      <c r="G588" s="17"/>
      <c r="H588" s="17"/>
      <c r="I588" s="17"/>
      <c r="J588" s="17" t="s">
        <v>1011</v>
      </c>
      <c r="K588" s="17"/>
      <c r="L588" s="17"/>
      <c r="AC588" s="1301"/>
    </row>
    <row r="589">
      <c r="B589" s="17"/>
      <c r="C589" s="17"/>
      <c r="D589" s="17"/>
      <c r="E589" s="343"/>
      <c r="F589" s="17"/>
      <c r="G589" s="17"/>
      <c r="H589" s="17"/>
      <c r="I589" s="17"/>
      <c r="J589" s="17" t="s">
        <v>1011</v>
      </c>
      <c r="K589" s="17"/>
      <c r="L589" s="17"/>
      <c r="AC589" s="1301"/>
    </row>
    <row r="590">
      <c r="B590" s="17"/>
      <c r="C590" s="17"/>
      <c r="D590" s="17"/>
      <c r="E590" s="343"/>
      <c r="F590" s="17"/>
      <c r="G590" s="17"/>
      <c r="H590" s="17"/>
      <c r="I590" s="17"/>
      <c r="J590" s="17" t="s">
        <v>1011</v>
      </c>
      <c r="K590" s="17"/>
      <c r="L590" s="17"/>
      <c r="AC590" s="1301"/>
    </row>
    <row r="591">
      <c r="B591" s="17"/>
      <c r="C591" s="17"/>
      <c r="D591" s="17"/>
      <c r="E591" s="343"/>
      <c r="F591" s="17"/>
      <c r="G591" s="17"/>
      <c r="H591" s="17"/>
      <c r="I591" s="17"/>
      <c r="J591" s="17" t="s">
        <v>1011</v>
      </c>
      <c r="K591" s="17"/>
      <c r="L591" s="17"/>
      <c r="AC591" s="1301"/>
    </row>
    <row r="592">
      <c r="B592" s="17"/>
      <c r="C592" s="17"/>
      <c r="D592" s="17"/>
      <c r="E592" s="343"/>
      <c r="F592" s="17"/>
      <c r="G592" s="17"/>
      <c r="H592" s="17"/>
      <c r="I592" s="17"/>
      <c r="J592" s="17" t="s">
        <v>1011</v>
      </c>
      <c r="K592" s="17"/>
      <c r="L592" s="17"/>
      <c r="AC592" s="1301"/>
    </row>
    <row r="593">
      <c r="B593" s="17"/>
      <c r="C593" s="17"/>
      <c r="D593" s="17"/>
      <c r="E593" s="343"/>
      <c r="F593" s="17"/>
      <c r="G593" s="17"/>
      <c r="H593" s="17"/>
      <c r="I593" s="17"/>
      <c r="J593" s="17" t="s">
        <v>1011</v>
      </c>
      <c r="K593" s="17"/>
      <c r="L593" s="17"/>
      <c r="AC593" s="1301"/>
    </row>
    <row r="594">
      <c r="B594" s="17"/>
      <c r="C594" s="17"/>
      <c r="D594" s="17"/>
      <c r="E594" s="343"/>
      <c r="F594" s="17"/>
      <c r="G594" s="17"/>
      <c r="H594" s="17"/>
      <c r="I594" s="17"/>
      <c r="J594" s="17" t="s">
        <v>1011</v>
      </c>
      <c r="K594" s="17"/>
      <c r="L594" s="17"/>
      <c r="AC594" s="1301"/>
    </row>
    <row r="595">
      <c r="B595" s="17"/>
      <c r="C595" s="17"/>
      <c r="D595" s="17"/>
      <c r="E595" s="343"/>
      <c r="F595" s="17"/>
      <c r="G595" s="17"/>
      <c r="H595" s="17"/>
      <c r="I595" s="17"/>
      <c r="J595" s="17" t="s">
        <v>1011</v>
      </c>
      <c r="K595" s="17"/>
      <c r="L595" s="17"/>
      <c r="AC595" s="1301"/>
    </row>
    <row r="596">
      <c r="B596" s="17"/>
      <c r="C596" s="17"/>
      <c r="D596" s="17"/>
      <c r="E596" s="343"/>
      <c r="F596" s="17"/>
      <c r="G596" s="17"/>
      <c r="H596" s="17"/>
      <c r="I596" s="17"/>
      <c r="J596" s="17" t="s">
        <v>1011</v>
      </c>
      <c r="K596" s="17"/>
      <c r="L596" s="17"/>
      <c r="AC596" s="1301"/>
    </row>
    <row r="597">
      <c r="B597" s="17"/>
      <c r="C597" s="17"/>
      <c r="D597" s="17"/>
      <c r="E597" s="343"/>
      <c r="F597" s="17"/>
      <c r="G597" s="17"/>
      <c r="H597" s="17"/>
      <c r="I597" s="17"/>
      <c r="J597" s="17" t="s">
        <v>1011</v>
      </c>
      <c r="K597" s="17"/>
      <c r="L597" s="17"/>
      <c r="AC597" s="1301"/>
    </row>
    <row r="598">
      <c r="B598" s="17"/>
      <c r="C598" s="17"/>
      <c r="D598" s="17"/>
      <c r="E598" s="343"/>
      <c r="F598" s="17"/>
      <c r="G598" s="17"/>
      <c r="H598" s="17"/>
      <c r="I598" s="17"/>
      <c r="J598" s="17" t="s">
        <v>1011</v>
      </c>
      <c r="K598" s="17"/>
      <c r="L598" s="17"/>
      <c r="AC598" s="1301"/>
    </row>
    <row r="599">
      <c r="B599" s="17"/>
      <c r="C599" s="17"/>
      <c r="D599" s="17"/>
      <c r="E599" s="343"/>
      <c r="F599" s="17"/>
      <c r="G599" s="17"/>
      <c r="H599" s="17"/>
      <c r="I599" s="17"/>
      <c r="J599" s="17" t="s">
        <v>1011</v>
      </c>
      <c r="K599" s="17"/>
      <c r="L599" s="17"/>
      <c r="AC599" s="1301"/>
    </row>
    <row r="600">
      <c r="B600" s="17"/>
      <c r="C600" s="17"/>
      <c r="D600" s="17"/>
      <c r="E600" s="343"/>
      <c r="F600" s="17"/>
      <c r="G600" s="17"/>
      <c r="H600" s="17"/>
      <c r="I600" s="17"/>
      <c r="J600" s="17" t="s">
        <v>1011</v>
      </c>
      <c r="K600" s="17"/>
      <c r="L600" s="17"/>
      <c r="AC600" s="1301"/>
    </row>
    <row r="601">
      <c r="B601" s="17"/>
      <c r="C601" s="17"/>
      <c r="D601" s="17"/>
      <c r="E601" s="343"/>
      <c r="F601" s="17"/>
      <c r="G601" s="17"/>
      <c r="H601" s="17"/>
      <c r="I601" s="17"/>
      <c r="J601" s="17" t="s">
        <v>1011</v>
      </c>
      <c r="K601" s="17"/>
      <c r="L601" s="17"/>
      <c r="AC601" s="1301"/>
    </row>
    <row r="602">
      <c r="B602" s="17"/>
      <c r="C602" s="17"/>
      <c r="D602" s="17"/>
      <c r="E602" s="343"/>
      <c r="F602" s="17"/>
      <c r="G602" s="17"/>
      <c r="H602" s="17"/>
      <c r="I602" s="17"/>
      <c r="J602" s="17" t="s">
        <v>1011</v>
      </c>
      <c r="K602" s="17"/>
      <c r="L602" s="17"/>
      <c r="AC602" s="1301"/>
    </row>
    <row r="603">
      <c r="B603" s="17"/>
      <c r="C603" s="17"/>
      <c r="D603" s="17"/>
      <c r="E603" s="343"/>
      <c r="F603" s="17"/>
      <c r="G603" s="17"/>
      <c r="H603" s="17"/>
      <c r="I603" s="17"/>
      <c r="J603" s="17" t="s">
        <v>1011</v>
      </c>
      <c r="K603" s="17"/>
      <c r="L603" s="17"/>
      <c r="AC603" s="1301"/>
    </row>
    <row r="604">
      <c r="B604" s="17"/>
      <c r="C604" s="17"/>
      <c r="D604" s="17"/>
      <c r="E604" s="343"/>
      <c r="F604" s="17"/>
      <c r="G604" s="17"/>
      <c r="H604" s="17"/>
      <c r="I604" s="17"/>
      <c r="J604" s="17" t="s">
        <v>1011</v>
      </c>
      <c r="K604" s="17"/>
      <c r="L604" s="17"/>
      <c r="AC604" s="1301"/>
    </row>
    <row r="605">
      <c r="B605" s="17"/>
      <c r="C605" s="17"/>
      <c r="D605" s="17"/>
      <c r="E605" s="343"/>
      <c r="F605" s="17"/>
      <c r="G605" s="17"/>
      <c r="H605" s="17"/>
      <c r="I605" s="17"/>
      <c r="J605" s="17" t="s">
        <v>1011</v>
      </c>
      <c r="K605" s="17"/>
      <c r="L605" s="17"/>
      <c r="AC605" s="1301"/>
    </row>
    <row r="606">
      <c r="B606" s="17"/>
      <c r="C606" s="17"/>
      <c r="D606" s="17"/>
      <c r="E606" s="343"/>
      <c r="F606" s="17"/>
      <c r="G606" s="17"/>
      <c r="H606" s="17"/>
      <c r="I606" s="17"/>
      <c r="J606" s="17" t="s">
        <v>1011</v>
      </c>
      <c r="K606" s="17"/>
      <c r="L606" s="17"/>
      <c r="AC606" s="1301"/>
    </row>
    <row r="607">
      <c r="B607" s="17"/>
      <c r="C607" s="17"/>
      <c r="D607" s="17"/>
      <c r="E607" s="343"/>
      <c r="F607" s="17"/>
      <c r="G607" s="17"/>
      <c r="H607" s="17"/>
      <c r="I607" s="17"/>
      <c r="J607" s="17" t="s">
        <v>1011</v>
      </c>
      <c r="K607" s="17"/>
      <c r="L607" s="17"/>
      <c r="AC607" s="1301"/>
    </row>
    <row r="608">
      <c r="B608" s="17"/>
      <c r="C608" s="17"/>
      <c r="D608" s="17"/>
      <c r="E608" s="343"/>
      <c r="F608" s="17"/>
      <c r="G608" s="17"/>
      <c r="H608" s="17"/>
      <c r="I608" s="17"/>
      <c r="J608" s="17" t="s">
        <v>1011</v>
      </c>
      <c r="K608" s="17"/>
      <c r="L608" s="17"/>
      <c r="AC608" s="1301"/>
    </row>
    <row r="609">
      <c r="B609" s="17"/>
      <c r="C609" s="17"/>
      <c r="D609" s="17"/>
      <c r="E609" s="343"/>
      <c r="F609" s="17"/>
      <c r="G609" s="17"/>
      <c r="H609" s="17"/>
      <c r="I609" s="17"/>
      <c r="J609" s="17" t="s">
        <v>1011</v>
      </c>
      <c r="K609" s="17"/>
      <c r="L609" s="17"/>
      <c r="AC609" s="1301"/>
    </row>
    <row r="610">
      <c r="B610" s="17"/>
      <c r="C610" s="17"/>
      <c r="D610" s="17"/>
      <c r="E610" s="343"/>
      <c r="F610" s="17"/>
      <c r="G610" s="17"/>
      <c r="H610" s="17"/>
      <c r="I610" s="17"/>
      <c r="J610" s="17" t="s">
        <v>1011</v>
      </c>
      <c r="K610" s="17"/>
      <c r="L610" s="17"/>
      <c r="AC610" s="1301"/>
    </row>
    <row r="611">
      <c r="B611" s="17"/>
      <c r="C611" s="17"/>
      <c r="D611" s="17"/>
      <c r="E611" s="343"/>
      <c r="F611" s="17"/>
      <c r="G611" s="17"/>
      <c r="H611" s="17"/>
      <c r="I611" s="17"/>
      <c r="J611" s="17" t="s">
        <v>1011</v>
      </c>
      <c r="K611" s="17"/>
      <c r="L611" s="17"/>
      <c r="AC611" s="1301"/>
    </row>
    <row r="612">
      <c r="B612" s="17"/>
      <c r="C612" s="17"/>
      <c r="D612" s="17"/>
      <c r="E612" s="343"/>
      <c r="F612" s="17"/>
      <c r="G612" s="17"/>
      <c r="H612" s="17"/>
      <c r="I612" s="17"/>
      <c r="J612" s="17" t="s">
        <v>1011</v>
      </c>
      <c r="K612" s="17"/>
      <c r="L612" s="17"/>
      <c r="AC612" s="1301"/>
    </row>
    <row r="613">
      <c r="B613" s="17"/>
      <c r="C613" s="17"/>
      <c r="D613" s="17"/>
      <c r="E613" s="343"/>
      <c r="F613" s="17"/>
      <c r="G613" s="17"/>
      <c r="H613" s="17"/>
      <c r="I613" s="17"/>
      <c r="J613" s="17" t="s">
        <v>1011</v>
      </c>
      <c r="K613" s="17"/>
      <c r="L613" s="17"/>
      <c r="AC613" s="1301"/>
    </row>
    <row r="614">
      <c r="B614" s="17"/>
      <c r="C614" s="17"/>
      <c r="D614" s="17"/>
      <c r="E614" s="343"/>
      <c r="F614" s="17"/>
      <c r="G614" s="17"/>
      <c r="H614" s="17"/>
      <c r="I614" s="17"/>
      <c r="J614" s="17" t="s">
        <v>1011</v>
      </c>
      <c r="K614" s="17"/>
      <c r="L614" s="17"/>
      <c r="AC614" s="1301"/>
    </row>
    <row r="615">
      <c r="B615" s="17"/>
      <c r="C615" s="17"/>
      <c r="D615" s="17"/>
      <c r="E615" s="343"/>
      <c r="F615" s="17"/>
      <c r="G615" s="17"/>
      <c r="H615" s="17"/>
      <c r="I615" s="17"/>
      <c r="J615" s="17" t="s">
        <v>1011</v>
      </c>
      <c r="K615" s="17"/>
      <c r="L615" s="17"/>
      <c r="AC615" s="1301"/>
    </row>
    <row r="616">
      <c r="B616" s="17"/>
      <c r="C616" s="17"/>
      <c r="D616" s="17"/>
      <c r="E616" s="343"/>
      <c r="F616" s="17"/>
      <c r="G616" s="17"/>
      <c r="H616" s="17"/>
      <c r="I616" s="17"/>
      <c r="J616" s="17" t="s">
        <v>1011</v>
      </c>
      <c r="K616" s="17"/>
      <c r="L616" s="17"/>
      <c r="AC616" s="1301"/>
    </row>
    <row r="617">
      <c r="B617" s="17"/>
      <c r="C617" s="17"/>
      <c r="D617" s="17"/>
      <c r="E617" s="343"/>
      <c r="F617" s="17"/>
      <c r="G617" s="17"/>
      <c r="H617" s="17"/>
      <c r="I617" s="17"/>
      <c r="J617" s="17" t="s">
        <v>1011</v>
      </c>
      <c r="K617" s="17"/>
      <c r="L617" s="17"/>
      <c r="AC617" s="1301"/>
    </row>
    <row r="618">
      <c r="B618" s="17"/>
      <c r="C618" s="17"/>
      <c r="D618" s="17"/>
      <c r="E618" s="343"/>
      <c r="F618" s="17"/>
      <c r="G618" s="17"/>
      <c r="H618" s="17"/>
      <c r="I618" s="17"/>
      <c r="J618" s="17" t="s">
        <v>1011</v>
      </c>
      <c r="K618" s="17"/>
      <c r="L618" s="17"/>
      <c r="AC618" s="1301"/>
    </row>
    <row r="619">
      <c r="B619" s="17"/>
      <c r="C619" s="17"/>
      <c r="D619" s="17"/>
      <c r="E619" s="343"/>
      <c r="F619" s="17"/>
      <c r="G619" s="17"/>
      <c r="H619" s="17"/>
      <c r="I619" s="17"/>
      <c r="J619" s="17" t="s">
        <v>1011</v>
      </c>
      <c r="K619" s="17"/>
      <c r="L619" s="17"/>
      <c r="AC619" s="1301"/>
    </row>
    <row r="620">
      <c r="B620" s="17"/>
      <c r="C620" s="17"/>
      <c r="D620" s="17"/>
      <c r="E620" s="343"/>
      <c r="F620" s="17"/>
      <c r="G620" s="17"/>
      <c r="H620" s="17"/>
      <c r="I620" s="17"/>
      <c r="J620" s="17" t="s">
        <v>1011</v>
      </c>
      <c r="K620" s="17"/>
      <c r="L620" s="17"/>
      <c r="AC620" s="1301"/>
    </row>
    <row r="621">
      <c r="B621" s="17"/>
      <c r="C621" s="17"/>
      <c r="D621" s="17"/>
      <c r="E621" s="343"/>
      <c r="F621" s="17"/>
      <c r="G621" s="17"/>
      <c r="H621" s="17"/>
      <c r="I621" s="17"/>
      <c r="J621" s="17" t="s">
        <v>1011</v>
      </c>
      <c r="K621" s="17"/>
      <c r="L621" s="17"/>
      <c r="AC621" s="1301"/>
    </row>
    <row r="622">
      <c r="B622" s="17"/>
      <c r="C622" s="17"/>
      <c r="D622" s="17"/>
      <c r="E622" s="343"/>
      <c r="F622" s="17"/>
      <c r="G622" s="17"/>
      <c r="H622" s="17"/>
      <c r="I622" s="17"/>
      <c r="J622" s="17" t="s">
        <v>1011</v>
      </c>
      <c r="K622" s="17"/>
      <c r="L622" s="17"/>
      <c r="AC622" s="1301"/>
    </row>
    <row r="623">
      <c r="B623" s="17"/>
      <c r="C623" s="17"/>
      <c r="D623" s="17"/>
      <c r="E623" s="343"/>
      <c r="F623" s="17"/>
      <c r="G623" s="17"/>
      <c r="H623" s="17"/>
      <c r="I623" s="17"/>
      <c r="J623" s="17" t="s">
        <v>1011</v>
      </c>
      <c r="K623" s="17"/>
      <c r="L623" s="17"/>
      <c r="AC623" s="1301"/>
    </row>
    <row r="624">
      <c r="B624" s="17"/>
      <c r="C624" s="17"/>
      <c r="D624" s="17"/>
      <c r="E624" s="343"/>
      <c r="F624" s="17"/>
      <c r="G624" s="17"/>
      <c r="H624" s="17"/>
      <c r="I624" s="17"/>
      <c r="J624" s="17" t="s">
        <v>1011</v>
      </c>
      <c r="K624" s="17"/>
      <c r="L624" s="17"/>
      <c r="AC624" s="1301"/>
    </row>
    <row r="625">
      <c r="B625" s="17"/>
      <c r="C625" s="17"/>
      <c r="D625" s="17"/>
      <c r="E625" s="343"/>
      <c r="F625" s="17"/>
      <c r="G625" s="17"/>
      <c r="H625" s="17"/>
      <c r="I625" s="17"/>
      <c r="J625" s="17" t="s">
        <v>1011</v>
      </c>
      <c r="K625" s="17"/>
      <c r="L625" s="17"/>
      <c r="AC625" s="1301"/>
    </row>
    <row r="626">
      <c r="B626" s="17"/>
      <c r="C626" s="17"/>
      <c r="D626" s="17"/>
      <c r="E626" s="343"/>
      <c r="F626" s="17"/>
      <c r="G626" s="17"/>
      <c r="H626" s="17"/>
      <c r="I626" s="17"/>
      <c r="J626" s="17" t="s">
        <v>1011</v>
      </c>
      <c r="K626" s="17"/>
      <c r="L626" s="17"/>
      <c r="AC626" s="1301"/>
    </row>
    <row r="627">
      <c r="B627" s="17"/>
      <c r="C627" s="17"/>
      <c r="D627" s="17"/>
      <c r="E627" s="343"/>
      <c r="F627" s="17"/>
      <c r="G627" s="17"/>
      <c r="H627" s="17"/>
      <c r="I627" s="17"/>
      <c r="J627" s="17" t="s">
        <v>1011</v>
      </c>
      <c r="K627" s="17"/>
      <c r="L627" s="17"/>
      <c r="AC627" s="1301"/>
    </row>
    <row r="628">
      <c r="B628" s="17"/>
      <c r="C628" s="17"/>
      <c r="D628" s="17"/>
      <c r="E628" s="343"/>
      <c r="F628" s="17"/>
      <c r="G628" s="17"/>
      <c r="H628" s="17"/>
      <c r="I628" s="17"/>
      <c r="J628" s="17" t="s">
        <v>1011</v>
      </c>
      <c r="K628" s="17"/>
      <c r="L628" s="17"/>
      <c r="AC628" s="1301"/>
    </row>
    <row r="629">
      <c r="B629" s="17"/>
      <c r="C629" s="17"/>
      <c r="D629" s="17"/>
      <c r="E629" s="343"/>
      <c r="F629" s="17"/>
      <c r="G629" s="17"/>
      <c r="H629" s="17"/>
      <c r="I629" s="17"/>
      <c r="J629" s="17" t="s">
        <v>1011</v>
      </c>
      <c r="K629" s="17"/>
      <c r="L629" s="17"/>
      <c r="AC629" s="1301"/>
    </row>
    <row r="630">
      <c r="B630" s="17"/>
      <c r="C630" s="17"/>
      <c r="D630" s="17"/>
      <c r="E630" s="343"/>
      <c r="F630" s="17"/>
      <c r="G630" s="17"/>
      <c r="H630" s="17"/>
      <c r="I630" s="17"/>
      <c r="J630" s="17" t="s">
        <v>1011</v>
      </c>
      <c r="K630" s="17"/>
      <c r="L630" s="17"/>
      <c r="AC630" s="1301"/>
    </row>
    <row r="631">
      <c r="B631" s="17"/>
      <c r="C631" s="17"/>
      <c r="D631" s="17"/>
      <c r="E631" s="343"/>
      <c r="F631" s="17"/>
      <c r="G631" s="17"/>
      <c r="H631" s="17"/>
      <c r="I631" s="17"/>
      <c r="J631" s="17" t="s">
        <v>1011</v>
      </c>
      <c r="K631" s="17"/>
      <c r="L631" s="17"/>
      <c r="AC631" s="1301"/>
    </row>
    <row r="632">
      <c r="B632" s="17"/>
      <c r="C632" s="17"/>
      <c r="D632" s="17"/>
      <c r="E632" s="343"/>
      <c r="F632" s="17"/>
      <c r="G632" s="17"/>
      <c r="H632" s="17"/>
      <c r="I632" s="17"/>
      <c r="J632" s="17" t="s">
        <v>1011</v>
      </c>
      <c r="K632" s="17"/>
      <c r="L632" s="17"/>
      <c r="AC632" s="1301"/>
    </row>
    <row r="633">
      <c r="B633" s="17"/>
      <c r="C633" s="17"/>
      <c r="D633" s="17"/>
      <c r="E633" s="343"/>
      <c r="F633" s="17"/>
      <c r="G633" s="17"/>
      <c r="H633" s="17"/>
      <c r="I633" s="17"/>
      <c r="J633" s="17" t="s">
        <v>1011</v>
      </c>
      <c r="K633" s="17"/>
      <c r="L633" s="17"/>
      <c r="AC633" s="1301"/>
    </row>
    <row r="634">
      <c r="B634" s="17"/>
      <c r="C634" s="17"/>
      <c r="D634" s="17"/>
      <c r="E634" s="343"/>
      <c r="F634" s="17"/>
      <c r="G634" s="17"/>
      <c r="H634" s="17"/>
      <c r="I634" s="17"/>
      <c r="J634" s="17" t="s">
        <v>1011</v>
      </c>
      <c r="K634" s="17"/>
      <c r="L634" s="17"/>
      <c r="AC634" s="1301"/>
    </row>
    <row r="635">
      <c r="B635" s="17"/>
      <c r="C635" s="17"/>
      <c r="D635" s="17"/>
      <c r="E635" s="343"/>
      <c r="F635" s="17"/>
      <c r="G635" s="17"/>
      <c r="H635" s="17"/>
      <c r="I635" s="17"/>
      <c r="J635" s="17" t="s">
        <v>1011</v>
      </c>
      <c r="K635" s="17"/>
      <c r="L635" s="17"/>
      <c r="AC635" s="1301"/>
    </row>
    <row r="636">
      <c r="B636" s="17"/>
      <c r="C636" s="17"/>
      <c r="D636" s="17"/>
      <c r="E636" s="343"/>
      <c r="F636" s="17"/>
      <c r="G636" s="17"/>
      <c r="H636" s="17"/>
      <c r="I636" s="17"/>
      <c r="J636" s="17" t="s">
        <v>1011</v>
      </c>
      <c r="K636" s="17"/>
      <c r="L636" s="17"/>
      <c r="AC636" s="1301"/>
    </row>
    <row r="637">
      <c r="B637" s="17"/>
      <c r="C637" s="17"/>
      <c r="D637" s="17"/>
      <c r="E637" s="343"/>
      <c r="F637" s="17"/>
      <c r="G637" s="17"/>
      <c r="H637" s="17"/>
      <c r="I637" s="17"/>
      <c r="J637" s="17" t="s">
        <v>1011</v>
      </c>
      <c r="K637" s="17"/>
      <c r="L637" s="17"/>
      <c r="AC637" s="1301"/>
    </row>
    <row r="638">
      <c r="B638" s="17"/>
      <c r="C638" s="17"/>
      <c r="D638" s="17"/>
      <c r="E638" s="343"/>
      <c r="F638" s="17"/>
      <c r="G638" s="17"/>
      <c r="H638" s="17"/>
      <c r="I638" s="17"/>
      <c r="J638" s="17" t="s">
        <v>1011</v>
      </c>
      <c r="K638" s="17"/>
      <c r="L638" s="17"/>
      <c r="AC638" s="1301"/>
    </row>
    <row r="639">
      <c r="B639" s="17"/>
      <c r="C639" s="17"/>
      <c r="D639" s="17"/>
      <c r="E639" s="343"/>
      <c r="F639" s="17"/>
      <c r="G639" s="17"/>
      <c r="H639" s="17"/>
      <c r="I639" s="17"/>
      <c r="J639" s="17" t="s">
        <v>1011</v>
      </c>
      <c r="K639" s="17"/>
      <c r="L639" s="17"/>
      <c r="AC639" s="1301"/>
    </row>
    <row r="640">
      <c r="B640" s="17"/>
      <c r="C640" s="17"/>
      <c r="D640" s="17"/>
      <c r="E640" s="343"/>
      <c r="F640" s="17"/>
      <c r="G640" s="17"/>
      <c r="H640" s="17"/>
      <c r="I640" s="17"/>
      <c r="J640" s="17" t="s">
        <v>1011</v>
      </c>
      <c r="K640" s="17"/>
      <c r="L640" s="17"/>
      <c r="AC640" s="1301"/>
    </row>
    <row r="641">
      <c r="B641" s="17"/>
      <c r="C641" s="17"/>
      <c r="D641" s="17"/>
      <c r="E641" s="343"/>
      <c r="F641" s="17"/>
      <c r="G641" s="17"/>
      <c r="H641" s="17"/>
      <c r="I641" s="17"/>
      <c r="J641" s="17" t="s">
        <v>1011</v>
      </c>
      <c r="K641" s="17"/>
      <c r="L641" s="17"/>
      <c r="AC641" s="1301"/>
    </row>
    <row r="642">
      <c r="B642" s="17"/>
      <c r="C642" s="17"/>
      <c r="D642" s="17"/>
      <c r="E642" s="343"/>
      <c r="F642" s="17"/>
      <c r="G642" s="17"/>
      <c r="H642" s="17"/>
      <c r="I642" s="17"/>
      <c r="J642" s="17" t="s">
        <v>1011</v>
      </c>
      <c r="K642" s="17"/>
      <c r="L642" s="17"/>
      <c r="AC642" s="1301"/>
    </row>
    <row r="643">
      <c r="B643" s="17"/>
      <c r="C643" s="17"/>
      <c r="D643" s="17"/>
      <c r="E643" s="343"/>
      <c r="F643" s="17"/>
      <c r="G643" s="17"/>
      <c r="H643" s="17"/>
      <c r="I643" s="17"/>
      <c r="J643" s="17" t="s">
        <v>1011</v>
      </c>
      <c r="K643" s="17"/>
      <c r="L643" s="17"/>
      <c r="AC643" s="1301"/>
    </row>
    <row r="644">
      <c r="B644" s="17"/>
      <c r="C644" s="17"/>
      <c r="D644" s="17"/>
      <c r="E644" s="343"/>
      <c r="F644" s="17"/>
      <c r="G644" s="17"/>
      <c r="H644" s="17"/>
      <c r="I644" s="17"/>
      <c r="J644" s="17" t="s">
        <v>1011</v>
      </c>
      <c r="K644" s="17"/>
      <c r="L644" s="17"/>
      <c r="AC644" s="1301"/>
    </row>
    <row r="645">
      <c r="B645" s="17"/>
      <c r="C645" s="17"/>
      <c r="D645" s="17"/>
      <c r="E645" s="343"/>
      <c r="F645" s="17"/>
      <c r="G645" s="17"/>
      <c r="H645" s="17"/>
      <c r="I645" s="17"/>
      <c r="J645" s="17" t="s">
        <v>1011</v>
      </c>
      <c r="K645" s="17"/>
      <c r="L645" s="17"/>
      <c r="AC645" s="1301"/>
    </row>
    <row r="646">
      <c r="B646" s="17"/>
      <c r="C646" s="17"/>
      <c r="D646" s="17"/>
      <c r="E646" s="343"/>
      <c r="F646" s="17"/>
      <c r="G646" s="17"/>
      <c r="H646" s="17"/>
      <c r="I646" s="17"/>
      <c r="J646" s="17" t="s">
        <v>1011</v>
      </c>
      <c r="K646" s="17"/>
      <c r="L646" s="17"/>
      <c r="AC646" s="1301"/>
    </row>
    <row r="647">
      <c r="B647" s="17"/>
      <c r="C647" s="17"/>
      <c r="D647" s="17"/>
      <c r="E647" s="343"/>
      <c r="F647" s="17"/>
      <c r="G647" s="17"/>
      <c r="H647" s="17"/>
      <c r="I647" s="17"/>
      <c r="J647" s="17" t="s">
        <v>1011</v>
      </c>
      <c r="K647" s="17"/>
      <c r="L647" s="17"/>
      <c r="AC647" s="1301"/>
    </row>
    <row r="648">
      <c r="B648" s="17"/>
      <c r="C648" s="17"/>
      <c r="D648" s="17"/>
      <c r="E648" s="343"/>
      <c r="F648" s="17"/>
      <c r="G648" s="17"/>
      <c r="H648" s="17"/>
      <c r="I648" s="17"/>
      <c r="J648" s="17" t="s">
        <v>1011</v>
      </c>
      <c r="K648" s="17"/>
      <c r="L648" s="17"/>
      <c r="AC648" s="1301"/>
    </row>
    <row r="649">
      <c r="B649" s="17"/>
      <c r="C649" s="17"/>
      <c r="D649" s="17"/>
      <c r="E649" s="343"/>
      <c r="F649" s="17"/>
      <c r="G649" s="17"/>
      <c r="H649" s="17"/>
      <c r="I649" s="17"/>
      <c r="J649" s="17" t="s">
        <v>1011</v>
      </c>
      <c r="K649" s="17"/>
      <c r="L649" s="17"/>
      <c r="AC649" s="1301"/>
    </row>
    <row r="650">
      <c r="B650" s="17"/>
      <c r="C650" s="17"/>
      <c r="D650" s="17"/>
      <c r="E650" s="343"/>
      <c r="F650" s="17"/>
      <c r="G650" s="17"/>
      <c r="H650" s="17"/>
      <c r="I650" s="17"/>
      <c r="J650" s="17" t="s">
        <v>1011</v>
      </c>
      <c r="K650" s="17"/>
      <c r="L650" s="17"/>
      <c r="AC650" s="1301"/>
    </row>
    <row r="651">
      <c r="B651" s="17"/>
      <c r="C651" s="17"/>
      <c r="D651" s="17"/>
      <c r="E651" s="343"/>
      <c r="F651" s="17"/>
      <c r="G651" s="17"/>
      <c r="H651" s="17"/>
      <c r="I651" s="17"/>
      <c r="J651" s="17" t="s">
        <v>1011</v>
      </c>
      <c r="K651" s="17"/>
      <c r="L651" s="17"/>
      <c r="AC651" s="1301"/>
    </row>
    <row r="652">
      <c r="B652" s="17"/>
      <c r="C652" s="17"/>
      <c r="D652" s="17"/>
      <c r="E652" s="343"/>
      <c r="F652" s="17"/>
      <c r="G652" s="17"/>
      <c r="H652" s="17"/>
      <c r="I652" s="17"/>
      <c r="J652" s="17" t="s">
        <v>1011</v>
      </c>
      <c r="K652" s="17"/>
      <c r="L652" s="17"/>
      <c r="AC652" s="1301"/>
    </row>
    <row r="653">
      <c r="B653" s="17"/>
      <c r="C653" s="17"/>
      <c r="D653" s="17"/>
      <c r="E653" s="343"/>
      <c r="F653" s="17"/>
      <c r="G653" s="17"/>
      <c r="H653" s="17"/>
      <c r="I653" s="17"/>
      <c r="J653" s="17" t="s">
        <v>1011</v>
      </c>
      <c r="K653" s="17"/>
      <c r="L653" s="17"/>
      <c r="AC653" s="1301"/>
    </row>
    <row r="654">
      <c r="B654" s="17"/>
      <c r="C654" s="17"/>
      <c r="D654" s="17"/>
      <c r="E654" s="343"/>
      <c r="F654" s="17"/>
      <c r="G654" s="17"/>
      <c r="H654" s="17"/>
      <c r="I654" s="17"/>
      <c r="J654" s="17" t="s">
        <v>1011</v>
      </c>
      <c r="K654" s="17"/>
      <c r="L654" s="17"/>
      <c r="AC654" s="1301"/>
    </row>
    <row r="655">
      <c r="B655" s="17"/>
      <c r="C655" s="17"/>
      <c r="D655" s="17"/>
      <c r="E655" s="343"/>
      <c r="F655" s="17"/>
      <c r="G655" s="17"/>
      <c r="H655" s="17"/>
      <c r="I655" s="17"/>
      <c r="J655" s="17" t="s">
        <v>1011</v>
      </c>
      <c r="K655" s="17"/>
      <c r="L655" s="17"/>
      <c r="AC655" s="1301"/>
    </row>
    <row r="656">
      <c r="B656" s="17"/>
      <c r="C656" s="17"/>
      <c r="D656" s="17"/>
      <c r="E656" s="343"/>
      <c r="F656" s="17"/>
      <c r="G656" s="17"/>
      <c r="H656" s="17"/>
      <c r="I656" s="17"/>
      <c r="J656" s="17" t="s">
        <v>1011</v>
      </c>
      <c r="K656" s="17"/>
      <c r="L656" s="17"/>
      <c r="AC656" s="1301"/>
    </row>
    <row r="657">
      <c r="B657" s="17"/>
      <c r="C657" s="17"/>
      <c r="D657" s="17"/>
      <c r="E657" s="343"/>
      <c r="F657" s="17"/>
      <c r="G657" s="17"/>
      <c r="H657" s="17"/>
      <c r="I657" s="17"/>
      <c r="J657" s="17" t="s">
        <v>1011</v>
      </c>
      <c r="K657" s="17"/>
      <c r="L657" s="17"/>
      <c r="AC657" s="1301"/>
    </row>
    <row r="658">
      <c r="B658" s="17"/>
      <c r="C658" s="17"/>
      <c r="D658" s="17"/>
      <c r="E658" s="343"/>
      <c r="F658" s="17"/>
      <c r="G658" s="17"/>
      <c r="H658" s="17"/>
      <c r="I658" s="17"/>
      <c r="J658" s="17" t="s">
        <v>1011</v>
      </c>
      <c r="K658" s="17"/>
      <c r="L658" s="17"/>
      <c r="AC658" s="1301"/>
    </row>
    <row r="659">
      <c r="B659" s="17"/>
      <c r="C659" s="17"/>
      <c r="D659" s="17"/>
      <c r="E659" s="343"/>
      <c r="F659" s="17"/>
      <c r="G659" s="17"/>
      <c r="H659" s="17"/>
      <c r="I659" s="17"/>
      <c r="J659" s="17" t="s">
        <v>1011</v>
      </c>
      <c r="K659" s="17"/>
      <c r="L659" s="17"/>
      <c r="AC659" s="1301"/>
    </row>
    <row r="660">
      <c r="B660" s="17"/>
      <c r="C660" s="17"/>
      <c r="D660" s="17"/>
      <c r="E660" s="343"/>
      <c r="F660" s="17"/>
      <c r="G660" s="17"/>
      <c r="H660" s="17"/>
      <c r="I660" s="17"/>
      <c r="J660" s="17" t="s">
        <v>1011</v>
      </c>
      <c r="K660" s="17"/>
      <c r="L660" s="17"/>
      <c r="AC660" s="1301"/>
    </row>
    <row r="661">
      <c r="B661" s="17"/>
      <c r="C661" s="17"/>
      <c r="D661" s="17"/>
      <c r="E661" s="343"/>
      <c r="F661" s="17"/>
      <c r="G661" s="17"/>
      <c r="H661" s="17"/>
      <c r="I661" s="17"/>
      <c r="J661" s="17" t="s">
        <v>1011</v>
      </c>
      <c r="K661" s="17"/>
      <c r="L661" s="17"/>
      <c r="AC661" s="1301"/>
    </row>
    <row r="662">
      <c r="B662" s="17"/>
      <c r="C662" s="17"/>
      <c r="D662" s="17"/>
      <c r="E662" s="343"/>
      <c r="F662" s="17"/>
      <c r="G662" s="17"/>
      <c r="H662" s="17"/>
      <c r="I662" s="17"/>
      <c r="J662" s="17" t="s">
        <v>1011</v>
      </c>
      <c r="K662" s="17"/>
      <c r="L662" s="17"/>
      <c r="AC662" s="1301"/>
    </row>
    <row r="663">
      <c r="B663" s="17"/>
      <c r="C663" s="17"/>
      <c r="D663" s="17"/>
      <c r="E663" s="343"/>
      <c r="F663" s="17"/>
      <c r="G663" s="17"/>
      <c r="H663" s="17"/>
      <c r="I663" s="17"/>
      <c r="J663" s="17" t="s">
        <v>1011</v>
      </c>
      <c r="K663" s="17"/>
      <c r="L663" s="17"/>
      <c r="AC663" s="1301"/>
    </row>
    <row r="664">
      <c r="B664" s="17"/>
      <c r="C664" s="17"/>
      <c r="D664" s="17"/>
      <c r="E664" s="343"/>
      <c r="F664" s="17"/>
      <c r="G664" s="17"/>
      <c r="H664" s="17"/>
      <c r="I664" s="17"/>
      <c r="J664" s="17" t="s">
        <v>1011</v>
      </c>
      <c r="K664" s="17"/>
      <c r="L664" s="17"/>
      <c r="AC664" s="1301"/>
    </row>
    <row r="665">
      <c r="B665" s="17"/>
      <c r="C665" s="17"/>
      <c r="D665" s="17"/>
      <c r="E665" s="343"/>
      <c r="F665" s="17"/>
      <c r="G665" s="17"/>
      <c r="H665" s="17"/>
      <c r="I665" s="17"/>
      <c r="J665" s="17" t="s">
        <v>1011</v>
      </c>
      <c r="K665" s="17"/>
      <c r="L665" s="17"/>
      <c r="AC665" s="1301"/>
    </row>
    <row r="666">
      <c r="B666" s="17"/>
      <c r="C666" s="17"/>
      <c r="D666" s="17"/>
      <c r="E666" s="343"/>
      <c r="F666" s="17"/>
      <c r="G666" s="17"/>
      <c r="H666" s="17"/>
      <c r="I666" s="17"/>
      <c r="J666" s="17" t="s">
        <v>1011</v>
      </c>
      <c r="K666" s="17"/>
      <c r="L666" s="17"/>
      <c r="AC666" s="1301"/>
    </row>
    <row r="667">
      <c r="B667" s="17"/>
      <c r="C667" s="17"/>
      <c r="D667" s="17"/>
      <c r="E667" s="343"/>
      <c r="F667" s="17"/>
      <c r="G667" s="17"/>
      <c r="H667" s="17"/>
      <c r="I667" s="17"/>
      <c r="J667" s="17" t="s">
        <v>1011</v>
      </c>
      <c r="K667" s="17"/>
      <c r="L667" s="17"/>
      <c r="AC667" s="1301"/>
    </row>
    <row r="668">
      <c r="B668" s="17"/>
      <c r="C668" s="17"/>
      <c r="D668" s="17"/>
      <c r="E668" s="343"/>
      <c r="F668" s="17"/>
      <c r="G668" s="17"/>
      <c r="H668" s="17"/>
      <c r="I668" s="17"/>
      <c r="J668" s="17" t="s">
        <v>1011</v>
      </c>
      <c r="K668" s="17"/>
      <c r="L668" s="17"/>
      <c r="AC668" s="1301"/>
    </row>
    <row r="669">
      <c r="B669" s="17"/>
      <c r="C669" s="17"/>
      <c r="D669" s="17"/>
      <c r="E669" s="343"/>
      <c r="F669" s="17"/>
      <c r="G669" s="17"/>
      <c r="H669" s="17"/>
      <c r="I669" s="17"/>
      <c r="J669" s="17" t="s">
        <v>1011</v>
      </c>
      <c r="K669" s="17"/>
      <c r="L669" s="17"/>
      <c r="AC669" s="1301"/>
    </row>
    <row r="670">
      <c r="B670" s="17"/>
      <c r="C670" s="17"/>
      <c r="D670" s="17"/>
      <c r="E670" s="343"/>
      <c r="F670" s="17"/>
      <c r="G670" s="17"/>
      <c r="H670" s="17"/>
      <c r="I670" s="17"/>
      <c r="J670" s="17" t="s">
        <v>1011</v>
      </c>
      <c r="K670" s="17"/>
      <c r="L670" s="17"/>
      <c r="AC670" s="1301"/>
    </row>
    <row r="671">
      <c r="B671" s="17"/>
      <c r="C671" s="17"/>
      <c r="D671" s="17"/>
      <c r="E671" s="343"/>
      <c r="F671" s="17"/>
      <c r="G671" s="17"/>
      <c r="H671" s="17"/>
      <c r="I671" s="17"/>
      <c r="J671" s="17" t="s">
        <v>1011</v>
      </c>
      <c r="K671" s="17"/>
      <c r="L671" s="17"/>
      <c r="AC671" s="1301"/>
    </row>
    <row r="672">
      <c r="B672" s="17"/>
      <c r="C672" s="17"/>
      <c r="D672" s="17"/>
      <c r="E672" s="343"/>
      <c r="F672" s="17"/>
      <c r="G672" s="17"/>
      <c r="H672" s="17"/>
      <c r="I672" s="17"/>
      <c r="J672" s="17" t="s">
        <v>1011</v>
      </c>
      <c r="K672" s="17"/>
      <c r="L672" s="17"/>
      <c r="AC672" s="1301"/>
    </row>
    <row r="673">
      <c r="B673" s="17"/>
      <c r="C673" s="17"/>
      <c r="D673" s="17"/>
      <c r="E673" s="343"/>
      <c r="F673" s="17"/>
      <c r="G673" s="17"/>
      <c r="H673" s="17"/>
      <c r="I673" s="17"/>
      <c r="J673" s="17" t="s">
        <v>1011</v>
      </c>
      <c r="K673" s="17"/>
      <c r="L673" s="17"/>
      <c r="AC673" s="1301"/>
    </row>
    <row r="674">
      <c r="B674" s="17"/>
      <c r="C674" s="17"/>
      <c r="D674" s="17"/>
      <c r="E674" s="343"/>
      <c r="F674" s="17"/>
      <c r="G674" s="17"/>
      <c r="H674" s="17"/>
      <c r="I674" s="17"/>
      <c r="J674" s="17" t="s">
        <v>1011</v>
      </c>
      <c r="K674" s="17"/>
      <c r="L674" s="17"/>
      <c r="AC674" s="1301"/>
    </row>
    <row r="675">
      <c r="B675" s="17"/>
      <c r="C675" s="17"/>
      <c r="D675" s="17"/>
      <c r="E675" s="343"/>
      <c r="F675" s="17"/>
      <c r="G675" s="17"/>
      <c r="H675" s="17"/>
      <c r="I675" s="17"/>
      <c r="J675" s="17" t="s">
        <v>1011</v>
      </c>
      <c r="K675" s="17"/>
      <c r="L675" s="17"/>
      <c r="AC675" s="1301"/>
    </row>
    <row r="676">
      <c r="B676" s="17"/>
      <c r="C676" s="17"/>
      <c r="D676" s="17"/>
      <c r="E676" s="343"/>
      <c r="F676" s="17"/>
      <c r="G676" s="17"/>
      <c r="H676" s="17"/>
      <c r="I676" s="17"/>
      <c r="J676" s="17" t="s">
        <v>1011</v>
      </c>
      <c r="K676" s="17"/>
      <c r="L676" s="17"/>
      <c r="AC676" s="1301"/>
    </row>
    <row r="677">
      <c r="B677" s="17"/>
      <c r="C677" s="17"/>
      <c r="D677" s="17"/>
      <c r="E677" s="343"/>
      <c r="F677" s="17"/>
      <c r="G677" s="17"/>
      <c r="H677" s="17"/>
      <c r="I677" s="17"/>
      <c r="J677" s="17" t="s">
        <v>1011</v>
      </c>
      <c r="K677" s="17"/>
      <c r="L677" s="17"/>
      <c r="AC677" s="1301"/>
    </row>
    <row r="678">
      <c r="B678" s="17"/>
      <c r="C678" s="17"/>
      <c r="D678" s="17"/>
      <c r="E678" s="343"/>
      <c r="F678" s="17"/>
      <c r="G678" s="17"/>
      <c r="H678" s="17"/>
      <c r="I678" s="17"/>
      <c r="J678" s="17" t="s">
        <v>1011</v>
      </c>
      <c r="K678" s="17"/>
      <c r="L678" s="17"/>
      <c r="AC678" s="1301"/>
    </row>
    <row r="679">
      <c r="B679" s="17"/>
      <c r="C679" s="17"/>
      <c r="D679" s="17"/>
      <c r="E679" s="343"/>
      <c r="F679" s="17"/>
      <c r="G679" s="17"/>
      <c r="H679" s="17"/>
      <c r="I679" s="17"/>
      <c r="J679" s="17" t="s">
        <v>1011</v>
      </c>
      <c r="K679" s="17"/>
      <c r="L679" s="17"/>
      <c r="AC679" s="1301"/>
    </row>
    <row r="680">
      <c r="B680" s="17"/>
      <c r="C680" s="17"/>
      <c r="D680" s="17"/>
      <c r="E680" s="343"/>
      <c r="F680" s="17"/>
      <c r="G680" s="17"/>
      <c r="H680" s="17"/>
      <c r="I680" s="17"/>
      <c r="J680" s="17" t="s">
        <v>1011</v>
      </c>
      <c r="K680" s="17"/>
      <c r="L680" s="17"/>
      <c r="AC680" s="1301"/>
    </row>
    <row r="681">
      <c r="B681" s="17"/>
      <c r="C681" s="17"/>
      <c r="D681" s="17"/>
      <c r="E681" s="343"/>
      <c r="F681" s="17"/>
      <c r="G681" s="17"/>
      <c r="H681" s="17"/>
      <c r="I681" s="17"/>
      <c r="J681" s="17" t="s">
        <v>1011</v>
      </c>
      <c r="K681" s="17"/>
      <c r="L681" s="17"/>
      <c r="AC681" s="1301"/>
    </row>
    <row r="682">
      <c r="B682" s="17"/>
      <c r="C682" s="17"/>
      <c r="D682" s="17"/>
      <c r="E682" s="343"/>
      <c r="F682" s="17"/>
      <c r="G682" s="17"/>
      <c r="H682" s="17"/>
      <c r="I682" s="17"/>
      <c r="J682" s="17" t="s">
        <v>1011</v>
      </c>
      <c r="K682" s="17"/>
      <c r="L682" s="17"/>
      <c r="AC682" s="1301"/>
    </row>
    <row r="683">
      <c r="B683" s="17"/>
      <c r="C683" s="17"/>
      <c r="D683" s="17"/>
      <c r="E683" s="343"/>
      <c r="F683" s="17"/>
      <c r="G683" s="17"/>
      <c r="H683" s="17"/>
      <c r="I683" s="17"/>
      <c r="J683" s="17" t="s">
        <v>1011</v>
      </c>
      <c r="K683" s="17"/>
      <c r="L683" s="17"/>
      <c r="AC683" s="1301"/>
    </row>
    <row r="684">
      <c r="B684" s="17"/>
      <c r="C684" s="17"/>
      <c r="D684" s="17"/>
      <c r="E684" s="343"/>
      <c r="F684" s="17"/>
      <c r="G684" s="17"/>
      <c r="H684" s="17"/>
      <c r="I684" s="17"/>
      <c r="J684" s="17" t="s">
        <v>1011</v>
      </c>
      <c r="K684" s="17"/>
      <c r="L684" s="17"/>
      <c r="AC684" s="1301"/>
    </row>
    <row r="685">
      <c r="B685" s="17"/>
      <c r="C685" s="17"/>
      <c r="D685" s="17"/>
      <c r="E685" s="343"/>
      <c r="F685" s="17"/>
      <c r="G685" s="17"/>
      <c r="H685" s="17"/>
      <c r="I685" s="17"/>
      <c r="J685" s="17" t="s">
        <v>1011</v>
      </c>
      <c r="K685" s="17"/>
      <c r="L685" s="17"/>
      <c r="AC685" s="1301"/>
    </row>
    <row r="686">
      <c r="B686" s="17"/>
      <c r="C686" s="17"/>
      <c r="D686" s="17"/>
      <c r="E686" s="343"/>
      <c r="F686" s="17"/>
      <c r="G686" s="17"/>
      <c r="H686" s="17"/>
      <c r="I686" s="17"/>
      <c r="J686" s="17" t="s">
        <v>1011</v>
      </c>
      <c r="K686" s="17"/>
      <c r="L686" s="17"/>
      <c r="AC686" s="1301"/>
    </row>
    <row r="687">
      <c r="B687" s="17"/>
      <c r="C687" s="17"/>
      <c r="D687" s="17"/>
      <c r="E687" s="343"/>
      <c r="F687" s="17"/>
      <c r="G687" s="17"/>
      <c r="H687" s="17"/>
      <c r="I687" s="17"/>
      <c r="J687" s="17" t="s">
        <v>1011</v>
      </c>
      <c r="K687" s="17"/>
      <c r="L687" s="17"/>
      <c r="AC687" s="1301"/>
    </row>
    <row r="688">
      <c r="B688" s="17"/>
      <c r="C688" s="17"/>
      <c r="D688" s="17"/>
      <c r="E688" s="343"/>
      <c r="F688" s="17"/>
      <c r="G688" s="17"/>
      <c r="H688" s="17"/>
      <c r="I688" s="17"/>
      <c r="J688" s="17" t="s">
        <v>1011</v>
      </c>
      <c r="K688" s="17"/>
      <c r="L688" s="17"/>
      <c r="AC688" s="1301"/>
    </row>
    <row r="689">
      <c r="B689" s="17"/>
      <c r="C689" s="17"/>
      <c r="D689" s="17"/>
      <c r="E689" s="343"/>
      <c r="F689" s="17"/>
      <c r="G689" s="17"/>
      <c r="H689" s="17"/>
      <c r="I689" s="17"/>
      <c r="J689" s="17" t="s">
        <v>1011</v>
      </c>
      <c r="K689" s="17"/>
      <c r="L689" s="17"/>
      <c r="AC689" s="1301"/>
    </row>
    <row r="690">
      <c r="B690" s="17"/>
      <c r="C690" s="17"/>
      <c r="D690" s="17"/>
      <c r="E690" s="343"/>
      <c r="F690" s="17"/>
      <c r="G690" s="17"/>
      <c r="H690" s="17"/>
      <c r="I690" s="17"/>
      <c r="J690" s="17" t="s">
        <v>1011</v>
      </c>
      <c r="K690" s="17"/>
      <c r="L690" s="17"/>
      <c r="AC690" s="1301"/>
    </row>
    <row r="691">
      <c r="B691" s="17"/>
      <c r="C691" s="17"/>
      <c r="D691" s="17"/>
      <c r="E691" s="343"/>
      <c r="F691" s="17"/>
      <c r="G691" s="17"/>
      <c r="H691" s="17"/>
      <c r="I691" s="17"/>
      <c r="J691" s="17" t="s">
        <v>1011</v>
      </c>
      <c r="K691" s="17"/>
      <c r="L691" s="17"/>
      <c r="AC691" s="1301"/>
    </row>
    <row r="692">
      <c r="B692" s="17"/>
      <c r="C692" s="17"/>
      <c r="D692" s="17"/>
      <c r="E692" s="343"/>
      <c r="F692" s="17"/>
      <c r="G692" s="17"/>
      <c r="H692" s="17"/>
      <c r="I692" s="17"/>
      <c r="J692" s="17" t="s">
        <v>1011</v>
      </c>
      <c r="K692" s="17"/>
      <c r="L692" s="17"/>
      <c r="AC692" s="1301"/>
    </row>
    <row r="693">
      <c r="B693" s="17"/>
      <c r="C693" s="17"/>
      <c r="D693" s="17"/>
      <c r="E693" s="343"/>
      <c r="F693" s="17"/>
      <c r="G693" s="17"/>
      <c r="H693" s="17"/>
      <c r="I693" s="17"/>
      <c r="J693" s="17" t="s">
        <v>1011</v>
      </c>
      <c r="K693" s="17"/>
      <c r="L693" s="17"/>
      <c r="AC693" s="1301"/>
    </row>
    <row r="694">
      <c r="B694" s="17"/>
      <c r="C694" s="17"/>
      <c r="D694" s="17"/>
      <c r="E694" s="343"/>
      <c r="F694" s="17"/>
      <c r="G694" s="17"/>
      <c r="H694" s="17"/>
      <c r="I694" s="17"/>
      <c r="J694" s="17" t="s">
        <v>1011</v>
      </c>
      <c r="K694" s="17"/>
      <c r="L694" s="17"/>
      <c r="AC694" s="1301"/>
    </row>
    <row r="695">
      <c r="B695" s="17"/>
      <c r="C695" s="17"/>
      <c r="D695" s="17"/>
      <c r="E695" s="343"/>
      <c r="F695" s="17"/>
      <c r="G695" s="17"/>
      <c r="H695" s="17"/>
      <c r="I695" s="17"/>
      <c r="J695" s="17" t="s">
        <v>1011</v>
      </c>
      <c r="K695" s="17"/>
      <c r="L695" s="17"/>
      <c r="AC695" s="1301"/>
    </row>
    <row r="696">
      <c r="B696" s="17"/>
      <c r="C696" s="17"/>
      <c r="D696" s="17"/>
      <c r="E696" s="343"/>
      <c r="F696" s="17"/>
      <c r="G696" s="17"/>
      <c r="H696" s="17"/>
      <c r="I696" s="17"/>
      <c r="J696" s="17" t="s">
        <v>1011</v>
      </c>
      <c r="K696" s="17"/>
      <c r="L696" s="17"/>
      <c r="AC696" s="1301"/>
    </row>
    <row r="697">
      <c r="B697" s="17"/>
      <c r="C697" s="17"/>
      <c r="D697" s="17"/>
      <c r="E697" s="343"/>
      <c r="F697" s="17"/>
      <c r="G697" s="17"/>
      <c r="H697" s="17"/>
      <c r="I697" s="17"/>
      <c r="J697" s="17" t="s">
        <v>1011</v>
      </c>
      <c r="K697" s="17"/>
      <c r="L697" s="17"/>
      <c r="AC697" s="1301"/>
    </row>
    <row r="698">
      <c r="B698" s="17"/>
      <c r="C698" s="17"/>
      <c r="D698" s="17"/>
      <c r="E698" s="343"/>
      <c r="F698" s="17"/>
      <c r="G698" s="17"/>
      <c r="H698" s="17"/>
      <c r="I698" s="17"/>
      <c r="J698" s="17" t="s">
        <v>1011</v>
      </c>
      <c r="K698" s="17"/>
      <c r="L698" s="17"/>
      <c r="AC698" s="1301"/>
    </row>
    <row r="699">
      <c r="B699" s="17"/>
      <c r="C699" s="17"/>
      <c r="D699" s="17"/>
      <c r="E699" s="343"/>
      <c r="F699" s="17"/>
      <c r="G699" s="17"/>
      <c r="H699" s="17"/>
      <c r="I699" s="17"/>
      <c r="J699" s="17" t="s">
        <v>1011</v>
      </c>
      <c r="K699" s="17"/>
      <c r="L699" s="17"/>
      <c r="AC699" s="1301"/>
    </row>
    <row r="700">
      <c r="B700" s="17"/>
      <c r="C700" s="17"/>
      <c r="D700" s="17"/>
      <c r="E700" s="343"/>
      <c r="F700" s="17"/>
      <c r="G700" s="17"/>
      <c r="H700" s="17"/>
      <c r="I700" s="17"/>
      <c r="J700" s="17" t="s">
        <v>1011</v>
      </c>
      <c r="K700" s="17"/>
      <c r="L700" s="17"/>
      <c r="AC700" s="1301"/>
    </row>
    <row r="701">
      <c r="B701" s="17"/>
      <c r="C701" s="17"/>
      <c r="D701" s="17"/>
      <c r="E701" s="343"/>
      <c r="F701" s="17"/>
      <c r="G701" s="17"/>
      <c r="H701" s="17"/>
      <c r="I701" s="17"/>
      <c r="J701" s="17" t="s">
        <v>1011</v>
      </c>
      <c r="K701" s="17"/>
      <c r="L701" s="17"/>
      <c r="AC701" s="1301"/>
    </row>
    <row r="702">
      <c r="B702" s="17"/>
      <c r="C702" s="17"/>
      <c r="D702" s="17"/>
      <c r="E702" s="343"/>
      <c r="F702" s="17"/>
      <c r="G702" s="17"/>
      <c r="H702" s="17"/>
      <c r="I702" s="17"/>
      <c r="J702" s="17" t="s">
        <v>1011</v>
      </c>
      <c r="K702" s="17"/>
      <c r="L702" s="17"/>
      <c r="AC702" s="1301"/>
    </row>
    <row r="703">
      <c r="B703" s="17"/>
      <c r="C703" s="17"/>
      <c r="D703" s="17"/>
      <c r="E703" s="343"/>
      <c r="F703" s="17"/>
      <c r="G703" s="17"/>
      <c r="H703" s="17"/>
      <c r="I703" s="17"/>
      <c r="J703" s="17" t="s">
        <v>1011</v>
      </c>
      <c r="K703" s="17"/>
      <c r="L703" s="17"/>
      <c r="AC703" s="1301"/>
    </row>
    <row r="704">
      <c r="B704" s="17"/>
      <c r="C704" s="17"/>
      <c r="D704" s="17"/>
      <c r="E704" s="343"/>
      <c r="F704" s="17"/>
      <c r="G704" s="17"/>
      <c r="H704" s="17"/>
      <c r="I704" s="17"/>
      <c r="J704" s="17" t="s">
        <v>1011</v>
      </c>
      <c r="K704" s="17"/>
      <c r="L704" s="17"/>
      <c r="AC704" s="1301"/>
    </row>
    <row r="705">
      <c r="B705" s="17"/>
      <c r="C705" s="17"/>
      <c r="D705" s="17"/>
      <c r="E705" s="343"/>
      <c r="F705" s="17"/>
      <c r="G705" s="17"/>
      <c r="H705" s="17"/>
      <c r="I705" s="17"/>
      <c r="J705" s="17" t="s">
        <v>1011</v>
      </c>
      <c r="K705" s="17"/>
      <c r="L705" s="17"/>
      <c r="AC705" s="1301"/>
    </row>
    <row r="706">
      <c r="B706" s="17"/>
      <c r="C706" s="17"/>
      <c r="D706" s="17"/>
      <c r="E706" s="343"/>
      <c r="F706" s="17"/>
      <c r="G706" s="17"/>
      <c r="H706" s="17"/>
      <c r="I706" s="17"/>
      <c r="J706" s="17" t="s">
        <v>1011</v>
      </c>
      <c r="K706" s="17"/>
      <c r="L706" s="17"/>
      <c r="AC706" s="1301"/>
    </row>
    <row r="707">
      <c r="B707" s="17"/>
      <c r="C707" s="17"/>
      <c r="D707" s="17"/>
      <c r="E707" s="343"/>
      <c r="F707" s="17"/>
      <c r="G707" s="17"/>
      <c r="H707" s="17"/>
      <c r="I707" s="17"/>
      <c r="J707" s="17" t="s">
        <v>1011</v>
      </c>
      <c r="K707" s="17"/>
      <c r="L707" s="17"/>
      <c r="AC707" s="1301"/>
    </row>
    <row r="708">
      <c r="B708" s="17"/>
      <c r="C708" s="17"/>
      <c r="D708" s="17"/>
      <c r="E708" s="343"/>
      <c r="F708" s="17"/>
      <c r="G708" s="17"/>
      <c r="H708" s="17"/>
      <c r="I708" s="17"/>
      <c r="J708" s="17" t="s">
        <v>1011</v>
      </c>
      <c r="K708" s="17"/>
      <c r="L708" s="17"/>
      <c r="AC708" s="1301"/>
    </row>
    <row r="709">
      <c r="B709" s="17"/>
      <c r="C709" s="17"/>
      <c r="D709" s="17"/>
      <c r="E709" s="343"/>
      <c r="F709" s="17"/>
      <c r="G709" s="17"/>
      <c r="H709" s="17"/>
      <c r="I709" s="17"/>
      <c r="J709" s="17" t="s">
        <v>1011</v>
      </c>
      <c r="K709" s="17"/>
      <c r="L709" s="17"/>
      <c r="AC709" s="1301"/>
    </row>
    <row r="710">
      <c r="B710" s="17"/>
      <c r="C710" s="17"/>
      <c r="D710" s="17"/>
      <c r="E710" s="343"/>
      <c r="F710" s="17"/>
      <c r="G710" s="17"/>
      <c r="H710" s="17"/>
      <c r="I710" s="17"/>
      <c r="J710" s="17" t="s">
        <v>1011</v>
      </c>
      <c r="K710" s="17"/>
      <c r="L710" s="17"/>
      <c r="AC710" s="1301"/>
    </row>
    <row r="711">
      <c r="B711" s="17"/>
      <c r="C711" s="17"/>
      <c r="D711" s="17"/>
      <c r="E711" s="343"/>
      <c r="F711" s="17"/>
      <c r="G711" s="17"/>
      <c r="H711" s="17"/>
      <c r="I711" s="17"/>
      <c r="J711" s="17" t="s">
        <v>1011</v>
      </c>
      <c r="K711" s="17"/>
      <c r="L711" s="17"/>
      <c r="AC711" s="1301"/>
    </row>
    <row r="712">
      <c r="B712" s="17"/>
      <c r="C712" s="17"/>
      <c r="D712" s="17"/>
      <c r="E712" s="343"/>
      <c r="F712" s="17"/>
      <c r="G712" s="17"/>
      <c r="H712" s="17"/>
      <c r="I712" s="17"/>
      <c r="J712" s="17" t="s">
        <v>1011</v>
      </c>
      <c r="K712" s="17"/>
      <c r="L712" s="17"/>
      <c r="AC712" s="1301"/>
    </row>
    <row r="713">
      <c r="B713" s="17"/>
      <c r="C713" s="17"/>
      <c r="D713" s="17"/>
      <c r="E713" s="343"/>
      <c r="F713" s="17"/>
      <c r="G713" s="17"/>
      <c r="H713" s="17"/>
      <c r="I713" s="17"/>
      <c r="J713" s="17" t="s">
        <v>1011</v>
      </c>
      <c r="K713" s="17"/>
      <c r="L713" s="17"/>
      <c r="AC713" s="1301"/>
    </row>
    <row r="714">
      <c r="B714" s="17"/>
      <c r="C714" s="17"/>
      <c r="D714" s="17"/>
      <c r="E714" s="343"/>
      <c r="F714" s="17"/>
      <c r="G714" s="17"/>
      <c r="H714" s="17"/>
      <c r="I714" s="17"/>
      <c r="J714" s="17" t="s">
        <v>1011</v>
      </c>
      <c r="K714" s="17"/>
      <c r="L714" s="17"/>
      <c r="AC714" s="1301"/>
    </row>
    <row r="715">
      <c r="B715" s="17"/>
      <c r="C715" s="17"/>
      <c r="D715" s="17"/>
      <c r="E715" s="343"/>
      <c r="F715" s="17"/>
      <c r="G715" s="17"/>
      <c r="H715" s="17"/>
      <c r="I715" s="17"/>
      <c r="J715" s="17" t="s">
        <v>1011</v>
      </c>
      <c r="K715" s="17"/>
      <c r="L715" s="17"/>
      <c r="AC715" s="1301"/>
    </row>
    <row r="716">
      <c r="B716" s="17"/>
      <c r="C716" s="17"/>
      <c r="D716" s="17"/>
      <c r="E716" s="343"/>
      <c r="F716" s="17"/>
      <c r="G716" s="17"/>
      <c r="H716" s="17"/>
      <c r="I716" s="17"/>
      <c r="J716" s="17" t="s">
        <v>1011</v>
      </c>
      <c r="K716" s="17"/>
      <c r="L716" s="17"/>
      <c r="AC716" s="1301"/>
    </row>
    <row r="717">
      <c r="B717" s="17"/>
      <c r="C717" s="17"/>
      <c r="D717" s="17"/>
      <c r="E717" s="343"/>
      <c r="F717" s="17"/>
      <c r="G717" s="17"/>
      <c r="H717" s="17"/>
      <c r="I717" s="17"/>
      <c r="J717" s="17" t="s">
        <v>1011</v>
      </c>
      <c r="K717" s="17"/>
      <c r="L717" s="17"/>
      <c r="AC717" s="1301"/>
    </row>
    <row r="718">
      <c r="B718" s="17"/>
      <c r="C718" s="17"/>
      <c r="D718" s="17"/>
      <c r="E718" s="343"/>
      <c r="F718" s="17"/>
      <c r="G718" s="17"/>
      <c r="H718" s="17"/>
      <c r="I718" s="17"/>
      <c r="J718" s="17" t="s">
        <v>1011</v>
      </c>
      <c r="K718" s="17"/>
      <c r="L718" s="17"/>
      <c r="AC718" s="1301"/>
    </row>
    <row r="719">
      <c r="B719" s="17"/>
      <c r="C719" s="17"/>
      <c r="D719" s="17"/>
      <c r="E719" s="343"/>
      <c r="F719" s="17"/>
      <c r="G719" s="17"/>
      <c r="H719" s="17"/>
      <c r="I719" s="17"/>
      <c r="J719" s="17" t="s">
        <v>1011</v>
      </c>
      <c r="K719" s="17"/>
      <c r="L719" s="17"/>
      <c r="AC719" s="1301"/>
    </row>
    <row r="720">
      <c r="B720" s="17"/>
      <c r="C720" s="17"/>
      <c r="D720" s="17"/>
      <c r="E720" s="343"/>
      <c r="F720" s="17"/>
      <c r="G720" s="17"/>
      <c r="H720" s="17"/>
      <c r="I720" s="17"/>
      <c r="J720" s="17" t="s">
        <v>1011</v>
      </c>
      <c r="K720" s="17"/>
      <c r="L720" s="17"/>
      <c r="AC720" s="1301"/>
    </row>
    <row r="721">
      <c r="B721" s="17"/>
      <c r="C721" s="17"/>
      <c r="D721" s="17"/>
      <c r="E721" s="343"/>
      <c r="F721" s="17"/>
      <c r="G721" s="17"/>
      <c r="H721" s="17"/>
      <c r="I721" s="17"/>
      <c r="J721" s="17" t="s">
        <v>1011</v>
      </c>
      <c r="K721" s="17"/>
      <c r="L721" s="17"/>
      <c r="AC721" s="1301"/>
    </row>
    <row r="722">
      <c r="B722" s="17"/>
      <c r="C722" s="17"/>
      <c r="D722" s="17"/>
      <c r="E722" s="343"/>
      <c r="F722" s="17"/>
      <c r="G722" s="17"/>
      <c r="H722" s="17"/>
      <c r="I722" s="17"/>
      <c r="J722" s="17" t="s">
        <v>1011</v>
      </c>
      <c r="K722" s="17"/>
      <c r="L722" s="17"/>
      <c r="AC722" s="1301"/>
    </row>
    <row r="723">
      <c r="B723" s="17"/>
      <c r="C723" s="17"/>
      <c r="D723" s="17"/>
      <c r="E723" s="343"/>
      <c r="F723" s="17"/>
      <c r="G723" s="17"/>
      <c r="H723" s="17"/>
      <c r="I723" s="17"/>
      <c r="J723" s="17" t="s">
        <v>1011</v>
      </c>
      <c r="K723" s="17"/>
      <c r="L723" s="17"/>
      <c r="AC723" s="1301"/>
    </row>
    <row r="724">
      <c r="B724" s="17"/>
      <c r="C724" s="17"/>
      <c r="D724" s="17"/>
      <c r="E724" s="343"/>
      <c r="F724" s="17"/>
      <c r="G724" s="17"/>
      <c r="H724" s="17"/>
      <c r="I724" s="17"/>
      <c r="J724" s="17" t="s">
        <v>1011</v>
      </c>
      <c r="K724" s="17"/>
      <c r="L724" s="17"/>
      <c r="AC724" s="1301"/>
    </row>
    <row r="725">
      <c r="B725" s="17"/>
      <c r="C725" s="17"/>
      <c r="D725" s="17"/>
      <c r="E725" s="343"/>
      <c r="F725" s="17"/>
      <c r="G725" s="17"/>
      <c r="H725" s="17"/>
      <c r="I725" s="17"/>
      <c r="J725" s="17" t="s">
        <v>1011</v>
      </c>
      <c r="K725" s="17"/>
      <c r="L725" s="17"/>
      <c r="AC725" s="1301"/>
    </row>
    <row r="726">
      <c r="B726" s="17"/>
      <c r="C726" s="17"/>
      <c r="D726" s="17"/>
      <c r="E726" s="343"/>
      <c r="F726" s="17"/>
      <c r="G726" s="17"/>
      <c r="H726" s="17"/>
      <c r="I726" s="17"/>
      <c r="J726" s="17" t="s">
        <v>1011</v>
      </c>
      <c r="K726" s="17"/>
      <c r="L726" s="17"/>
      <c r="AC726" s="1301"/>
    </row>
    <row r="727">
      <c r="B727" s="17"/>
      <c r="C727" s="17"/>
      <c r="D727" s="17"/>
      <c r="E727" s="343"/>
      <c r="F727" s="17"/>
      <c r="G727" s="17"/>
      <c r="H727" s="17"/>
      <c r="I727" s="17"/>
      <c r="J727" s="17" t="s">
        <v>1011</v>
      </c>
      <c r="K727" s="17"/>
      <c r="L727" s="17"/>
      <c r="AC727" s="1301"/>
    </row>
    <row r="728">
      <c r="B728" s="17"/>
      <c r="C728" s="17"/>
      <c r="D728" s="17"/>
      <c r="E728" s="343"/>
      <c r="F728" s="17"/>
      <c r="G728" s="17"/>
      <c r="H728" s="17"/>
      <c r="I728" s="17"/>
      <c r="J728" s="17" t="s">
        <v>1011</v>
      </c>
      <c r="K728" s="17"/>
      <c r="L728" s="17"/>
      <c r="AC728" s="1301"/>
    </row>
    <row r="729">
      <c r="B729" s="17"/>
      <c r="C729" s="17"/>
      <c r="D729" s="17"/>
      <c r="E729" s="343"/>
      <c r="F729" s="17"/>
      <c r="G729" s="17"/>
      <c r="H729" s="17"/>
      <c r="I729" s="17"/>
      <c r="J729" s="17" t="s">
        <v>1011</v>
      </c>
      <c r="K729" s="17"/>
      <c r="L729" s="17"/>
      <c r="AC729" s="1301"/>
    </row>
    <row r="730">
      <c r="B730" s="17"/>
      <c r="C730" s="17"/>
      <c r="D730" s="17"/>
      <c r="E730" s="343"/>
      <c r="F730" s="17"/>
      <c r="G730" s="17"/>
      <c r="H730" s="17"/>
      <c r="I730" s="17"/>
      <c r="J730" s="17" t="s">
        <v>1011</v>
      </c>
      <c r="K730" s="17"/>
      <c r="L730" s="17"/>
      <c r="AC730" s="1301"/>
    </row>
    <row r="731">
      <c r="B731" s="17"/>
      <c r="C731" s="17"/>
      <c r="D731" s="17"/>
      <c r="E731" s="343"/>
      <c r="F731" s="17"/>
      <c r="G731" s="17"/>
      <c r="H731" s="17"/>
      <c r="I731" s="17"/>
      <c r="J731" s="17" t="s">
        <v>1011</v>
      </c>
      <c r="K731" s="17"/>
      <c r="L731" s="17"/>
      <c r="AC731" s="1301"/>
    </row>
    <row r="732">
      <c r="B732" s="17"/>
      <c r="C732" s="17"/>
      <c r="D732" s="17"/>
      <c r="E732" s="343"/>
      <c r="F732" s="17"/>
      <c r="G732" s="17"/>
      <c r="H732" s="17"/>
      <c r="I732" s="17"/>
      <c r="J732" s="17" t="s">
        <v>1011</v>
      </c>
      <c r="K732" s="17"/>
      <c r="L732" s="17"/>
      <c r="AC732" s="1301"/>
    </row>
    <row r="733">
      <c r="B733" s="17"/>
      <c r="C733" s="17"/>
      <c r="D733" s="17"/>
      <c r="E733" s="343"/>
      <c r="F733" s="17"/>
      <c r="G733" s="17"/>
      <c r="H733" s="17"/>
      <c r="I733" s="17"/>
      <c r="J733" s="17" t="s">
        <v>1011</v>
      </c>
      <c r="K733" s="17"/>
      <c r="L733" s="17"/>
      <c r="AC733" s="1301"/>
    </row>
    <row r="734">
      <c r="B734" s="17"/>
      <c r="C734" s="17"/>
      <c r="D734" s="17"/>
      <c r="E734" s="343"/>
      <c r="F734" s="17"/>
      <c r="G734" s="17"/>
      <c r="H734" s="17"/>
      <c r="I734" s="17"/>
      <c r="J734" s="17" t="s">
        <v>1011</v>
      </c>
      <c r="K734" s="17"/>
      <c r="L734" s="17"/>
      <c r="AC734" s="1301"/>
    </row>
    <row r="735">
      <c r="B735" s="17"/>
      <c r="C735" s="17"/>
      <c r="D735" s="17"/>
      <c r="E735" s="343"/>
      <c r="F735" s="17"/>
      <c r="G735" s="17"/>
      <c r="H735" s="17"/>
      <c r="I735" s="17"/>
      <c r="J735" s="17" t="s">
        <v>1011</v>
      </c>
      <c r="K735" s="17"/>
      <c r="L735" s="17"/>
      <c r="AC735" s="1301"/>
    </row>
    <row r="736">
      <c r="B736" s="17"/>
      <c r="C736" s="17"/>
      <c r="D736" s="17"/>
      <c r="E736" s="343"/>
      <c r="F736" s="17"/>
      <c r="G736" s="17"/>
      <c r="H736" s="17"/>
      <c r="I736" s="17"/>
      <c r="J736" s="17" t="s">
        <v>1011</v>
      </c>
      <c r="K736" s="17"/>
      <c r="L736" s="17"/>
      <c r="AC736" s="1301"/>
    </row>
    <row r="737">
      <c r="B737" s="17"/>
      <c r="C737" s="17"/>
      <c r="D737" s="17"/>
      <c r="E737" s="343"/>
      <c r="F737" s="17"/>
      <c r="G737" s="17"/>
      <c r="H737" s="17"/>
      <c r="I737" s="17"/>
      <c r="J737" s="17" t="s">
        <v>1011</v>
      </c>
      <c r="K737" s="17"/>
      <c r="L737" s="17"/>
      <c r="AC737" s="1301"/>
    </row>
    <row r="738">
      <c r="B738" s="17"/>
      <c r="C738" s="17"/>
      <c r="D738" s="17"/>
      <c r="E738" s="343"/>
      <c r="F738" s="17"/>
      <c r="G738" s="17"/>
      <c r="H738" s="17"/>
      <c r="I738" s="17"/>
      <c r="J738" s="17" t="s">
        <v>1011</v>
      </c>
      <c r="K738" s="17"/>
      <c r="L738" s="17"/>
      <c r="AC738" s="1301"/>
    </row>
    <row r="739">
      <c r="B739" s="17"/>
      <c r="C739" s="17"/>
      <c r="D739" s="17"/>
      <c r="E739" s="343"/>
      <c r="F739" s="17"/>
      <c r="G739" s="17"/>
      <c r="H739" s="17"/>
      <c r="I739" s="17"/>
      <c r="J739" s="17" t="s">
        <v>1011</v>
      </c>
      <c r="K739" s="17"/>
      <c r="L739" s="17"/>
      <c r="AC739" s="1301"/>
    </row>
    <row r="740">
      <c r="B740" s="17"/>
      <c r="C740" s="17"/>
      <c r="D740" s="17"/>
      <c r="E740" s="343"/>
      <c r="F740" s="17"/>
      <c r="G740" s="17"/>
      <c r="H740" s="17"/>
      <c r="I740" s="17"/>
      <c r="J740" s="17" t="s">
        <v>1011</v>
      </c>
      <c r="K740" s="17"/>
      <c r="L740" s="17"/>
      <c r="AC740" s="1301"/>
    </row>
    <row r="741">
      <c r="B741" s="17"/>
      <c r="C741" s="17"/>
      <c r="D741" s="17"/>
      <c r="E741" s="343"/>
      <c r="F741" s="17"/>
      <c r="G741" s="17"/>
      <c r="H741" s="17"/>
      <c r="I741" s="17"/>
      <c r="J741" s="17" t="s">
        <v>1011</v>
      </c>
      <c r="K741" s="17"/>
      <c r="L741" s="17"/>
      <c r="AC741" s="1301"/>
    </row>
    <row r="742">
      <c r="B742" s="17"/>
      <c r="C742" s="17"/>
      <c r="D742" s="17"/>
      <c r="E742" s="343"/>
      <c r="F742" s="17"/>
      <c r="G742" s="17"/>
      <c r="H742" s="17"/>
      <c r="I742" s="17"/>
      <c r="J742" s="17" t="s">
        <v>1011</v>
      </c>
      <c r="K742" s="17"/>
      <c r="L742" s="17"/>
      <c r="AC742" s="1301"/>
    </row>
    <row r="743">
      <c r="B743" s="17"/>
      <c r="C743" s="17"/>
      <c r="D743" s="17"/>
      <c r="E743" s="343"/>
      <c r="F743" s="17"/>
      <c r="G743" s="17"/>
      <c r="H743" s="17"/>
      <c r="I743" s="17"/>
      <c r="J743" s="17" t="s">
        <v>1011</v>
      </c>
      <c r="K743" s="17"/>
      <c r="L743" s="17"/>
      <c r="AC743" s="1301"/>
    </row>
    <row r="744">
      <c r="B744" s="17"/>
      <c r="C744" s="17"/>
      <c r="D744" s="17"/>
      <c r="E744" s="343"/>
      <c r="F744" s="17"/>
      <c r="G744" s="17"/>
      <c r="H744" s="17"/>
      <c r="I744" s="17"/>
      <c r="J744" s="17" t="s">
        <v>1011</v>
      </c>
      <c r="K744" s="17"/>
      <c r="L744" s="17"/>
      <c r="AC744" s="1301"/>
    </row>
    <row r="745">
      <c r="B745" s="17"/>
      <c r="C745" s="17"/>
      <c r="D745" s="17"/>
      <c r="E745" s="343"/>
      <c r="F745" s="17"/>
      <c r="G745" s="17"/>
      <c r="H745" s="17"/>
      <c r="I745" s="17"/>
      <c r="J745" s="17" t="s">
        <v>1011</v>
      </c>
      <c r="K745" s="17"/>
      <c r="L745" s="17"/>
      <c r="AC745" s="1301"/>
    </row>
    <row r="746">
      <c r="B746" s="17"/>
      <c r="C746" s="17"/>
      <c r="D746" s="17"/>
      <c r="E746" s="343"/>
      <c r="F746" s="17"/>
      <c r="G746" s="17"/>
      <c r="H746" s="17"/>
      <c r="I746" s="17"/>
      <c r="J746" s="17" t="s">
        <v>1011</v>
      </c>
      <c r="K746" s="17"/>
      <c r="L746" s="17"/>
      <c r="AC746" s="1301"/>
    </row>
    <row r="747">
      <c r="B747" s="17"/>
      <c r="C747" s="17"/>
      <c r="D747" s="17"/>
      <c r="E747" s="343"/>
      <c r="F747" s="17"/>
      <c r="G747" s="17"/>
      <c r="H747" s="17"/>
      <c r="I747" s="17"/>
      <c r="J747" s="17" t="s">
        <v>1011</v>
      </c>
      <c r="K747" s="17"/>
      <c r="L747" s="17"/>
      <c r="AC747" s="1301"/>
    </row>
    <row r="748">
      <c r="B748" s="17"/>
      <c r="C748" s="17"/>
      <c r="D748" s="17"/>
      <c r="E748" s="343"/>
      <c r="F748" s="17"/>
      <c r="G748" s="17"/>
      <c r="H748" s="17"/>
      <c r="I748" s="17"/>
      <c r="J748" s="17" t="s">
        <v>1011</v>
      </c>
      <c r="K748" s="17"/>
      <c r="L748" s="17"/>
      <c r="AC748" s="1301"/>
    </row>
    <row r="749">
      <c r="B749" s="17"/>
      <c r="C749" s="17"/>
      <c r="D749" s="17"/>
      <c r="E749" s="343"/>
      <c r="F749" s="17"/>
      <c r="G749" s="17"/>
      <c r="H749" s="17"/>
      <c r="I749" s="17"/>
      <c r="J749" s="17" t="s">
        <v>1011</v>
      </c>
      <c r="K749" s="17"/>
      <c r="L749" s="17"/>
      <c r="AC749" s="1301"/>
    </row>
    <row r="750">
      <c r="B750" s="17"/>
      <c r="C750" s="17"/>
      <c r="D750" s="17"/>
      <c r="E750" s="343"/>
      <c r="F750" s="17"/>
      <c r="G750" s="17"/>
      <c r="H750" s="17"/>
      <c r="I750" s="17"/>
      <c r="J750" s="17" t="s">
        <v>1011</v>
      </c>
      <c r="K750" s="17"/>
      <c r="L750" s="17"/>
      <c r="AC750" s="1301"/>
    </row>
    <row r="751">
      <c r="B751" s="17"/>
      <c r="C751" s="17"/>
      <c r="D751" s="17"/>
      <c r="E751" s="343"/>
      <c r="F751" s="17"/>
      <c r="G751" s="17"/>
      <c r="H751" s="17"/>
      <c r="I751" s="17"/>
      <c r="J751" s="17" t="s">
        <v>1011</v>
      </c>
      <c r="K751" s="17"/>
      <c r="L751" s="17"/>
      <c r="AC751" s="1301"/>
    </row>
    <row r="752">
      <c r="B752" s="17"/>
      <c r="C752" s="17"/>
      <c r="D752" s="17"/>
      <c r="E752" s="343"/>
      <c r="F752" s="17"/>
      <c r="G752" s="17"/>
      <c r="H752" s="17"/>
      <c r="I752" s="17"/>
      <c r="J752" s="17" t="s">
        <v>1011</v>
      </c>
      <c r="K752" s="17"/>
      <c r="L752" s="17"/>
      <c r="AC752" s="1301"/>
    </row>
    <row r="753">
      <c r="B753" s="17"/>
      <c r="C753" s="17"/>
      <c r="D753" s="17"/>
      <c r="E753" s="343"/>
      <c r="F753" s="17"/>
      <c r="G753" s="17"/>
      <c r="H753" s="17"/>
      <c r="I753" s="17"/>
      <c r="J753" s="17" t="s">
        <v>1011</v>
      </c>
      <c r="K753" s="17"/>
      <c r="L753" s="17"/>
      <c r="AC753" s="1301"/>
    </row>
    <row r="754">
      <c r="B754" s="17"/>
      <c r="C754" s="17"/>
      <c r="D754" s="17"/>
      <c r="E754" s="343"/>
      <c r="F754" s="17"/>
      <c r="G754" s="17"/>
      <c r="H754" s="17"/>
      <c r="I754" s="17"/>
      <c r="J754" s="17" t="s">
        <v>1011</v>
      </c>
      <c r="K754" s="17"/>
      <c r="L754" s="17"/>
      <c r="AC754" s="1301"/>
    </row>
    <row r="755">
      <c r="B755" s="17"/>
      <c r="C755" s="17"/>
      <c r="D755" s="17"/>
      <c r="E755" s="343"/>
      <c r="F755" s="17"/>
      <c r="G755" s="17"/>
      <c r="H755" s="17"/>
      <c r="I755" s="17"/>
      <c r="J755" s="17" t="s">
        <v>1011</v>
      </c>
      <c r="K755" s="17"/>
      <c r="L755" s="17"/>
      <c r="AC755" s="1301"/>
    </row>
    <row r="756">
      <c r="B756" s="17"/>
      <c r="C756" s="17"/>
      <c r="D756" s="17"/>
      <c r="E756" s="343"/>
      <c r="F756" s="17"/>
      <c r="G756" s="17"/>
      <c r="H756" s="17"/>
      <c r="I756" s="17"/>
      <c r="J756" s="17" t="s">
        <v>1011</v>
      </c>
      <c r="K756" s="17"/>
      <c r="L756" s="17"/>
      <c r="AC756" s="1301"/>
    </row>
    <row r="757">
      <c r="B757" s="17"/>
      <c r="C757" s="17"/>
      <c r="D757" s="17"/>
      <c r="E757" s="343"/>
      <c r="F757" s="17"/>
      <c r="G757" s="17"/>
      <c r="H757" s="17"/>
      <c r="I757" s="17"/>
      <c r="J757" s="17" t="s">
        <v>1011</v>
      </c>
      <c r="K757" s="17"/>
      <c r="L757" s="17"/>
      <c r="AC757" s="1301"/>
    </row>
    <row r="758">
      <c r="B758" s="17"/>
      <c r="C758" s="17"/>
      <c r="D758" s="17"/>
      <c r="E758" s="343"/>
      <c r="F758" s="17"/>
      <c r="G758" s="17"/>
      <c r="H758" s="17"/>
      <c r="I758" s="17"/>
      <c r="J758" s="17" t="s">
        <v>1011</v>
      </c>
      <c r="K758" s="17"/>
      <c r="L758" s="17"/>
      <c r="AC758" s="1301"/>
    </row>
    <row r="759">
      <c r="B759" s="17"/>
      <c r="C759" s="17"/>
      <c r="D759" s="17"/>
      <c r="E759" s="343"/>
      <c r="F759" s="17"/>
      <c r="G759" s="17"/>
      <c r="H759" s="17"/>
      <c r="I759" s="17"/>
      <c r="J759" s="17" t="s">
        <v>1011</v>
      </c>
      <c r="K759" s="17"/>
      <c r="L759" s="17"/>
      <c r="AC759" s="1301"/>
    </row>
    <row r="760">
      <c r="B760" s="17"/>
      <c r="C760" s="17"/>
      <c r="D760" s="17"/>
      <c r="E760" s="343"/>
      <c r="F760" s="17"/>
      <c r="G760" s="17"/>
      <c r="H760" s="17"/>
      <c r="I760" s="17"/>
      <c r="J760" s="17" t="s">
        <v>1011</v>
      </c>
      <c r="K760" s="17"/>
      <c r="L760" s="17"/>
      <c r="AC760" s="1301"/>
    </row>
    <row r="761">
      <c r="B761" s="17"/>
      <c r="C761" s="17"/>
      <c r="D761" s="17"/>
      <c r="E761" s="343"/>
      <c r="F761" s="17"/>
      <c r="G761" s="17"/>
      <c r="H761" s="17"/>
      <c r="I761" s="17"/>
      <c r="J761" s="17" t="s">
        <v>1011</v>
      </c>
      <c r="K761" s="17"/>
      <c r="L761" s="17"/>
      <c r="AC761" s="1301"/>
    </row>
    <row r="762">
      <c r="B762" s="17"/>
      <c r="C762" s="17"/>
      <c r="D762" s="17"/>
      <c r="E762" s="343"/>
      <c r="F762" s="17"/>
      <c r="G762" s="17"/>
      <c r="H762" s="17"/>
      <c r="I762" s="17"/>
      <c r="J762" s="17" t="s">
        <v>1011</v>
      </c>
      <c r="K762" s="17"/>
      <c r="L762" s="17"/>
      <c r="AC762" s="1301"/>
    </row>
    <row r="763">
      <c r="B763" s="17"/>
      <c r="C763" s="17"/>
      <c r="D763" s="17"/>
      <c r="E763" s="343"/>
      <c r="F763" s="17"/>
      <c r="G763" s="17"/>
      <c r="H763" s="17"/>
      <c r="I763" s="17"/>
      <c r="J763" s="17" t="s">
        <v>1011</v>
      </c>
      <c r="K763" s="17"/>
      <c r="L763" s="17"/>
      <c r="AC763" s="1301"/>
    </row>
    <row r="764">
      <c r="B764" s="17"/>
      <c r="C764" s="17"/>
      <c r="D764" s="17"/>
      <c r="E764" s="343"/>
      <c r="F764" s="17"/>
      <c r="G764" s="17"/>
      <c r="H764" s="17"/>
      <c r="I764" s="17"/>
      <c r="J764" s="17" t="s">
        <v>1011</v>
      </c>
      <c r="K764" s="17"/>
      <c r="L764" s="17"/>
      <c r="AC764" s="1301"/>
    </row>
    <row r="765">
      <c r="B765" s="17"/>
      <c r="C765" s="17"/>
      <c r="D765" s="17"/>
      <c r="E765" s="343"/>
      <c r="F765" s="17"/>
      <c r="G765" s="17"/>
      <c r="H765" s="17"/>
      <c r="I765" s="17"/>
      <c r="J765" s="17" t="s">
        <v>1011</v>
      </c>
      <c r="K765" s="17"/>
      <c r="L765" s="17"/>
      <c r="AC765" s="1301"/>
    </row>
    <row r="766">
      <c r="B766" s="17"/>
      <c r="C766" s="17"/>
      <c r="D766" s="17"/>
      <c r="E766" s="343"/>
      <c r="F766" s="17"/>
      <c r="G766" s="17"/>
      <c r="H766" s="17"/>
      <c r="I766" s="17"/>
      <c r="J766" s="17" t="s">
        <v>1011</v>
      </c>
      <c r="K766" s="17"/>
      <c r="L766" s="17"/>
      <c r="AC766" s="1301"/>
    </row>
    <row r="767">
      <c r="B767" s="17"/>
      <c r="C767" s="17"/>
      <c r="D767" s="17"/>
      <c r="E767" s="343"/>
      <c r="F767" s="17"/>
      <c r="G767" s="17"/>
      <c r="H767" s="17"/>
      <c r="I767" s="17"/>
      <c r="J767" s="17" t="s">
        <v>1011</v>
      </c>
      <c r="K767" s="17"/>
      <c r="L767" s="17"/>
      <c r="AC767" s="1301"/>
    </row>
    <row r="768">
      <c r="B768" s="17"/>
      <c r="C768" s="17"/>
      <c r="D768" s="17"/>
      <c r="E768" s="343"/>
      <c r="F768" s="17"/>
      <c r="G768" s="17"/>
      <c r="H768" s="17"/>
      <c r="I768" s="17"/>
      <c r="J768" s="17" t="s">
        <v>1011</v>
      </c>
      <c r="K768" s="17"/>
      <c r="L768" s="17"/>
      <c r="AC768" s="1301"/>
    </row>
    <row r="769">
      <c r="B769" s="17"/>
      <c r="C769" s="17"/>
      <c r="D769" s="17"/>
      <c r="E769" s="343"/>
      <c r="F769" s="17"/>
      <c r="G769" s="17"/>
      <c r="H769" s="17"/>
      <c r="I769" s="17"/>
      <c r="J769" s="17" t="s">
        <v>1011</v>
      </c>
      <c r="K769" s="17"/>
      <c r="L769" s="17"/>
      <c r="AC769" s="1301"/>
    </row>
    <row r="770">
      <c r="B770" s="17"/>
      <c r="C770" s="17"/>
      <c r="D770" s="17"/>
      <c r="E770" s="343"/>
      <c r="F770" s="17"/>
      <c r="G770" s="17"/>
      <c r="H770" s="17"/>
      <c r="I770" s="17"/>
      <c r="J770" s="17" t="s">
        <v>1011</v>
      </c>
      <c r="K770" s="17"/>
      <c r="L770" s="17"/>
      <c r="AC770" s="1301"/>
    </row>
    <row r="771">
      <c r="B771" s="17"/>
      <c r="C771" s="17"/>
      <c r="D771" s="17"/>
      <c r="E771" s="343"/>
      <c r="F771" s="17"/>
      <c r="G771" s="17"/>
      <c r="H771" s="17"/>
      <c r="I771" s="17"/>
      <c r="J771" s="17" t="s">
        <v>1011</v>
      </c>
      <c r="K771" s="17"/>
      <c r="L771" s="17"/>
      <c r="AC771" s="1301"/>
    </row>
    <row r="772">
      <c r="B772" s="17"/>
      <c r="C772" s="17"/>
      <c r="D772" s="17"/>
      <c r="E772" s="343"/>
      <c r="F772" s="17"/>
      <c r="G772" s="17"/>
      <c r="H772" s="17"/>
      <c r="I772" s="17"/>
      <c r="J772" s="17" t="s">
        <v>1011</v>
      </c>
      <c r="K772" s="17"/>
      <c r="L772" s="17"/>
      <c r="AC772" s="1301"/>
    </row>
    <row r="773">
      <c r="B773" s="17"/>
      <c r="C773" s="17"/>
      <c r="D773" s="17"/>
      <c r="E773" s="343"/>
      <c r="F773" s="17"/>
      <c r="G773" s="17"/>
      <c r="H773" s="17"/>
      <c r="I773" s="17"/>
      <c r="J773" s="17" t="s">
        <v>1011</v>
      </c>
      <c r="K773" s="17"/>
      <c r="L773" s="17"/>
      <c r="AC773" s="1301"/>
    </row>
    <row r="774">
      <c r="B774" s="17"/>
      <c r="C774" s="17"/>
      <c r="D774" s="17"/>
      <c r="E774" s="343"/>
      <c r="F774" s="17"/>
      <c r="G774" s="17"/>
      <c r="H774" s="17"/>
      <c r="I774" s="17"/>
      <c r="J774" s="17" t="s">
        <v>1011</v>
      </c>
      <c r="K774" s="17"/>
      <c r="L774" s="17"/>
      <c r="AC774" s="1301"/>
    </row>
    <row r="775">
      <c r="B775" s="17"/>
      <c r="C775" s="17"/>
      <c r="D775" s="17"/>
      <c r="E775" s="343"/>
      <c r="F775" s="17"/>
      <c r="G775" s="17"/>
      <c r="H775" s="17"/>
      <c r="I775" s="17"/>
      <c r="J775" s="17" t="s">
        <v>1011</v>
      </c>
      <c r="K775" s="17"/>
      <c r="L775" s="17"/>
      <c r="AC775" s="1301"/>
    </row>
    <row r="776">
      <c r="B776" s="17"/>
      <c r="C776" s="17"/>
      <c r="D776" s="17"/>
      <c r="E776" s="343"/>
      <c r="F776" s="17"/>
      <c r="G776" s="17"/>
      <c r="H776" s="17"/>
      <c r="I776" s="17"/>
      <c r="J776" s="17" t="s">
        <v>1011</v>
      </c>
      <c r="K776" s="17"/>
      <c r="L776" s="17"/>
      <c r="AC776" s="1301"/>
    </row>
    <row r="777">
      <c r="B777" s="17"/>
      <c r="C777" s="17"/>
      <c r="D777" s="17"/>
      <c r="E777" s="343"/>
      <c r="F777" s="17"/>
      <c r="G777" s="17"/>
      <c r="H777" s="17"/>
      <c r="I777" s="17"/>
      <c r="J777" s="17" t="s">
        <v>1011</v>
      </c>
      <c r="K777" s="17"/>
      <c r="L777" s="17"/>
      <c r="AC777" s="1301"/>
    </row>
    <row r="778">
      <c r="B778" s="17"/>
      <c r="C778" s="17"/>
      <c r="D778" s="17"/>
      <c r="E778" s="343"/>
      <c r="F778" s="17"/>
      <c r="G778" s="17"/>
      <c r="H778" s="17"/>
      <c r="I778" s="17"/>
      <c r="J778" s="17" t="s">
        <v>1011</v>
      </c>
      <c r="K778" s="17"/>
      <c r="L778" s="17"/>
      <c r="AC778" s="1301"/>
    </row>
    <row r="779">
      <c r="B779" s="17"/>
      <c r="C779" s="17"/>
      <c r="D779" s="17"/>
      <c r="E779" s="343"/>
      <c r="F779" s="17"/>
      <c r="G779" s="17"/>
      <c r="H779" s="17"/>
      <c r="I779" s="17"/>
      <c r="J779" s="17" t="s">
        <v>1011</v>
      </c>
      <c r="K779" s="17"/>
      <c r="L779" s="17"/>
      <c r="AC779" s="1301"/>
    </row>
    <row r="780">
      <c r="B780" s="17"/>
      <c r="C780" s="17"/>
      <c r="D780" s="17"/>
      <c r="E780" s="343"/>
      <c r="F780" s="17"/>
      <c r="G780" s="17"/>
      <c r="H780" s="17"/>
      <c r="I780" s="17"/>
      <c r="J780" s="17" t="s">
        <v>1011</v>
      </c>
      <c r="K780" s="17"/>
      <c r="L780" s="17"/>
      <c r="AC780" s="1301"/>
    </row>
    <row r="781">
      <c r="B781" s="17"/>
      <c r="C781" s="17"/>
      <c r="D781" s="17"/>
      <c r="E781" s="343"/>
      <c r="F781" s="17"/>
      <c r="G781" s="17"/>
      <c r="H781" s="17"/>
      <c r="I781" s="17"/>
      <c r="J781" s="17" t="s">
        <v>1011</v>
      </c>
      <c r="K781" s="17"/>
      <c r="L781" s="17"/>
      <c r="AC781" s="1301"/>
    </row>
    <row r="782">
      <c r="B782" s="17"/>
      <c r="C782" s="17"/>
      <c r="D782" s="17"/>
      <c r="E782" s="343"/>
      <c r="F782" s="17"/>
      <c r="G782" s="17"/>
      <c r="H782" s="17"/>
      <c r="I782" s="17"/>
      <c r="J782" s="17" t="s">
        <v>1011</v>
      </c>
      <c r="K782" s="17"/>
      <c r="L782" s="17"/>
      <c r="AC782" s="1301"/>
    </row>
    <row r="783">
      <c r="B783" s="17"/>
      <c r="C783" s="17"/>
      <c r="D783" s="17"/>
      <c r="E783" s="343"/>
      <c r="F783" s="17"/>
      <c r="G783" s="17"/>
      <c r="H783" s="17"/>
      <c r="I783" s="17"/>
      <c r="J783" s="17" t="s">
        <v>1011</v>
      </c>
      <c r="K783" s="17"/>
      <c r="L783" s="17"/>
      <c r="AC783" s="1301"/>
    </row>
    <row r="784">
      <c r="B784" s="17"/>
      <c r="C784" s="17"/>
      <c r="D784" s="17"/>
      <c r="E784" s="343"/>
      <c r="F784" s="17"/>
      <c r="G784" s="17"/>
      <c r="H784" s="17"/>
      <c r="I784" s="17"/>
      <c r="J784" s="17" t="s">
        <v>1011</v>
      </c>
      <c r="K784" s="17"/>
      <c r="L784" s="17"/>
      <c r="AC784" s="1301"/>
    </row>
    <row r="785">
      <c r="B785" s="17"/>
      <c r="C785" s="17"/>
      <c r="D785" s="17"/>
      <c r="E785" s="343"/>
      <c r="F785" s="17"/>
      <c r="G785" s="17"/>
      <c r="H785" s="17"/>
      <c r="I785" s="17"/>
      <c r="J785" s="17" t="s">
        <v>1011</v>
      </c>
      <c r="K785" s="17"/>
      <c r="L785" s="17"/>
      <c r="AC785" s="1301"/>
    </row>
    <row r="786">
      <c r="B786" s="17"/>
      <c r="C786" s="17"/>
      <c r="D786" s="17"/>
      <c r="E786" s="343"/>
      <c r="F786" s="17"/>
      <c r="G786" s="17"/>
      <c r="H786" s="17"/>
      <c r="I786" s="17"/>
      <c r="J786" s="17" t="s">
        <v>1011</v>
      </c>
      <c r="K786" s="17"/>
      <c r="L786" s="17"/>
      <c r="AC786" s="1301"/>
    </row>
    <row r="787">
      <c r="B787" s="17"/>
      <c r="C787" s="17"/>
      <c r="D787" s="17"/>
      <c r="E787" s="343"/>
      <c r="F787" s="17"/>
      <c r="G787" s="17"/>
      <c r="H787" s="17"/>
      <c r="I787" s="17"/>
      <c r="J787" s="17" t="s">
        <v>1011</v>
      </c>
      <c r="K787" s="17"/>
      <c r="L787" s="17"/>
      <c r="AC787" s="1301"/>
    </row>
    <row r="788">
      <c r="B788" s="17"/>
      <c r="C788" s="17"/>
      <c r="D788" s="17"/>
      <c r="E788" s="343"/>
      <c r="F788" s="17"/>
      <c r="G788" s="17"/>
      <c r="H788" s="17"/>
      <c r="I788" s="17"/>
      <c r="J788" s="17" t="s">
        <v>1011</v>
      </c>
      <c r="K788" s="17"/>
      <c r="L788" s="17"/>
      <c r="AC788" s="1301"/>
    </row>
    <row r="789">
      <c r="B789" s="17"/>
      <c r="C789" s="17"/>
      <c r="D789" s="17"/>
      <c r="E789" s="343"/>
      <c r="F789" s="17"/>
      <c r="G789" s="17"/>
      <c r="H789" s="17"/>
      <c r="I789" s="17"/>
      <c r="J789" s="17" t="s">
        <v>1011</v>
      </c>
      <c r="K789" s="17"/>
      <c r="L789" s="17"/>
      <c r="AC789" s="1301"/>
    </row>
    <row r="790">
      <c r="B790" s="17"/>
      <c r="C790" s="17"/>
      <c r="D790" s="17"/>
      <c r="E790" s="343"/>
      <c r="F790" s="17"/>
      <c r="G790" s="17"/>
      <c r="H790" s="17"/>
      <c r="I790" s="17"/>
      <c r="J790" s="17" t="s">
        <v>1011</v>
      </c>
      <c r="K790" s="17"/>
      <c r="L790" s="17"/>
      <c r="AC790" s="1301"/>
    </row>
    <row r="791">
      <c r="B791" s="17"/>
      <c r="C791" s="17"/>
      <c r="D791" s="17"/>
      <c r="E791" s="343"/>
      <c r="F791" s="17"/>
      <c r="G791" s="17"/>
      <c r="H791" s="17"/>
      <c r="I791" s="17"/>
      <c r="J791" s="17" t="s">
        <v>1011</v>
      </c>
      <c r="K791" s="17"/>
      <c r="L791" s="17"/>
      <c r="AC791" s="1301"/>
    </row>
    <row r="792">
      <c r="B792" s="17"/>
      <c r="C792" s="17"/>
      <c r="D792" s="17"/>
      <c r="E792" s="343"/>
      <c r="F792" s="17"/>
      <c r="G792" s="17"/>
      <c r="H792" s="17"/>
      <c r="I792" s="17"/>
      <c r="J792" s="17" t="s">
        <v>1011</v>
      </c>
      <c r="K792" s="17"/>
      <c r="L792" s="17"/>
      <c r="AC792" s="1301"/>
    </row>
    <row r="793">
      <c r="B793" s="17"/>
      <c r="C793" s="17"/>
      <c r="D793" s="17"/>
      <c r="E793" s="343"/>
      <c r="F793" s="17"/>
      <c r="G793" s="17"/>
      <c r="H793" s="17"/>
      <c r="I793" s="17"/>
      <c r="J793" s="17" t="s">
        <v>1011</v>
      </c>
      <c r="K793" s="17"/>
      <c r="L793" s="17"/>
      <c r="AC793" s="1301"/>
    </row>
    <row r="794">
      <c r="B794" s="17"/>
      <c r="C794" s="17"/>
      <c r="D794" s="17"/>
      <c r="E794" s="343"/>
      <c r="F794" s="17"/>
      <c r="G794" s="17"/>
      <c r="H794" s="17"/>
      <c r="I794" s="17"/>
      <c r="J794" s="17" t="s">
        <v>1011</v>
      </c>
      <c r="K794" s="17"/>
      <c r="L794" s="17"/>
      <c r="AC794" s="1301"/>
    </row>
    <row r="795">
      <c r="B795" s="17"/>
      <c r="C795" s="17"/>
      <c r="D795" s="17"/>
      <c r="E795" s="343"/>
      <c r="F795" s="17"/>
      <c r="G795" s="17"/>
      <c r="H795" s="17"/>
      <c r="I795" s="17"/>
      <c r="J795" s="17" t="s">
        <v>1011</v>
      </c>
      <c r="K795" s="17"/>
      <c r="L795" s="17"/>
      <c r="AC795" s="1301"/>
    </row>
    <row r="796">
      <c r="B796" s="17"/>
      <c r="C796" s="17"/>
      <c r="D796" s="17"/>
      <c r="E796" s="343"/>
      <c r="F796" s="17"/>
      <c r="G796" s="17"/>
      <c r="H796" s="17"/>
      <c r="I796" s="17"/>
      <c r="J796" s="17" t="s">
        <v>1011</v>
      </c>
      <c r="K796" s="17"/>
      <c r="L796" s="17"/>
      <c r="AC796" s="1301"/>
    </row>
    <row r="797">
      <c r="B797" s="17"/>
      <c r="C797" s="17"/>
      <c r="D797" s="17"/>
      <c r="E797" s="343"/>
      <c r="F797" s="17"/>
      <c r="G797" s="17"/>
      <c r="H797" s="17"/>
      <c r="I797" s="17"/>
      <c r="J797" s="17" t="s">
        <v>1011</v>
      </c>
      <c r="K797" s="17"/>
      <c r="L797" s="17"/>
      <c r="AC797" s="1301"/>
    </row>
    <row r="798">
      <c r="B798" s="17"/>
      <c r="C798" s="17"/>
      <c r="D798" s="17"/>
      <c r="E798" s="343"/>
      <c r="F798" s="17"/>
      <c r="G798" s="17"/>
      <c r="H798" s="17"/>
      <c r="I798" s="17"/>
      <c r="J798" s="17" t="s">
        <v>1011</v>
      </c>
      <c r="K798" s="17"/>
      <c r="L798" s="17"/>
      <c r="AC798" s="1301"/>
    </row>
    <row r="799">
      <c r="B799" s="17"/>
      <c r="C799" s="17"/>
      <c r="D799" s="17"/>
      <c r="E799" s="343"/>
      <c r="F799" s="17"/>
      <c r="G799" s="17"/>
      <c r="H799" s="17"/>
      <c r="I799" s="17"/>
      <c r="J799" s="17" t="s">
        <v>1011</v>
      </c>
      <c r="K799" s="17"/>
      <c r="L799" s="17"/>
      <c r="AC799" s="1301"/>
    </row>
    <row r="800">
      <c r="B800" s="17"/>
      <c r="C800" s="17"/>
      <c r="D800" s="17"/>
      <c r="E800" s="343"/>
      <c r="F800" s="17"/>
      <c r="G800" s="17"/>
      <c r="H800" s="17"/>
      <c r="I800" s="17"/>
      <c r="J800" s="17" t="s">
        <v>1011</v>
      </c>
      <c r="K800" s="17"/>
      <c r="L800" s="17"/>
      <c r="AC800" s="1301"/>
    </row>
    <row r="801">
      <c r="B801" s="17"/>
      <c r="C801" s="17"/>
      <c r="D801" s="17"/>
      <c r="E801" s="343"/>
      <c r="F801" s="17"/>
      <c r="G801" s="17"/>
      <c r="H801" s="17"/>
      <c r="I801" s="17"/>
      <c r="J801" s="17" t="s">
        <v>1011</v>
      </c>
      <c r="K801" s="17"/>
      <c r="L801" s="17"/>
      <c r="AC801" s="1301"/>
    </row>
    <row r="802">
      <c r="B802" s="17"/>
      <c r="C802" s="17"/>
      <c r="D802" s="17"/>
      <c r="E802" s="343"/>
      <c r="F802" s="17"/>
      <c r="G802" s="17"/>
      <c r="H802" s="17"/>
      <c r="I802" s="17"/>
      <c r="J802" s="17" t="s">
        <v>1011</v>
      </c>
      <c r="K802" s="17"/>
      <c r="L802" s="17"/>
      <c r="AC802" s="1301"/>
    </row>
    <row r="803">
      <c r="B803" s="17"/>
      <c r="C803" s="17"/>
      <c r="D803" s="17"/>
      <c r="E803" s="343"/>
      <c r="F803" s="17"/>
      <c r="G803" s="17"/>
      <c r="H803" s="17"/>
      <c r="I803" s="17"/>
      <c r="J803" s="17" t="s">
        <v>1011</v>
      </c>
      <c r="K803" s="17"/>
      <c r="L803" s="17"/>
      <c r="AC803" s="1301"/>
    </row>
    <row r="804">
      <c r="B804" s="17"/>
      <c r="C804" s="17"/>
      <c r="D804" s="17"/>
      <c r="E804" s="343"/>
      <c r="F804" s="17"/>
      <c r="G804" s="17"/>
      <c r="H804" s="17"/>
      <c r="I804" s="17"/>
      <c r="J804" s="17" t="s">
        <v>1011</v>
      </c>
      <c r="K804" s="17"/>
      <c r="L804" s="17"/>
      <c r="AC804" s="1301"/>
    </row>
    <row r="805">
      <c r="B805" s="17"/>
      <c r="C805" s="17"/>
      <c r="D805" s="17"/>
      <c r="E805" s="343"/>
      <c r="F805" s="17"/>
      <c r="G805" s="17"/>
      <c r="H805" s="17"/>
      <c r="I805" s="17"/>
      <c r="J805" s="17" t="s">
        <v>1011</v>
      </c>
      <c r="K805" s="17"/>
      <c r="L805" s="17"/>
      <c r="AC805" s="1301"/>
    </row>
    <row r="806">
      <c r="B806" s="17"/>
      <c r="C806" s="17"/>
      <c r="D806" s="17"/>
      <c r="E806" s="343"/>
      <c r="F806" s="17"/>
      <c r="G806" s="17"/>
      <c r="H806" s="17"/>
      <c r="I806" s="17"/>
      <c r="J806" s="17" t="s">
        <v>1011</v>
      </c>
      <c r="K806" s="17"/>
      <c r="L806" s="17"/>
      <c r="AC806" s="1301"/>
    </row>
    <row r="807">
      <c r="B807" s="17"/>
      <c r="C807" s="17"/>
      <c r="D807" s="17"/>
      <c r="E807" s="343"/>
      <c r="F807" s="17"/>
      <c r="G807" s="17"/>
      <c r="H807" s="17"/>
      <c r="I807" s="17"/>
      <c r="J807" s="17" t="s">
        <v>1011</v>
      </c>
      <c r="K807" s="17"/>
      <c r="L807" s="17"/>
      <c r="AC807" s="1301"/>
    </row>
    <row r="808">
      <c r="B808" s="17"/>
      <c r="C808" s="17"/>
      <c r="D808" s="17"/>
      <c r="E808" s="343"/>
      <c r="F808" s="17"/>
      <c r="G808" s="17"/>
      <c r="H808" s="17"/>
      <c r="I808" s="17"/>
      <c r="J808" s="17" t="s">
        <v>1011</v>
      </c>
      <c r="K808" s="17"/>
      <c r="L808" s="17"/>
      <c r="AC808" s="1301"/>
    </row>
    <row r="809">
      <c r="B809" s="17"/>
      <c r="C809" s="17"/>
      <c r="D809" s="17"/>
      <c r="E809" s="343"/>
      <c r="F809" s="17"/>
      <c r="G809" s="17"/>
      <c r="H809" s="17"/>
      <c r="I809" s="17"/>
      <c r="J809" s="17" t="s">
        <v>1011</v>
      </c>
      <c r="K809" s="17"/>
      <c r="L809" s="17"/>
      <c r="AC809" s="1301"/>
    </row>
    <row r="810">
      <c r="B810" s="17"/>
      <c r="C810" s="17"/>
      <c r="D810" s="17"/>
      <c r="E810" s="343"/>
      <c r="F810" s="17"/>
      <c r="G810" s="17"/>
      <c r="H810" s="17"/>
      <c r="I810" s="17"/>
      <c r="J810" s="17" t="s">
        <v>1011</v>
      </c>
      <c r="K810" s="17"/>
      <c r="L810" s="17"/>
      <c r="AC810" s="1301"/>
    </row>
    <row r="811">
      <c r="B811" s="17"/>
      <c r="C811" s="17"/>
      <c r="D811" s="17"/>
      <c r="E811" s="343"/>
      <c r="F811" s="17"/>
      <c r="G811" s="17"/>
      <c r="H811" s="17"/>
      <c r="I811" s="17"/>
      <c r="J811" s="17" t="s">
        <v>1011</v>
      </c>
      <c r="K811" s="17"/>
      <c r="L811" s="17"/>
      <c r="AC811" s="1301"/>
    </row>
    <row r="812">
      <c r="B812" s="17"/>
      <c r="C812" s="17"/>
      <c r="D812" s="17"/>
      <c r="E812" s="343"/>
      <c r="F812" s="17"/>
      <c r="G812" s="17"/>
      <c r="H812" s="17"/>
      <c r="I812" s="17"/>
      <c r="J812" s="17" t="s">
        <v>1011</v>
      </c>
      <c r="K812" s="17"/>
      <c r="L812" s="17"/>
      <c r="AC812" s="1301"/>
    </row>
    <row r="813">
      <c r="B813" s="17"/>
      <c r="C813" s="17"/>
      <c r="D813" s="17"/>
      <c r="E813" s="343"/>
      <c r="F813" s="17"/>
      <c r="G813" s="17"/>
      <c r="H813" s="17"/>
      <c r="I813" s="17"/>
      <c r="J813" s="17" t="s">
        <v>1011</v>
      </c>
      <c r="K813" s="17"/>
      <c r="L813" s="17"/>
      <c r="AC813" s="1301"/>
    </row>
    <row r="814">
      <c r="B814" s="17"/>
      <c r="C814" s="17"/>
      <c r="D814" s="17"/>
      <c r="E814" s="343"/>
      <c r="F814" s="17"/>
      <c r="G814" s="17"/>
      <c r="H814" s="17"/>
      <c r="I814" s="17"/>
      <c r="J814" s="17" t="s">
        <v>1011</v>
      </c>
      <c r="K814" s="17"/>
      <c r="L814" s="17"/>
      <c r="AC814" s="1301"/>
    </row>
    <row r="815">
      <c r="B815" s="17"/>
      <c r="C815" s="17"/>
      <c r="D815" s="17"/>
      <c r="E815" s="343"/>
      <c r="F815" s="17"/>
      <c r="G815" s="17"/>
      <c r="H815" s="17"/>
      <c r="I815" s="17"/>
      <c r="J815" s="17" t="s">
        <v>1011</v>
      </c>
      <c r="K815" s="17"/>
      <c r="L815" s="17"/>
      <c r="AC815" s="1301"/>
    </row>
    <row r="816">
      <c r="B816" s="17"/>
      <c r="C816" s="17"/>
      <c r="D816" s="17"/>
      <c r="E816" s="343"/>
      <c r="F816" s="17"/>
      <c r="G816" s="17"/>
      <c r="H816" s="17"/>
      <c r="I816" s="17"/>
      <c r="J816" s="17" t="s">
        <v>1011</v>
      </c>
      <c r="K816" s="17"/>
      <c r="L816" s="17"/>
      <c r="AC816" s="1301"/>
    </row>
    <row r="817">
      <c r="B817" s="17"/>
      <c r="C817" s="17"/>
      <c r="D817" s="17"/>
      <c r="E817" s="343"/>
      <c r="F817" s="17"/>
      <c r="G817" s="17"/>
      <c r="H817" s="17"/>
      <c r="I817" s="17"/>
      <c r="J817" s="17" t="s">
        <v>1011</v>
      </c>
      <c r="K817" s="17"/>
      <c r="L817" s="17"/>
      <c r="AC817" s="1301"/>
    </row>
    <row r="818">
      <c r="B818" s="17"/>
      <c r="C818" s="17"/>
      <c r="D818" s="17"/>
      <c r="E818" s="343"/>
      <c r="F818" s="17"/>
      <c r="G818" s="17"/>
      <c r="H818" s="17"/>
      <c r="I818" s="17"/>
      <c r="J818" s="17" t="s">
        <v>1011</v>
      </c>
      <c r="K818" s="17"/>
      <c r="L818" s="17"/>
      <c r="AC818" s="1301"/>
    </row>
    <row r="819">
      <c r="B819" s="17"/>
      <c r="C819" s="17"/>
      <c r="D819" s="17"/>
      <c r="E819" s="343"/>
      <c r="F819" s="17"/>
      <c r="G819" s="17"/>
      <c r="H819" s="17"/>
      <c r="I819" s="17"/>
      <c r="J819" s="17" t="s">
        <v>1011</v>
      </c>
      <c r="K819" s="17"/>
      <c r="L819" s="17"/>
      <c r="AC819" s="1301"/>
    </row>
    <row r="820">
      <c r="B820" s="17"/>
      <c r="C820" s="17"/>
      <c r="D820" s="17"/>
      <c r="E820" s="343"/>
      <c r="F820" s="17"/>
      <c r="G820" s="17"/>
      <c r="H820" s="17"/>
      <c r="I820" s="17"/>
      <c r="J820" s="17" t="s">
        <v>1011</v>
      </c>
      <c r="K820" s="17"/>
      <c r="L820" s="17"/>
      <c r="AC820" s="1301"/>
    </row>
    <row r="821">
      <c r="B821" s="17"/>
      <c r="C821" s="17"/>
      <c r="D821" s="17"/>
      <c r="E821" s="343"/>
      <c r="F821" s="17"/>
      <c r="G821" s="17"/>
      <c r="H821" s="17"/>
      <c r="I821" s="17"/>
      <c r="J821" s="17" t="s">
        <v>1011</v>
      </c>
      <c r="K821" s="17"/>
      <c r="L821" s="17"/>
      <c r="AC821" s="1301"/>
    </row>
    <row r="822">
      <c r="B822" s="17"/>
      <c r="C822" s="17"/>
      <c r="D822" s="17"/>
      <c r="E822" s="343"/>
      <c r="F822" s="17"/>
      <c r="G822" s="17"/>
      <c r="H822" s="17"/>
      <c r="I822" s="17"/>
      <c r="J822" s="17" t="s">
        <v>1011</v>
      </c>
      <c r="K822" s="17"/>
      <c r="L822" s="17"/>
      <c r="AC822" s="1301"/>
    </row>
    <row r="823">
      <c r="B823" s="17"/>
      <c r="C823" s="17"/>
      <c r="D823" s="17"/>
      <c r="E823" s="343"/>
      <c r="F823" s="17"/>
      <c r="G823" s="17"/>
      <c r="H823" s="17"/>
      <c r="I823" s="17"/>
      <c r="J823" s="17" t="s">
        <v>1011</v>
      </c>
      <c r="K823" s="17"/>
      <c r="L823" s="17"/>
      <c r="AC823" s="1301"/>
    </row>
    <row r="824">
      <c r="B824" s="17"/>
      <c r="C824" s="17"/>
      <c r="D824" s="17"/>
      <c r="E824" s="343"/>
      <c r="F824" s="17"/>
      <c r="G824" s="17"/>
      <c r="H824" s="17"/>
      <c r="I824" s="17"/>
      <c r="J824" s="17" t="s">
        <v>1011</v>
      </c>
      <c r="K824" s="17"/>
      <c r="L824" s="17"/>
      <c r="AC824" s="1301"/>
    </row>
    <row r="825">
      <c r="B825" s="17"/>
      <c r="C825" s="17"/>
      <c r="D825" s="17"/>
      <c r="E825" s="343"/>
      <c r="F825" s="17"/>
      <c r="G825" s="17"/>
      <c r="H825" s="17"/>
      <c r="I825" s="17"/>
      <c r="J825" s="17" t="s">
        <v>1011</v>
      </c>
      <c r="K825" s="17"/>
      <c r="L825" s="17"/>
      <c r="AC825" s="1301"/>
    </row>
    <row r="826">
      <c r="B826" s="17"/>
      <c r="C826" s="17"/>
      <c r="D826" s="17"/>
      <c r="E826" s="343"/>
      <c r="F826" s="17"/>
      <c r="G826" s="17"/>
      <c r="H826" s="17"/>
      <c r="I826" s="17"/>
      <c r="J826" s="17" t="s">
        <v>1011</v>
      </c>
      <c r="K826" s="17"/>
      <c r="L826" s="17"/>
      <c r="AC826" s="1301"/>
    </row>
    <row r="827">
      <c r="B827" s="17"/>
      <c r="C827" s="17"/>
      <c r="D827" s="17"/>
      <c r="E827" s="343"/>
      <c r="F827" s="17"/>
      <c r="G827" s="17"/>
      <c r="H827" s="17"/>
      <c r="I827" s="17"/>
      <c r="J827" s="17" t="s">
        <v>1011</v>
      </c>
      <c r="K827" s="17"/>
      <c r="L827" s="17"/>
      <c r="AC827" s="1301"/>
    </row>
    <row r="828">
      <c r="B828" s="17"/>
      <c r="C828" s="17"/>
      <c r="D828" s="17"/>
      <c r="E828" s="343"/>
      <c r="F828" s="17"/>
      <c r="G828" s="17"/>
      <c r="H828" s="17"/>
      <c r="I828" s="17"/>
      <c r="J828" s="17" t="s">
        <v>1011</v>
      </c>
      <c r="K828" s="17"/>
      <c r="L828" s="17"/>
      <c r="AC828" s="1301"/>
    </row>
    <row r="829">
      <c r="B829" s="17"/>
      <c r="C829" s="17"/>
      <c r="D829" s="17"/>
      <c r="E829" s="343"/>
      <c r="F829" s="17"/>
      <c r="G829" s="17"/>
      <c r="H829" s="17"/>
      <c r="I829" s="17"/>
      <c r="J829" s="17" t="s">
        <v>1011</v>
      </c>
      <c r="K829" s="17"/>
      <c r="L829" s="17"/>
      <c r="AC829" s="1301"/>
    </row>
    <row r="830">
      <c r="B830" s="17"/>
      <c r="C830" s="17"/>
      <c r="D830" s="17"/>
      <c r="E830" s="343"/>
      <c r="F830" s="17"/>
      <c r="G830" s="17"/>
      <c r="H830" s="17"/>
      <c r="I830" s="17"/>
      <c r="J830" s="17" t="s">
        <v>1011</v>
      </c>
      <c r="K830" s="17"/>
      <c r="L830" s="17"/>
      <c r="AC830" s="1301"/>
    </row>
    <row r="831">
      <c r="B831" s="17"/>
      <c r="C831" s="17"/>
      <c r="D831" s="17"/>
      <c r="E831" s="343"/>
      <c r="F831" s="17"/>
      <c r="G831" s="17"/>
      <c r="H831" s="17"/>
      <c r="I831" s="17"/>
      <c r="J831" s="17" t="s">
        <v>1011</v>
      </c>
      <c r="K831" s="17"/>
      <c r="L831" s="17"/>
      <c r="AC831" s="1301"/>
    </row>
    <row r="832">
      <c r="B832" s="17"/>
      <c r="C832" s="17"/>
      <c r="D832" s="17"/>
      <c r="E832" s="343"/>
      <c r="F832" s="17"/>
      <c r="G832" s="17"/>
      <c r="H832" s="17"/>
      <c r="I832" s="17"/>
      <c r="J832" s="17" t="s">
        <v>1011</v>
      </c>
      <c r="K832" s="17"/>
      <c r="L832" s="17"/>
      <c r="AC832" s="1301"/>
    </row>
    <row r="833">
      <c r="B833" s="17"/>
      <c r="C833" s="17"/>
      <c r="D833" s="17"/>
      <c r="E833" s="343"/>
      <c r="F833" s="17"/>
      <c r="G833" s="17"/>
      <c r="H833" s="17"/>
      <c r="I833" s="17"/>
      <c r="J833" s="17" t="s">
        <v>1011</v>
      </c>
      <c r="K833" s="17"/>
      <c r="L833" s="17"/>
      <c r="AC833" s="1301"/>
    </row>
    <row r="834">
      <c r="B834" s="17"/>
      <c r="C834" s="17"/>
      <c r="D834" s="17"/>
      <c r="E834" s="343"/>
      <c r="F834" s="17"/>
      <c r="G834" s="17"/>
      <c r="H834" s="17"/>
      <c r="I834" s="17"/>
      <c r="J834" s="17" t="s">
        <v>1011</v>
      </c>
      <c r="K834" s="17"/>
      <c r="L834" s="17"/>
      <c r="AC834" s="1301"/>
    </row>
    <row r="835">
      <c r="B835" s="17"/>
      <c r="C835" s="17"/>
      <c r="D835" s="17"/>
      <c r="E835" s="343"/>
      <c r="F835" s="17"/>
      <c r="G835" s="17"/>
      <c r="H835" s="17"/>
      <c r="I835" s="17"/>
      <c r="J835" s="17" t="s">
        <v>1011</v>
      </c>
      <c r="K835" s="17"/>
      <c r="L835" s="17"/>
      <c r="AC835" s="1301"/>
    </row>
    <row r="836">
      <c r="B836" s="17"/>
      <c r="C836" s="17"/>
      <c r="D836" s="17"/>
      <c r="E836" s="343"/>
      <c r="F836" s="17"/>
      <c r="G836" s="17"/>
      <c r="H836" s="17"/>
      <c r="I836" s="17"/>
      <c r="J836" s="17" t="s">
        <v>1011</v>
      </c>
      <c r="K836" s="17"/>
      <c r="L836" s="17"/>
      <c r="AC836" s="1301"/>
    </row>
    <row r="837">
      <c r="B837" s="17"/>
      <c r="C837" s="17"/>
      <c r="D837" s="17"/>
      <c r="E837" s="343"/>
      <c r="F837" s="17"/>
      <c r="G837" s="17"/>
      <c r="H837" s="17"/>
      <c r="I837" s="17"/>
      <c r="J837" s="17" t="s">
        <v>1011</v>
      </c>
      <c r="K837" s="17"/>
      <c r="L837" s="17"/>
      <c r="AC837" s="1301"/>
    </row>
    <row r="838">
      <c r="B838" s="17"/>
      <c r="C838" s="17"/>
      <c r="D838" s="17"/>
      <c r="E838" s="343"/>
      <c r="F838" s="17"/>
      <c r="G838" s="17"/>
      <c r="H838" s="17"/>
      <c r="I838" s="17"/>
      <c r="J838" s="17" t="s">
        <v>1011</v>
      </c>
      <c r="K838" s="17"/>
      <c r="L838" s="17"/>
      <c r="AC838" s="1301"/>
    </row>
    <row r="839">
      <c r="B839" s="17"/>
      <c r="C839" s="17"/>
      <c r="D839" s="17"/>
      <c r="E839" s="343"/>
      <c r="F839" s="17"/>
      <c r="G839" s="17"/>
      <c r="H839" s="17"/>
      <c r="I839" s="17"/>
      <c r="J839" s="17" t="s">
        <v>1011</v>
      </c>
      <c r="K839" s="17"/>
      <c r="L839" s="17"/>
      <c r="AC839" s="1301"/>
    </row>
    <row r="840">
      <c r="B840" s="17"/>
      <c r="C840" s="17"/>
      <c r="D840" s="17"/>
      <c r="E840" s="343"/>
      <c r="F840" s="17"/>
      <c r="G840" s="17"/>
      <c r="H840" s="17"/>
      <c r="I840" s="17"/>
      <c r="J840" s="17" t="s">
        <v>1011</v>
      </c>
      <c r="K840" s="17"/>
      <c r="L840" s="17"/>
      <c r="AC840" s="1301"/>
    </row>
    <row r="841">
      <c r="B841" s="17"/>
      <c r="C841" s="17"/>
      <c r="D841" s="17"/>
      <c r="E841" s="343"/>
      <c r="F841" s="17"/>
      <c r="G841" s="17"/>
      <c r="H841" s="17"/>
      <c r="I841" s="17"/>
      <c r="J841" s="17" t="s">
        <v>1011</v>
      </c>
      <c r="K841" s="17"/>
      <c r="L841" s="17"/>
      <c r="AC841" s="1301"/>
    </row>
    <row r="842">
      <c r="B842" s="17"/>
      <c r="C842" s="17"/>
      <c r="D842" s="17"/>
      <c r="E842" s="343"/>
      <c r="F842" s="17"/>
      <c r="G842" s="17"/>
      <c r="H842" s="17"/>
      <c r="I842" s="17"/>
      <c r="J842" s="17" t="s">
        <v>1011</v>
      </c>
      <c r="K842" s="17"/>
      <c r="L842" s="17"/>
      <c r="AC842" s="1301"/>
    </row>
    <row r="843">
      <c r="B843" s="17"/>
      <c r="C843" s="17"/>
      <c r="D843" s="17"/>
      <c r="E843" s="343"/>
      <c r="F843" s="17"/>
      <c r="G843" s="17"/>
      <c r="H843" s="17"/>
      <c r="I843" s="17"/>
      <c r="J843" s="17" t="s">
        <v>1011</v>
      </c>
      <c r="K843" s="17"/>
      <c r="L843" s="17"/>
      <c r="AC843" s="1301"/>
    </row>
    <row r="844">
      <c r="B844" s="17"/>
      <c r="C844" s="17"/>
      <c r="D844" s="17"/>
      <c r="E844" s="343"/>
      <c r="F844" s="17"/>
      <c r="G844" s="17"/>
      <c r="H844" s="17"/>
      <c r="I844" s="17"/>
      <c r="J844" s="17" t="s">
        <v>1011</v>
      </c>
      <c r="K844" s="17"/>
      <c r="L844" s="17"/>
      <c r="AC844" s="1301"/>
    </row>
    <row r="845">
      <c r="B845" s="17"/>
      <c r="C845" s="17"/>
      <c r="D845" s="17"/>
      <c r="E845" s="343"/>
      <c r="F845" s="17"/>
      <c r="G845" s="17"/>
      <c r="H845" s="17"/>
      <c r="I845" s="17"/>
      <c r="J845" s="17" t="s">
        <v>1011</v>
      </c>
      <c r="K845" s="17"/>
      <c r="L845" s="17"/>
      <c r="AC845" s="1301"/>
    </row>
    <row r="846">
      <c r="B846" s="17"/>
      <c r="C846" s="17"/>
      <c r="D846" s="17"/>
      <c r="E846" s="343"/>
      <c r="F846" s="17"/>
      <c r="G846" s="17"/>
      <c r="H846" s="17"/>
      <c r="I846" s="17"/>
      <c r="J846" s="17" t="s">
        <v>1011</v>
      </c>
      <c r="K846" s="17"/>
      <c r="L846" s="17"/>
      <c r="AC846" s="1301"/>
    </row>
    <row r="847">
      <c r="B847" s="17"/>
      <c r="C847" s="17"/>
      <c r="D847" s="17"/>
      <c r="E847" s="343"/>
      <c r="F847" s="17"/>
      <c r="G847" s="17"/>
      <c r="H847" s="17"/>
      <c r="I847" s="17"/>
      <c r="J847" s="17" t="s">
        <v>1011</v>
      </c>
      <c r="K847" s="17"/>
      <c r="L847" s="17"/>
      <c r="AC847" s="1301"/>
    </row>
    <row r="848">
      <c r="B848" s="17"/>
      <c r="C848" s="17"/>
      <c r="D848" s="17"/>
      <c r="E848" s="343"/>
      <c r="F848" s="17"/>
      <c r="G848" s="17"/>
      <c r="H848" s="17"/>
      <c r="I848" s="17"/>
      <c r="J848" s="17" t="s">
        <v>1011</v>
      </c>
      <c r="K848" s="17"/>
      <c r="L848" s="17"/>
      <c r="AC848" s="1301"/>
    </row>
    <row r="849">
      <c r="B849" s="17"/>
      <c r="C849" s="17"/>
      <c r="D849" s="17"/>
      <c r="E849" s="343"/>
      <c r="F849" s="17"/>
      <c r="G849" s="17"/>
      <c r="H849" s="17"/>
      <c r="I849" s="17"/>
      <c r="J849" s="17" t="s">
        <v>1011</v>
      </c>
      <c r="K849" s="17"/>
      <c r="L849" s="17"/>
      <c r="AC849" s="1301"/>
    </row>
    <row r="850">
      <c r="B850" s="17"/>
      <c r="C850" s="17"/>
      <c r="D850" s="17"/>
      <c r="E850" s="343"/>
      <c r="F850" s="17"/>
      <c r="G850" s="17"/>
      <c r="H850" s="17"/>
      <c r="I850" s="17"/>
      <c r="J850" s="17" t="s">
        <v>1011</v>
      </c>
      <c r="K850" s="17"/>
      <c r="L850" s="17"/>
      <c r="AC850" s="1301"/>
    </row>
    <row r="851">
      <c r="B851" s="17"/>
      <c r="C851" s="17"/>
      <c r="D851" s="17"/>
      <c r="E851" s="343"/>
      <c r="F851" s="17"/>
      <c r="G851" s="17"/>
      <c r="H851" s="17"/>
      <c r="I851" s="17"/>
      <c r="J851" s="17" t="s">
        <v>1011</v>
      </c>
      <c r="K851" s="17"/>
      <c r="L851" s="17"/>
      <c r="AC851" s="1301"/>
    </row>
    <row r="852">
      <c r="B852" s="17"/>
      <c r="C852" s="17"/>
      <c r="D852" s="17"/>
      <c r="E852" s="343"/>
      <c r="F852" s="17"/>
      <c r="G852" s="17"/>
      <c r="H852" s="17"/>
      <c r="I852" s="17"/>
      <c r="J852" s="17" t="s">
        <v>1011</v>
      </c>
      <c r="K852" s="17"/>
      <c r="L852" s="17"/>
      <c r="AC852" s="1301"/>
    </row>
    <row r="853">
      <c r="B853" s="17"/>
      <c r="C853" s="17"/>
      <c r="D853" s="17"/>
      <c r="E853" s="343"/>
      <c r="F853" s="17"/>
      <c r="G853" s="17"/>
      <c r="H853" s="17"/>
      <c r="I853" s="17"/>
      <c r="J853" s="17" t="s">
        <v>1011</v>
      </c>
      <c r="K853" s="17"/>
      <c r="L853" s="17"/>
      <c r="AC853" s="1301"/>
    </row>
    <row r="854">
      <c r="B854" s="17"/>
      <c r="C854" s="17"/>
      <c r="D854" s="17"/>
      <c r="E854" s="343"/>
      <c r="F854" s="17"/>
      <c r="G854" s="17"/>
      <c r="H854" s="17"/>
      <c r="I854" s="17"/>
      <c r="J854" s="17" t="s">
        <v>1011</v>
      </c>
      <c r="K854" s="17"/>
      <c r="L854" s="17"/>
      <c r="AC854" s="1301"/>
    </row>
    <row r="855">
      <c r="B855" s="17"/>
      <c r="C855" s="17"/>
      <c r="D855" s="17"/>
      <c r="E855" s="343"/>
      <c r="F855" s="17"/>
      <c r="G855" s="17"/>
      <c r="H855" s="17"/>
      <c r="I855" s="17"/>
      <c r="J855" s="17" t="s">
        <v>1011</v>
      </c>
      <c r="K855" s="17"/>
      <c r="L855" s="17"/>
      <c r="AC855" s="1301"/>
    </row>
    <row r="856">
      <c r="B856" s="17"/>
      <c r="C856" s="17"/>
      <c r="D856" s="17"/>
      <c r="E856" s="343"/>
      <c r="F856" s="17"/>
      <c r="G856" s="17"/>
      <c r="H856" s="17"/>
      <c r="I856" s="17"/>
      <c r="J856" s="17" t="s">
        <v>1011</v>
      </c>
      <c r="K856" s="17"/>
      <c r="L856" s="17"/>
      <c r="AC856" s="1301"/>
    </row>
    <row r="857">
      <c r="B857" s="17"/>
      <c r="C857" s="17"/>
      <c r="D857" s="17"/>
      <c r="E857" s="343"/>
      <c r="F857" s="17"/>
      <c r="G857" s="17"/>
      <c r="H857" s="17"/>
      <c r="I857" s="17"/>
      <c r="J857" s="17" t="s">
        <v>1011</v>
      </c>
      <c r="K857" s="17"/>
      <c r="L857" s="17"/>
      <c r="AC857" s="1301"/>
    </row>
    <row r="858">
      <c r="B858" s="17"/>
      <c r="C858" s="17"/>
      <c r="D858" s="17"/>
      <c r="E858" s="343"/>
      <c r="F858" s="17"/>
      <c r="G858" s="17"/>
      <c r="H858" s="17"/>
      <c r="I858" s="17"/>
      <c r="J858" s="17" t="s">
        <v>1011</v>
      </c>
      <c r="K858" s="17"/>
      <c r="L858" s="17"/>
      <c r="AC858" s="1301"/>
    </row>
    <row r="859">
      <c r="B859" s="17"/>
      <c r="C859" s="17"/>
      <c r="D859" s="17"/>
      <c r="E859" s="343"/>
      <c r="F859" s="17"/>
      <c r="G859" s="17"/>
      <c r="H859" s="17"/>
      <c r="I859" s="17"/>
      <c r="J859" s="17" t="s">
        <v>1011</v>
      </c>
      <c r="K859" s="17"/>
      <c r="L859" s="17"/>
      <c r="AC859" s="1301"/>
    </row>
    <row r="860">
      <c r="B860" s="17"/>
      <c r="C860" s="17"/>
      <c r="D860" s="17"/>
      <c r="E860" s="343"/>
      <c r="F860" s="17"/>
      <c r="G860" s="17"/>
      <c r="H860" s="17"/>
      <c r="I860" s="17"/>
      <c r="J860" s="17" t="s">
        <v>1011</v>
      </c>
      <c r="K860" s="17"/>
      <c r="L860" s="17"/>
      <c r="AC860" s="1301"/>
    </row>
    <row r="861">
      <c r="B861" s="17"/>
      <c r="C861" s="17"/>
      <c r="D861" s="17"/>
      <c r="E861" s="343"/>
      <c r="F861" s="17"/>
      <c r="G861" s="17"/>
      <c r="H861" s="17"/>
      <c r="I861" s="17"/>
      <c r="J861" s="17" t="s">
        <v>1011</v>
      </c>
      <c r="K861" s="17"/>
      <c r="L861" s="17"/>
      <c r="AC861" s="1301"/>
    </row>
    <row r="862">
      <c r="B862" s="17"/>
      <c r="C862" s="17"/>
      <c r="D862" s="17"/>
      <c r="E862" s="343"/>
      <c r="F862" s="17"/>
      <c r="G862" s="17"/>
      <c r="H862" s="17"/>
      <c r="I862" s="17"/>
      <c r="J862" s="17" t="s">
        <v>1011</v>
      </c>
      <c r="K862" s="17"/>
      <c r="L862" s="17"/>
      <c r="AC862" s="1301"/>
    </row>
    <row r="863">
      <c r="B863" s="17"/>
      <c r="C863" s="17"/>
      <c r="D863" s="17"/>
      <c r="E863" s="343"/>
      <c r="F863" s="17"/>
      <c r="G863" s="17"/>
      <c r="H863" s="17"/>
      <c r="I863" s="17"/>
      <c r="J863" s="17" t="s">
        <v>1011</v>
      </c>
      <c r="K863" s="17"/>
      <c r="L863" s="17"/>
      <c r="AC863" s="1301"/>
    </row>
    <row r="864">
      <c r="B864" s="17"/>
      <c r="C864" s="17"/>
      <c r="D864" s="17"/>
      <c r="E864" s="343"/>
      <c r="F864" s="17"/>
      <c r="G864" s="17"/>
      <c r="H864" s="17"/>
      <c r="I864" s="17"/>
      <c r="J864" s="17" t="s">
        <v>1011</v>
      </c>
      <c r="K864" s="17"/>
      <c r="L864" s="17"/>
      <c r="AC864" s="1301"/>
    </row>
    <row r="865">
      <c r="B865" s="17"/>
      <c r="C865" s="17"/>
      <c r="D865" s="17"/>
      <c r="E865" s="343"/>
      <c r="F865" s="17"/>
      <c r="G865" s="17"/>
      <c r="H865" s="17"/>
      <c r="I865" s="17"/>
      <c r="J865" s="17" t="s">
        <v>1011</v>
      </c>
      <c r="K865" s="17"/>
      <c r="L865" s="17"/>
      <c r="AC865" s="1301"/>
    </row>
    <row r="866">
      <c r="B866" s="17"/>
      <c r="C866" s="17"/>
      <c r="D866" s="17"/>
      <c r="E866" s="343"/>
      <c r="F866" s="17"/>
      <c r="G866" s="17"/>
      <c r="H866" s="17"/>
      <c r="I866" s="17"/>
      <c r="J866" s="17" t="s">
        <v>1011</v>
      </c>
      <c r="K866" s="17"/>
      <c r="L866" s="17"/>
      <c r="AC866" s="1301"/>
    </row>
    <row r="867">
      <c r="B867" s="17"/>
      <c r="C867" s="17"/>
      <c r="D867" s="17"/>
      <c r="E867" s="343"/>
      <c r="F867" s="17"/>
      <c r="G867" s="17"/>
      <c r="H867" s="17"/>
      <c r="I867" s="17"/>
      <c r="J867" s="17" t="s">
        <v>1011</v>
      </c>
      <c r="K867" s="17"/>
      <c r="L867" s="17"/>
      <c r="AC867" s="1301"/>
    </row>
    <row r="868">
      <c r="B868" s="17"/>
      <c r="C868" s="17"/>
      <c r="D868" s="17"/>
      <c r="E868" s="343"/>
      <c r="F868" s="17"/>
      <c r="G868" s="17"/>
      <c r="H868" s="17"/>
      <c r="I868" s="17"/>
      <c r="J868" s="17" t="s">
        <v>1011</v>
      </c>
      <c r="K868" s="17"/>
      <c r="L868" s="17"/>
      <c r="AC868" s="1301"/>
    </row>
    <row r="869">
      <c r="B869" s="17"/>
      <c r="C869" s="17"/>
      <c r="D869" s="17"/>
      <c r="E869" s="343"/>
      <c r="F869" s="17"/>
      <c r="G869" s="17"/>
      <c r="H869" s="17"/>
      <c r="I869" s="17"/>
      <c r="J869" s="17" t="s">
        <v>1011</v>
      </c>
      <c r="K869" s="17"/>
      <c r="L869" s="17"/>
      <c r="AC869" s="1301"/>
    </row>
    <row r="870">
      <c r="B870" s="17"/>
      <c r="C870" s="17"/>
      <c r="D870" s="17"/>
      <c r="E870" s="343"/>
      <c r="F870" s="17"/>
      <c r="G870" s="17"/>
      <c r="H870" s="17"/>
      <c r="I870" s="17"/>
      <c r="J870" s="17" t="s">
        <v>1011</v>
      </c>
      <c r="K870" s="17"/>
      <c r="L870" s="17"/>
      <c r="AC870" s="1301"/>
    </row>
    <row r="871">
      <c r="B871" s="17"/>
      <c r="C871" s="17"/>
      <c r="D871" s="17"/>
      <c r="E871" s="343"/>
      <c r="F871" s="17"/>
      <c r="G871" s="17"/>
      <c r="H871" s="17"/>
      <c r="I871" s="17"/>
      <c r="J871" s="17" t="s">
        <v>1011</v>
      </c>
      <c r="K871" s="17"/>
      <c r="L871" s="17"/>
      <c r="AC871" s="1301"/>
    </row>
    <row r="872">
      <c r="B872" s="17"/>
      <c r="C872" s="17"/>
      <c r="D872" s="17"/>
      <c r="E872" s="343"/>
      <c r="F872" s="17"/>
      <c r="G872" s="17"/>
      <c r="H872" s="17"/>
      <c r="I872" s="17"/>
      <c r="J872" s="17" t="s">
        <v>1011</v>
      </c>
      <c r="K872" s="17"/>
      <c r="L872" s="17"/>
      <c r="AC872" s="1301"/>
    </row>
    <row r="873">
      <c r="B873" s="17"/>
      <c r="C873" s="17"/>
      <c r="D873" s="17"/>
      <c r="E873" s="343"/>
      <c r="F873" s="17"/>
      <c r="G873" s="17"/>
      <c r="H873" s="17"/>
      <c r="I873" s="17"/>
      <c r="J873" s="17" t="s">
        <v>1011</v>
      </c>
      <c r="K873" s="17"/>
      <c r="L873" s="17"/>
      <c r="AC873" s="1301"/>
    </row>
    <row r="874">
      <c r="B874" s="17"/>
      <c r="C874" s="17"/>
      <c r="D874" s="17"/>
      <c r="E874" s="343"/>
      <c r="F874" s="17"/>
      <c r="G874" s="17"/>
      <c r="H874" s="17"/>
      <c r="I874" s="17"/>
      <c r="J874" s="17" t="s">
        <v>1011</v>
      </c>
      <c r="K874" s="17"/>
      <c r="L874" s="17"/>
      <c r="AC874" s="1301"/>
    </row>
    <row r="875">
      <c r="B875" s="17"/>
      <c r="C875" s="17"/>
      <c r="D875" s="17"/>
      <c r="E875" s="343"/>
      <c r="F875" s="17"/>
      <c r="G875" s="17"/>
      <c r="H875" s="17"/>
      <c r="I875" s="17"/>
      <c r="J875" s="17" t="s">
        <v>1011</v>
      </c>
      <c r="K875" s="17"/>
      <c r="L875" s="17"/>
      <c r="AC875" s="1301"/>
    </row>
    <row r="876">
      <c r="B876" s="17"/>
      <c r="C876" s="17"/>
      <c r="D876" s="17"/>
      <c r="E876" s="343"/>
      <c r="F876" s="17"/>
      <c r="G876" s="17"/>
      <c r="H876" s="17"/>
      <c r="I876" s="17"/>
      <c r="J876" s="17" t="s">
        <v>1011</v>
      </c>
      <c r="K876" s="17"/>
      <c r="L876" s="17"/>
      <c r="AC876" s="1301"/>
    </row>
    <row r="877">
      <c r="B877" s="17"/>
      <c r="C877" s="17"/>
      <c r="D877" s="17"/>
      <c r="E877" s="343"/>
      <c r="F877" s="17"/>
      <c r="G877" s="17"/>
      <c r="H877" s="17"/>
      <c r="I877" s="17"/>
      <c r="J877" s="17" t="s">
        <v>1011</v>
      </c>
      <c r="K877" s="17"/>
      <c r="L877" s="17"/>
      <c r="AC877" s="1301"/>
    </row>
    <row r="878">
      <c r="B878" s="17"/>
      <c r="C878" s="17"/>
      <c r="D878" s="17"/>
      <c r="E878" s="343"/>
      <c r="F878" s="17"/>
      <c r="G878" s="17"/>
      <c r="H878" s="17"/>
      <c r="I878" s="17"/>
      <c r="J878" s="17" t="s">
        <v>1011</v>
      </c>
      <c r="K878" s="17"/>
      <c r="L878" s="17"/>
      <c r="AC878" s="1301"/>
    </row>
    <row r="879">
      <c r="B879" s="17"/>
      <c r="C879" s="17"/>
      <c r="D879" s="17"/>
      <c r="E879" s="343"/>
      <c r="F879" s="17"/>
      <c r="G879" s="17"/>
      <c r="H879" s="17"/>
      <c r="I879" s="17"/>
      <c r="J879" s="17" t="s">
        <v>1011</v>
      </c>
      <c r="K879" s="17"/>
      <c r="L879" s="17"/>
      <c r="AC879" s="1301"/>
    </row>
    <row r="880">
      <c r="B880" s="17"/>
      <c r="C880" s="17"/>
      <c r="D880" s="17"/>
      <c r="E880" s="343"/>
      <c r="F880" s="17"/>
      <c r="G880" s="17"/>
      <c r="H880" s="17"/>
      <c r="I880" s="17"/>
      <c r="J880" s="17" t="s">
        <v>1011</v>
      </c>
      <c r="K880" s="17"/>
      <c r="L880" s="17"/>
      <c r="AC880" s="1301"/>
    </row>
    <row r="881">
      <c r="B881" s="17"/>
      <c r="C881" s="17"/>
      <c r="D881" s="17"/>
      <c r="E881" s="343"/>
      <c r="F881" s="17"/>
      <c r="G881" s="17"/>
      <c r="H881" s="17"/>
      <c r="I881" s="17"/>
      <c r="J881" s="17" t="s">
        <v>1011</v>
      </c>
      <c r="K881" s="17"/>
      <c r="L881" s="17"/>
      <c r="AC881" s="1301"/>
    </row>
    <row r="882">
      <c r="B882" s="17"/>
      <c r="C882" s="17"/>
      <c r="D882" s="17"/>
      <c r="E882" s="343"/>
      <c r="F882" s="17"/>
      <c r="G882" s="17"/>
      <c r="H882" s="17"/>
      <c r="I882" s="17"/>
      <c r="J882" s="17" t="s">
        <v>1011</v>
      </c>
      <c r="K882" s="17"/>
      <c r="L882" s="17"/>
      <c r="AC882" s="1301"/>
    </row>
    <row r="883">
      <c r="B883" s="17"/>
      <c r="C883" s="17"/>
      <c r="D883" s="17"/>
      <c r="E883" s="343"/>
      <c r="F883" s="17"/>
      <c r="G883" s="17"/>
      <c r="H883" s="17"/>
      <c r="I883" s="17"/>
      <c r="J883" s="17" t="s">
        <v>1011</v>
      </c>
      <c r="K883" s="17"/>
      <c r="L883" s="17"/>
      <c r="AC883" s="1301"/>
    </row>
    <row r="884">
      <c r="B884" s="17"/>
      <c r="C884" s="17"/>
      <c r="D884" s="17"/>
      <c r="E884" s="343"/>
      <c r="F884" s="17"/>
      <c r="G884" s="17"/>
      <c r="H884" s="17"/>
      <c r="I884" s="17"/>
      <c r="J884" s="17" t="s">
        <v>1011</v>
      </c>
      <c r="K884" s="17"/>
      <c r="L884" s="17"/>
      <c r="AC884" s="1301"/>
    </row>
    <row r="885">
      <c r="B885" s="17"/>
      <c r="C885" s="17"/>
      <c r="D885" s="17"/>
      <c r="E885" s="343"/>
      <c r="F885" s="17"/>
      <c r="G885" s="17"/>
      <c r="H885" s="17"/>
      <c r="I885" s="17"/>
      <c r="J885" s="17" t="s">
        <v>1011</v>
      </c>
      <c r="K885" s="17"/>
      <c r="L885" s="17"/>
      <c r="AC885" s="1301"/>
    </row>
    <row r="886">
      <c r="B886" s="17"/>
      <c r="C886" s="17"/>
      <c r="D886" s="17"/>
      <c r="E886" s="343"/>
      <c r="F886" s="17"/>
      <c r="G886" s="17"/>
      <c r="H886" s="17"/>
      <c r="I886" s="17"/>
      <c r="J886" s="17" t="s">
        <v>1011</v>
      </c>
      <c r="K886" s="17"/>
      <c r="L886" s="17"/>
      <c r="AC886" s="1301"/>
    </row>
    <row r="887">
      <c r="B887" s="17"/>
      <c r="C887" s="17"/>
      <c r="D887" s="17"/>
      <c r="E887" s="343"/>
      <c r="F887" s="17"/>
      <c r="G887" s="17"/>
      <c r="H887" s="17"/>
      <c r="I887" s="17"/>
      <c r="J887" s="17" t="s">
        <v>1011</v>
      </c>
      <c r="K887" s="17"/>
      <c r="L887" s="17"/>
      <c r="AC887" s="1301"/>
    </row>
    <row r="888">
      <c r="B888" s="17"/>
      <c r="C888" s="17"/>
      <c r="D888" s="17"/>
      <c r="E888" s="343"/>
      <c r="F888" s="17"/>
      <c r="G888" s="17"/>
      <c r="H888" s="17"/>
      <c r="I888" s="17"/>
      <c r="J888" s="17" t="s">
        <v>1011</v>
      </c>
      <c r="K888" s="17"/>
      <c r="L888" s="17"/>
      <c r="AC888" s="1301"/>
    </row>
    <row r="889">
      <c r="B889" s="17"/>
      <c r="C889" s="17"/>
      <c r="D889" s="17"/>
      <c r="E889" s="343"/>
      <c r="F889" s="17"/>
      <c r="G889" s="17"/>
      <c r="H889" s="17"/>
      <c r="I889" s="17"/>
      <c r="J889" s="17" t="s">
        <v>1011</v>
      </c>
      <c r="K889" s="17"/>
      <c r="L889" s="17"/>
      <c r="AC889" s="1301"/>
    </row>
    <row r="890">
      <c r="B890" s="17"/>
      <c r="C890" s="17"/>
      <c r="D890" s="17"/>
      <c r="E890" s="343"/>
      <c r="F890" s="17"/>
      <c r="G890" s="17"/>
      <c r="H890" s="17"/>
      <c r="I890" s="17"/>
      <c r="J890" s="17" t="s">
        <v>1011</v>
      </c>
      <c r="K890" s="17"/>
      <c r="L890" s="17"/>
      <c r="AC890" s="1301"/>
    </row>
    <row r="891">
      <c r="B891" s="17"/>
      <c r="C891" s="17"/>
      <c r="D891" s="17"/>
      <c r="E891" s="343"/>
      <c r="F891" s="17"/>
      <c r="G891" s="17"/>
      <c r="H891" s="17"/>
      <c r="I891" s="17"/>
      <c r="J891" s="17" t="s">
        <v>1011</v>
      </c>
      <c r="K891" s="17"/>
      <c r="L891" s="17"/>
      <c r="AC891" s="1301"/>
    </row>
    <row r="892">
      <c r="B892" s="17"/>
      <c r="C892" s="17"/>
      <c r="D892" s="17"/>
      <c r="E892" s="343"/>
      <c r="F892" s="17"/>
      <c r="G892" s="17"/>
      <c r="H892" s="17"/>
      <c r="I892" s="17"/>
      <c r="J892" s="17" t="s">
        <v>1011</v>
      </c>
      <c r="K892" s="17"/>
      <c r="L892" s="17"/>
      <c r="AC892" s="1301"/>
    </row>
    <row r="893">
      <c r="B893" s="17"/>
      <c r="C893" s="17"/>
      <c r="D893" s="17"/>
      <c r="E893" s="343"/>
      <c r="F893" s="17"/>
      <c r="G893" s="17"/>
      <c r="H893" s="17"/>
      <c r="I893" s="17"/>
      <c r="J893" s="17" t="s">
        <v>1011</v>
      </c>
      <c r="K893" s="17"/>
      <c r="L893" s="17"/>
      <c r="AC893" s="1301"/>
    </row>
    <row r="894">
      <c r="B894" s="17"/>
      <c r="C894" s="17"/>
      <c r="D894" s="17"/>
      <c r="E894" s="343"/>
      <c r="F894" s="17"/>
      <c r="G894" s="17"/>
      <c r="H894" s="17"/>
      <c r="I894" s="17"/>
      <c r="J894" s="17" t="s">
        <v>1011</v>
      </c>
      <c r="K894" s="17"/>
      <c r="L894" s="17"/>
      <c r="AC894" s="1301"/>
    </row>
    <row r="895">
      <c r="B895" s="17"/>
      <c r="C895" s="17"/>
      <c r="D895" s="17"/>
      <c r="E895" s="343"/>
      <c r="F895" s="17"/>
      <c r="G895" s="17"/>
      <c r="H895" s="17"/>
      <c r="I895" s="17"/>
      <c r="J895" s="17" t="s">
        <v>1011</v>
      </c>
      <c r="K895" s="17"/>
      <c r="L895" s="17"/>
      <c r="AC895" s="1301"/>
    </row>
    <row r="896">
      <c r="B896" s="17"/>
      <c r="C896" s="17"/>
      <c r="D896" s="17"/>
      <c r="E896" s="343"/>
      <c r="F896" s="17"/>
      <c r="G896" s="17"/>
      <c r="H896" s="17"/>
      <c r="I896" s="17"/>
      <c r="J896" s="17" t="s">
        <v>1011</v>
      </c>
      <c r="K896" s="17"/>
      <c r="L896" s="17"/>
      <c r="AC896" s="1301"/>
    </row>
    <row r="897">
      <c r="B897" s="17"/>
      <c r="C897" s="17"/>
      <c r="D897" s="17"/>
      <c r="E897" s="343"/>
      <c r="F897" s="17"/>
      <c r="G897" s="17"/>
      <c r="H897" s="17"/>
      <c r="I897" s="17"/>
      <c r="J897" s="17" t="s">
        <v>1011</v>
      </c>
      <c r="K897" s="17"/>
      <c r="L897" s="17"/>
      <c r="AC897" s="1301"/>
    </row>
    <row r="898">
      <c r="B898" s="17"/>
      <c r="C898" s="17"/>
      <c r="D898" s="17"/>
      <c r="E898" s="343"/>
      <c r="F898" s="17"/>
      <c r="G898" s="17"/>
      <c r="H898" s="17"/>
      <c r="I898" s="17"/>
      <c r="J898" s="17" t="s">
        <v>1011</v>
      </c>
      <c r="K898" s="17"/>
      <c r="L898" s="17"/>
      <c r="AC898" s="1301"/>
    </row>
    <row r="899">
      <c r="B899" s="17"/>
      <c r="C899" s="17"/>
      <c r="D899" s="17"/>
      <c r="E899" s="343"/>
      <c r="F899" s="17"/>
      <c r="G899" s="17"/>
      <c r="H899" s="17"/>
      <c r="I899" s="17"/>
      <c r="J899" s="17" t="s">
        <v>1011</v>
      </c>
      <c r="K899" s="17"/>
      <c r="L899" s="17"/>
      <c r="AC899" s="1301"/>
    </row>
    <row r="900">
      <c r="B900" s="17"/>
      <c r="C900" s="17"/>
      <c r="D900" s="17"/>
      <c r="E900" s="343"/>
      <c r="F900" s="17"/>
      <c r="G900" s="17"/>
      <c r="H900" s="17"/>
      <c r="I900" s="17"/>
      <c r="J900" s="17" t="s">
        <v>1011</v>
      </c>
      <c r="K900" s="17"/>
      <c r="L900" s="17"/>
      <c r="AC900" s="1301"/>
    </row>
    <row r="901">
      <c r="B901" s="17"/>
      <c r="C901" s="17"/>
      <c r="D901" s="17"/>
      <c r="E901" s="343"/>
      <c r="F901" s="17"/>
      <c r="G901" s="17"/>
      <c r="H901" s="17"/>
      <c r="I901" s="17"/>
      <c r="J901" s="17" t="s">
        <v>1011</v>
      </c>
      <c r="K901" s="17"/>
      <c r="L901" s="17"/>
      <c r="AC901" s="1301"/>
    </row>
    <row r="902">
      <c r="B902" s="17"/>
      <c r="C902" s="17"/>
      <c r="D902" s="17"/>
      <c r="E902" s="343"/>
      <c r="F902" s="17"/>
      <c r="G902" s="17"/>
      <c r="H902" s="17"/>
      <c r="I902" s="17"/>
      <c r="J902" s="17" t="s">
        <v>1011</v>
      </c>
      <c r="K902" s="17"/>
      <c r="L902" s="17"/>
      <c r="AC902" s="1301"/>
    </row>
    <row r="903">
      <c r="B903" s="17"/>
      <c r="C903" s="17"/>
      <c r="D903" s="17"/>
      <c r="E903" s="343"/>
      <c r="F903" s="17"/>
      <c r="G903" s="17"/>
      <c r="H903" s="17"/>
      <c r="I903" s="17"/>
      <c r="J903" s="17" t="s">
        <v>1011</v>
      </c>
      <c r="K903" s="17"/>
      <c r="L903" s="17"/>
      <c r="AC903" s="1301"/>
    </row>
    <row r="904">
      <c r="B904" s="17"/>
      <c r="C904" s="17"/>
      <c r="D904" s="17"/>
      <c r="E904" s="343"/>
      <c r="F904" s="17"/>
      <c r="G904" s="17"/>
      <c r="H904" s="17"/>
      <c r="I904" s="17"/>
      <c r="J904" s="17" t="s">
        <v>1011</v>
      </c>
      <c r="K904" s="17"/>
      <c r="L904" s="17"/>
      <c r="AC904" s="1301"/>
    </row>
    <row r="905">
      <c r="B905" s="17"/>
      <c r="C905" s="17"/>
      <c r="D905" s="17"/>
      <c r="E905" s="343"/>
      <c r="F905" s="17"/>
      <c r="G905" s="17"/>
      <c r="H905" s="17"/>
      <c r="I905" s="17"/>
      <c r="J905" s="17" t="s">
        <v>1011</v>
      </c>
      <c r="K905" s="17"/>
      <c r="L905" s="17"/>
      <c r="AC905" s="1301"/>
    </row>
    <row r="906">
      <c r="B906" s="17"/>
      <c r="C906" s="17"/>
      <c r="D906" s="17"/>
      <c r="E906" s="343"/>
      <c r="F906" s="17"/>
      <c r="G906" s="17"/>
      <c r="H906" s="17"/>
      <c r="I906" s="17"/>
      <c r="J906" s="17" t="s">
        <v>1011</v>
      </c>
      <c r="K906" s="17"/>
      <c r="L906" s="17"/>
      <c r="AC906" s="1301"/>
    </row>
    <row r="907">
      <c r="B907" s="17"/>
      <c r="C907" s="17"/>
      <c r="D907" s="17"/>
      <c r="E907" s="343"/>
      <c r="F907" s="17"/>
      <c r="G907" s="17"/>
      <c r="H907" s="17"/>
      <c r="I907" s="17"/>
      <c r="J907" s="17" t="s">
        <v>1011</v>
      </c>
      <c r="K907" s="17"/>
      <c r="L907" s="17"/>
      <c r="AC907" s="1301"/>
    </row>
    <row r="908">
      <c r="B908" s="17"/>
      <c r="C908" s="17"/>
      <c r="D908" s="17"/>
      <c r="E908" s="343"/>
      <c r="F908" s="17"/>
      <c r="G908" s="17"/>
      <c r="H908" s="17"/>
      <c r="I908" s="17"/>
      <c r="J908" s="17" t="s">
        <v>1011</v>
      </c>
      <c r="K908" s="17"/>
      <c r="L908" s="17"/>
      <c r="AC908" s="1301"/>
    </row>
    <row r="909">
      <c r="B909" s="17"/>
      <c r="C909" s="17"/>
      <c r="D909" s="17"/>
      <c r="E909" s="343"/>
      <c r="F909" s="17"/>
      <c r="G909" s="17"/>
      <c r="H909" s="17"/>
      <c r="I909" s="17"/>
      <c r="J909" s="17" t="s">
        <v>1011</v>
      </c>
      <c r="K909" s="17"/>
      <c r="L909" s="17"/>
      <c r="AC909" s="1301"/>
    </row>
    <row r="910">
      <c r="B910" s="17"/>
      <c r="C910" s="17"/>
      <c r="D910" s="17"/>
      <c r="E910" s="343"/>
      <c r="F910" s="17"/>
      <c r="G910" s="17"/>
      <c r="H910" s="17"/>
      <c r="I910" s="17"/>
      <c r="J910" s="17" t="s">
        <v>1011</v>
      </c>
      <c r="K910" s="17"/>
      <c r="L910" s="17"/>
      <c r="AC910" s="1301"/>
    </row>
    <row r="911">
      <c r="B911" s="17"/>
      <c r="C911" s="17"/>
      <c r="D911" s="17"/>
      <c r="E911" s="343"/>
      <c r="F911" s="17"/>
      <c r="G911" s="17"/>
      <c r="H911" s="17"/>
      <c r="I911" s="17"/>
      <c r="J911" s="17" t="s">
        <v>1011</v>
      </c>
      <c r="K911" s="17"/>
      <c r="L911" s="17"/>
      <c r="AC911" s="1301"/>
    </row>
    <row r="912">
      <c r="B912" s="17"/>
      <c r="C912" s="17"/>
      <c r="D912" s="17"/>
      <c r="E912" s="343"/>
      <c r="F912" s="17"/>
      <c r="G912" s="17"/>
      <c r="H912" s="17"/>
      <c r="I912" s="17"/>
      <c r="J912" s="17" t="s">
        <v>1011</v>
      </c>
      <c r="K912" s="17"/>
      <c r="L912" s="17"/>
      <c r="AC912" s="1301"/>
    </row>
    <row r="913">
      <c r="B913" s="17"/>
      <c r="C913" s="17"/>
      <c r="D913" s="17"/>
      <c r="E913" s="343"/>
      <c r="F913" s="17"/>
      <c r="G913" s="17"/>
      <c r="H913" s="17"/>
      <c r="I913" s="17"/>
      <c r="J913" s="17" t="s">
        <v>1011</v>
      </c>
      <c r="K913" s="17"/>
      <c r="L913" s="17"/>
      <c r="AC913" s="1301"/>
    </row>
    <row r="914">
      <c r="B914" s="17"/>
      <c r="C914" s="17"/>
      <c r="D914" s="17"/>
      <c r="E914" s="343"/>
      <c r="F914" s="17"/>
      <c r="G914" s="17"/>
      <c r="H914" s="17"/>
      <c r="I914" s="17"/>
      <c r="J914" s="17" t="s">
        <v>1011</v>
      </c>
      <c r="K914" s="17"/>
      <c r="L914" s="17"/>
      <c r="AC914" s="1301"/>
    </row>
    <row r="915">
      <c r="B915" s="17"/>
      <c r="C915" s="17"/>
      <c r="D915" s="17"/>
      <c r="E915" s="343"/>
      <c r="F915" s="17"/>
      <c r="G915" s="17"/>
      <c r="H915" s="17"/>
      <c r="I915" s="17"/>
      <c r="J915" s="17" t="s">
        <v>1011</v>
      </c>
      <c r="K915" s="17"/>
      <c r="L915" s="17"/>
      <c r="AC915" s="1301"/>
    </row>
    <row r="916">
      <c r="B916" s="17"/>
      <c r="C916" s="17"/>
      <c r="D916" s="17"/>
      <c r="E916" s="343"/>
      <c r="F916" s="17"/>
      <c r="G916" s="17"/>
      <c r="H916" s="17"/>
      <c r="I916" s="17"/>
      <c r="J916" s="17" t="s">
        <v>1011</v>
      </c>
      <c r="K916" s="17"/>
      <c r="L916" s="17"/>
      <c r="AC916" s="1301"/>
    </row>
    <row r="917">
      <c r="B917" s="17"/>
      <c r="C917" s="17"/>
      <c r="D917" s="17"/>
      <c r="E917" s="343"/>
      <c r="F917" s="17"/>
      <c r="G917" s="17"/>
      <c r="H917" s="17"/>
      <c r="I917" s="17"/>
      <c r="J917" s="17" t="s">
        <v>1011</v>
      </c>
      <c r="K917" s="17"/>
      <c r="L917" s="17"/>
      <c r="AC917" s="1301"/>
    </row>
    <row r="918">
      <c r="B918" s="17"/>
      <c r="C918" s="17"/>
      <c r="D918" s="17"/>
      <c r="E918" s="343"/>
      <c r="F918" s="17"/>
      <c r="G918" s="17"/>
      <c r="H918" s="17"/>
      <c r="I918" s="17"/>
      <c r="J918" s="17" t="s">
        <v>1011</v>
      </c>
      <c r="K918" s="17"/>
      <c r="L918" s="17"/>
      <c r="AC918" s="1301"/>
    </row>
    <row r="919">
      <c r="B919" s="17"/>
      <c r="C919" s="17"/>
      <c r="D919" s="17"/>
      <c r="E919" s="343"/>
      <c r="F919" s="17"/>
      <c r="G919" s="17"/>
      <c r="H919" s="17"/>
      <c r="I919" s="17"/>
      <c r="J919" s="17" t="s">
        <v>1011</v>
      </c>
      <c r="K919" s="17"/>
      <c r="L919" s="17"/>
      <c r="AC919" s="1301"/>
    </row>
    <row r="920">
      <c r="B920" s="17"/>
      <c r="C920" s="17"/>
      <c r="D920" s="17"/>
      <c r="E920" s="343"/>
      <c r="F920" s="17"/>
      <c r="G920" s="17"/>
      <c r="H920" s="17"/>
      <c r="I920" s="17"/>
      <c r="J920" s="17" t="s">
        <v>1011</v>
      </c>
      <c r="K920" s="17"/>
      <c r="L920" s="17"/>
      <c r="AC920" s="1301"/>
    </row>
    <row r="921">
      <c r="B921" s="17"/>
      <c r="C921" s="17"/>
      <c r="D921" s="17"/>
      <c r="E921" s="343"/>
      <c r="F921" s="17"/>
      <c r="G921" s="17"/>
      <c r="H921" s="17"/>
      <c r="I921" s="17"/>
      <c r="J921" s="17" t="s">
        <v>1011</v>
      </c>
      <c r="K921" s="17"/>
      <c r="L921" s="17"/>
      <c r="AC921" s="1301"/>
    </row>
    <row r="922">
      <c r="B922" s="17"/>
      <c r="C922" s="17"/>
      <c r="D922" s="17"/>
      <c r="E922" s="343"/>
      <c r="F922" s="17"/>
      <c r="G922" s="17"/>
      <c r="H922" s="17"/>
      <c r="I922" s="17"/>
      <c r="J922" s="17" t="s">
        <v>1011</v>
      </c>
      <c r="K922" s="17"/>
      <c r="L922" s="17"/>
      <c r="AC922" s="1301"/>
    </row>
    <row r="923">
      <c r="B923" s="17"/>
      <c r="C923" s="17"/>
      <c r="D923" s="17"/>
      <c r="E923" s="343"/>
      <c r="F923" s="17"/>
      <c r="G923" s="17"/>
      <c r="H923" s="17"/>
      <c r="I923" s="17"/>
      <c r="J923" s="17" t="s">
        <v>1011</v>
      </c>
      <c r="K923" s="17"/>
      <c r="L923" s="17"/>
      <c r="AC923" s="1301"/>
    </row>
    <row r="924">
      <c r="B924" s="17"/>
      <c r="C924" s="17"/>
      <c r="D924" s="17"/>
      <c r="E924" s="343"/>
      <c r="F924" s="17"/>
      <c r="G924" s="17"/>
      <c r="H924" s="17"/>
      <c r="I924" s="17"/>
      <c r="J924" s="17" t="s">
        <v>1011</v>
      </c>
      <c r="K924" s="17"/>
      <c r="L924" s="17"/>
      <c r="AC924" s="1301"/>
    </row>
    <row r="925">
      <c r="B925" s="17"/>
      <c r="C925" s="17"/>
      <c r="D925" s="17"/>
      <c r="E925" s="343"/>
      <c r="F925" s="17"/>
      <c r="G925" s="17"/>
      <c r="H925" s="17"/>
      <c r="I925" s="17"/>
      <c r="J925" s="17" t="s">
        <v>1011</v>
      </c>
      <c r="K925" s="17"/>
      <c r="L925" s="17"/>
      <c r="AC925" s="1301"/>
    </row>
    <row r="926">
      <c r="B926" s="17"/>
      <c r="C926" s="17"/>
      <c r="D926" s="17"/>
      <c r="E926" s="343"/>
      <c r="F926" s="17"/>
      <c r="G926" s="17"/>
      <c r="H926" s="17"/>
      <c r="I926" s="17"/>
      <c r="J926" s="17" t="s">
        <v>1011</v>
      </c>
      <c r="K926" s="17"/>
      <c r="L926" s="17"/>
      <c r="AC926" s="1301"/>
    </row>
    <row r="927">
      <c r="B927" s="17"/>
      <c r="C927" s="17"/>
      <c r="D927" s="17"/>
      <c r="E927" s="343"/>
      <c r="F927" s="17"/>
      <c r="G927" s="17"/>
      <c r="H927" s="17"/>
      <c r="I927" s="17"/>
      <c r="J927" s="17" t="s">
        <v>1011</v>
      </c>
      <c r="K927" s="17"/>
      <c r="L927" s="17"/>
      <c r="AC927" s="1301"/>
    </row>
    <row r="928">
      <c r="B928" s="17"/>
      <c r="C928" s="17"/>
      <c r="D928" s="17"/>
      <c r="E928" s="343"/>
      <c r="F928" s="17"/>
      <c r="G928" s="17"/>
      <c r="H928" s="17"/>
      <c r="I928" s="17"/>
      <c r="J928" s="17" t="s">
        <v>1011</v>
      </c>
      <c r="K928" s="17"/>
      <c r="L928" s="17"/>
      <c r="AC928" s="1301"/>
    </row>
    <row r="929">
      <c r="B929" s="17"/>
      <c r="C929" s="17"/>
      <c r="D929" s="17"/>
      <c r="E929" s="343"/>
      <c r="F929" s="17"/>
      <c r="G929" s="17"/>
      <c r="H929" s="17"/>
      <c r="I929" s="17"/>
      <c r="J929" s="17" t="s">
        <v>1011</v>
      </c>
      <c r="K929" s="17"/>
      <c r="L929" s="17"/>
      <c r="AC929" s="1301"/>
    </row>
    <row r="930">
      <c r="B930" s="17"/>
      <c r="C930" s="17"/>
      <c r="D930" s="17"/>
      <c r="E930" s="343"/>
      <c r="F930" s="17"/>
      <c r="G930" s="17"/>
      <c r="H930" s="17"/>
      <c r="I930" s="17"/>
      <c r="J930" s="17" t="s">
        <v>1011</v>
      </c>
      <c r="K930" s="17"/>
      <c r="L930" s="17"/>
      <c r="AC930" s="1301"/>
    </row>
    <row r="931">
      <c r="B931" s="17"/>
      <c r="C931" s="17"/>
      <c r="D931" s="17"/>
      <c r="E931" s="343"/>
      <c r="F931" s="17"/>
      <c r="G931" s="17"/>
      <c r="H931" s="17"/>
      <c r="I931" s="17"/>
      <c r="J931" s="17" t="s">
        <v>1011</v>
      </c>
      <c r="K931" s="17"/>
      <c r="L931" s="17"/>
      <c r="AC931" s="1301"/>
    </row>
    <row r="932">
      <c r="B932" s="17"/>
      <c r="C932" s="17"/>
      <c r="D932" s="17"/>
      <c r="E932" s="343"/>
      <c r="F932" s="17"/>
      <c r="G932" s="17"/>
      <c r="H932" s="17"/>
      <c r="I932" s="17"/>
      <c r="J932" s="17" t="s">
        <v>1011</v>
      </c>
      <c r="K932" s="17"/>
      <c r="L932" s="17"/>
      <c r="AC932" s="1301"/>
    </row>
    <row r="933">
      <c r="B933" s="17"/>
      <c r="C933" s="17"/>
      <c r="D933" s="17"/>
      <c r="E933" s="343"/>
      <c r="F933" s="17"/>
      <c r="G933" s="17"/>
      <c r="H933" s="17"/>
      <c r="I933" s="17"/>
      <c r="J933" s="17" t="s">
        <v>1011</v>
      </c>
      <c r="K933" s="17"/>
      <c r="L933" s="17"/>
      <c r="AC933" s="1301"/>
    </row>
    <row r="934">
      <c r="B934" s="17"/>
      <c r="C934" s="17"/>
      <c r="D934" s="17"/>
      <c r="E934" s="343"/>
      <c r="F934" s="17"/>
      <c r="G934" s="17"/>
      <c r="H934" s="17"/>
      <c r="I934" s="17"/>
      <c r="J934" s="17" t="s">
        <v>1011</v>
      </c>
      <c r="K934" s="17"/>
      <c r="L934" s="17"/>
      <c r="AC934" s="1301"/>
    </row>
    <row r="935">
      <c r="B935" s="17"/>
      <c r="C935" s="17"/>
      <c r="D935" s="17"/>
      <c r="E935" s="343"/>
      <c r="F935" s="17"/>
      <c r="G935" s="17"/>
      <c r="H935" s="17"/>
      <c r="I935" s="17"/>
      <c r="J935" s="17" t="s">
        <v>1011</v>
      </c>
      <c r="K935" s="17"/>
      <c r="L935" s="17"/>
      <c r="AC935" s="1301"/>
    </row>
    <row r="936">
      <c r="B936" s="17"/>
      <c r="C936" s="17"/>
      <c r="D936" s="17"/>
      <c r="E936" s="343"/>
      <c r="F936" s="17"/>
      <c r="G936" s="17"/>
      <c r="H936" s="17"/>
      <c r="I936" s="17"/>
      <c r="J936" s="17" t="s">
        <v>1011</v>
      </c>
      <c r="K936" s="17"/>
      <c r="L936" s="17"/>
      <c r="AC936" s="1301"/>
    </row>
    <row r="937">
      <c r="B937" s="17"/>
      <c r="C937" s="17"/>
      <c r="D937" s="17"/>
      <c r="E937" s="343"/>
      <c r="F937" s="17"/>
      <c r="G937" s="17"/>
      <c r="H937" s="17"/>
      <c r="I937" s="17"/>
      <c r="J937" s="17" t="s">
        <v>1011</v>
      </c>
      <c r="K937" s="17"/>
      <c r="L937" s="17"/>
      <c r="AC937" s="1301"/>
    </row>
    <row r="938">
      <c r="B938" s="17"/>
      <c r="C938" s="17"/>
      <c r="D938" s="17"/>
      <c r="E938" s="343"/>
      <c r="F938" s="17"/>
      <c r="G938" s="17"/>
      <c r="H938" s="17"/>
      <c r="I938" s="17"/>
      <c r="J938" s="17" t="s">
        <v>1011</v>
      </c>
      <c r="K938" s="17"/>
      <c r="L938" s="17"/>
      <c r="AC938" s="1301"/>
    </row>
    <row r="939">
      <c r="B939" s="17"/>
      <c r="C939" s="17"/>
      <c r="D939" s="17"/>
      <c r="E939" s="343"/>
      <c r="F939" s="17"/>
      <c r="G939" s="17"/>
      <c r="H939" s="17"/>
      <c r="I939" s="17"/>
      <c r="J939" s="17" t="s">
        <v>1011</v>
      </c>
      <c r="K939" s="17"/>
      <c r="L939" s="17"/>
      <c r="AC939" s="1301"/>
    </row>
    <row r="940">
      <c r="B940" s="17"/>
      <c r="C940" s="17"/>
      <c r="D940" s="17"/>
      <c r="E940" s="343"/>
      <c r="F940" s="17"/>
      <c r="G940" s="17"/>
      <c r="H940" s="17"/>
      <c r="I940" s="17"/>
      <c r="J940" s="17" t="s">
        <v>1011</v>
      </c>
      <c r="K940" s="17"/>
      <c r="L940" s="17"/>
      <c r="AC940" s="1301"/>
    </row>
    <row r="941">
      <c r="B941" s="17"/>
      <c r="C941" s="17"/>
      <c r="D941" s="17"/>
      <c r="E941" s="343"/>
      <c r="F941" s="17"/>
      <c r="G941" s="17"/>
      <c r="H941" s="17"/>
      <c r="I941" s="17"/>
      <c r="J941" s="17" t="s">
        <v>1011</v>
      </c>
      <c r="K941" s="17"/>
      <c r="L941" s="17"/>
      <c r="AC941" s="1301"/>
    </row>
    <row r="942">
      <c r="B942" s="17"/>
      <c r="C942" s="17"/>
      <c r="D942" s="17"/>
      <c r="E942" s="343"/>
      <c r="F942" s="17"/>
      <c r="G942" s="17"/>
      <c r="H942" s="17"/>
      <c r="I942" s="17"/>
      <c r="J942" s="17" t="s">
        <v>1011</v>
      </c>
      <c r="K942" s="17"/>
      <c r="L942" s="17"/>
      <c r="AC942" s="1301"/>
    </row>
    <row r="943">
      <c r="B943" s="17"/>
      <c r="C943" s="17"/>
      <c r="D943" s="17"/>
      <c r="E943" s="343"/>
      <c r="F943" s="17"/>
      <c r="G943" s="17"/>
      <c r="H943" s="17"/>
      <c r="I943" s="17"/>
      <c r="J943" s="17" t="s">
        <v>1011</v>
      </c>
      <c r="K943" s="17"/>
      <c r="L943" s="17"/>
      <c r="AC943" s="1301"/>
    </row>
    <row r="944">
      <c r="B944" s="17"/>
      <c r="C944" s="17"/>
      <c r="D944" s="17"/>
      <c r="E944" s="343"/>
      <c r="F944" s="17"/>
      <c r="G944" s="17"/>
      <c r="H944" s="17"/>
      <c r="I944" s="17"/>
      <c r="J944" s="17" t="s">
        <v>1011</v>
      </c>
      <c r="K944" s="17"/>
      <c r="L944" s="17"/>
      <c r="AC944" s="1301"/>
    </row>
    <row r="945">
      <c r="B945" s="17"/>
      <c r="C945" s="17"/>
      <c r="D945" s="17"/>
      <c r="E945" s="343"/>
      <c r="F945" s="17"/>
      <c r="G945" s="17"/>
      <c r="H945" s="17"/>
      <c r="I945" s="17"/>
      <c r="J945" s="17" t="s">
        <v>1011</v>
      </c>
      <c r="K945" s="17"/>
      <c r="L945" s="17"/>
      <c r="AC945" s="1301"/>
    </row>
    <row r="946">
      <c r="B946" s="17"/>
      <c r="C946" s="17"/>
      <c r="D946" s="17"/>
      <c r="E946" s="343"/>
      <c r="F946" s="17"/>
      <c r="G946" s="17"/>
      <c r="H946" s="17"/>
      <c r="I946" s="17"/>
      <c r="J946" s="17" t="s">
        <v>1011</v>
      </c>
      <c r="K946" s="17"/>
      <c r="L946" s="17"/>
      <c r="AC946" s="1301"/>
    </row>
    <row r="947">
      <c r="B947" s="17"/>
      <c r="C947" s="17"/>
      <c r="D947" s="17"/>
      <c r="E947" s="343"/>
      <c r="F947" s="17"/>
      <c r="G947" s="17"/>
      <c r="H947" s="17"/>
      <c r="I947" s="17"/>
      <c r="J947" s="17" t="s">
        <v>1011</v>
      </c>
      <c r="K947" s="17"/>
      <c r="L947" s="17"/>
      <c r="AC947" s="1301"/>
    </row>
    <row r="948">
      <c r="B948" s="17"/>
      <c r="C948" s="17"/>
      <c r="D948" s="17"/>
      <c r="E948" s="343"/>
      <c r="F948" s="17"/>
      <c r="G948" s="17"/>
      <c r="H948" s="17"/>
      <c r="I948" s="17"/>
      <c r="J948" s="17" t="s">
        <v>1011</v>
      </c>
      <c r="K948" s="17"/>
      <c r="L948" s="17"/>
      <c r="AC948" s="1301"/>
    </row>
    <row r="949">
      <c r="B949" s="17"/>
      <c r="C949" s="17"/>
      <c r="D949" s="17"/>
      <c r="E949" s="343"/>
      <c r="F949" s="17"/>
      <c r="G949" s="17"/>
      <c r="H949" s="17"/>
      <c r="I949" s="17"/>
      <c r="J949" s="17" t="s">
        <v>1011</v>
      </c>
      <c r="K949" s="17"/>
      <c r="L949" s="17"/>
      <c r="AC949" s="1301"/>
    </row>
    <row r="950">
      <c r="B950" s="17"/>
      <c r="C950" s="17"/>
      <c r="D950" s="17"/>
      <c r="E950" s="343"/>
      <c r="F950" s="17"/>
      <c r="G950" s="17"/>
      <c r="H950" s="17"/>
      <c r="I950" s="17"/>
      <c r="J950" s="17" t="s">
        <v>1011</v>
      </c>
      <c r="K950" s="17"/>
      <c r="L950" s="17"/>
      <c r="AC950" s="1301"/>
    </row>
    <row r="951">
      <c r="B951" s="17"/>
      <c r="C951" s="17"/>
      <c r="D951" s="17"/>
      <c r="E951" s="343"/>
      <c r="F951" s="17"/>
      <c r="G951" s="17"/>
      <c r="H951" s="17"/>
      <c r="I951" s="17"/>
      <c r="J951" s="17" t="s">
        <v>1011</v>
      </c>
      <c r="K951" s="17"/>
      <c r="L951" s="17"/>
      <c r="AC951" s="1301"/>
    </row>
    <row r="952">
      <c r="B952" s="17"/>
      <c r="C952" s="17"/>
      <c r="D952" s="17"/>
      <c r="E952" s="343"/>
      <c r="F952" s="17"/>
      <c r="G952" s="17"/>
      <c r="H952" s="17"/>
      <c r="I952" s="17"/>
      <c r="J952" s="17" t="s">
        <v>1011</v>
      </c>
      <c r="K952" s="17"/>
      <c r="L952" s="17"/>
      <c r="AC952" s="1301"/>
    </row>
    <row r="953">
      <c r="B953" s="17"/>
      <c r="C953" s="17"/>
      <c r="D953" s="17"/>
      <c r="E953" s="343"/>
      <c r="F953" s="17"/>
      <c r="G953" s="17"/>
      <c r="H953" s="17"/>
      <c r="I953" s="17"/>
      <c r="J953" s="17" t="s">
        <v>1011</v>
      </c>
      <c r="K953" s="17"/>
      <c r="L953" s="17"/>
      <c r="AC953" s="1301"/>
    </row>
    <row r="954">
      <c r="B954" s="17"/>
      <c r="C954" s="17"/>
      <c r="D954" s="17"/>
      <c r="E954" s="343"/>
      <c r="F954" s="17"/>
      <c r="G954" s="17"/>
      <c r="H954" s="17"/>
      <c r="I954" s="17"/>
      <c r="J954" s="17" t="s">
        <v>1011</v>
      </c>
      <c r="K954" s="17"/>
      <c r="L954" s="17"/>
      <c r="AC954" s="1301"/>
    </row>
    <row r="955">
      <c r="B955" s="17"/>
      <c r="C955" s="17"/>
      <c r="D955" s="17"/>
      <c r="E955" s="343"/>
      <c r="F955" s="17"/>
      <c r="G955" s="17"/>
      <c r="H955" s="17"/>
      <c r="I955" s="17"/>
      <c r="J955" s="17" t="s">
        <v>1011</v>
      </c>
      <c r="K955" s="17"/>
      <c r="L955" s="17"/>
      <c r="AC955" s="1301"/>
    </row>
    <row r="956">
      <c r="B956" s="17"/>
      <c r="C956" s="17"/>
      <c r="D956" s="17"/>
      <c r="E956" s="343"/>
      <c r="F956" s="17"/>
      <c r="G956" s="17"/>
      <c r="H956" s="17"/>
      <c r="I956" s="17"/>
      <c r="J956" s="17" t="s">
        <v>1011</v>
      </c>
      <c r="K956" s="17"/>
      <c r="L956" s="17"/>
      <c r="AC956" s="1301"/>
    </row>
    <row r="957">
      <c r="B957" s="17"/>
      <c r="C957" s="17"/>
      <c r="D957" s="17"/>
      <c r="E957" s="343"/>
      <c r="F957" s="17"/>
      <c r="G957" s="17"/>
      <c r="H957" s="17"/>
      <c r="I957" s="17"/>
      <c r="J957" s="17" t="s">
        <v>1011</v>
      </c>
      <c r="K957" s="17"/>
      <c r="L957" s="17"/>
      <c r="AC957" s="1301"/>
    </row>
    <row r="958">
      <c r="B958" s="17"/>
      <c r="C958" s="17"/>
      <c r="D958" s="17"/>
      <c r="E958" s="343"/>
      <c r="F958" s="17"/>
      <c r="G958" s="17"/>
      <c r="H958" s="17"/>
      <c r="I958" s="17"/>
      <c r="J958" s="17" t="s">
        <v>1011</v>
      </c>
      <c r="K958" s="17"/>
      <c r="L958" s="17"/>
      <c r="AC958" s="1301"/>
    </row>
    <row r="959">
      <c r="B959" s="17"/>
      <c r="C959" s="17"/>
      <c r="D959" s="17"/>
      <c r="E959" s="343"/>
      <c r="F959" s="17"/>
      <c r="G959" s="17"/>
      <c r="H959" s="17"/>
      <c r="I959" s="17"/>
      <c r="J959" s="17" t="s">
        <v>1011</v>
      </c>
      <c r="K959" s="17"/>
      <c r="L959" s="17"/>
      <c r="AC959" s="1301"/>
    </row>
    <row r="960">
      <c r="B960" s="17"/>
      <c r="C960" s="17"/>
      <c r="D960" s="17"/>
      <c r="E960" s="343"/>
      <c r="F960" s="17"/>
      <c r="G960" s="17"/>
      <c r="H960" s="17"/>
      <c r="I960" s="17"/>
      <c r="J960" s="17" t="s">
        <v>1011</v>
      </c>
      <c r="K960" s="17"/>
      <c r="L960" s="17"/>
      <c r="AC960" s="1301"/>
    </row>
    <row r="961">
      <c r="B961" s="17"/>
      <c r="C961" s="17"/>
      <c r="D961" s="17"/>
      <c r="E961" s="343"/>
      <c r="F961" s="17"/>
      <c r="G961" s="17"/>
      <c r="H961" s="17"/>
      <c r="I961" s="17"/>
      <c r="J961" s="17" t="s">
        <v>1011</v>
      </c>
      <c r="K961" s="17"/>
      <c r="L961" s="17"/>
      <c r="AC961" s="1301"/>
    </row>
    <row r="962">
      <c r="B962" s="17"/>
      <c r="C962" s="17"/>
      <c r="D962" s="17"/>
      <c r="E962" s="343"/>
      <c r="F962" s="17"/>
      <c r="G962" s="17"/>
      <c r="H962" s="17"/>
      <c r="I962" s="17"/>
      <c r="J962" s="17" t="s">
        <v>1011</v>
      </c>
      <c r="K962" s="17"/>
      <c r="L962" s="17"/>
      <c r="AC962" s="1301"/>
    </row>
    <row r="963">
      <c r="B963" s="17"/>
      <c r="C963" s="17"/>
      <c r="D963" s="17"/>
      <c r="E963" s="343"/>
      <c r="F963" s="17"/>
      <c r="G963" s="17"/>
      <c r="H963" s="17"/>
      <c r="I963" s="17"/>
      <c r="J963" s="17" t="s">
        <v>1011</v>
      </c>
      <c r="K963" s="17"/>
      <c r="L963" s="17"/>
      <c r="AC963" s="1301"/>
    </row>
    <row r="964">
      <c r="B964" s="17"/>
      <c r="C964" s="17"/>
      <c r="D964" s="17"/>
      <c r="E964" s="343"/>
      <c r="F964" s="17"/>
      <c r="G964" s="17"/>
      <c r="H964" s="17"/>
      <c r="I964" s="17"/>
      <c r="J964" s="17" t="s">
        <v>1011</v>
      </c>
      <c r="K964" s="17"/>
      <c r="L964" s="17"/>
      <c r="AC964" s="1301"/>
    </row>
    <row r="965">
      <c r="B965" s="17"/>
      <c r="C965" s="17"/>
      <c r="D965" s="17"/>
      <c r="E965" s="343"/>
      <c r="F965" s="17"/>
      <c r="G965" s="17"/>
      <c r="H965" s="17"/>
      <c r="I965" s="17"/>
      <c r="J965" s="17" t="s">
        <v>1011</v>
      </c>
      <c r="K965" s="17"/>
      <c r="L965" s="17"/>
      <c r="AC965" s="1301"/>
    </row>
    <row r="966">
      <c r="B966" s="17"/>
      <c r="C966" s="17"/>
      <c r="D966" s="17"/>
      <c r="E966" s="343"/>
      <c r="F966" s="17"/>
      <c r="G966" s="17"/>
      <c r="H966" s="17"/>
      <c r="I966" s="17"/>
      <c r="J966" s="17" t="s">
        <v>1011</v>
      </c>
      <c r="K966" s="17"/>
      <c r="L966" s="17"/>
      <c r="AC966" s="1301"/>
    </row>
    <row r="967">
      <c r="B967" s="17"/>
      <c r="C967" s="17"/>
      <c r="D967" s="17"/>
      <c r="E967" s="343"/>
      <c r="F967" s="17"/>
      <c r="G967" s="17"/>
      <c r="H967" s="17"/>
      <c r="I967" s="17"/>
      <c r="J967" s="17" t="s">
        <v>1011</v>
      </c>
      <c r="K967" s="17"/>
      <c r="L967" s="17"/>
      <c r="AC967" s="1301"/>
    </row>
    <row r="968">
      <c r="B968" s="17"/>
      <c r="C968" s="17"/>
      <c r="D968" s="17"/>
      <c r="E968" s="343"/>
      <c r="F968" s="17"/>
      <c r="G968" s="17"/>
      <c r="H968" s="17"/>
      <c r="I968" s="17"/>
      <c r="J968" s="17" t="s">
        <v>1011</v>
      </c>
      <c r="K968" s="17"/>
      <c r="L968" s="17"/>
      <c r="AC968" s="1301"/>
    </row>
    <row r="969">
      <c r="B969" s="17"/>
      <c r="C969" s="17"/>
      <c r="D969" s="17"/>
      <c r="E969" s="343"/>
      <c r="F969" s="17"/>
      <c r="G969" s="17"/>
      <c r="H969" s="17"/>
      <c r="I969" s="17"/>
      <c r="J969" s="17" t="s">
        <v>1011</v>
      </c>
      <c r="K969" s="17"/>
      <c r="L969" s="17"/>
      <c r="AC969" s="1301"/>
    </row>
    <row r="970">
      <c r="B970" s="17"/>
      <c r="C970" s="17"/>
      <c r="D970" s="17"/>
      <c r="E970" s="343"/>
      <c r="F970" s="17"/>
      <c r="G970" s="17"/>
      <c r="H970" s="17"/>
      <c r="I970" s="17"/>
      <c r="J970" s="17" t="s">
        <v>1011</v>
      </c>
      <c r="K970" s="17"/>
      <c r="L970" s="17"/>
      <c r="AC970" s="1301"/>
    </row>
    <row r="971">
      <c r="B971" s="17"/>
      <c r="C971" s="17"/>
      <c r="D971" s="17"/>
      <c r="E971" s="343"/>
      <c r="F971" s="17"/>
      <c r="G971" s="17"/>
      <c r="H971" s="17"/>
      <c r="I971" s="17"/>
      <c r="J971" s="17" t="s">
        <v>1011</v>
      </c>
      <c r="K971" s="17"/>
      <c r="L971" s="17"/>
      <c r="AC971" s="1301"/>
    </row>
    <row r="972">
      <c r="B972" s="17"/>
      <c r="C972" s="17"/>
      <c r="D972" s="17"/>
      <c r="E972" s="343"/>
      <c r="F972" s="17"/>
      <c r="G972" s="17"/>
      <c r="H972" s="17"/>
      <c r="I972" s="17"/>
      <c r="J972" s="17" t="s">
        <v>1011</v>
      </c>
      <c r="K972" s="17"/>
      <c r="L972" s="17"/>
      <c r="AC972" s="1301"/>
    </row>
    <row r="973">
      <c r="B973" s="17"/>
      <c r="C973" s="17"/>
      <c r="D973" s="17"/>
      <c r="E973" s="343"/>
      <c r="F973" s="17"/>
      <c r="G973" s="17"/>
      <c r="H973" s="17"/>
      <c r="I973" s="17"/>
      <c r="J973" s="17" t="s">
        <v>1011</v>
      </c>
      <c r="K973" s="17"/>
      <c r="L973" s="17"/>
      <c r="AC973" s="1301"/>
    </row>
    <row r="974">
      <c r="B974" s="17"/>
      <c r="C974" s="17"/>
      <c r="D974" s="17"/>
      <c r="E974" s="343"/>
      <c r="F974" s="17"/>
      <c r="G974" s="17"/>
      <c r="H974" s="17"/>
      <c r="I974" s="17"/>
      <c r="J974" s="17" t="s">
        <v>1011</v>
      </c>
      <c r="K974" s="17"/>
      <c r="L974" s="17"/>
      <c r="AC974" s="1301"/>
    </row>
    <row r="975">
      <c r="B975" s="17"/>
      <c r="C975" s="17"/>
      <c r="D975" s="17"/>
      <c r="E975" s="343"/>
      <c r="F975" s="17"/>
      <c r="G975" s="17"/>
      <c r="H975" s="17"/>
      <c r="I975" s="17"/>
      <c r="J975" s="17" t="s">
        <v>1011</v>
      </c>
      <c r="K975" s="17"/>
      <c r="L975" s="17"/>
      <c r="AC975" s="1301"/>
    </row>
    <row r="976">
      <c r="B976" s="17"/>
      <c r="C976" s="17"/>
      <c r="D976" s="17"/>
      <c r="E976" s="343"/>
      <c r="F976" s="17"/>
      <c r="G976" s="17"/>
      <c r="H976" s="17"/>
      <c r="I976" s="17"/>
      <c r="J976" s="17" t="s">
        <v>1011</v>
      </c>
      <c r="K976" s="17"/>
      <c r="L976" s="17"/>
      <c r="AC976" s="1301"/>
    </row>
    <row r="977">
      <c r="B977" s="17"/>
      <c r="C977" s="17"/>
      <c r="D977" s="17"/>
      <c r="E977" s="343"/>
      <c r="F977" s="17"/>
      <c r="G977" s="17"/>
      <c r="H977" s="17"/>
      <c r="I977" s="17"/>
      <c r="J977" s="17" t="s">
        <v>1011</v>
      </c>
      <c r="K977" s="17"/>
      <c r="L977" s="17"/>
      <c r="AC977" s="1301"/>
    </row>
    <row r="978">
      <c r="B978" s="17"/>
      <c r="C978" s="17"/>
      <c r="D978" s="17"/>
      <c r="E978" s="343"/>
      <c r="F978" s="17"/>
      <c r="G978" s="17"/>
      <c r="H978" s="17"/>
      <c r="I978" s="17"/>
      <c r="J978" s="17" t="s">
        <v>1011</v>
      </c>
      <c r="K978" s="17"/>
      <c r="L978" s="17"/>
      <c r="AC978" s="1301"/>
    </row>
    <row r="979">
      <c r="B979" s="17"/>
      <c r="C979" s="17"/>
      <c r="D979" s="17"/>
      <c r="E979" s="343"/>
      <c r="F979" s="17"/>
      <c r="G979" s="17"/>
      <c r="H979" s="17"/>
      <c r="I979" s="17"/>
      <c r="J979" s="17" t="s">
        <v>1011</v>
      </c>
      <c r="K979" s="17"/>
      <c r="L979" s="17"/>
      <c r="AC979" s="1301"/>
    </row>
    <row r="980">
      <c r="B980" s="17"/>
      <c r="C980" s="17"/>
      <c r="D980" s="17"/>
      <c r="E980" s="343"/>
      <c r="F980" s="17"/>
      <c r="G980" s="17"/>
      <c r="H980" s="17"/>
      <c r="I980" s="17"/>
      <c r="J980" s="17" t="s">
        <v>1011</v>
      </c>
      <c r="K980" s="17"/>
      <c r="L980" s="17"/>
      <c r="AC980" s="1301"/>
    </row>
    <row r="981">
      <c r="B981" s="17"/>
      <c r="C981" s="17"/>
      <c r="D981" s="17"/>
      <c r="E981" s="343"/>
      <c r="F981" s="17"/>
      <c r="G981" s="17"/>
      <c r="H981" s="17"/>
      <c r="I981" s="17"/>
      <c r="J981" s="17" t="s">
        <v>1011</v>
      </c>
      <c r="K981" s="17"/>
      <c r="L981" s="17"/>
      <c r="AC981" s="1301"/>
    </row>
    <row r="982">
      <c r="B982" s="17"/>
      <c r="C982" s="17"/>
      <c r="D982" s="17"/>
      <c r="E982" s="343"/>
      <c r="F982" s="17"/>
      <c r="G982" s="17"/>
      <c r="H982" s="17"/>
      <c r="I982" s="17"/>
      <c r="J982" s="17" t="s">
        <v>1011</v>
      </c>
      <c r="K982" s="17"/>
      <c r="L982" s="17"/>
      <c r="AC982" s="1301"/>
    </row>
    <row r="983">
      <c r="B983" s="17"/>
      <c r="C983" s="17"/>
      <c r="D983" s="17"/>
      <c r="E983" s="343"/>
      <c r="F983" s="17"/>
      <c r="G983" s="17"/>
      <c r="H983" s="17"/>
      <c r="I983" s="17"/>
      <c r="J983" s="17" t="s">
        <v>1011</v>
      </c>
      <c r="K983" s="17"/>
      <c r="L983" s="17"/>
      <c r="AC983" s="1301"/>
    </row>
    <row r="984">
      <c r="B984" s="17"/>
      <c r="C984" s="17"/>
      <c r="D984" s="17"/>
      <c r="E984" s="343"/>
      <c r="F984" s="17"/>
      <c r="G984" s="17"/>
      <c r="H984" s="17"/>
      <c r="I984" s="17"/>
      <c r="J984" s="17" t="s">
        <v>1011</v>
      </c>
      <c r="K984" s="17"/>
      <c r="L984" s="17"/>
      <c r="AC984" s="1301"/>
    </row>
    <row r="985">
      <c r="B985" s="17"/>
      <c r="C985" s="17"/>
      <c r="D985" s="17"/>
      <c r="E985" s="343"/>
      <c r="F985" s="17"/>
      <c r="G985" s="17"/>
      <c r="H985" s="17"/>
      <c r="I985" s="17"/>
      <c r="J985" s="17" t="s">
        <v>1011</v>
      </c>
      <c r="K985" s="17"/>
      <c r="L985" s="17"/>
      <c r="AC985" s="1301"/>
    </row>
    <row r="986">
      <c r="B986" s="17"/>
      <c r="C986" s="17"/>
      <c r="D986" s="17"/>
      <c r="E986" s="343"/>
      <c r="F986" s="17"/>
      <c r="G986" s="17"/>
      <c r="H986" s="17"/>
      <c r="I986" s="17"/>
      <c r="J986" s="17" t="s">
        <v>1011</v>
      </c>
      <c r="K986" s="17"/>
      <c r="L986" s="17"/>
      <c r="AC986" s="1301"/>
    </row>
    <row r="987">
      <c r="B987" s="17"/>
      <c r="C987" s="17"/>
      <c r="D987" s="17"/>
      <c r="E987" s="343"/>
      <c r="F987" s="17"/>
      <c r="G987" s="17"/>
      <c r="H987" s="17"/>
      <c r="I987" s="17"/>
      <c r="J987" s="17" t="s">
        <v>1011</v>
      </c>
      <c r="K987" s="17"/>
      <c r="L987" s="17"/>
      <c r="AC987" s="1301"/>
    </row>
    <row r="988">
      <c r="B988" s="17"/>
      <c r="C988" s="17"/>
      <c r="D988" s="17"/>
      <c r="E988" s="343"/>
      <c r="F988" s="17"/>
      <c r="G988" s="17"/>
      <c r="H988" s="17"/>
      <c r="I988" s="17"/>
      <c r="J988" s="17" t="s">
        <v>1011</v>
      </c>
      <c r="K988" s="17"/>
      <c r="L988" s="17"/>
      <c r="AC988" s="1301"/>
    </row>
    <row r="989">
      <c r="B989" s="17"/>
      <c r="C989" s="17"/>
      <c r="D989" s="17"/>
      <c r="E989" s="343"/>
      <c r="F989" s="17"/>
      <c r="G989" s="17"/>
      <c r="H989" s="17"/>
      <c r="I989" s="17"/>
      <c r="J989" s="17" t="s">
        <v>1011</v>
      </c>
      <c r="K989" s="17"/>
      <c r="L989" s="17"/>
      <c r="AC989" s="1301"/>
    </row>
    <row r="990">
      <c r="B990" s="17"/>
      <c r="C990" s="17"/>
      <c r="D990" s="17"/>
      <c r="E990" s="343"/>
      <c r="F990" s="17"/>
      <c r="G990" s="17"/>
      <c r="H990" s="17"/>
      <c r="I990" s="17"/>
      <c r="J990" s="17" t="s">
        <v>1011</v>
      </c>
      <c r="K990" s="17"/>
      <c r="L990" s="17"/>
      <c r="AC990" s="1301"/>
    </row>
    <row r="991">
      <c r="B991" s="17"/>
      <c r="C991" s="17"/>
      <c r="D991" s="17"/>
      <c r="E991" s="343"/>
      <c r="F991" s="17"/>
      <c r="G991" s="17"/>
      <c r="H991" s="17"/>
      <c r="I991" s="17"/>
      <c r="J991" s="17" t="s">
        <v>1011</v>
      </c>
      <c r="K991" s="17"/>
      <c r="L991" s="17"/>
      <c r="AC991" s="1301"/>
    </row>
    <row r="992">
      <c r="B992" s="17"/>
      <c r="C992" s="17"/>
      <c r="D992" s="17"/>
      <c r="E992" s="343"/>
      <c r="F992" s="17"/>
      <c r="G992" s="17"/>
      <c r="H992" s="17"/>
      <c r="I992" s="17"/>
      <c r="J992" s="17" t="s">
        <v>1011</v>
      </c>
      <c r="K992" s="17"/>
      <c r="L992" s="17"/>
      <c r="AC992" s="1301"/>
    </row>
    <row r="993">
      <c r="B993" s="17"/>
      <c r="C993" s="17"/>
      <c r="D993" s="17"/>
      <c r="E993" s="343"/>
      <c r="F993" s="17"/>
      <c r="G993" s="17"/>
      <c r="H993" s="17"/>
      <c r="I993" s="17"/>
      <c r="J993" s="17" t="s">
        <v>1011</v>
      </c>
      <c r="K993" s="17"/>
      <c r="L993" s="17"/>
      <c r="AC993" s="1301"/>
    </row>
    <row r="994">
      <c r="B994" s="17"/>
      <c r="C994" s="17"/>
      <c r="D994" s="17"/>
      <c r="E994" s="343"/>
      <c r="F994" s="17"/>
      <c r="G994" s="17"/>
      <c r="H994" s="17"/>
      <c r="I994" s="17"/>
      <c r="J994" s="17" t="s">
        <v>1011</v>
      </c>
      <c r="K994" s="17"/>
      <c r="L994" s="17"/>
      <c r="AC994" s="1301"/>
    </row>
    <row r="995">
      <c r="B995" s="17"/>
      <c r="C995" s="17"/>
      <c r="D995" s="17"/>
      <c r="E995" s="343"/>
      <c r="F995" s="17"/>
      <c r="G995" s="17"/>
      <c r="H995" s="17"/>
      <c r="I995" s="17"/>
      <c r="J995" s="17" t="s">
        <v>1011</v>
      </c>
      <c r="K995" s="17"/>
      <c r="L995" s="17"/>
      <c r="AC995" s="1301"/>
    </row>
    <row r="996">
      <c r="B996" s="17"/>
      <c r="C996" s="17"/>
      <c r="D996" s="17"/>
      <c r="E996" s="343"/>
      <c r="F996" s="17"/>
      <c r="G996" s="17"/>
      <c r="H996" s="17"/>
      <c r="I996" s="17"/>
      <c r="J996" s="17" t="s">
        <v>1011</v>
      </c>
      <c r="K996" s="17"/>
      <c r="L996" s="17"/>
      <c r="AC996" s="1301"/>
    </row>
    <row r="997">
      <c r="B997" s="17"/>
      <c r="C997" s="17"/>
      <c r="D997" s="17"/>
      <c r="E997" s="343"/>
      <c r="F997" s="17"/>
      <c r="G997" s="17"/>
      <c r="H997" s="17"/>
      <c r="I997" s="17"/>
      <c r="J997" s="17" t="s">
        <v>1011</v>
      </c>
      <c r="K997" s="17"/>
      <c r="L997" s="17"/>
      <c r="AC997" s="1301"/>
    </row>
    <row r="998">
      <c r="B998" s="17"/>
      <c r="C998" s="17"/>
      <c r="D998" s="17"/>
      <c r="E998" s="343"/>
      <c r="F998" s="17"/>
      <c r="G998" s="17"/>
      <c r="H998" s="17"/>
      <c r="I998" s="17"/>
      <c r="J998" s="17" t="s">
        <v>1011</v>
      </c>
      <c r="K998" s="17"/>
      <c r="L998" s="17"/>
      <c r="AC998" s="1301"/>
    </row>
    <row r="999">
      <c r="B999" s="17"/>
      <c r="C999" s="17"/>
      <c r="D999" s="17"/>
      <c r="E999" s="343"/>
      <c r="F999" s="17"/>
      <c r="G999" s="17"/>
      <c r="H999" s="17"/>
      <c r="I999" s="17"/>
      <c r="J999" s="17" t="s">
        <v>1011</v>
      </c>
      <c r="K999" s="17"/>
      <c r="L999" s="17"/>
      <c r="AC999" s="1301"/>
    </row>
    <row r="1000">
      <c r="B1000" s="17"/>
      <c r="C1000" s="17"/>
      <c r="D1000" s="17"/>
      <c r="E1000" s="343"/>
      <c r="F1000" s="17"/>
      <c r="G1000" s="17"/>
      <c r="H1000" s="17"/>
      <c r="I1000" s="17"/>
      <c r="J1000" s="17" t="s">
        <v>1011</v>
      </c>
      <c r="K1000" s="17"/>
      <c r="L1000" s="17"/>
      <c r="AC1000" s="1301"/>
    </row>
    <row r="1001">
      <c r="B1001" s="17"/>
      <c r="C1001" s="17"/>
      <c r="D1001" s="17"/>
      <c r="E1001" s="343"/>
      <c r="F1001" s="17"/>
      <c r="G1001" s="17"/>
      <c r="H1001" s="17"/>
      <c r="I1001" s="17"/>
      <c r="J1001" s="17" t="s">
        <v>1011</v>
      </c>
      <c r="K1001" s="17"/>
      <c r="L1001" s="17"/>
      <c r="AC1001" s="1301"/>
    </row>
    <row r="1002">
      <c r="B1002" s="17"/>
      <c r="C1002" s="17"/>
      <c r="D1002" s="17"/>
      <c r="E1002" s="343"/>
      <c r="F1002" s="17"/>
      <c r="G1002" s="17"/>
      <c r="H1002" s="17"/>
      <c r="I1002" s="17"/>
      <c r="J1002" s="17" t="s">
        <v>1011</v>
      </c>
      <c r="K1002" s="17"/>
      <c r="L1002" s="17"/>
      <c r="AC1002" s="1301"/>
    </row>
    <row r="1003">
      <c r="B1003" s="17"/>
      <c r="C1003" s="17"/>
      <c r="D1003" s="17"/>
      <c r="E1003" s="343"/>
      <c r="F1003" s="17"/>
      <c r="G1003" s="17"/>
      <c r="H1003" s="17"/>
      <c r="I1003" s="17"/>
      <c r="J1003" s="17" t="s">
        <v>1011</v>
      </c>
      <c r="K1003" s="17"/>
      <c r="L1003" s="17"/>
      <c r="AC1003" s="1301"/>
    </row>
    <row r="1004">
      <c r="B1004" s="17"/>
      <c r="C1004" s="17"/>
      <c r="D1004" s="17"/>
      <c r="E1004" s="343"/>
      <c r="F1004" s="17"/>
      <c r="G1004" s="17"/>
      <c r="H1004" s="17"/>
      <c r="I1004" s="17"/>
      <c r="J1004" s="17" t="s">
        <v>1011</v>
      </c>
      <c r="K1004" s="17"/>
      <c r="L1004" s="17"/>
      <c r="AC1004" s="1301"/>
    </row>
    <row r="1005">
      <c r="B1005" s="17"/>
      <c r="C1005" s="17"/>
      <c r="D1005" s="17"/>
      <c r="E1005" s="343"/>
      <c r="F1005" s="17"/>
      <c r="G1005" s="17"/>
      <c r="H1005" s="17"/>
      <c r="I1005" s="17"/>
      <c r="J1005" s="17" t="s">
        <v>1011</v>
      </c>
      <c r="K1005" s="17"/>
      <c r="L1005" s="17"/>
      <c r="AC1005" s="1301"/>
    </row>
    <row r="1006">
      <c r="B1006" s="17"/>
      <c r="C1006" s="17"/>
      <c r="D1006" s="17"/>
      <c r="E1006" s="343"/>
      <c r="F1006" s="17"/>
      <c r="G1006" s="17"/>
      <c r="H1006" s="17"/>
      <c r="I1006" s="17"/>
      <c r="J1006" s="17" t="s">
        <v>1011</v>
      </c>
      <c r="K1006" s="17"/>
      <c r="L1006" s="17"/>
      <c r="AC1006" s="1301"/>
    </row>
    <row r="1007">
      <c r="B1007" s="17"/>
      <c r="C1007" s="17"/>
      <c r="D1007" s="17"/>
      <c r="E1007" s="343"/>
      <c r="F1007" s="17"/>
      <c r="G1007" s="17"/>
      <c r="H1007" s="17"/>
      <c r="I1007" s="17"/>
      <c r="J1007" s="17" t="s">
        <v>1011</v>
      </c>
      <c r="K1007" s="17"/>
      <c r="L1007" s="17"/>
      <c r="AC1007" s="1301"/>
    </row>
    <row r="1008">
      <c r="B1008" s="17"/>
      <c r="C1008" s="17"/>
      <c r="D1008" s="17"/>
      <c r="E1008" s="343"/>
      <c r="F1008" s="17"/>
      <c r="G1008" s="17"/>
      <c r="H1008" s="17"/>
      <c r="I1008" s="17"/>
      <c r="J1008" s="17" t="s">
        <v>1011</v>
      </c>
      <c r="K1008" s="17"/>
      <c r="L1008" s="17"/>
      <c r="AC1008" s="1301"/>
    </row>
    <row r="1009">
      <c r="B1009" s="17"/>
      <c r="C1009" s="17"/>
      <c r="D1009" s="17"/>
      <c r="E1009" s="343"/>
      <c r="F1009" s="17"/>
      <c r="G1009" s="17"/>
      <c r="H1009" s="17"/>
      <c r="I1009" s="17"/>
      <c r="J1009" s="17" t="s">
        <v>1011</v>
      </c>
      <c r="K1009" s="17"/>
      <c r="L1009" s="17"/>
      <c r="AC1009" s="1301"/>
    </row>
    <row r="1010">
      <c r="B1010" s="17"/>
      <c r="C1010" s="17"/>
      <c r="D1010" s="17"/>
      <c r="E1010" s="343"/>
      <c r="F1010" s="17"/>
      <c r="G1010" s="17"/>
      <c r="H1010" s="17"/>
      <c r="I1010" s="17"/>
      <c r="J1010" s="17" t="s">
        <v>1011</v>
      </c>
      <c r="K1010" s="17"/>
      <c r="L1010" s="17"/>
      <c r="AC1010" s="1301"/>
    </row>
    <row r="1011">
      <c r="B1011" s="17"/>
      <c r="C1011" s="17"/>
      <c r="D1011" s="17"/>
      <c r="E1011" s="343"/>
      <c r="F1011" s="17"/>
      <c r="G1011" s="17"/>
      <c r="H1011" s="17"/>
      <c r="I1011" s="17"/>
      <c r="J1011" s="17" t="s">
        <v>1011</v>
      </c>
      <c r="K1011" s="17"/>
      <c r="L1011" s="17"/>
      <c r="AC1011" s="1301"/>
    </row>
    <row r="1012">
      <c r="B1012" s="17"/>
      <c r="C1012" s="17"/>
      <c r="D1012" s="17"/>
      <c r="E1012" s="343"/>
      <c r="F1012" s="17"/>
      <c r="G1012" s="17"/>
      <c r="H1012" s="17"/>
      <c r="I1012" s="17"/>
      <c r="J1012" s="17" t="s">
        <v>1011</v>
      </c>
      <c r="K1012" s="17"/>
      <c r="L1012" s="17"/>
      <c r="AC1012" s="1301"/>
    </row>
    <row r="1013">
      <c r="B1013" s="17"/>
      <c r="C1013" s="17"/>
      <c r="D1013" s="17"/>
      <c r="E1013" s="343"/>
      <c r="F1013" s="17"/>
      <c r="G1013" s="17"/>
      <c r="H1013" s="17"/>
      <c r="I1013" s="17"/>
      <c r="J1013" s="17" t="s">
        <v>1011</v>
      </c>
      <c r="K1013" s="17"/>
      <c r="L1013" s="17"/>
      <c r="AC1013" s="1301"/>
    </row>
    <row r="1014">
      <c r="B1014" s="17"/>
      <c r="C1014" s="17"/>
      <c r="D1014" s="17"/>
      <c r="E1014" s="343"/>
      <c r="F1014" s="17"/>
      <c r="G1014" s="17"/>
      <c r="H1014" s="17"/>
      <c r="I1014" s="17"/>
      <c r="J1014" s="17" t="s">
        <v>1011</v>
      </c>
      <c r="K1014" s="17"/>
      <c r="L1014" s="17"/>
      <c r="AC1014" s="1301"/>
    </row>
    <row r="1015">
      <c r="B1015" s="17"/>
      <c r="C1015" s="17"/>
      <c r="D1015" s="17"/>
      <c r="E1015" s="343"/>
      <c r="F1015" s="17"/>
      <c r="G1015" s="17"/>
      <c r="H1015" s="17"/>
      <c r="I1015" s="17"/>
      <c r="J1015" s="17" t="s">
        <v>1011</v>
      </c>
      <c r="K1015" s="17"/>
      <c r="L1015" s="17"/>
      <c r="AC1015" s="1301"/>
    </row>
    <row r="1016">
      <c r="B1016" s="17"/>
      <c r="C1016" s="17"/>
      <c r="D1016" s="17"/>
      <c r="E1016" s="343"/>
      <c r="F1016" s="17"/>
      <c r="G1016" s="17"/>
      <c r="H1016" s="17"/>
      <c r="I1016" s="17"/>
      <c r="J1016" s="17" t="s">
        <v>1011</v>
      </c>
      <c r="K1016" s="17"/>
      <c r="L1016" s="17"/>
      <c r="AC1016" s="1301"/>
    </row>
    <row r="1017">
      <c r="B1017" s="17"/>
      <c r="C1017" s="17"/>
      <c r="D1017" s="17"/>
      <c r="E1017" s="343"/>
      <c r="F1017" s="17"/>
      <c r="G1017" s="17"/>
      <c r="H1017" s="17"/>
      <c r="I1017" s="17"/>
      <c r="J1017" s="17" t="s">
        <v>1011</v>
      </c>
      <c r="K1017" s="17"/>
      <c r="L1017" s="17"/>
      <c r="AC1017" s="1301"/>
    </row>
    <row r="1018">
      <c r="B1018" s="17"/>
      <c r="C1018" s="17"/>
      <c r="D1018" s="17"/>
      <c r="E1018" s="343"/>
      <c r="F1018" s="17"/>
      <c r="G1018" s="17"/>
      <c r="H1018" s="17"/>
      <c r="I1018" s="17"/>
      <c r="J1018" s="17" t="s">
        <v>1011</v>
      </c>
      <c r="K1018" s="17"/>
      <c r="L1018" s="17"/>
      <c r="AC1018" s="1301"/>
    </row>
    <row r="1019">
      <c r="B1019" s="17"/>
      <c r="C1019" s="17"/>
      <c r="D1019" s="17"/>
      <c r="E1019" s="343"/>
      <c r="F1019" s="17"/>
      <c r="G1019" s="17"/>
      <c r="H1019" s="17"/>
      <c r="I1019" s="17"/>
      <c r="J1019" s="17" t="s">
        <v>1011</v>
      </c>
      <c r="K1019" s="17"/>
      <c r="L1019" s="17"/>
      <c r="AC1019" s="1301"/>
    </row>
    <row r="1020">
      <c r="B1020" s="17"/>
      <c r="C1020" s="17"/>
      <c r="D1020" s="17"/>
      <c r="E1020" s="343"/>
      <c r="F1020" s="17"/>
      <c r="G1020" s="17"/>
      <c r="H1020" s="17"/>
      <c r="I1020" s="17"/>
      <c r="J1020" s="17" t="s">
        <v>1011</v>
      </c>
      <c r="K1020" s="17"/>
      <c r="L1020" s="17"/>
      <c r="AC1020" s="1301"/>
    </row>
    <row r="1021">
      <c r="B1021" s="17"/>
      <c r="C1021" s="17"/>
      <c r="D1021" s="17"/>
      <c r="E1021" s="343"/>
      <c r="F1021" s="17"/>
      <c r="G1021" s="17"/>
      <c r="H1021" s="17"/>
      <c r="I1021" s="17"/>
      <c r="J1021" s="17" t="s">
        <v>1011</v>
      </c>
      <c r="K1021" s="17"/>
      <c r="L1021" s="17"/>
      <c r="AC1021" s="1301"/>
    </row>
    <row r="1022">
      <c r="B1022" s="17"/>
      <c r="C1022" s="17"/>
      <c r="D1022" s="17"/>
      <c r="E1022" s="343"/>
      <c r="F1022" s="17"/>
      <c r="G1022" s="17"/>
      <c r="H1022" s="17"/>
      <c r="I1022" s="17"/>
      <c r="J1022" s="17" t="s">
        <v>1011</v>
      </c>
      <c r="K1022" s="17"/>
      <c r="L1022" s="17"/>
      <c r="AC1022" s="1301"/>
    </row>
    <row r="1023">
      <c r="B1023" s="17"/>
      <c r="C1023" s="17"/>
      <c r="D1023" s="17"/>
      <c r="E1023" s="343"/>
      <c r="F1023" s="17"/>
      <c r="G1023" s="17"/>
      <c r="H1023" s="17"/>
      <c r="I1023" s="17"/>
      <c r="J1023" s="17" t="s">
        <v>1011</v>
      </c>
      <c r="K1023" s="17"/>
      <c r="L1023" s="17"/>
      <c r="AC1023" s="1301"/>
    </row>
    <row r="1024">
      <c r="B1024" s="17"/>
      <c r="C1024" s="17"/>
      <c r="D1024" s="17"/>
      <c r="E1024" s="343"/>
      <c r="F1024" s="17"/>
      <c r="G1024" s="17"/>
      <c r="H1024" s="17"/>
      <c r="I1024" s="17"/>
      <c r="J1024" s="17" t="s">
        <v>1011</v>
      </c>
      <c r="K1024" s="17"/>
      <c r="L1024" s="17"/>
      <c r="AC1024" s="1301"/>
    </row>
    <row r="1025">
      <c r="B1025" s="17"/>
      <c r="C1025" s="17"/>
      <c r="D1025" s="17"/>
      <c r="E1025" s="343"/>
      <c r="F1025" s="17"/>
      <c r="G1025" s="17"/>
      <c r="H1025" s="17"/>
      <c r="I1025" s="17"/>
      <c r="J1025" s="17" t="s">
        <v>1011</v>
      </c>
      <c r="K1025" s="17"/>
      <c r="L1025" s="17"/>
      <c r="AC1025" s="1301"/>
    </row>
    <row r="1026">
      <c r="B1026" s="17"/>
      <c r="C1026" s="17"/>
      <c r="D1026" s="17"/>
      <c r="E1026" s="343"/>
      <c r="F1026" s="17"/>
      <c r="G1026" s="17"/>
      <c r="H1026" s="17"/>
      <c r="I1026" s="17"/>
      <c r="J1026" s="17" t="s">
        <v>1011</v>
      </c>
      <c r="K1026" s="17"/>
      <c r="L1026" s="17"/>
      <c r="AC1026" s="1301"/>
    </row>
    <row r="1027">
      <c r="B1027" s="17"/>
      <c r="C1027" s="17"/>
      <c r="D1027" s="17"/>
      <c r="E1027" s="343"/>
      <c r="F1027" s="17"/>
      <c r="G1027" s="17"/>
      <c r="H1027" s="17"/>
      <c r="I1027" s="17"/>
      <c r="J1027" s="17" t="s">
        <v>1011</v>
      </c>
      <c r="K1027" s="17"/>
      <c r="L1027" s="17"/>
      <c r="AC1027" s="1301"/>
    </row>
    <row r="1028">
      <c r="B1028" s="17"/>
      <c r="C1028" s="17"/>
      <c r="D1028" s="17"/>
      <c r="E1028" s="343"/>
      <c r="F1028" s="17"/>
      <c r="G1028" s="17"/>
      <c r="H1028" s="17"/>
      <c r="I1028" s="17"/>
      <c r="J1028" s="17" t="s">
        <v>1011</v>
      </c>
      <c r="K1028" s="17"/>
      <c r="L1028" s="17"/>
      <c r="AC1028" s="1301"/>
    </row>
    <row r="1029">
      <c r="B1029" s="17"/>
      <c r="C1029" s="17"/>
      <c r="D1029" s="17"/>
      <c r="E1029" s="343"/>
      <c r="F1029" s="17"/>
      <c r="G1029" s="17"/>
      <c r="H1029" s="17"/>
      <c r="I1029" s="17"/>
      <c r="J1029" s="17" t="s">
        <v>1011</v>
      </c>
      <c r="K1029" s="17"/>
      <c r="L1029" s="17"/>
      <c r="AC1029" s="1301"/>
    </row>
    <row r="1030">
      <c r="B1030" s="17"/>
      <c r="C1030" s="17"/>
      <c r="D1030" s="17"/>
      <c r="E1030" s="343"/>
      <c r="F1030" s="17"/>
      <c r="G1030" s="17"/>
      <c r="H1030" s="17"/>
      <c r="I1030" s="17"/>
      <c r="J1030" s="17" t="s">
        <v>1011</v>
      </c>
      <c r="K1030" s="17"/>
      <c r="L1030" s="17"/>
      <c r="AC1030" s="1301"/>
    </row>
    <row r="1031">
      <c r="B1031" s="17"/>
      <c r="C1031" s="17"/>
      <c r="D1031" s="17"/>
      <c r="E1031" s="343"/>
      <c r="F1031" s="17"/>
      <c r="G1031" s="17"/>
      <c r="H1031" s="17"/>
      <c r="I1031" s="17"/>
      <c r="J1031" s="17" t="s">
        <v>1011</v>
      </c>
      <c r="K1031" s="17"/>
      <c r="L1031" s="17"/>
      <c r="AC1031" s="1301"/>
    </row>
    <row r="1032">
      <c r="B1032" s="17"/>
      <c r="C1032" s="17"/>
      <c r="D1032" s="17"/>
      <c r="E1032" s="343"/>
      <c r="F1032" s="17"/>
      <c r="G1032" s="17"/>
      <c r="H1032" s="17"/>
      <c r="I1032" s="17"/>
      <c r="J1032" s="17" t="s">
        <v>1011</v>
      </c>
      <c r="K1032" s="17"/>
      <c r="L1032" s="17"/>
      <c r="AC1032" s="1301"/>
    </row>
    <row r="1033">
      <c r="B1033" s="17"/>
      <c r="C1033" s="17"/>
      <c r="D1033" s="17"/>
      <c r="E1033" s="343"/>
      <c r="F1033" s="17"/>
      <c r="G1033" s="17"/>
      <c r="H1033" s="17"/>
      <c r="I1033" s="17"/>
      <c r="J1033" s="17" t="s">
        <v>1011</v>
      </c>
      <c r="K1033" s="17"/>
      <c r="L1033" s="17"/>
      <c r="AC1033" s="1301"/>
    </row>
    <row r="1034">
      <c r="B1034" s="17"/>
      <c r="C1034" s="17"/>
      <c r="D1034" s="17"/>
      <c r="E1034" s="343"/>
      <c r="F1034" s="17"/>
      <c r="G1034" s="17"/>
      <c r="H1034" s="17"/>
      <c r="I1034" s="17"/>
      <c r="J1034" s="17" t="s">
        <v>1011</v>
      </c>
      <c r="K1034" s="17"/>
      <c r="L1034" s="17"/>
      <c r="AC1034" s="1301"/>
    </row>
    <row r="1035">
      <c r="B1035" s="17"/>
      <c r="C1035" s="17"/>
      <c r="D1035" s="17"/>
      <c r="E1035" s="343"/>
      <c r="F1035" s="17"/>
      <c r="G1035" s="17"/>
      <c r="H1035" s="17"/>
      <c r="I1035" s="17"/>
      <c r="J1035" s="17" t="s">
        <v>1011</v>
      </c>
      <c r="K1035" s="17"/>
      <c r="L1035" s="17"/>
      <c r="AC1035" s="1301"/>
    </row>
    <row r="1036">
      <c r="B1036" s="17"/>
      <c r="C1036" s="17"/>
      <c r="D1036" s="17"/>
      <c r="E1036" s="343"/>
      <c r="F1036" s="17"/>
      <c r="G1036" s="17"/>
      <c r="H1036" s="17"/>
      <c r="I1036" s="17"/>
      <c r="J1036" s="17" t="s">
        <v>1011</v>
      </c>
      <c r="K1036" s="17"/>
      <c r="L1036" s="17"/>
      <c r="AC1036" s="1301"/>
    </row>
    <row r="1037">
      <c r="B1037" s="17"/>
      <c r="C1037" s="17"/>
      <c r="D1037" s="17"/>
      <c r="E1037" s="343"/>
      <c r="F1037" s="17"/>
      <c r="G1037" s="17"/>
      <c r="H1037" s="17"/>
      <c r="I1037" s="17"/>
      <c r="J1037" s="17" t="s">
        <v>1011</v>
      </c>
      <c r="K1037" s="17"/>
      <c r="L1037" s="17"/>
      <c r="AC1037" s="1301"/>
    </row>
    <row r="1038">
      <c r="B1038" s="17"/>
      <c r="C1038" s="17"/>
      <c r="D1038" s="17"/>
      <c r="E1038" s="343"/>
      <c r="F1038" s="17"/>
      <c r="G1038" s="17"/>
      <c r="H1038" s="17"/>
      <c r="I1038" s="17"/>
      <c r="J1038" s="17" t="s">
        <v>1011</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