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<sst xmlns="http://schemas.openxmlformats.org/spreadsheetml/2006/main" count="5859" uniqueCount="775">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</sst>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59692136"/>
        <c:axId val="1351483027"/>
      </c:lineChart>
      <c:catAx>
        <c:axId val="5596921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51483027"/>
      </c:catAx>
      <c:valAx>
        <c:axId val="13514830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969213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92494745"/>
        <c:axId val="1655714527"/>
      </c:lineChart>
      <c:catAx>
        <c:axId val="5924947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55714527"/>
      </c:catAx>
      <c:valAx>
        <c:axId val="16557145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24947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30204376"/>
        <c:axId val="1551291980"/>
      </c:lineChart>
      <c:catAx>
        <c:axId val="430204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1291980"/>
      </c:catAx>
      <c:valAx>
        <c:axId val="15512919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02043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8719222"/>
        <c:axId val="953887735"/>
      </c:barChart>
      <c:catAx>
        <c:axId val="2087192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53887735"/>
      </c:catAx>
      <c:valAx>
        <c:axId val="9538877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71922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88997610"/>
        <c:axId val="1050714687"/>
      </c:lineChart>
      <c:catAx>
        <c:axId val="7889976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0714687"/>
      </c:catAx>
      <c:valAx>
        <c:axId val="105071468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89976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5147740"/>
        <c:axId val="862369748"/>
      </c:barChart>
      <c:catAx>
        <c:axId val="13751477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2369748"/>
      </c:catAx>
      <c:valAx>
        <c:axId val="86236974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514774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IFERROR(__xludf.DUMMYFUNCTION("""COMPUTED_VALUE"""),46125.0)</f>
        <v>46125</v>
      </c>
      <c r="F6"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6" s="4"/>
      <c r="H6" s="4"/>
      <c r="I6"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6" s="4" t="str">
        <f>IFERROR(__xludf.DUMMYFUNCTION("""COMPUTED_VALUE"""),"")</f>
        <v/>
      </c>
      <c r="K6" s="4" t="str">
        <f>IFERROR(__xludf.DUMMYFUNCTION("""COMPUTED_VALUE"""),"")</f>
        <v/>
      </c>
      <c r="L6" s="4" t="str">
        <f>IFERROR(__xludf.DUMMYFUNCTION("""COMPUTED_VALUE"""),"ゲ‍ス‍ト")</f>
        <v>ゲ‍ス‍ト</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IFERROR(__xludf.DUMMYFUNCTION("""COMPUTED_VALUE"""),46125.0)</f>
        <v>46125</v>
      </c>
      <c r="R6"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6" s="20"/>
      <c r="T6" s="20"/>
      <c r="U6"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6" s="20" t="str">
        <f>IFERROR(__xludf.DUMMYFUNCTION("""COMPUTED_VALUE"""),"")</f>
        <v/>
      </c>
      <c r="W6" s="20" t="str">
        <f>IFERROR(__xludf.DUMMYFUNCTION("""COMPUTED_VALUE"""),"")</f>
        <v/>
      </c>
      <c r="X6" s="20" t="str">
        <f>IFERROR(__xludf.DUMMYFUNCTION("""COMPUTED_VALUE"""),"ゲ‍ス‍ト")</f>
        <v>ゲ‍ス‍ト</v>
      </c>
    </row>
    <row r="7">
      <c r="B7" s="17" t="b">
        <f>IFERROR(__xludf.DUMMYFUNCTION("""COMPUTED_VALUE"""),FALSE)</f>
        <v>0</v>
      </c>
      <c r="C7" s="18" t="str">
        <f>IFERROR(__xludf.DUMMYFUNCTION("""COMPUTED_VALUE"""),"Booking.com")</f>
        <v>Booking.com</v>
      </c>
      <c r="D7" s="22">
        <f>IFERROR(__xludf.DUMMYFUNCTION("""COMPUTED_VALUE"""),8.0)</f>
        <v>8</v>
      </c>
      <c r="E7" s="19">
        <f>IFERROR(__xludf.DUMMYFUNCTION("""COMPUTED_VALUE"""),46125.0)</f>
        <v>46125</v>
      </c>
      <c r="F7" s="4"/>
      <c r="G7" s="4" t="str">
        <f>IFERROR(__xludf.DUMMYFUNCTION("""COMPUTED_VALUE"""),"Location, staff, and cleanliness of the property. The breakfast was also very good!")</f>
        <v>Location, staff, and cleanliness of the property. The breakfast was also very good!</v>
      </c>
      <c r="H7" s="4" t="str">
        <f>IFERROR(__xludf.DUMMYFUNCTION("""COMPUTED_VALUE"""),"Like most Japanese hotels, it was very small.")</f>
        <v>Like most Japanese hotels, it was very small.</v>
      </c>
      <c r="I7" s="4" t="str">
        <f>IFERROR(__xludf.DUMMYFUNCTION("""COMPUTED_VALUE"""),"")</f>
        <v/>
      </c>
      <c r="J7"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7" s="4" t="str">
        <f>IFERROR(__xludf.DUMMYFUNCTION("""COMPUTED_VALUE"""),"他の多くの日本のホテルと同様、とても小さかった。")</f>
        <v>他の多くの日本のホテルと同様、とても小さかった。</v>
      </c>
      <c r="L7" s="4" t="str">
        <f>IFERROR(__xludf.DUMMYFUNCTION("""COMPUTED_VALUE"""),"Holt")</f>
        <v>Holt</v>
      </c>
      <c r="N7" s="20" t="b">
        <f>IFERROR(__xludf.DUMMYFUNCTION("""COMPUTED_VALUE"""),FALSE)</f>
        <v>0</v>
      </c>
      <c r="O7" s="18" t="str">
        <f>IFERROR(__xludf.DUMMYFUNCTION("""COMPUTED_VALUE"""),"Booking.com")</f>
        <v>Booking.com</v>
      </c>
      <c r="P7" s="20">
        <f>IFERROR(__xludf.DUMMYFUNCTION("""COMPUTED_VALUE"""),8.0)</f>
        <v>8</v>
      </c>
      <c r="Q7" s="21">
        <f>IFERROR(__xludf.DUMMYFUNCTION("""COMPUTED_VALUE"""),46125.0)</f>
        <v>46125</v>
      </c>
      <c r="R7" s="20"/>
      <c r="S7" s="20" t="str">
        <f>IFERROR(__xludf.DUMMYFUNCTION("""COMPUTED_VALUE"""),"Location, staff, and cleanliness of the property. The breakfast was also very good!")</f>
        <v>Location, staff, and cleanliness of the property. The breakfast was also very good!</v>
      </c>
      <c r="T7" s="20" t="str">
        <f>IFERROR(__xludf.DUMMYFUNCTION("""COMPUTED_VALUE"""),"Like most Japanese hotels, it was very small.")</f>
        <v>Like most Japanese hotels, it was very small.</v>
      </c>
      <c r="U7" s="20" t="str">
        <f>IFERROR(__xludf.DUMMYFUNCTION("""COMPUTED_VALUE"""),"")</f>
        <v/>
      </c>
      <c r="V7"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7" s="20" t="str">
        <f>IFERROR(__xludf.DUMMYFUNCTION("""COMPUTED_VALUE"""),"他の多くの日本のホテルと同様、とても小さかった。")</f>
        <v>他の多くの日本のホテルと同様、とても小さかった。</v>
      </c>
      <c r="X7" s="20" t="str">
        <f>IFERROR(__xludf.DUMMYFUNCTION("""COMPUTED_VALUE"""),"Holt")</f>
        <v>Holt</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IFERROR(__xludf.DUMMYFUNCTION("""COMPUTED_VALUE"""),46124.0)</f>
        <v>46124</v>
      </c>
      <c r="F8" s="4"/>
      <c r="G8" s="4"/>
      <c r="H8" s="4"/>
      <c r="I8" s="4" t="str">
        <f>IFERROR(__xludf.DUMMYFUNCTION("""COMPUTED_VALUE"""),"")</f>
        <v/>
      </c>
      <c r="J8" s="23" t="str">
        <f>IFERROR(__xludf.DUMMYFUNCTION("""COMPUTED_VALUE"""),"")</f>
        <v/>
      </c>
      <c r="K8" s="4" t="str">
        <f>IFERROR(__xludf.DUMMYFUNCTION("""COMPUTED_VALUE"""),"")</f>
        <v/>
      </c>
      <c r="L8" s="4" t="str">
        <f>IFERROR(__xludf.DUMMYFUNCTION("""COMPUTED_VALUE"""),"Davide")</f>
        <v>Davide</v>
      </c>
      <c r="N8" s="20" t="b">
        <f>IFERROR(__xludf.DUMMYFUNCTION("""COMPUTED_VALUE"""),FALSE)</f>
        <v>0</v>
      </c>
      <c r="O8" s="18" t="str">
        <f>IFERROR(__xludf.DUMMYFUNCTION("""COMPUTED_VALUE"""),"Booking.com")</f>
        <v>Booking.com</v>
      </c>
      <c r="P8" s="20">
        <f>IFERROR(__xludf.DUMMYFUNCTION("""COMPUTED_VALUE"""),10.0)</f>
        <v>10</v>
      </c>
      <c r="Q8" s="21">
        <f>IFERROR(__xludf.DUMMYFUNCTION("""COMPUTED_VALUE"""),46124.0)</f>
        <v>46124</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IFERROR(__xludf.DUMMYFUNCTION("""COMPUTED_VALUE"""),"Davide")</f>
        <v>Davide</v>
      </c>
    </row>
    <row r="9">
      <c r="B9" s="17" t="b">
        <f>IFERROR(__xludf.DUMMYFUNCTION("""COMPUTED_VALUE"""),FALSE)</f>
        <v>0</v>
      </c>
      <c r="C9" s="20" t="str">
        <f>IFERROR(__xludf.DUMMYFUNCTION("""COMPUTED_VALUE"""),"楽天トラベル")</f>
        <v>楽天トラベル</v>
      </c>
      <c r="D9" s="4">
        <f>IFERROR(__xludf.DUMMYFUNCTION("""COMPUTED_VALUE"""),5.0)</f>
        <v>5</v>
      </c>
      <c r="E9" s="19">
        <f>IFERROR(__xludf.DUMMYFUNCTION("""COMPUTED_VALUE"""),46124.0)</f>
        <v>46124</v>
      </c>
      <c r="F9"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9" s="4"/>
      <c r="H9" s="4"/>
      <c r="I9"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9" s="4" t="str">
        <f>IFERROR(__xludf.DUMMYFUNCTION("""COMPUTED_VALUE"""),"")</f>
        <v/>
      </c>
      <c r="K9" s="4" t="str">
        <f>IFERROR(__xludf.DUMMYFUNCTION("""COMPUTED_VALUE"""),"")</f>
        <v/>
      </c>
      <c r="L9" s="4" t="str">
        <f>IFERROR(__xludf.DUMMYFUNCTION("""COMPUTED_VALUE"""),"ゴルゴ64")</f>
        <v>ゴルゴ64</v>
      </c>
      <c r="N9" s="20" t="b">
        <f>IFERROR(__xludf.DUMMYFUNCTION("""COMPUTED_VALUE"""),FALSE)</f>
        <v>0</v>
      </c>
      <c r="O9" s="20" t="str">
        <f>IFERROR(__xludf.DUMMYFUNCTION("""COMPUTED_VALUE"""),"楽天トラベル")</f>
        <v>楽天トラベル</v>
      </c>
      <c r="P9" s="20">
        <f>IFERROR(__xludf.DUMMYFUNCTION("""COMPUTED_VALUE"""),5.0)</f>
        <v>5</v>
      </c>
      <c r="Q9" s="21">
        <f>IFERROR(__xludf.DUMMYFUNCTION("""COMPUTED_VALUE"""),46124.0)</f>
        <v>46124</v>
      </c>
      <c r="R9"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9" s="20"/>
      <c r="T9" s="20"/>
      <c r="U9"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9" s="20" t="str">
        <f>IFERROR(__xludf.DUMMYFUNCTION("""COMPUTED_VALUE"""),"")</f>
        <v/>
      </c>
      <c r="W9" s="20" t="str">
        <f>IFERROR(__xludf.DUMMYFUNCTION("""COMPUTED_VALUE"""),"")</f>
        <v/>
      </c>
      <c r="X9" s="20" t="str">
        <f>IFERROR(__xludf.DUMMYFUNCTION("""COMPUTED_VALUE"""),"ゴルゴ64")</f>
        <v>ゴルゴ64</v>
      </c>
    </row>
    <row r="10">
      <c r="B10" s="17" t="b">
        <f>IFERROR(__xludf.DUMMYFUNCTION("""COMPUTED_VALUE"""),FALSE)</f>
        <v>0</v>
      </c>
      <c r="C10" s="20" t="str">
        <f>IFERROR(__xludf.DUMMYFUNCTION("""COMPUTED_VALUE"""),"楽天トラベル")</f>
        <v>楽天トラベル</v>
      </c>
      <c r="D10" s="22">
        <f>IFERROR(__xludf.DUMMYFUNCTION("""COMPUTED_VALUE"""),4.0)</f>
        <v>4</v>
      </c>
      <c r="E10" s="19">
        <f>IFERROR(__xludf.DUMMYFUNCTION("""COMPUTED_VALUE"""),46123.0)</f>
        <v>46123</v>
      </c>
      <c r="F10"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0" s="4"/>
      <c r="H10" s="4"/>
      <c r="I10"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0" s="4" t="str">
        <f>IFERROR(__xludf.DUMMYFUNCTION("""COMPUTED_VALUE"""),"")</f>
        <v/>
      </c>
      <c r="K10" s="4" t="str">
        <f>IFERROR(__xludf.DUMMYFUNCTION("""COMPUTED_VALUE"""),"")</f>
        <v/>
      </c>
      <c r="L10" s="4" t="str">
        <f>IFERROR(__xludf.DUMMYFUNCTION("""COMPUTED_VALUE"""),"みーたんとめる")</f>
        <v>みーたんとめる</v>
      </c>
      <c r="N10" s="20" t="b">
        <f>IFERROR(__xludf.DUMMYFUNCTION("""COMPUTED_VALUE"""),FALSE)</f>
        <v>0</v>
      </c>
      <c r="O10" s="20" t="str">
        <f>IFERROR(__xludf.DUMMYFUNCTION("""COMPUTED_VALUE"""),"楽天トラベル")</f>
        <v>楽天トラベル</v>
      </c>
      <c r="P10" s="20">
        <f>IFERROR(__xludf.DUMMYFUNCTION("""COMPUTED_VALUE"""),4.0)</f>
        <v>4</v>
      </c>
      <c r="Q10" s="21">
        <f>IFERROR(__xludf.DUMMYFUNCTION("""COMPUTED_VALUE"""),46123.0)</f>
        <v>46123</v>
      </c>
      <c r="R10"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0" s="20"/>
      <c r="T10" s="20"/>
      <c r="U10"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0" s="20" t="str">
        <f>IFERROR(__xludf.DUMMYFUNCTION("""COMPUTED_VALUE"""),"")</f>
        <v/>
      </c>
      <c r="W10" s="20" t="str">
        <f>IFERROR(__xludf.DUMMYFUNCTION("""COMPUTED_VALUE"""),"")</f>
        <v/>
      </c>
      <c r="X10" s="20" t="str">
        <f>IFERROR(__xludf.DUMMYFUNCTION("""COMPUTED_VALUE"""),"みーたんとめる")</f>
        <v>みーたんとめる</v>
      </c>
    </row>
    <row r="11">
      <c r="B11" s="17" t="b">
        <f>IFERROR(__xludf.DUMMYFUNCTION("""COMPUTED_VALUE"""),FALSE)</f>
        <v>0</v>
      </c>
      <c r="C11" s="20" t="str">
        <f>IFERROR(__xludf.DUMMYFUNCTION("""COMPUTED_VALUE"""),"Google")</f>
        <v>Google</v>
      </c>
      <c r="D11" s="4">
        <f>IFERROR(__xludf.DUMMYFUNCTION("""COMPUTED_VALUE"""),3.0)</f>
        <v>3</v>
      </c>
      <c r="E11" s="19">
        <f>IFERROR(__xludf.DUMMYFUNCTION("""COMPUTED_VALUE"""),46123.0)</f>
        <v>46123</v>
      </c>
      <c r="F11"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1" s="4"/>
      <c r="H11" s="4"/>
      <c r="I11"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1" s="4" t="str">
        <f>IFERROR(__xludf.DUMMYFUNCTION("""COMPUTED_VALUE"""),"")</f>
        <v/>
      </c>
      <c r="K11" s="4" t="str">
        <f>IFERROR(__xludf.DUMMYFUNCTION("""COMPUTED_VALUE"""),"")</f>
        <v/>
      </c>
      <c r="L11" s="4" t="str">
        <f>IFERROR(__xludf.DUMMYFUNCTION("""COMPUTED_VALUE"""),"李育丞")</f>
        <v>李育丞</v>
      </c>
      <c r="N11" s="20" t="b">
        <f>IFERROR(__xludf.DUMMYFUNCTION("""COMPUTED_VALUE"""),FALSE)</f>
        <v>0</v>
      </c>
      <c r="O11" s="20" t="str">
        <f>IFERROR(__xludf.DUMMYFUNCTION("""COMPUTED_VALUE"""),"Google")</f>
        <v>Google</v>
      </c>
      <c r="P11" s="20">
        <f>IFERROR(__xludf.DUMMYFUNCTION("""COMPUTED_VALUE"""),3.0)</f>
        <v>3</v>
      </c>
      <c r="Q11" s="21">
        <f>IFERROR(__xludf.DUMMYFUNCTION("""COMPUTED_VALUE"""),46123.0)</f>
        <v>46123</v>
      </c>
      <c r="R11"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1" s="20"/>
      <c r="T11" s="20"/>
      <c r="U11"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1" s="20" t="str">
        <f>IFERROR(__xludf.DUMMYFUNCTION("""COMPUTED_VALUE"""),"")</f>
        <v/>
      </c>
      <c r="W11" s="20" t="str">
        <f>IFERROR(__xludf.DUMMYFUNCTION("""COMPUTED_VALUE"""),"")</f>
        <v/>
      </c>
      <c r="X11" s="20" t="str">
        <f>IFERROR(__xludf.DUMMYFUNCTION("""COMPUTED_VALUE"""),"李育丞")</f>
        <v>李育丞</v>
      </c>
    </row>
    <row r="12">
      <c r="B12" s="17" t="b">
        <f>IFERROR(__xludf.DUMMYFUNCTION("""COMPUTED_VALUE"""),FALSE)</f>
        <v>0</v>
      </c>
      <c r="C12" s="20" t="str">
        <f>IFERROR(__xludf.DUMMYFUNCTION("""COMPUTED_VALUE"""),"じゃらん")</f>
        <v>じゃらん</v>
      </c>
      <c r="D12" s="4">
        <f>IFERROR(__xludf.DUMMYFUNCTION("""COMPUTED_VALUE"""),5.0)</f>
        <v>5</v>
      </c>
      <c r="E12" s="24">
        <f>IFERROR(__xludf.DUMMYFUNCTION("""COMPUTED_VALUE"""),46123.0)</f>
        <v>46123</v>
      </c>
      <c r="F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2" s="4"/>
      <c r="H12" s="4"/>
      <c r="I12"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2" s="4" t="str">
        <f>IFERROR(__xludf.DUMMYFUNCTION("""COMPUTED_VALUE"""),"")</f>
        <v/>
      </c>
      <c r="K12" s="4" t="str">
        <f>IFERROR(__xludf.DUMMYFUNCTION("""COMPUTED_VALUE"""),"")</f>
        <v/>
      </c>
      <c r="L12" s="4" t="str">
        <f>IFERROR(__xludf.DUMMYFUNCTION("""COMPUTED_VALUE"""),"ikkさん")</f>
        <v>ikkさん</v>
      </c>
      <c r="N12" s="20" t="b">
        <f>IFERROR(__xludf.DUMMYFUNCTION("""COMPUTED_VALUE"""),FALSE)</f>
        <v>0</v>
      </c>
      <c r="O12" s="20" t="str">
        <f>IFERROR(__xludf.DUMMYFUNCTION("""COMPUTED_VALUE"""),"じゃらん")</f>
        <v>じゃらん</v>
      </c>
      <c r="P12" s="20">
        <f>IFERROR(__xludf.DUMMYFUNCTION("""COMPUTED_VALUE"""),5.0)</f>
        <v>5</v>
      </c>
      <c r="Q12" s="21">
        <f>IFERROR(__xludf.DUMMYFUNCTION("""COMPUTED_VALUE"""),46123.0)</f>
        <v>46123</v>
      </c>
      <c r="R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2" s="20"/>
      <c r="T12" s="20"/>
      <c r="U12"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2" s="20" t="str">
        <f>IFERROR(__xludf.DUMMYFUNCTION("""COMPUTED_VALUE"""),"")</f>
        <v/>
      </c>
      <c r="W12" s="20" t="str">
        <f>IFERROR(__xludf.DUMMYFUNCTION("""COMPUTED_VALUE"""),"")</f>
        <v/>
      </c>
      <c r="X12" s="20" t="str">
        <f>IFERROR(__xludf.DUMMYFUNCTION("""COMPUTED_VALUE"""),"ikkさん")</f>
        <v>ikkさん</v>
      </c>
    </row>
    <row r="13">
      <c r="B13" s="17" t="b">
        <f>IFERROR(__xludf.DUMMYFUNCTION("""COMPUTED_VALUE"""),FALSE)</f>
        <v>0</v>
      </c>
      <c r="C13" s="20" t="str">
        <f>IFERROR(__xludf.DUMMYFUNCTION("""COMPUTED_VALUE"""),"じゃらん")</f>
        <v>じゃらん</v>
      </c>
      <c r="D13" s="4">
        <f>IFERROR(__xludf.DUMMYFUNCTION("""COMPUTED_VALUE"""),5.0)</f>
        <v>5</v>
      </c>
      <c r="E13" s="19">
        <f>IFERROR(__xludf.DUMMYFUNCTION("""COMPUTED_VALUE"""),46123.0)</f>
        <v>46123</v>
      </c>
      <c r="F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3" s="4"/>
      <c r="H13" s="4"/>
      <c r="I13"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3" s="4" t="str">
        <f>IFERROR(__xludf.DUMMYFUNCTION("""COMPUTED_VALUE"""),"")</f>
        <v/>
      </c>
      <c r="K13" s="4" t="str">
        <f>IFERROR(__xludf.DUMMYFUNCTION("""COMPUTED_VALUE"""),"")</f>
        <v/>
      </c>
      <c r="L13" s="4" t="str">
        <f>IFERROR(__xludf.DUMMYFUNCTION("""COMPUTED_VALUE"""),"ikkさん")</f>
        <v>ikkさん</v>
      </c>
      <c r="N13" s="20" t="b">
        <f>IFERROR(__xludf.DUMMYFUNCTION("""COMPUTED_VALUE"""),FALSE)</f>
        <v>0</v>
      </c>
      <c r="O13" s="20" t="str">
        <f>IFERROR(__xludf.DUMMYFUNCTION("""COMPUTED_VALUE"""),"じゃらん")</f>
        <v>じゃらん</v>
      </c>
      <c r="P13" s="20">
        <f>IFERROR(__xludf.DUMMYFUNCTION("""COMPUTED_VALUE"""),5.0)</f>
        <v>5</v>
      </c>
      <c r="Q13" s="21">
        <f>IFERROR(__xludf.DUMMYFUNCTION("""COMPUTED_VALUE"""),46123.0)</f>
        <v>46123</v>
      </c>
      <c r="R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3" s="20"/>
      <c r="T13" s="20"/>
      <c r="U13"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3" s="20" t="str">
        <f>IFERROR(__xludf.DUMMYFUNCTION("""COMPUTED_VALUE"""),"")</f>
        <v/>
      </c>
      <c r="W13" s="20" t="str">
        <f>IFERROR(__xludf.DUMMYFUNCTION("""COMPUTED_VALUE"""),"")</f>
        <v/>
      </c>
      <c r="X13" s="20" t="str">
        <f>IFERROR(__xludf.DUMMYFUNCTION("""COMPUTED_VALUE"""),"ikkさん")</f>
        <v>ikkさん</v>
      </c>
    </row>
    <row r="14">
      <c r="B14" s="17" t="b">
        <f>IFERROR(__xludf.DUMMYFUNCTION("""COMPUTED_VALUE"""),FALSE)</f>
        <v>0</v>
      </c>
      <c r="C14" s="20" t="str">
        <f>IFERROR(__xludf.DUMMYFUNCTION("""COMPUTED_VALUE"""),"Google")</f>
        <v>Google</v>
      </c>
      <c r="D14" s="4">
        <f>IFERROR(__xludf.DUMMYFUNCTION("""COMPUTED_VALUE"""),3.0)</f>
        <v>3</v>
      </c>
      <c r="E14" s="19">
        <f>IFERROR(__xludf.DUMMYFUNCTION("""COMPUTED_VALUE"""),46123.0)</f>
        <v>46123</v>
      </c>
      <c r="F14"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14" s="4"/>
      <c r="H14" s="4"/>
      <c r="I14"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14" s="4" t="str">
        <f>IFERROR(__xludf.DUMMYFUNCTION("""COMPUTED_VALUE"""),"")</f>
        <v/>
      </c>
      <c r="K14" s="4" t="str">
        <f>IFERROR(__xludf.DUMMYFUNCTION("""COMPUTED_VALUE"""),"")</f>
        <v/>
      </c>
      <c r="L14" s="4" t="str">
        <f>IFERROR(__xludf.DUMMYFUNCTION("""COMPUTED_VALUE"""),"李育丞")</f>
        <v>李育丞</v>
      </c>
      <c r="N14" s="20" t="b">
        <f>IFERROR(__xludf.DUMMYFUNCTION("""COMPUTED_VALUE"""),FALSE)</f>
        <v>0</v>
      </c>
      <c r="O14" s="20" t="str">
        <f>IFERROR(__xludf.DUMMYFUNCTION("""COMPUTED_VALUE"""),"Google")</f>
        <v>Google</v>
      </c>
      <c r="P14" s="20">
        <f>IFERROR(__xludf.DUMMYFUNCTION("""COMPUTED_VALUE"""),3.0)</f>
        <v>3</v>
      </c>
      <c r="Q14" s="21">
        <f>IFERROR(__xludf.DUMMYFUNCTION("""COMPUTED_VALUE"""),46123.0)</f>
        <v>46123</v>
      </c>
      <c r="R14"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4" s="20"/>
      <c r="T14" s="20"/>
      <c r="U14"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4" s="20" t="str">
        <f>IFERROR(__xludf.DUMMYFUNCTION("""COMPUTED_VALUE"""),"")</f>
        <v/>
      </c>
      <c r="W14" s="20" t="str">
        <f>IFERROR(__xludf.DUMMYFUNCTION("""COMPUTED_VALUE"""),"")</f>
        <v/>
      </c>
      <c r="X14" s="20" t="str">
        <f>IFERROR(__xludf.DUMMYFUNCTION("""COMPUTED_VALUE"""),"李育丞")</f>
        <v>李育丞</v>
      </c>
    </row>
    <row r="15">
      <c r="B15" s="17" t="b">
        <f>IFERROR(__xludf.DUMMYFUNCTION("""COMPUTED_VALUE"""),FALSE)</f>
        <v>0</v>
      </c>
      <c r="C15" s="20" t="str">
        <f>IFERROR(__xludf.DUMMYFUNCTION("""COMPUTED_VALUE"""),"じゃらん")</f>
        <v>じゃらん</v>
      </c>
      <c r="D15" s="4">
        <f>IFERROR(__xludf.DUMMYFUNCTION("""COMPUTED_VALUE"""),5.0)</f>
        <v>5</v>
      </c>
      <c r="E15" s="19">
        <f>IFERROR(__xludf.DUMMYFUNCTION("""COMPUTED_VALUE"""),46123.0)</f>
        <v>46123</v>
      </c>
      <c r="F1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5" s="4"/>
      <c r="H15" s="4"/>
      <c r="I15"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5" s="4" t="str">
        <f>IFERROR(__xludf.DUMMYFUNCTION("""COMPUTED_VALUE"""),"")</f>
        <v/>
      </c>
      <c r="K15" s="4" t="str">
        <f>IFERROR(__xludf.DUMMYFUNCTION("""COMPUTED_VALUE"""),"")</f>
        <v/>
      </c>
      <c r="L15" s="4" t="str">
        <f>IFERROR(__xludf.DUMMYFUNCTION("""COMPUTED_VALUE"""),"不明")</f>
        <v>不明</v>
      </c>
      <c r="N15" s="20" t="b">
        <f>IFERROR(__xludf.DUMMYFUNCTION("""COMPUTED_VALUE"""),FALSE)</f>
        <v>0</v>
      </c>
      <c r="O15" s="20" t="str">
        <f>IFERROR(__xludf.DUMMYFUNCTION("""COMPUTED_VALUE"""),"じゃらん")</f>
        <v>じゃらん</v>
      </c>
      <c r="P15" s="20">
        <f>IFERROR(__xludf.DUMMYFUNCTION("""COMPUTED_VALUE"""),5.0)</f>
        <v>5</v>
      </c>
      <c r="Q15" s="21">
        <f>IFERROR(__xludf.DUMMYFUNCTION("""COMPUTED_VALUE"""),46123.0)</f>
        <v>46123</v>
      </c>
      <c r="R1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 s="20"/>
      <c r="T15" s="20"/>
      <c r="U15"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 s="20" t="str">
        <f>IFERROR(__xludf.DUMMYFUNCTION("""COMPUTED_VALUE"""),"")</f>
        <v/>
      </c>
      <c r="W15" s="20" t="str">
        <f>IFERROR(__xludf.DUMMYFUNCTION("""COMPUTED_VALUE"""),"")</f>
        <v/>
      </c>
      <c r="X15" s="20" t="str">
        <f>IFERROR(__xludf.DUMMYFUNCTION("""COMPUTED_VALUE"""),"不明")</f>
        <v>不明</v>
      </c>
    </row>
    <row r="16">
      <c r="B16" s="17" t="b">
        <f>IFERROR(__xludf.DUMMYFUNCTION("""COMPUTED_VALUE"""),FALSE)</f>
        <v>0</v>
      </c>
      <c r="C16" s="20" t="str">
        <f>IFERROR(__xludf.DUMMYFUNCTION("""COMPUTED_VALUE"""),"じゃらん")</f>
        <v>じゃらん</v>
      </c>
      <c r="D16" s="4">
        <f>IFERROR(__xludf.DUMMYFUNCTION("""COMPUTED_VALUE"""),5.0)</f>
        <v>5</v>
      </c>
      <c r="E16" s="19">
        <f>IFERROR(__xludf.DUMMYFUNCTION("""COMPUTED_VALUE"""),46123.0)</f>
        <v>46123</v>
      </c>
      <c r="F1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6" s="4"/>
      <c r="H16" s="4"/>
      <c r="I16"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6" s="4" t="str">
        <f>IFERROR(__xludf.DUMMYFUNCTION("""COMPUTED_VALUE"""),"")</f>
        <v/>
      </c>
      <c r="K16" s="4" t="str">
        <f>IFERROR(__xludf.DUMMYFUNCTION("""COMPUTED_VALUE"""),"")</f>
        <v/>
      </c>
      <c r="L16" s="4" t="str">
        <f>IFERROR(__xludf.DUMMYFUNCTION("""COMPUTED_VALUE"""),"不明")</f>
        <v>不明</v>
      </c>
      <c r="N16" s="20" t="b">
        <f>IFERROR(__xludf.DUMMYFUNCTION("""COMPUTED_VALUE"""),FALSE)</f>
        <v>0</v>
      </c>
      <c r="O16" s="20" t="str">
        <f>IFERROR(__xludf.DUMMYFUNCTION("""COMPUTED_VALUE"""),"じゃらん")</f>
        <v>じゃらん</v>
      </c>
      <c r="P16" s="20">
        <f>IFERROR(__xludf.DUMMYFUNCTION("""COMPUTED_VALUE"""),5.0)</f>
        <v>5</v>
      </c>
      <c r="Q16" s="21">
        <f>IFERROR(__xludf.DUMMYFUNCTION("""COMPUTED_VALUE"""),46123.0)</f>
        <v>46123</v>
      </c>
      <c r="R1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6" s="20"/>
      <c r="T16" s="20"/>
      <c r="U16"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6" s="20" t="str">
        <f>IFERROR(__xludf.DUMMYFUNCTION("""COMPUTED_VALUE"""),"")</f>
        <v/>
      </c>
      <c r="W16" s="20" t="str">
        <f>IFERROR(__xludf.DUMMYFUNCTION("""COMPUTED_VALUE"""),"")</f>
        <v/>
      </c>
      <c r="X16" s="20" t="str">
        <f>IFERROR(__xludf.DUMMYFUNCTION("""COMPUTED_VALUE"""),"不明")</f>
        <v>不明</v>
      </c>
    </row>
    <row r="17">
      <c r="B17" s="17" t="b">
        <f>IFERROR(__xludf.DUMMYFUNCTION("""COMPUTED_VALUE"""),FALSE)</f>
        <v>0</v>
      </c>
      <c r="C17" s="20" t="str">
        <f>IFERROR(__xludf.DUMMYFUNCTION("""COMPUTED_VALUE"""),"Agoda")</f>
        <v>Agoda</v>
      </c>
      <c r="D17" s="4">
        <f>IFERROR(__xludf.DUMMYFUNCTION("""COMPUTED_VALUE"""),8.0)</f>
        <v>8</v>
      </c>
      <c r="E17" s="19">
        <f>IFERROR(__xludf.DUMMYFUNCTION("""COMPUTED_VALUE"""),46122.0)</f>
        <v>46122</v>
      </c>
      <c r="F17" s="4" t="str">
        <f>IFERROR(__xludf.DUMMYFUNCTION("""COMPUTED_VALUE"""),"駅近で便利 フリードリンクや朝食も満足")</f>
        <v>駅近で便利 フリードリンクや朝食も満足</v>
      </c>
      <c r="G17" s="4"/>
      <c r="H17" s="4"/>
      <c r="I17" s="4" t="str">
        <f>IFERROR(__xludf.DUMMYFUNCTION("""COMPUTED_VALUE"""),"駅近で便利 フリードリンクや朝食も満足")</f>
        <v>駅近で便利 フリードリンクや朝食も満足</v>
      </c>
      <c r="J17" s="4" t="str">
        <f>IFERROR(__xludf.DUMMYFUNCTION("""COMPUTED_VALUE"""),"")</f>
        <v/>
      </c>
      <c r="K17" s="4" t="str">
        <f>IFERROR(__xludf.DUMMYFUNCTION("""COMPUTED_VALUE"""),"")</f>
        <v/>
      </c>
      <c r="L17" s="4" t="str">
        <f>IFERROR(__xludf.DUMMYFUNCTION("""COMPUTED_VALUE"""),"YAMAWAKI")</f>
        <v>YAMAWAKI</v>
      </c>
      <c r="N17" s="20" t="b">
        <f>IFERROR(__xludf.DUMMYFUNCTION("""COMPUTED_VALUE"""),FALSE)</f>
        <v>0</v>
      </c>
      <c r="O17" s="20" t="str">
        <f>IFERROR(__xludf.DUMMYFUNCTION("""COMPUTED_VALUE"""),"Agoda")</f>
        <v>Agoda</v>
      </c>
      <c r="P17" s="20">
        <f>IFERROR(__xludf.DUMMYFUNCTION("""COMPUTED_VALUE"""),8.0)</f>
        <v>8</v>
      </c>
      <c r="Q17" s="21">
        <f>IFERROR(__xludf.DUMMYFUNCTION("""COMPUTED_VALUE"""),46122.0)</f>
        <v>46122</v>
      </c>
      <c r="R17" s="20" t="str">
        <f>IFERROR(__xludf.DUMMYFUNCTION("""COMPUTED_VALUE"""),"駅近で便利 フリードリンクや朝食も満足")</f>
        <v>駅近で便利 フリードリンクや朝食も満足</v>
      </c>
      <c r="S17" s="20"/>
      <c r="T17" s="20"/>
      <c r="U17" s="20" t="str">
        <f>IFERROR(__xludf.DUMMYFUNCTION("""COMPUTED_VALUE"""),"駅近で便利 フリードリンクや朝食も満足")</f>
        <v>駅近で便利 フリードリンクや朝食も満足</v>
      </c>
      <c r="V17" s="20" t="str">
        <f>IFERROR(__xludf.DUMMYFUNCTION("""COMPUTED_VALUE"""),"")</f>
        <v/>
      </c>
      <c r="W17" s="20" t="str">
        <f>IFERROR(__xludf.DUMMYFUNCTION("""COMPUTED_VALUE"""),"")</f>
        <v/>
      </c>
      <c r="X17" s="20" t="str">
        <f>IFERROR(__xludf.DUMMYFUNCTION("""COMPUTED_VALUE"""),"YAMAWAKI")</f>
        <v>YAMAWAKI</v>
      </c>
    </row>
    <row r="18">
      <c r="B18" s="17" t="b">
        <f>IFERROR(__xludf.DUMMYFUNCTION("""COMPUTED_VALUE"""),FALSE)</f>
        <v>0</v>
      </c>
      <c r="C18" s="18" t="str">
        <f>IFERROR(__xludf.DUMMYFUNCTION("""COMPUTED_VALUE"""),"Booking.com")</f>
        <v>Booking.com</v>
      </c>
      <c r="D18" s="4">
        <f>IFERROR(__xludf.DUMMYFUNCTION("""COMPUTED_VALUE"""),1.0)</f>
        <v>1</v>
      </c>
      <c r="E18" s="19">
        <f>IFERROR(__xludf.DUMMYFUNCTION("""COMPUTED_VALUE"""),46122.0)</f>
        <v>46122</v>
      </c>
      <c r="F18" s="4"/>
      <c r="G18" s="4" t="str">
        <f>IFERROR(__xludf.DUMMYFUNCTION("""COMPUTED_VALUE"""),"Nothing")</f>
        <v>Nothing</v>
      </c>
      <c r="H18"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18" s="4" t="str">
        <f>IFERROR(__xludf.DUMMYFUNCTION("""COMPUTED_VALUE"""),"")</f>
        <v/>
      </c>
      <c r="J18" s="4" t="str">
        <f>IFERROR(__xludf.DUMMYFUNCTION("""COMPUTED_VALUE"""),"何もない")</f>
        <v>何もない</v>
      </c>
      <c r="K18" s="4"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L18" s="4" t="str">
        <f>IFERROR(__xludf.DUMMYFUNCTION("""COMPUTED_VALUE"""),"Olga")</f>
        <v>Olga</v>
      </c>
      <c r="N18" s="20" t="b">
        <f>IFERROR(__xludf.DUMMYFUNCTION("""COMPUTED_VALUE"""),FALSE)</f>
        <v>0</v>
      </c>
      <c r="O18" s="18" t="str">
        <f>IFERROR(__xludf.DUMMYFUNCTION("""COMPUTED_VALUE"""),"Booking.com")</f>
        <v>Booking.com</v>
      </c>
      <c r="P18" s="20">
        <f>IFERROR(__xludf.DUMMYFUNCTION("""COMPUTED_VALUE"""),1.0)</f>
        <v>1</v>
      </c>
      <c r="Q18" s="21">
        <f>IFERROR(__xludf.DUMMYFUNCTION("""COMPUTED_VALUE"""),46122.0)</f>
        <v>46122</v>
      </c>
      <c r="R18" s="20"/>
      <c r="S18" s="20" t="str">
        <f>IFERROR(__xludf.DUMMYFUNCTION("""COMPUTED_VALUE"""),"Nothing")</f>
        <v>Nothing</v>
      </c>
      <c r="T18"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8" s="20" t="str">
        <f>IFERROR(__xludf.DUMMYFUNCTION("""COMPUTED_VALUE"""),"")</f>
        <v/>
      </c>
      <c r="V18" s="20" t="str">
        <f>IFERROR(__xludf.DUMMYFUNCTION("""COMPUTED_VALUE"""),"何もない")</f>
        <v>何もない</v>
      </c>
      <c r="W18" s="20"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X18" s="20" t="str">
        <f>IFERROR(__xludf.DUMMYFUNCTION("""COMPUTED_VALUE"""),"Olga")</f>
        <v>Olga</v>
      </c>
    </row>
    <row r="19">
      <c r="B19" s="17" t="b">
        <f>IFERROR(__xludf.DUMMYFUNCTION("""COMPUTED_VALUE"""),FALSE)</f>
        <v>0</v>
      </c>
      <c r="C19" s="18" t="str">
        <f>IFERROR(__xludf.DUMMYFUNCTION("""COMPUTED_VALUE"""),"Booking.com")</f>
        <v>Booking.com</v>
      </c>
      <c r="D19" s="4">
        <f>IFERROR(__xludf.DUMMYFUNCTION("""COMPUTED_VALUE"""),9.0)</f>
        <v>9</v>
      </c>
      <c r="E19" s="19">
        <f>IFERROR(__xludf.DUMMYFUNCTION("""COMPUTED_VALUE"""),46121.0)</f>
        <v>46121</v>
      </c>
      <c r="F19" s="4"/>
      <c r="G19" s="4" t="str">
        <f>IFERROR(__xludf.DUMMYFUNCTION("""COMPUTED_VALUE"""),"La habitación estuvo muy comoda a unos pasos de la estación Narita,")</f>
        <v>La habitación estuvo muy comoda a unos pasos de la estación Narita,</v>
      </c>
      <c r="H19" s="4" t="str">
        <f>IFERROR(__xludf.DUMMYFUNCTION("""COMPUTED_VALUE"""),"Que no tuviera traslado al aeropuerto , pero eso la lo sabía")</f>
        <v>Que no tuviera traslado al aeropuerto , pero eso la lo sabía</v>
      </c>
      <c r="I19" s="4" t="str">
        <f>IFERROR(__xludf.DUMMYFUNCTION("""COMPUTED_VALUE"""),"")</f>
        <v/>
      </c>
      <c r="J19" s="4" t="str">
        <f>IFERROR(__xludf.DUMMYFUNCTION("""COMPUTED_VALUE"""),"部屋はとても快適で、成田駅からすぐの場所でした。")</f>
        <v>部屋はとても快適で、成田駅からすぐの場所でした。</v>
      </c>
      <c r="K19" s="4" t="str">
        <f>IFERROR(__xludf.DUMMYFUNCTION("""COMPUTED_VALUE"""),"彼女は空港への乗り継ぎ便がないことを知っていた。")</f>
        <v>彼女は空港への乗り継ぎ便がないことを知っていた。</v>
      </c>
      <c r="L19" s="4" t="str">
        <f>IFERROR(__xludf.DUMMYFUNCTION("""COMPUTED_VALUE"""),"Julio")</f>
        <v>Julio</v>
      </c>
      <c r="N19" s="20" t="b">
        <f>IFERROR(__xludf.DUMMYFUNCTION("""COMPUTED_VALUE"""),FALSE)</f>
        <v>0</v>
      </c>
      <c r="O19" s="18" t="str">
        <f>IFERROR(__xludf.DUMMYFUNCTION("""COMPUTED_VALUE"""),"Booking.com")</f>
        <v>Booking.com</v>
      </c>
      <c r="P19" s="20">
        <f>IFERROR(__xludf.DUMMYFUNCTION("""COMPUTED_VALUE"""),9.0)</f>
        <v>9</v>
      </c>
      <c r="Q19" s="21">
        <f>IFERROR(__xludf.DUMMYFUNCTION("""COMPUTED_VALUE"""),46121.0)</f>
        <v>46121</v>
      </c>
      <c r="R19" s="20"/>
      <c r="S19" s="20" t="str">
        <f>IFERROR(__xludf.DUMMYFUNCTION("""COMPUTED_VALUE"""),"La habitación estuvo muy comoda a unos pasos de la estación Narita,")</f>
        <v>La habitación estuvo muy comoda a unos pasos de la estación Narita,</v>
      </c>
      <c r="T19" s="20" t="str">
        <f>IFERROR(__xludf.DUMMYFUNCTION("""COMPUTED_VALUE"""),"Que no tuviera traslado al aeropuerto , pero eso la lo sabía")</f>
        <v>Que no tuviera traslado al aeropuerto , pero eso la lo sabía</v>
      </c>
      <c r="U19" s="20" t="str">
        <f>IFERROR(__xludf.DUMMYFUNCTION("""COMPUTED_VALUE"""),"")</f>
        <v/>
      </c>
      <c r="V19" s="20" t="str">
        <f>IFERROR(__xludf.DUMMYFUNCTION("""COMPUTED_VALUE"""),"部屋はとても快適で、成田駅からすぐの場所でした。")</f>
        <v>部屋はとても快適で、成田駅からすぐの場所でした。</v>
      </c>
      <c r="W19" s="20" t="str">
        <f>IFERROR(__xludf.DUMMYFUNCTION("""COMPUTED_VALUE"""),"彼女は空港への乗り継ぎ便がないことを知っていた。")</f>
        <v>彼女は空港への乗り継ぎ便がないことを知っていた。</v>
      </c>
      <c r="X19" s="20" t="str">
        <f>IFERROR(__xludf.DUMMYFUNCTION("""COMPUTED_VALUE"""),"Julio")</f>
        <v>Julio</v>
      </c>
    </row>
    <row r="20">
      <c r="B20" s="17" t="b">
        <f>IFERROR(__xludf.DUMMYFUNCTION("""COMPUTED_VALUE"""),FALSE)</f>
        <v>0</v>
      </c>
      <c r="C20" s="18" t="str">
        <f>IFERROR(__xludf.DUMMYFUNCTION("""COMPUTED_VALUE"""),"Trip.com")</f>
        <v>Trip.com</v>
      </c>
      <c r="D20" s="4">
        <f>IFERROR(__xludf.DUMMYFUNCTION("""COMPUTED_VALUE"""),8.0)</f>
        <v>8</v>
      </c>
      <c r="E20" s="19">
        <f>IFERROR(__xludf.DUMMYFUNCTION("""COMPUTED_VALUE"""),46121.0)</f>
        <v>46121</v>
      </c>
      <c r="F20"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0" s="4"/>
      <c r="H20" s="4"/>
      <c r="I20"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0" s="4" t="str">
        <f>IFERROR(__xludf.DUMMYFUNCTION("""COMPUTED_VALUE"""),"")</f>
        <v/>
      </c>
      <c r="K20" s="4" t="str">
        <f>IFERROR(__xludf.DUMMYFUNCTION("""COMPUTED_VALUE"""),"")</f>
        <v/>
      </c>
      <c r="L20" s="4" t="str">
        <f>IFERROR(__xludf.DUMMYFUNCTION("""COMPUTED_VALUE"""),"N‍i‍k‍k‍o‍ ‍P‍a‍j‍a‍r‍i‍l‍l‍a")</f>
        <v>N‍i‍k‍k‍o‍ ‍P‍a‍j‍a‍r‍i‍l‍l‍a</v>
      </c>
      <c r="N20" s="20" t="b">
        <f>IFERROR(__xludf.DUMMYFUNCTION("""COMPUTED_VALUE"""),FALSE)</f>
        <v>0</v>
      </c>
      <c r="O20" s="18" t="str">
        <f>IFERROR(__xludf.DUMMYFUNCTION("""COMPUTED_VALUE"""),"Trip.com")</f>
        <v>Trip.com</v>
      </c>
      <c r="P20" s="20">
        <f>IFERROR(__xludf.DUMMYFUNCTION("""COMPUTED_VALUE"""),8.0)</f>
        <v>8</v>
      </c>
      <c r="Q20" s="21">
        <f>IFERROR(__xludf.DUMMYFUNCTION("""COMPUTED_VALUE"""),46121.0)</f>
        <v>46121</v>
      </c>
      <c r="R20"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0" s="20"/>
      <c r="T20" s="20"/>
      <c r="U20"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0" s="20" t="str">
        <f>IFERROR(__xludf.DUMMYFUNCTION("""COMPUTED_VALUE"""),"")</f>
        <v/>
      </c>
      <c r="W20" s="20" t="str">
        <f>IFERROR(__xludf.DUMMYFUNCTION("""COMPUTED_VALUE"""),"")</f>
        <v/>
      </c>
      <c r="X20" s="20" t="str">
        <f>IFERROR(__xludf.DUMMYFUNCTION("""COMPUTED_VALUE"""),"N‍i‍k‍k‍o‍ ‍P‍a‍j‍a‍r‍i‍l‍l‍a")</f>
        <v>N‍i‍k‍k‍o‍ ‍P‍a‍j‍a‍r‍i‍l‍l‍a</v>
      </c>
    </row>
    <row r="21">
      <c r="B21" s="17" t="b">
        <f>IFERROR(__xludf.DUMMYFUNCTION("""COMPUTED_VALUE"""),FALSE)</f>
        <v>0</v>
      </c>
      <c r="C21" s="20" t="str">
        <f>IFERROR(__xludf.DUMMYFUNCTION("""COMPUTED_VALUE"""),"楽天トラベル")</f>
        <v>楽天トラベル</v>
      </c>
      <c r="D21" s="4">
        <f>IFERROR(__xludf.DUMMYFUNCTION("""COMPUTED_VALUE"""),4.0)</f>
        <v>4</v>
      </c>
      <c r="E21" s="19">
        <f>IFERROR(__xludf.DUMMYFUNCTION("""COMPUTED_VALUE"""),46121.0)</f>
        <v>46121</v>
      </c>
      <c r="F21"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1" s="4"/>
      <c r="H21" s="4"/>
      <c r="I21"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1" s="4" t="str">
        <f>IFERROR(__xludf.DUMMYFUNCTION("""COMPUTED_VALUE"""),"")</f>
        <v/>
      </c>
      <c r="K21" s="4" t="str">
        <f>IFERROR(__xludf.DUMMYFUNCTION("""COMPUTED_VALUE"""),"")</f>
        <v/>
      </c>
      <c r="L21" s="4" t="str">
        <f>IFERROR(__xludf.DUMMYFUNCTION("""COMPUTED_VALUE"""),"かなですが")</f>
        <v>かなですが</v>
      </c>
      <c r="N21" s="20" t="b">
        <f>IFERROR(__xludf.DUMMYFUNCTION("""COMPUTED_VALUE"""),FALSE)</f>
        <v>0</v>
      </c>
      <c r="O21" s="20" t="str">
        <f>IFERROR(__xludf.DUMMYFUNCTION("""COMPUTED_VALUE"""),"楽天トラベル")</f>
        <v>楽天トラベル</v>
      </c>
      <c r="P21" s="20">
        <f>IFERROR(__xludf.DUMMYFUNCTION("""COMPUTED_VALUE"""),4.0)</f>
        <v>4</v>
      </c>
      <c r="Q21" s="21">
        <f>IFERROR(__xludf.DUMMYFUNCTION("""COMPUTED_VALUE"""),46121.0)</f>
        <v>46121</v>
      </c>
      <c r="R21"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1" s="20"/>
      <c r="T21" s="20"/>
      <c r="U21"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1" s="20" t="str">
        <f>IFERROR(__xludf.DUMMYFUNCTION("""COMPUTED_VALUE"""),"")</f>
        <v/>
      </c>
      <c r="W21" s="20" t="str">
        <f>IFERROR(__xludf.DUMMYFUNCTION("""COMPUTED_VALUE"""),"")</f>
        <v/>
      </c>
      <c r="X21" s="20" t="str">
        <f>IFERROR(__xludf.DUMMYFUNCTION("""COMPUTED_VALUE"""),"かなですが")</f>
        <v>かなですが</v>
      </c>
    </row>
    <row r="22">
      <c r="B22" s="17" t="b">
        <f>IFERROR(__xludf.DUMMYFUNCTION("""COMPUTED_VALUE"""),FALSE)</f>
        <v>0</v>
      </c>
      <c r="C22" s="20" t="str">
        <f>IFERROR(__xludf.DUMMYFUNCTION("""COMPUTED_VALUE"""),"Google")</f>
        <v>Google</v>
      </c>
      <c r="D22" s="4">
        <f>IFERROR(__xludf.DUMMYFUNCTION("""COMPUTED_VALUE"""),2.0)</f>
        <v>2</v>
      </c>
      <c r="E22" s="19">
        <f>IFERROR(__xludf.DUMMYFUNCTION("""COMPUTED_VALUE"""),46121.0)</f>
        <v>46121</v>
      </c>
      <c r="F22"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2" s="4"/>
      <c r="H22" s="4"/>
      <c r="I22"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2" s="4" t="str">
        <f>IFERROR(__xludf.DUMMYFUNCTION("""COMPUTED_VALUE"""),"")</f>
        <v/>
      </c>
      <c r="K22" s="4" t="str">
        <f>IFERROR(__xludf.DUMMYFUNCTION("""COMPUTED_VALUE"""),"")</f>
        <v/>
      </c>
      <c r="L22" s="4" t="str">
        <f>IFERROR(__xludf.DUMMYFUNCTION("""COMPUTED_VALUE"""),"Yan Saint")</f>
        <v>Yan Saint</v>
      </c>
      <c r="N22" s="20" t="b">
        <f>IFERROR(__xludf.DUMMYFUNCTION("""COMPUTED_VALUE"""),FALSE)</f>
        <v>0</v>
      </c>
      <c r="O22" s="20" t="str">
        <f>IFERROR(__xludf.DUMMYFUNCTION("""COMPUTED_VALUE"""),"Google")</f>
        <v>Google</v>
      </c>
      <c r="P22" s="20">
        <f>IFERROR(__xludf.DUMMYFUNCTION("""COMPUTED_VALUE"""),2.0)</f>
        <v>2</v>
      </c>
      <c r="Q22" s="21">
        <f>IFERROR(__xludf.DUMMYFUNCTION("""COMPUTED_VALUE"""),46121.0)</f>
        <v>46121</v>
      </c>
      <c r="R22"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2" s="20"/>
      <c r="T22" s="20"/>
      <c r="U22"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2" s="20" t="str">
        <f>IFERROR(__xludf.DUMMYFUNCTION("""COMPUTED_VALUE"""),"")</f>
        <v/>
      </c>
      <c r="W22" s="20" t="str">
        <f>IFERROR(__xludf.DUMMYFUNCTION("""COMPUTED_VALUE"""),"")</f>
        <v/>
      </c>
      <c r="X22" s="20" t="str">
        <f>IFERROR(__xludf.DUMMYFUNCTION("""COMPUTED_VALUE"""),"Yan Saint")</f>
        <v>Yan Saint</v>
      </c>
    </row>
    <row r="23">
      <c r="B23" s="17" t="b">
        <f>IFERROR(__xludf.DUMMYFUNCTION("""COMPUTED_VALUE"""),FALSE)</f>
        <v>0</v>
      </c>
      <c r="C23" s="18" t="str">
        <f>IFERROR(__xludf.DUMMYFUNCTION("""COMPUTED_VALUE"""),"Booking.com")</f>
        <v>Booking.com</v>
      </c>
      <c r="D23" s="4">
        <f>IFERROR(__xludf.DUMMYFUNCTION("""COMPUTED_VALUE"""),7.0)</f>
        <v>7</v>
      </c>
      <c r="E23" s="19">
        <f>IFERROR(__xludf.DUMMYFUNCTION("""COMPUTED_VALUE"""),46120.0)</f>
        <v>46120</v>
      </c>
      <c r="F23" s="4"/>
      <c r="G23" s="4" t="str">
        <f>IFERROR(__xludf.DUMMYFUNCTION("""COMPUTED_VALUE"""),"房間大，員工服務態度佳")</f>
        <v>房間大，員工服務態度佳</v>
      </c>
      <c r="H23" s="4" t="str">
        <f>IFERROR(__xludf.DUMMYFUNCTION("""COMPUTED_VALUE"""),"房間內燈光亮度不足。")</f>
        <v>房間內燈光亮度不足。</v>
      </c>
      <c r="I23" s="4" t="str">
        <f>IFERROR(__xludf.DUMMYFUNCTION("""COMPUTED_VALUE"""),"")</f>
        <v/>
      </c>
      <c r="J23" s="4" t="str">
        <f>IFERROR(__xludf.DUMMYFUNCTION("""COMPUTED_VALUE"""),"部屋は広々としていて、スタッフもとても親切です。")</f>
        <v>部屋は広々としていて、スタッフもとても親切です。</v>
      </c>
      <c r="K23" s="4" t="str">
        <f>IFERROR(__xludf.DUMMYFUNCTION("""COMPUTED_VALUE"""),"部屋は薄暗かった。")</f>
        <v>部屋は薄暗かった。</v>
      </c>
      <c r="L23" s="4" t="str">
        <f>IFERROR(__xludf.DUMMYFUNCTION("""COMPUTED_VALUE"""),"Pei")</f>
        <v>Pei</v>
      </c>
      <c r="N23" s="20" t="b">
        <f>IFERROR(__xludf.DUMMYFUNCTION("""COMPUTED_VALUE"""),FALSE)</f>
        <v>0</v>
      </c>
      <c r="O23" s="18" t="str">
        <f>IFERROR(__xludf.DUMMYFUNCTION("""COMPUTED_VALUE"""),"Booking.com")</f>
        <v>Booking.com</v>
      </c>
      <c r="P23" s="20">
        <f>IFERROR(__xludf.DUMMYFUNCTION("""COMPUTED_VALUE"""),7.0)</f>
        <v>7</v>
      </c>
      <c r="Q23" s="21">
        <f>IFERROR(__xludf.DUMMYFUNCTION("""COMPUTED_VALUE"""),46120.0)</f>
        <v>46120</v>
      </c>
      <c r="R23" s="20"/>
      <c r="S23" s="20" t="str">
        <f>IFERROR(__xludf.DUMMYFUNCTION("""COMPUTED_VALUE"""),"房間大，員工服務態度佳")</f>
        <v>房間大，員工服務態度佳</v>
      </c>
      <c r="T23" s="20" t="str">
        <f>IFERROR(__xludf.DUMMYFUNCTION("""COMPUTED_VALUE"""),"房間內燈光亮度不足。")</f>
        <v>房間內燈光亮度不足。</v>
      </c>
      <c r="U23" s="20" t="str">
        <f>IFERROR(__xludf.DUMMYFUNCTION("""COMPUTED_VALUE"""),"")</f>
        <v/>
      </c>
      <c r="V23" s="20" t="str">
        <f>IFERROR(__xludf.DUMMYFUNCTION("""COMPUTED_VALUE"""),"部屋は広々としていて、スタッフもとても親切です。")</f>
        <v>部屋は広々としていて、スタッフもとても親切です。</v>
      </c>
      <c r="W23" s="20" t="str">
        <f>IFERROR(__xludf.DUMMYFUNCTION("""COMPUTED_VALUE"""),"部屋は薄暗かった。")</f>
        <v>部屋は薄暗かった。</v>
      </c>
      <c r="X23" s="20" t="str">
        <f>IFERROR(__xludf.DUMMYFUNCTION("""COMPUTED_VALUE"""),"Pei")</f>
        <v>Pei</v>
      </c>
    </row>
    <row r="24">
      <c r="B24" s="17" t="b">
        <f>IFERROR(__xludf.DUMMYFUNCTION("""COMPUTED_VALUE"""),FALSE)</f>
        <v>0</v>
      </c>
      <c r="C24" s="20" t="str">
        <f>IFERROR(__xludf.DUMMYFUNCTION("""COMPUTED_VALUE"""),"楽天トラベル")</f>
        <v>楽天トラベル</v>
      </c>
      <c r="D24" s="4">
        <f>IFERROR(__xludf.DUMMYFUNCTION("""COMPUTED_VALUE"""),5.0)</f>
        <v>5</v>
      </c>
      <c r="E24" s="19">
        <f>IFERROR(__xludf.DUMMYFUNCTION("""COMPUTED_VALUE"""),46120.0)</f>
        <v>46120</v>
      </c>
      <c r="F24" s="4" t="str">
        <f>IFERROR(__xludf.DUMMYFUNCTION("""COMPUTED_VALUE"""),"スタッフの皆さんが笑顔で気持ちいいです！")</f>
        <v>スタッフの皆さんが笑顔で気持ちいいです！</v>
      </c>
      <c r="G24" s="4"/>
      <c r="H24" s="4"/>
      <c r="I24" s="4" t="str">
        <f>IFERROR(__xludf.DUMMYFUNCTION("""COMPUTED_VALUE"""),"スタッフの皆さんが笑顔で気持ちいいです！")</f>
        <v>スタッフの皆さんが笑顔で気持ちいいです！</v>
      </c>
      <c r="J24" s="4" t="str">
        <f>IFERROR(__xludf.DUMMYFUNCTION("""COMPUTED_VALUE"""),"")</f>
        <v/>
      </c>
      <c r="K24" s="4" t="str">
        <f>IFERROR(__xludf.DUMMYFUNCTION("""COMPUTED_VALUE"""),"")</f>
        <v/>
      </c>
      <c r="L24" s="4" t="str">
        <f>IFERROR(__xludf.DUMMYFUNCTION("""COMPUTED_VALUE"""),"あきみさん")</f>
        <v>あきみさん</v>
      </c>
      <c r="N24" s="20" t="b">
        <f>IFERROR(__xludf.DUMMYFUNCTION("""COMPUTED_VALUE"""),FALSE)</f>
        <v>0</v>
      </c>
      <c r="O24" s="20" t="str">
        <f>IFERROR(__xludf.DUMMYFUNCTION("""COMPUTED_VALUE"""),"楽天トラベル")</f>
        <v>楽天トラベル</v>
      </c>
      <c r="P24" s="20">
        <f>IFERROR(__xludf.DUMMYFUNCTION("""COMPUTED_VALUE"""),5.0)</f>
        <v>5</v>
      </c>
      <c r="Q24" s="21">
        <f>IFERROR(__xludf.DUMMYFUNCTION("""COMPUTED_VALUE"""),46120.0)</f>
        <v>46120</v>
      </c>
      <c r="R24" s="20" t="str">
        <f>IFERROR(__xludf.DUMMYFUNCTION("""COMPUTED_VALUE"""),"スタッフの皆さんが笑顔で気持ちいいです！")</f>
        <v>スタッフの皆さんが笑顔で気持ちいいです！</v>
      </c>
      <c r="S24" s="20"/>
      <c r="T24" s="20"/>
      <c r="U24" s="20" t="str">
        <f>IFERROR(__xludf.DUMMYFUNCTION("""COMPUTED_VALUE"""),"スタッフの皆さんが笑顔で気持ちいいです！")</f>
        <v>スタッフの皆さんが笑顔で気持ちいいです！</v>
      </c>
      <c r="V24" s="20" t="str">
        <f>IFERROR(__xludf.DUMMYFUNCTION("""COMPUTED_VALUE"""),"")</f>
        <v/>
      </c>
      <c r="W24" s="20" t="str">
        <f>IFERROR(__xludf.DUMMYFUNCTION("""COMPUTED_VALUE"""),"")</f>
        <v/>
      </c>
      <c r="X24" s="20" t="str">
        <f>IFERROR(__xludf.DUMMYFUNCTION("""COMPUTED_VALUE"""),"あきみさん")</f>
        <v>あきみさん</v>
      </c>
    </row>
    <row r="25">
      <c r="B25" s="17" t="b">
        <f>IFERROR(__xludf.DUMMYFUNCTION("""COMPUTED_VALUE"""),FALSE)</f>
        <v>0</v>
      </c>
      <c r="C25" s="20" t="str">
        <f>IFERROR(__xludf.DUMMYFUNCTION("""COMPUTED_VALUE"""),"楽天トラベル")</f>
        <v>楽天トラベル</v>
      </c>
      <c r="D25" s="4">
        <f>IFERROR(__xludf.DUMMYFUNCTION("""COMPUTED_VALUE"""),5.0)</f>
        <v>5</v>
      </c>
      <c r="E25" s="19">
        <f>IFERROR(__xludf.DUMMYFUNCTION("""COMPUTED_VALUE"""),46119.0)</f>
        <v>46119</v>
      </c>
      <c r="F25"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25" s="4"/>
      <c r="H25" s="4"/>
      <c r="I25"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25" s="4" t="str">
        <f>IFERROR(__xludf.DUMMYFUNCTION("""COMPUTED_VALUE"""),"")</f>
        <v/>
      </c>
      <c r="K25" s="4" t="str">
        <f>IFERROR(__xludf.DUMMYFUNCTION("""COMPUTED_VALUE"""),"")</f>
        <v/>
      </c>
      <c r="L25" s="4" t="str">
        <f>IFERROR(__xludf.DUMMYFUNCTION("""COMPUTED_VALUE"""),"ケンヨウ")</f>
        <v>ケンヨウ</v>
      </c>
      <c r="N25" s="20" t="b">
        <f>IFERROR(__xludf.DUMMYFUNCTION("""COMPUTED_VALUE"""),FALSE)</f>
        <v>0</v>
      </c>
      <c r="O25" s="20" t="str">
        <f>IFERROR(__xludf.DUMMYFUNCTION("""COMPUTED_VALUE"""),"楽天トラベル")</f>
        <v>楽天トラベル</v>
      </c>
      <c r="P25" s="20">
        <f>IFERROR(__xludf.DUMMYFUNCTION("""COMPUTED_VALUE"""),5.0)</f>
        <v>5</v>
      </c>
      <c r="Q25" s="21">
        <f>IFERROR(__xludf.DUMMYFUNCTION("""COMPUTED_VALUE"""),46119.0)</f>
        <v>46119</v>
      </c>
      <c r="R25"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25" s="20"/>
      <c r="T25" s="20"/>
      <c r="U25"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25" s="20" t="str">
        <f>IFERROR(__xludf.DUMMYFUNCTION("""COMPUTED_VALUE"""),"")</f>
        <v/>
      </c>
      <c r="W25" s="20" t="str">
        <f>IFERROR(__xludf.DUMMYFUNCTION("""COMPUTED_VALUE"""),"")</f>
        <v/>
      </c>
      <c r="X25" s="20" t="str">
        <f>IFERROR(__xludf.DUMMYFUNCTION("""COMPUTED_VALUE"""),"ケンヨウ")</f>
        <v>ケンヨウ</v>
      </c>
    </row>
    <row r="26">
      <c r="B26" s="17" t="b">
        <f>IFERROR(__xludf.DUMMYFUNCTION("""COMPUTED_VALUE"""),FALSE)</f>
        <v>0</v>
      </c>
      <c r="C26" s="20" t="str">
        <f>IFERROR(__xludf.DUMMYFUNCTION("""COMPUTED_VALUE"""),"楽天トラベル")</f>
        <v>楽天トラベル</v>
      </c>
      <c r="D26" s="4">
        <f>IFERROR(__xludf.DUMMYFUNCTION("""COMPUTED_VALUE"""),4.0)</f>
        <v>4</v>
      </c>
      <c r="E26" s="19">
        <f>IFERROR(__xludf.DUMMYFUNCTION("""COMPUTED_VALUE"""),46117.0)</f>
        <v>46117</v>
      </c>
      <c r="F2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26" s="4"/>
      <c r="H26" s="4"/>
      <c r="I2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26" s="4" t="str">
        <f>IFERROR(__xludf.DUMMYFUNCTION("""COMPUTED_VALUE"""),"")</f>
        <v/>
      </c>
      <c r="K26" s="4" t="str">
        <f>IFERROR(__xludf.DUMMYFUNCTION("""COMPUTED_VALUE"""),"")</f>
        <v/>
      </c>
      <c r="L26" s="4" t="str">
        <f>IFERROR(__xludf.DUMMYFUNCTION("""COMPUTED_VALUE"""),"でぶさんと大吉")</f>
        <v>でぶさんと大吉</v>
      </c>
      <c r="N26" s="20" t="b">
        <f>IFERROR(__xludf.DUMMYFUNCTION("""COMPUTED_VALUE"""),FALSE)</f>
        <v>0</v>
      </c>
      <c r="O26" s="20" t="str">
        <f>IFERROR(__xludf.DUMMYFUNCTION("""COMPUTED_VALUE"""),"楽天トラベル")</f>
        <v>楽天トラベル</v>
      </c>
      <c r="P26" s="20">
        <f>IFERROR(__xludf.DUMMYFUNCTION("""COMPUTED_VALUE"""),4.0)</f>
        <v>4</v>
      </c>
      <c r="Q26" s="21">
        <f>IFERROR(__xludf.DUMMYFUNCTION("""COMPUTED_VALUE"""),46117.0)</f>
        <v>46117</v>
      </c>
      <c r="R26"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26" s="20"/>
      <c r="T26" s="20"/>
      <c r="U26"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26" s="20" t="str">
        <f>IFERROR(__xludf.DUMMYFUNCTION("""COMPUTED_VALUE"""),"")</f>
        <v/>
      </c>
      <c r="W26" s="20" t="str">
        <f>IFERROR(__xludf.DUMMYFUNCTION("""COMPUTED_VALUE"""),"")</f>
        <v/>
      </c>
      <c r="X26" s="20" t="str">
        <f>IFERROR(__xludf.DUMMYFUNCTION("""COMPUTED_VALUE"""),"でぶさんと大吉")</f>
        <v>でぶさんと大吉</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IFERROR(__xludf.DUMMYFUNCTION("""COMPUTED_VALUE"""),46116.0)</f>
        <v>46116</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IFERROR(__xludf.DUMMYFUNCTION("""COMPUTED_VALUE"""),"Joel")</f>
        <v>Joel</v>
      </c>
      <c r="N27" s="20" t="b">
        <f>IFERROR(__xludf.DUMMYFUNCTION("""COMPUTED_VALUE"""),FALSE)</f>
        <v>0</v>
      </c>
      <c r="O27" s="18" t="str">
        <f>IFERROR(__xludf.DUMMYFUNCTION("""COMPUTED_VALUE"""),"Booking.com")</f>
        <v>Booking.com</v>
      </c>
      <c r="P27" s="20">
        <f>IFERROR(__xludf.DUMMYFUNCTION("""COMPUTED_VALUE"""),10.0)</f>
        <v>10</v>
      </c>
      <c r="Q27" s="21">
        <f>IFERROR(__xludf.DUMMYFUNCTION("""COMPUTED_VALUE"""),46116.0)</f>
        <v>46116</v>
      </c>
      <c r="R27" s="20"/>
      <c r="S27" s="20"/>
      <c r="T27" s="20"/>
      <c r="U27" s="20" t="str">
        <f>IFERROR(__xludf.DUMMYFUNCTION("""COMPUTED_VALUE"""),"")</f>
        <v/>
      </c>
      <c r="V27" s="20" t="str">
        <f>IFERROR(__xludf.DUMMYFUNCTION("""COMPUTED_VALUE"""),"")</f>
        <v/>
      </c>
      <c r="W27" s="20" t="str">
        <f>IFERROR(__xludf.DUMMYFUNCTION("""COMPUTED_VALUE"""),"")</f>
        <v/>
      </c>
      <c r="X27" s="20" t="str">
        <f>IFERROR(__xludf.DUMMYFUNCTION("""COMPUTED_VALUE"""),"Joel")</f>
        <v>Joel</v>
      </c>
    </row>
    <row r="28">
      <c r="B28" s="17" t="b">
        <f>IFERROR(__xludf.DUMMYFUNCTION("""COMPUTED_VALUE"""),FALSE)</f>
        <v>0</v>
      </c>
      <c r="C28" s="18" t="str">
        <f>IFERROR(__xludf.DUMMYFUNCTION("""COMPUTED_VALUE"""),"Trip.com")</f>
        <v>Trip.com</v>
      </c>
      <c r="D28" s="4">
        <f>IFERROR(__xludf.DUMMYFUNCTION("""COMPUTED_VALUE"""),10.0)</f>
        <v>10</v>
      </c>
      <c r="E28" s="19">
        <f>IFERROR(__xludf.DUMMYFUNCTION("""COMPUTED_VALUE"""),46115.0)</f>
        <v>46115</v>
      </c>
      <c r="F28"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28" s="4"/>
      <c r="H28" s="4"/>
      <c r="I28" s="4" t="str">
        <f>IFERROR(__xludf.DUMMYFUNCTION("""COMPUTED_VALUE"""),"宿泊施設は少し古いかもしれませんが、駅と空港に近いので便利です。")</f>
        <v>宿泊施設は少し古いかもしれませんが、駅と空港に近いので便利です。</v>
      </c>
      <c r="J28" s="4" t="str">
        <f>IFERROR(__xludf.DUMMYFUNCTION("""COMPUTED_VALUE"""),"")</f>
        <v/>
      </c>
      <c r="K28" s="4" t="str">
        <f>IFERROR(__xludf.DUMMYFUNCTION("""COMPUTED_VALUE"""),"")</f>
        <v/>
      </c>
      <c r="L28" s="4" t="str">
        <f>IFERROR(__xludf.DUMMYFUNCTION("""COMPUTED_VALUE"""),"ป‍อ‍ป‍ี‍้‍ย‍ิ‍้‍ม")</f>
        <v>ป‍อ‍ป‍ี‍้‍ย‍ิ‍้‍ม</v>
      </c>
      <c r="N28" s="20" t="b">
        <f>IFERROR(__xludf.DUMMYFUNCTION("""COMPUTED_VALUE"""),FALSE)</f>
        <v>0</v>
      </c>
      <c r="O28" s="18" t="str">
        <f>IFERROR(__xludf.DUMMYFUNCTION("""COMPUTED_VALUE"""),"Trip.com")</f>
        <v>Trip.com</v>
      </c>
      <c r="P28" s="20">
        <f>IFERROR(__xludf.DUMMYFUNCTION("""COMPUTED_VALUE"""),10.0)</f>
        <v>10</v>
      </c>
      <c r="Q28" s="21">
        <f>IFERROR(__xludf.DUMMYFUNCTION("""COMPUTED_VALUE"""),46115.0)</f>
        <v>46115</v>
      </c>
      <c r="R28"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28" s="20"/>
      <c r="T28" s="20"/>
      <c r="U28" s="20" t="str">
        <f>IFERROR(__xludf.DUMMYFUNCTION("""COMPUTED_VALUE"""),"宿泊施設は少し古いかもしれませんが、駅と空港に近いので便利です。")</f>
        <v>宿泊施設は少し古いかもしれませんが、駅と空港に近いので便利です。</v>
      </c>
      <c r="V28" s="20" t="str">
        <f>IFERROR(__xludf.DUMMYFUNCTION("""COMPUTED_VALUE"""),"")</f>
        <v/>
      </c>
      <c r="W28" s="20" t="str">
        <f>IFERROR(__xludf.DUMMYFUNCTION("""COMPUTED_VALUE"""),"")</f>
        <v/>
      </c>
      <c r="X28" s="20" t="str">
        <f>IFERROR(__xludf.DUMMYFUNCTION("""COMPUTED_VALUE"""),"ป‍อ‍ป‍ี‍้‍ย‍ิ‍้‍ม")</f>
        <v>ป‍อ‍ป‍ี‍้‍ย‍ิ‍้‍ม</v>
      </c>
    </row>
    <row r="29">
      <c r="B29" s="17" t="b">
        <f>IFERROR(__xludf.DUMMYFUNCTION("""COMPUTED_VALUE"""),FALSE)</f>
        <v>0</v>
      </c>
      <c r="C29" s="18" t="str">
        <f>IFERROR(__xludf.DUMMYFUNCTION("""COMPUTED_VALUE"""),"Trip.com")</f>
        <v>Trip.com</v>
      </c>
      <c r="D29" s="4">
        <f>IFERROR(__xludf.DUMMYFUNCTION("""COMPUTED_VALUE"""),10.0)</f>
        <v>10</v>
      </c>
      <c r="E29" s="19">
        <f>IFERROR(__xludf.DUMMYFUNCTION("""COMPUTED_VALUE"""),46114.0)</f>
        <v>46114</v>
      </c>
      <c r="F2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29" s="4"/>
      <c r="H29" s="4"/>
      <c r="I2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29" s="4" t="str">
        <f>IFERROR(__xludf.DUMMYFUNCTION("""COMPUTED_VALUE"""),"")</f>
        <v/>
      </c>
      <c r="K29" s="4" t="str">
        <f>IFERROR(__xludf.DUMMYFUNCTION("""COMPUTED_VALUE"""),"")</f>
        <v/>
      </c>
      <c r="L29" s="4" t="str">
        <f>IFERROR(__xludf.DUMMYFUNCTION("""COMPUTED_VALUE"""),"S‍Z‍4‍2‍5")</f>
        <v>S‍Z‍4‍2‍5</v>
      </c>
      <c r="N29" s="20" t="b">
        <f>IFERROR(__xludf.DUMMYFUNCTION("""COMPUTED_VALUE"""),FALSE)</f>
        <v>0</v>
      </c>
      <c r="O29" s="18" t="str">
        <f>IFERROR(__xludf.DUMMYFUNCTION("""COMPUTED_VALUE"""),"Trip.com")</f>
        <v>Trip.com</v>
      </c>
      <c r="P29" s="20">
        <f>IFERROR(__xludf.DUMMYFUNCTION("""COMPUTED_VALUE"""),10.0)</f>
        <v>10</v>
      </c>
      <c r="Q29" s="21">
        <f>IFERROR(__xludf.DUMMYFUNCTION("""COMPUTED_VALUE"""),46114.0)</f>
        <v>46114</v>
      </c>
      <c r="R29"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29" s="20"/>
      <c r="T29" s="20"/>
      <c r="U29"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29" s="20" t="str">
        <f>IFERROR(__xludf.DUMMYFUNCTION("""COMPUTED_VALUE"""),"")</f>
        <v/>
      </c>
      <c r="W29" s="20" t="str">
        <f>IFERROR(__xludf.DUMMYFUNCTION("""COMPUTED_VALUE"""),"")</f>
        <v/>
      </c>
      <c r="X29" s="20" t="str">
        <f>IFERROR(__xludf.DUMMYFUNCTION("""COMPUTED_VALUE"""),"S‍Z‍4‍2‍5")</f>
        <v>S‍Z‍4‍2‍5</v>
      </c>
    </row>
    <row r="30">
      <c r="B30" s="17" t="b">
        <f>IFERROR(__xludf.DUMMYFUNCTION("""COMPUTED_VALUE"""),FALSE)</f>
        <v>0</v>
      </c>
      <c r="C30" s="18" t="str">
        <f>IFERROR(__xludf.DUMMYFUNCTION("""COMPUTED_VALUE"""),"Trip.com")</f>
        <v>Trip.com</v>
      </c>
      <c r="D30" s="4">
        <f>IFERROR(__xludf.DUMMYFUNCTION("""COMPUTED_VALUE"""),9.0)</f>
        <v>9</v>
      </c>
      <c r="E30" s="19">
        <f>IFERROR(__xludf.DUMMYFUNCTION("""COMPUTED_VALUE"""),46114.0)</f>
        <v>46114</v>
      </c>
      <c r="F30" s="4" t="str">
        <f>IFERROR(__xludf.DUMMYFUNCTION("""COMPUTED_VALUE"""),"朝食サービスが内容、時間共に最高でした。 忙しい朝にぴったりでした！")</f>
        <v>朝食サービスが内容、時間共に最高でした。 忙しい朝にぴったりでした！</v>
      </c>
      <c r="G30" s="4"/>
      <c r="H30" s="4"/>
      <c r="I30" s="4" t="str">
        <f>IFERROR(__xludf.DUMMYFUNCTION("""COMPUTED_VALUE"""),"朝食サービスが内容、時間共に最高でした。 忙しい朝にぴったりでした！")</f>
        <v>朝食サービスが内容、時間共に最高でした。 忙しい朝にぴったりでした！</v>
      </c>
      <c r="J30" s="4" t="str">
        <f>IFERROR(__xludf.DUMMYFUNCTION("""COMPUTED_VALUE"""),"")</f>
        <v/>
      </c>
      <c r="K30" s="4" t="str">
        <f>IFERROR(__xludf.DUMMYFUNCTION("""COMPUTED_VALUE"""),"")</f>
        <v/>
      </c>
      <c r="L30" s="4" t="str">
        <f>IFERROR(__xludf.DUMMYFUNCTION("""COMPUTED_VALUE"""),"ゲ‍ス‍ト")</f>
        <v>ゲ‍ス‍ト</v>
      </c>
      <c r="N30" s="20" t="b">
        <f>IFERROR(__xludf.DUMMYFUNCTION("""COMPUTED_VALUE"""),FALSE)</f>
        <v>0</v>
      </c>
      <c r="O30" s="18" t="str">
        <f>IFERROR(__xludf.DUMMYFUNCTION("""COMPUTED_VALUE"""),"Trip.com")</f>
        <v>Trip.com</v>
      </c>
      <c r="P30" s="20">
        <f>IFERROR(__xludf.DUMMYFUNCTION("""COMPUTED_VALUE"""),9.0)</f>
        <v>9</v>
      </c>
      <c r="Q30" s="21">
        <f>IFERROR(__xludf.DUMMYFUNCTION("""COMPUTED_VALUE"""),46114.0)</f>
        <v>46114</v>
      </c>
      <c r="R30" s="20" t="str">
        <f>IFERROR(__xludf.DUMMYFUNCTION("""COMPUTED_VALUE"""),"朝食サービスが内容、時間共に最高でした。 忙しい朝にぴったりでした！")</f>
        <v>朝食サービスが内容、時間共に最高でした。 忙しい朝にぴったりでした！</v>
      </c>
      <c r="S30" s="20"/>
      <c r="T30" s="20"/>
      <c r="U30" s="20" t="str">
        <f>IFERROR(__xludf.DUMMYFUNCTION("""COMPUTED_VALUE"""),"朝食サービスが内容、時間共に最高でした。 忙しい朝にぴったりでした！")</f>
        <v>朝食サービスが内容、時間共に最高でした。 忙しい朝にぴったりでした！</v>
      </c>
      <c r="V30" s="20" t="str">
        <f>IFERROR(__xludf.DUMMYFUNCTION("""COMPUTED_VALUE"""),"")</f>
        <v/>
      </c>
      <c r="W30" s="20" t="str">
        <f>IFERROR(__xludf.DUMMYFUNCTION("""COMPUTED_VALUE"""),"")</f>
        <v/>
      </c>
      <c r="X30" s="20" t="str">
        <f>IFERROR(__xludf.DUMMYFUNCTION("""COMPUTED_VALUE"""),"ゲ‍ス‍ト")</f>
        <v>ゲ‍ス‍ト</v>
      </c>
    </row>
    <row r="31">
      <c r="B31" s="17" t="b">
        <f>IFERROR(__xludf.DUMMYFUNCTION("""COMPUTED_VALUE"""),FALSE)</f>
        <v>0</v>
      </c>
      <c r="C31" s="20" t="str">
        <f>IFERROR(__xludf.DUMMYFUNCTION("""COMPUTED_VALUE"""),"Google")</f>
        <v>Google</v>
      </c>
      <c r="D31" s="4">
        <f>IFERROR(__xludf.DUMMYFUNCTION("""COMPUTED_VALUE"""),4.0)</f>
        <v>4</v>
      </c>
      <c r="E31" s="19">
        <f>IFERROR(__xludf.DUMMYFUNCTION("""COMPUTED_VALUE"""),46114.0)</f>
        <v>46114</v>
      </c>
      <c r="F31" s="4" t="str">
        <f>IFERROR(__xludf.DUMMYFUNCTION("""COMPUTED_VALUE"""),"全体的には、まあまあです。")</f>
        <v>全体的には、まあまあです。</v>
      </c>
      <c r="G31" s="4"/>
      <c r="H31" s="4"/>
      <c r="I31" s="4" t="str">
        <f>IFERROR(__xludf.DUMMYFUNCTION("""COMPUTED_VALUE"""),"全体的には、まあまあです。")</f>
        <v>全体的には、まあまあです。</v>
      </c>
      <c r="J31" s="4" t="str">
        <f>IFERROR(__xludf.DUMMYFUNCTION("""COMPUTED_VALUE"""),"")</f>
        <v/>
      </c>
      <c r="K31" s="4" t="str">
        <f>IFERROR(__xludf.DUMMYFUNCTION("""COMPUTED_VALUE"""),"")</f>
        <v/>
      </c>
      <c r="L31" s="4" t="str">
        <f>IFERROR(__xludf.DUMMYFUNCTION("""COMPUTED_VALUE"""),"游俊廷")</f>
        <v>游俊廷</v>
      </c>
      <c r="N31" s="20" t="b">
        <f>IFERROR(__xludf.DUMMYFUNCTION("""COMPUTED_VALUE"""),FALSE)</f>
        <v>0</v>
      </c>
      <c r="O31" s="20" t="str">
        <f>IFERROR(__xludf.DUMMYFUNCTION("""COMPUTED_VALUE"""),"Google")</f>
        <v>Google</v>
      </c>
      <c r="P31" s="20">
        <f>IFERROR(__xludf.DUMMYFUNCTION("""COMPUTED_VALUE"""),4.0)</f>
        <v>4</v>
      </c>
      <c r="Q31" s="21">
        <f>IFERROR(__xludf.DUMMYFUNCTION("""COMPUTED_VALUE"""),46114.0)</f>
        <v>46114</v>
      </c>
      <c r="R31" s="20" t="str">
        <f>IFERROR(__xludf.DUMMYFUNCTION("""COMPUTED_VALUE"""),"全体的には、まあまあです。")</f>
        <v>全体的には、まあまあです。</v>
      </c>
      <c r="S31" s="20"/>
      <c r="T31" s="20"/>
      <c r="U31" s="20" t="str">
        <f>IFERROR(__xludf.DUMMYFUNCTION("""COMPUTED_VALUE"""),"全体的には、まあまあです。")</f>
        <v>全体的には、まあまあです。</v>
      </c>
      <c r="V31" s="20" t="str">
        <f>IFERROR(__xludf.DUMMYFUNCTION("""COMPUTED_VALUE"""),"")</f>
        <v/>
      </c>
      <c r="W31" s="20" t="str">
        <f>IFERROR(__xludf.DUMMYFUNCTION("""COMPUTED_VALUE"""),"")</f>
        <v/>
      </c>
      <c r="X31" s="20" t="str">
        <f>IFERROR(__xludf.DUMMYFUNCTION("""COMPUTED_VALUE"""),"游俊廷")</f>
        <v>游俊廷</v>
      </c>
    </row>
    <row r="32">
      <c r="B32" s="17" t="b">
        <f>IFERROR(__xludf.DUMMYFUNCTION("""COMPUTED_VALUE"""),FALSE)</f>
        <v>0</v>
      </c>
      <c r="C32" s="20" t="str">
        <f>IFERROR(__xludf.DUMMYFUNCTION("""COMPUTED_VALUE"""),"Google")</f>
        <v>Google</v>
      </c>
      <c r="D32" s="4">
        <f>IFERROR(__xludf.DUMMYFUNCTION("""COMPUTED_VALUE"""),4.0)</f>
        <v>4</v>
      </c>
      <c r="E32" s="19">
        <f>IFERROR(__xludf.DUMMYFUNCTION("""COMPUTED_VALUE"""),46114.0)</f>
        <v>46114</v>
      </c>
      <c r="F32" s="4" t="str">
        <f>IFERROR(__xludf.DUMMYFUNCTION("""COMPUTED_VALUE"""),"整體來說 還OK")</f>
        <v>整體來說 還OK</v>
      </c>
      <c r="G32" s="4"/>
      <c r="H32" s="4"/>
      <c r="I32" s="4" t="str">
        <f>IFERROR(__xludf.DUMMYFUNCTION("""COMPUTED_VALUE"""),"全体的には、まあまあです。")</f>
        <v>全体的には、まあまあです。</v>
      </c>
      <c r="J32" s="4" t="str">
        <f>IFERROR(__xludf.DUMMYFUNCTION("""COMPUTED_VALUE"""),"")</f>
        <v/>
      </c>
      <c r="K32" s="4" t="str">
        <f>IFERROR(__xludf.DUMMYFUNCTION("""COMPUTED_VALUE"""),"")</f>
        <v/>
      </c>
      <c r="L32" s="4" t="str">
        <f>IFERROR(__xludf.DUMMYFUNCTION("""COMPUTED_VALUE"""),"游俊廷")</f>
        <v>游俊廷</v>
      </c>
      <c r="N32" s="20" t="b">
        <f>IFERROR(__xludf.DUMMYFUNCTION("""COMPUTED_VALUE"""),FALSE)</f>
        <v>0</v>
      </c>
      <c r="O32" s="20" t="str">
        <f>IFERROR(__xludf.DUMMYFUNCTION("""COMPUTED_VALUE"""),"Google")</f>
        <v>Google</v>
      </c>
      <c r="P32" s="20">
        <f>IFERROR(__xludf.DUMMYFUNCTION("""COMPUTED_VALUE"""),4.0)</f>
        <v>4</v>
      </c>
      <c r="Q32" s="21">
        <f>IFERROR(__xludf.DUMMYFUNCTION("""COMPUTED_VALUE"""),46114.0)</f>
        <v>46114</v>
      </c>
      <c r="R32" s="20" t="str">
        <f>IFERROR(__xludf.DUMMYFUNCTION("""COMPUTED_VALUE"""),"整體來說 還OK")</f>
        <v>整體來說 還OK</v>
      </c>
      <c r="S32" s="20"/>
      <c r="T32" s="20"/>
      <c r="U32" s="20" t="str">
        <f>IFERROR(__xludf.DUMMYFUNCTION("""COMPUTED_VALUE"""),"全体的には、まあまあです。")</f>
        <v>全体的には、まあまあです。</v>
      </c>
      <c r="V32" s="20" t="str">
        <f>IFERROR(__xludf.DUMMYFUNCTION("""COMPUTED_VALUE"""),"")</f>
        <v/>
      </c>
      <c r="W32" s="20" t="str">
        <f>IFERROR(__xludf.DUMMYFUNCTION("""COMPUTED_VALUE"""),"")</f>
        <v/>
      </c>
      <c r="X32" s="20" t="str">
        <f>IFERROR(__xludf.DUMMYFUNCTION("""COMPUTED_VALUE"""),"游俊廷")</f>
        <v>游俊廷</v>
      </c>
    </row>
    <row r="33">
      <c r="B33" s="17" t="b">
        <f>IFERROR(__xludf.DUMMYFUNCTION("""COMPUTED_VALUE"""),FALSE)</f>
        <v>0</v>
      </c>
      <c r="C33" s="20" t="str">
        <f>IFERROR(__xludf.DUMMYFUNCTION("""COMPUTED_VALUE"""),"Google")</f>
        <v>Google</v>
      </c>
      <c r="D33" s="4">
        <f>IFERROR(__xludf.DUMMYFUNCTION("""COMPUTED_VALUE"""),5.0)</f>
        <v>5</v>
      </c>
      <c r="E33" s="19">
        <f>IFERROR(__xludf.DUMMYFUNCTION("""COMPUTED_VALUE"""),46113.0)</f>
        <v>46113</v>
      </c>
      <c r="F33"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3" s="4"/>
      <c r="H33" s="4"/>
      <c r="I33"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3" s="4" t="str">
        <f>IFERROR(__xludf.DUMMYFUNCTION("""COMPUTED_VALUE"""),"")</f>
        <v/>
      </c>
      <c r="K33" s="4" t="str">
        <f>IFERROR(__xludf.DUMMYFUNCTION("""COMPUTED_VALUE"""),"")</f>
        <v/>
      </c>
      <c r="L33" s="4" t="str">
        <f>IFERROR(__xludf.DUMMYFUNCTION("""COMPUTED_VALUE"""),"Mark Shimei")</f>
        <v>Mark Shimei</v>
      </c>
      <c r="N33" s="20" t="b">
        <f>IFERROR(__xludf.DUMMYFUNCTION("""COMPUTED_VALUE"""),FALSE)</f>
        <v>0</v>
      </c>
      <c r="O33" s="20" t="str">
        <f>IFERROR(__xludf.DUMMYFUNCTION("""COMPUTED_VALUE"""),"Google")</f>
        <v>Google</v>
      </c>
      <c r="P33" s="20">
        <f>IFERROR(__xludf.DUMMYFUNCTION("""COMPUTED_VALUE"""),5.0)</f>
        <v>5</v>
      </c>
      <c r="Q33" s="21">
        <f>IFERROR(__xludf.DUMMYFUNCTION("""COMPUTED_VALUE"""),46113.0)</f>
        <v>46113</v>
      </c>
      <c r="R33"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3" s="20"/>
      <c r="T33" s="20"/>
      <c r="U33"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3" s="20" t="str">
        <f>IFERROR(__xludf.DUMMYFUNCTION("""COMPUTED_VALUE"""),"")</f>
        <v/>
      </c>
      <c r="W33" s="20" t="str">
        <f>IFERROR(__xludf.DUMMYFUNCTION("""COMPUTED_VALUE"""),"")</f>
        <v/>
      </c>
      <c r="X33" s="20" t="str">
        <f>IFERROR(__xludf.DUMMYFUNCTION("""COMPUTED_VALUE"""),"Mark Shimei")</f>
        <v>Mark Shimei</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IFERROR(__xludf.DUMMYFUNCTION("""COMPUTED_VALUE"""),46113.0)</f>
        <v>46113</v>
      </c>
      <c r="F34"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34" s="4"/>
      <c r="H34" s="4"/>
      <c r="I34"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34" s="4" t="str">
        <f>IFERROR(__xludf.DUMMYFUNCTION("""COMPUTED_VALUE"""),"")</f>
        <v/>
      </c>
      <c r="K34" s="4" t="str">
        <f>IFERROR(__xludf.DUMMYFUNCTION("""COMPUTED_VALUE"""),"")</f>
        <v/>
      </c>
      <c r="L34" s="4" t="str">
        <f>IFERROR(__xludf.DUMMYFUNCTION("""COMPUTED_VALUE"""),"T‍e‍o‍ ‍T")</f>
        <v>T‍e‍o‍ ‍T</v>
      </c>
      <c r="N34" s="20" t="b">
        <f>IFERROR(__xludf.DUMMYFUNCTION("""COMPUTED_VALUE"""),FALSE)</f>
        <v>0</v>
      </c>
      <c r="O34" s="18" t="str">
        <f>IFERROR(__xludf.DUMMYFUNCTION("""COMPUTED_VALUE"""),"Trip.com")</f>
        <v>Trip.com</v>
      </c>
      <c r="P34" s="20">
        <f>IFERROR(__xludf.DUMMYFUNCTION("""COMPUTED_VALUE"""),10.0)</f>
        <v>10</v>
      </c>
      <c r="Q34" s="21">
        <f>IFERROR(__xludf.DUMMYFUNCTION("""COMPUTED_VALUE"""),46113.0)</f>
        <v>46113</v>
      </c>
      <c r="R34"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34" s="20"/>
      <c r="T34" s="20"/>
      <c r="U34"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34" s="20" t="str">
        <f>IFERROR(__xludf.DUMMYFUNCTION("""COMPUTED_VALUE"""),"")</f>
        <v/>
      </c>
      <c r="W34" s="20" t="str">
        <f>IFERROR(__xludf.DUMMYFUNCTION("""COMPUTED_VALUE"""),"")</f>
        <v/>
      </c>
      <c r="X34" s="20" t="str">
        <f>IFERROR(__xludf.DUMMYFUNCTION("""COMPUTED_VALUE"""),"T‍e‍o‍ ‍T")</f>
        <v>T‍e‍o‍ ‍T</v>
      </c>
    </row>
    <row r="35">
      <c r="B35" s="17" t="b">
        <f>IFERROR(__xludf.DUMMYFUNCTION("""COMPUTED_VALUE"""),FALSE)</f>
        <v>0</v>
      </c>
      <c r="C35" s="18" t="str">
        <f>IFERROR(__xludf.DUMMYFUNCTION("""COMPUTED_VALUE"""),"Booking.com")</f>
        <v>Booking.com</v>
      </c>
      <c r="D35" s="4">
        <f>IFERROR(__xludf.DUMMYFUNCTION("""COMPUTED_VALUE"""),8.0)</f>
        <v>8</v>
      </c>
      <c r="E35" s="19">
        <f>IFERROR(__xludf.DUMMYFUNCTION("""COMPUTED_VALUE"""),46113.0)</f>
        <v>46113</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IFERROR(__xludf.DUMMYFUNCTION("""COMPUTED_VALUE"""),"Kawi")</f>
        <v>Kawi</v>
      </c>
      <c r="N35" s="20" t="b">
        <f>IFERROR(__xludf.DUMMYFUNCTION("""COMPUTED_VALUE"""),FALSE)</f>
        <v>0</v>
      </c>
      <c r="O35" s="18" t="str">
        <f>IFERROR(__xludf.DUMMYFUNCTION("""COMPUTED_VALUE"""),"Booking.com")</f>
        <v>Booking.com</v>
      </c>
      <c r="P35" s="20">
        <f>IFERROR(__xludf.DUMMYFUNCTION("""COMPUTED_VALUE"""),8.0)</f>
        <v>8</v>
      </c>
      <c r="Q35" s="21">
        <f>IFERROR(__xludf.DUMMYFUNCTION("""COMPUTED_VALUE"""),46113.0)</f>
        <v>46113</v>
      </c>
      <c r="R35" s="20"/>
      <c r="S35" s="20"/>
      <c r="T35" s="20"/>
      <c r="U35" s="20" t="str">
        <f>IFERROR(__xludf.DUMMYFUNCTION("""COMPUTED_VALUE"""),"")</f>
        <v/>
      </c>
      <c r="V35" s="20" t="str">
        <f>IFERROR(__xludf.DUMMYFUNCTION("""COMPUTED_VALUE"""),"")</f>
        <v/>
      </c>
      <c r="W35" s="20" t="str">
        <f>IFERROR(__xludf.DUMMYFUNCTION("""COMPUTED_VALUE"""),"")</f>
        <v/>
      </c>
      <c r="X35" s="20" t="str">
        <f>IFERROR(__xludf.DUMMYFUNCTION("""COMPUTED_VALUE"""),"Kawi")</f>
        <v>Kawi</v>
      </c>
    </row>
    <row r="36">
      <c r="B36" s="17" t="b">
        <f>IFERROR(__xludf.DUMMYFUNCTION("""COMPUTED_VALUE"""),FALSE)</f>
        <v>0</v>
      </c>
      <c r="C36" s="18" t="str">
        <f>IFERROR(__xludf.DUMMYFUNCTION("""COMPUTED_VALUE"""),"Booking.com")</f>
        <v>Booking.com</v>
      </c>
      <c r="D36" s="4">
        <f>IFERROR(__xludf.DUMMYFUNCTION("""COMPUTED_VALUE"""),9.0)</f>
        <v>9</v>
      </c>
      <c r="E36" s="19">
        <f>IFERROR(__xludf.DUMMYFUNCTION("""COMPUTED_VALUE"""),46113.0)</f>
        <v>46113</v>
      </c>
      <c r="F36" s="4"/>
      <c r="G36"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36" s="4" t="str">
        <f>IFERROR(__xludf.DUMMYFUNCTION("""COMPUTED_VALUE"""),"Nulla da segnalare")</f>
        <v>Nulla da segnalare</v>
      </c>
      <c r="I36" s="4" t="str">
        <f>IFERROR(__xludf.DUMMYFUNCTION("""COMPUTED_VALUE"""),"")</f>
        <v/>
      </c>
      <c r="J36"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36" s="4" t="str">
        <f>IFERROR(__xludf.DUMMYFUNCTION("""COMPUTED_VALUE"""),"報告事項なし")</f>
        <v>報告事項なし</v>
      </c>
      <c r="L36" s="4" t="str">
        <f>IFERROR(__xludf.DUMMYFUNCTION("""COMPUTED_VALUE"""),"Elena")</f>
        <v>Elena</v>
      </c>
      <c r="N36" s="20" t="b">
        <f>IFERROR(__xludf.DUMMYFUNCTION("""COMPUTED_VALUE"""),FALSE)</f>
        <v>0</v>
      </c>
      <c r="O36" s="18" t="str">
        <f>IFERROR(__xludf.DUMMYFUNCTION("""COMPUTED_VALUE"""),"Booking.com")</f>
        <v>Booking.com</v>
      </c>
      <c r="P36" s="20">
        <f>IFERROR(__xludf.DUMMYFUNCTION("""COMPUTED_VALUE"""),9.0)</f>
        <v>9</v>
      </c>
      <c r="Q36" s="21">
        <f>IFERROR(__xludf.DUMMYFUNCTION("""COMPUTED_VALUE"""),46113.0)</f>
        <v>46113</v>
      </c>
      <c r="R36" s="20"/>
      <c r="S36"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36" s="20" t="str">
        <f>IFERROR(__xludf.DUMMYFUNCTION("""COMPUTED_VALUE"""),"Nulla da segnalare")</f>
        <v>Nulla da segnalare</v>
      </c>
      <c r="U36" s="20" t="str">
        <f>IFERROR(__xludf.DUMMYFUNCTION("""COMPUTED_VALUE"""),"")</f>
        <v/>
      </c>
      <c r="V36"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36" s="20" t="str">
        <f>IFERROR(__xludf.DUMMYFUNCTION("""COMPUTED_VALUE"""),"報告事項なし")</f>
        <v>報告事項なし</v>
      </c>
      <c r="X36" s="20" t="str">
        <f>IFERROR(__xludf.DUMMYFUNCTION("""COMPUTED_VALUE"""),"Elena")</f>
        <v>Elena</v>
      </c>
    </row>
    <row r="37">
      <c r="B37" s="17" t="b">
        <f>IFERROR(__xludf.DUMMYFUNCTION("""COMPUTED_VALUE"""),FALSE)</f>
        <v>0</v>
      </c>
      <c r="C37" s="20" t="str">
        <f>IFERROR(__xludf.DUMMYFUNCTION("""COMPUTED_VALUE"""),"Google")</f>
        <v>Google</v>
      </c>
      <c r="D37" s="4">
        <f>IFERROR(__xludf.DUMMYFUNCTION("""COMPUTED_VALUE"""),5.0)</f>
        <v>5</v>
      </c>
      <c r="E37" s="19">
        <f>IFERROR(__xludf.DUMMYFUNCTION("""COMPUTED_VALUE"""),46113.0)</f>
        <v>46113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IFERROR(__xludf.DUMMYFUNCTION("""COMPUTED_VALUE"""),"Krishna Karnadi")</f>
        <v>Krishna Karnadi</v>
      </c>
      <c r="N37" s="20" t="b">
        <f>IFERROR(__xludf.DUMMYFUNCTION("""COMPUTED_VALUE"""),FALSE)</f>
        <v>0</v>
      </c>
      <c r="O37" s="20" t="str">
        <f>IFERROR(__xludf.DUMMYFUNCTION("""COMPUTED_VALUE"""),"Google")</f>
        <v>Google</v>
      </c>
      <c r="P37" s="20">
        <f>IFERROR(__xludf.DUMMYFUNCTION("""COMPUTED_VALUE"""),5.0)</f>
        <v>5</v>
      </c>
      <c r="Q37" s="21">
        <f>IFERROR(__xludf.DUMMYFUNCTION("""COMPUTED_VALUE"""),46113.0)</f>
        <v>46113</v>
      </c>
      <c r="R37" s="20"/>
      <c r="S37" s="20"/>
      <c r="T37" s="20"/>
      <c r="U37" s="20" t="str">
        <f>IFERROR(__xludf.DUMMYFUNCTION("""COMPUTED_VALUE"""),"")</f>
        <v/>
      </c>
      <c r="V37" s="20" t="str">
        <f>IFERROR(__xludf.DUMMYFUNCTION("""COMPUTED_VALUE"""),"")</f>
        <v/>
      </c>
      <c r="W37" s="20" t="str">
        <f>IFERROR(__xludf.DUMMYFUNCTION("""COMPUTED_VALUE"""),"")</f>
        <v/>
      </c>
      <c r="X37" s="20" t="str">
        <f>IFERROR(__xludf.DUMMYFUNCTION("""COMPUTED_VALUE"""),"Krishna Karnadi")</f>
        <v>Krishna Karnadi</v>
      </c>
    </row>
    <row r="38">
      <c r="B38" s="17" t="b">
        <f>IFERROR(__xludf.DUMMYFUNCTION("""COMPUTED_VALUE"""),FALSE)</f>
        <v>0</v>
      </c>
      <c r="C38" s="20" t="str">
        <f>IFERROR(__xludf.DUMMYFUNCTION("""COMPUTED_VALUE"""),"Google")</f>
        <v>Google</v>
      </c>
      <c r="D38" s="4">
        <f>IFERROR(__xludf.DUMMYFUNCTION("""COMPUTED_VALUE"""),5.0)</f>
        <v>5</v>
      </c>
      <c r="E38" s="19">
        <f>IFERROR(__xludf.DUMMYFUNCTION("""COMPUTED_VALUE"""),46113.0)</f>
        <v>46113</v>
      </c>
      <c r="F3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38" s="4"/>
      <c r="H38" s="4"/>
      <c r="I3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8" s="4" t="str">
        <f>IFERROR(__xludf.DUMMYFUNCTION("""COMPUTED_VALUE"""),"")</f>
        <v/>
      </c>
      <c r="K38" s="4" t="str">
        <f>IFERROR(__xludf.DUMMYFUNCTION("""COMPUTED_VALUE"""),"")</f>
        <v/>
      </c>
      <c r="L38" s="4" t="str">
        <f>IFERROR(__xludf.DUMMYFUNCTION("""COMPUTED_VALUE"""),"Mark Shimei")</f>
        <v>Mark Shimei</v>
      </c>
      <c r="N38" s="20" t="b">
        <f>IFERROR(__xludf.DUMMYFUNCTION("""COMPUTED_VALUE"""),FALSE)</f>
        <v>0</v>
      </c>
      <c r="O38" s="20" t="str">
        <f>IFERROR(__xludf.DUMMYFUNCTION("""COMPUTED_VALUE"""),"Google")</f>
        <v>Google</v>
      </c>
      <c r="P38" s="20">
        <f>IFERROR(__xludf.DUMMYFUNCTION("""COMPUTED_VALUE"""),5.0)</f>
        <v>5</v>
      </c>
      <c r="Q38" s="21">
        <f>IFERROR(__xludf.DUMMYFUNCTION("""COMPUTED_VALUE"""),46113.0)</f>
        <v>46113</v>
      </c>
      <c r="R38"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38" s="20"/>
      <c r="T38" s="20"/>
      <c r="U38"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8" s="20" t="str">
        <f>IFERROR(__xludf.DUMMYFUNCTION("""COMPUTED_VALUE"""),"")</f>
        <v/>
      </c>
      <c r="W38" s="20" t="str">
        <f>IFERROR(__xludf.DUMMYFUNCTION("""COMPUTED_VALUE"""),"")</f>
        <v/>
      </c>
      <c r="X38" s="20" t="str">
        <f>IFERROR(__xludf.DUMMYFUNCTION("""COMPUTED_VALUE"""),"Mark Shimei")</f>
        <v>Mark Shimei</v>
      </c>
    </row>
    <row r="39">
      <c r="B39" s="17" t="b">
        <f>IFERROR(__xludf.DUMMYFUNCTION("""COMPUTED_VALUE"""),FALSE)</f>
        <v>0</v>
      </c>
      <c r="C39" s="20" t="str">
        <f>IFERROR(__xludf.DUMMYFUNCTION("""COMPUTED_VALUE"""),"Google")</f>
        <v>Google</v>
      </c>
      <c r="D39" s="4">
        <f>IFERROR(__xludf.DUMMYFUNCTION("""COMPUTED_VALUE"""),4.0)</f>
        <v>4</v>
      </c>
      <c r="E39" s="19">
        <f>IFERROR(__xludf.DUMMYFUNCTION("""COMPUTED_VALUE"""),46112.0)</f>
        <v>46112</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IFERROR(__xludf.DUMMYFUNCTION("""COMPUTED_VALUE"""),"かわいかつひろ")</f>
        <v>かわいかつひろ</v>
      </c>
      <c r="N39" s="20"/>
      <c r="O39" s="20"/>
      <c r="P39" s="20"/>
      <c r="Q39" s="20"/>
      <c r="R39" s="20"/>
      <c r="S39" s="20"/>
      <c r="T39" s="20"/>
      <c r="U39" s="20"/>
      <c r="V39" s="20"/>
      <c r="W39" s="20"/>
      <c r="X39" s="20"/>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IFERROR(__xludf.DUMMYFUNCTION("""COMPUTED_VALUE"""),46112.0)</f>
        <v>46112</v>
      </c>
      <c r="F40"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0" s="4"/>
      <c r="H40" s="4"/>
      <c r="I40"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0" s="4" t="str">
        <f>IFERROR(__xludf.DUMMYFUNCTION("""COMPUTED_VALUE"""),"")</f>
        <v/>
      </c>
      <c r="K40" s="4" t="str">
        <f>IFERROR(__xludf.DUMMYFUNCTION("""COMPUTED_VALUE"""),"")</f>
        <v/>
      </c>
      <c r="L40" s="4" t="str">
        <f>IFERROR(__xludf.DUMMYFUNCTION("""COMPUTED_VALUE"""),"S‍y‍a‍m‍r‍a‍t‍u‍l‍ ‍F‍u‍a‍d‍y")</f>
        <v>S‍y‍a‍m‍r‍a‍t‍u‍l‍ ‍F‍u‍a‍d‍y</v>
      </c>
      <c r="N40" s="20"/>
      <c r="O40" s="20"/>
      <c r="P40" s="20"/>
      <c r="Q40" s="20"/>
      <c r="R40" s="20"/>
      <c r="S40" s="20"/>
      <c r="T40" s="20"/>
      <c r="U40" s="20"/>
      <c r="V40" s="20"/>
      <c r="W40" s="20"/>
      <c r="X40" s="20"/>
    </row>
    <row r="41">
      <c r="B41" s="17" t="b">
        <f>IFERROR(__xludf.DUMMYFUNCTION("""COMPUTED_VALUE"""),FALSE)</f>
        <v>0</v>
      </c>
      <c r="C41" s="20" t="str">
        <f>IFERROR(__xludf.DUMMYFUNCTION("""COMPUTED_VALUE"""),"Agoda")</f>
        <v>Agoda</v>
      </c>
      <c r="D41" s="4">
        <f>IFERROR(__xludf.DUMMYFUNCTION("""COMPUTED_VALUE"""),8.0)</f>
        <v>8</v>
      </c>
      <c r="E41" s="19">
        <f>IFERROR(__xludf.DUMMYFUNCTION("""COMPUTED_VALUE"""),46112.0)</f>
        <v>46112</v>
      </c>
      <c r="F4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1" s="4"/>
      <c r="H41" s="4"/>
      <c r="I4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1" s="4" t="str">
        <f>IFERROR(__xludf.DUMMYFUNCTION("""COMPUTED_VALUE"""),"")</f>
        <v/>
      </c>
      <c r="K41" s="4" t="str">
        <f>IFERROR(__xludf.DUMMYFUNCTION("""COMPUTED_VALUE"""),"")</f>
        <v/>
      </c>
      <c r="L41" s="4" t="str">
        <f>IFERROR(__xludf.DUMMYFUNCTION("""COMPUTED_VALUE"""),"一吉")</f>
        <v>一吉</v>
      </c>
      <c r="N41" s="20"/>
      <c r="O41" s="20"/>
      <c r="P41" s="20"/>
      <c r="Q41" s="20"/>
      <c r="R41" s="20"/>
      <c r="S41" s="20"/>
      <c r="T41" s="20"/>
      <c r="U41" s="20"/>
      <c r="V41" s="20"/>
      <c r="W41" s="20"/>
      <c r="X41" s="20"/>
    </row>
    <row r="42">
      <c r="B42" s="17" t="b">
        <f>IFERROR(__xludf.DUMMYFUNCTION("""COMPUTED_VALUE"""),FALSE)</f>
        <v>0</v>
      </c>
      <c r="C42" s="18" t="str">
        <f>IFERROR(__xludf.DUMMYFUNCTION("""COMPUTED_VALUE"""),"Booking.com")</f>
        <v>Booking.com</v>
      </c>
      <c r="D42" s="4">
        <f>IFERROR(__xludf.DUMMYFUNCTION("""COMPUTED_VALUE"""),3.0)</f>
        <v>3</v>
      </c>
      <c r="E42" s="19">
        <f>IFERROR(__xludf.DUMMYFUNCTION("""COMPUTED_VALUE"""),46111.0)</f>
        <v>46111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IFERROR(__xludf.DUMMYFUNCTION("""COMPUTED_VALUE"""),"Yoshio")</f>
        <v>Yoshio</v>
      </c>
      <c r="N42" s="20"/>
      <c r="O42" s="20"/>
      <c r="P42" s="20"/>
      <c r="Q42" s="20"/>
      <c r="R42" s="20"/>
      <c r="S42" s="20"/>
      <c r="T42" s="20"/>
      <c r="U42" s="20"/>
      <c r="V42" s="20"/>
      <c r="W42" s="20"/>
      <c r="X42" s="20"/>
    </row>
    <row r="43">
      <c r="B43" s="17" t="b">
        <f>IFERROR(__xludf.DUMMYFUNCTION("""COMPUTED_VALUE"""),FALSE)</f>
        <v>0</v>
      </c>
      <c r="C43" s="18" t="str">
        <f>IFERROR(__xludf.DUMMYFUNCTION("""COMPUTED_VALUE"""),"Trip.com")</f>
        <v>Trip.com</v>
      </c>
      <c r="D43" s="4">
        <f>IFERROR(__xludf.DUMMYFUNCTION("""COMPUTED_VALUE"""),10.0)</f>
        <v>10</v>
      </c>
      <c r="E43" s="19">
        <f>IFERROR(__xludf.DUMMYFUNCTION("""COMPUTED_VALUE"""),46111.0)</f>
        <v>46111</v>
      </c>
      <c r="F43" s="4" t="str">
        <f>IFERROR(__xludf.DUMMYFUNCTION("""COMPUTED_VALUE"""),"👍👍👍👍👍")</f>
        <v>👍👍👍👍👍</v>
      </c>
      <c r="G43" s="4"/>
      <c r="H43" s="4"/>
      <c r="I43" s="4" t="str">
        <f>IFERROR(__xludf.DUMMYFUNCTION("""COMPUTED_VALUE"""),"👍👍👍👍👍")</f>
        <v>👍👍👍👍👍</v>
      </c>
      <c r="J43" s="4" t="str">
        <f>IFERROR(__xludf.DUMMYFUNCTION("""COMPUTED_VALUE"""),"")</f>
        <v/>
      </c>
      <c r="K43" s="4" t="str">
        <f>IFERROR(__xludf.DUMMYFUNCTION("""COMPUTED_VALUE"""),"")</f>
        <v/>
      </c>
      <c r="L43" s="4" t="str">
        <f>IFERROR(__xludf.DUMMYFUNCTION("""COMPUTED_VALUE"""),"ゲ‍ス‍ト")</f>
        <v>ゲ‍ス‍ト</v>
      </c>
      <c r="N43" s="20"/>
      <c r="O43" s="20"/>
      <c r="P43" s="20"/>
      <c r="Q43" s="20"/>
      <c r="R43" s="20"/>
      <c r="S43" s="20"/>
      <c r="T43" s="20"/>
      <c r="U43" s="20"/>
      <c r="V43" s="20"/>
      <c r="W43" s="20"/>
      <c r="X43" s="20"/>
    </row>
    <row r="44">
      <c r="B44" s="17" t="b">
        <f>IFERROR(__xludf.DUMMYFUNCTION("""COMPUTED_VALUE"""),FALSE)</f>
        <v>0</v>
      </c>
      <c r="C44" s="18" t="str">
        <f>IFERROR(__xludf.DUMMYFUNCTION("""COMPUTED_VALUE"""),"Booking.com")</f>
        <v>Booking.com</v>
      </c>
      <c r="D44" s="4">
        <f>IFERROR(__xludf.DUMMYFUNCTION("""COMPUTED_VALUE"""),8.0)</f>
        <v>8</v>
      </c>
      <c r="E44" s="19">
        <f>IFERROR(__xludf.DUMMYFUNCTION("""COMPUTED_VALUE"""),46111.0)</f>
        <v>46111</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IFERROR(__xludf.DUMMYFUNCTION("""COMPUTED_VALUE"""),"Diana")</f>
        <v>Diana</v>
      </c>
      <c r="N44" s="20"/>
      <c r="O44" s="20"/>
      <c r="P44" s="20"/>
      <c r="Q44" s="20"/>
      <c r="R44" s="20"/>
      <c r="S44" s="20"/>
      <c r="T44" s="20"/>
      <c r="U44" s="20"/>
      <c r="V44" s="20"/>
      <c r="W44" s="20"/>
      <c r="X44" s="20"/>
    </row>
    <row r="45">
      <c r="B45" s="17" t="b">
        <f>IFERROR(__xludf.DUMMYFUNCTION("""COMPUTED_VALUE"""),FALSE)</f>
        <v>0</v>
      </c>
      <c r="C45" s="20" t="str">
        <f>IFERROR(__xludf.DUMMYFUNCTION("""COMPUTED_VALUE"""),"じゃらん")</f>
        <v>じゃらん</v>
      </c>
      <c r="D45" s="4">
        <f>IFERROR(__xludf.DUMMYFUNCTION("""COMPUTED_VALUE"""),5.0)</f>
        <v>5</v>
      </c>
      <c r="E45" s="19">
        <f>IFERROR(__xludf.DUMMYFUNCTION("""COMPUTED_VALUE"""),46111.0)</f>
        <v>46111</v>
      </c>
      <c r="F4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45" s="4"/>
      <c r="H45" s="4"/>
      <c r="I4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45" s="4" t="str">
        <f>IFERROR(__xludf.DUMMYFUNCTION("""COMPUTED_VALUE"""),"")</f>
        <v/>
      </c>
      <c r="K45" s="4" t="str">
        <f>IFERROR(__xludf.DUMMYFUNCTION("""COMPUTED_VALUE"""),"")</f>
        <v/>
      </c>
      <c r="L45" s="4" t="str">
        <f>IFERROR(__xludf.DUMMYFUNCTION("""COMPUTED_VALUE"""),"ぼらさん")</f>
        <v>ぼらさん</v>
      </c>
      <c r="N45" s="20"/>
      <c r="O45" s="20"/>
      <c r="P45" s="20"/>
      <c r="Q45" s="20"/>
      <c r="R45" s="20"/>
      <c r="S45" s="20"/>
      <c r="T45" s="20"/>
      <c r="U45" s="20"/>
      <c r="V45" s="20"/>
      <c r="W45" s="20"/>
      <c r="X45" s="20"/>
    </row>
    <row r="46">
      <c r="B46" s="17" t="b">
        <f>IFERROR(__xludf.DUMMYFUNCTION("""COMPUTED_VALUE"""),FALSE)</f>
        <v>0</v>
      </c>
      <c r="C46" s="20" t="str">
        <f>IFERROR(__xludf.DUMMYFUNCTION("""COMPUTED_VALUE"""),"じゃらん")</f>
        <v>じゃらん</v>
      </c>
      <c r="D46" s="4">
        <f>IFERROR(__xludf.DUMMYFUNCTION("""COMPUTED_VALUE"""),4.0)</f>
        <v>4</v>
      </c>
      <c r="E46" s="19">
        <f>IFERROR(__xludf.DUMMYFUNCTION("""COMPUTED_VALUE"""),46111.0)</f>
        <v>46111</v>
      </c>
      <c r="F4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46" s="4"/>
      <c r="H46" s="4"/>
      <c r="I4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46" s="4" t="str">
        <f>IFERROR(__xludf.DUMMYFUNCTION("""COMPUTED_VALUE"""),"")</f>
        <v/>
      </c>
      <c r="K46" s="4" t="str">
        <f>IFERROR(__xludf.DUMMYFUNCTION("""COMPUTED_VALUE"""),"")</f>
        <v/>
      </c>
      <c r="L46" s="4" t="str">
        <f>IFERROR(__xludf.DUMMYFUNCTION("""COMPUTED_VALUE"""),"Yangさん")</f>
        <v>Yangさん</v>
      </c>
      <c r="N46" s="20"/>
      <c r="O46" s="20"/>
      <c r="P46" s="20"/>
      <c r="Q46" s="20"/>
      <c r="R46" s="20"/>
      <c r="S46" s="20"/>
      <c r="T46" s="20"/>
      <c r="U46" s="20"/>
      <c r="V46" s="20"/>
      <c r="W46" s="20"/>
      <c r="X46" s="20"/>
    </row>
    <row r="47">
      <c r="B47" s="17" t="b">
        <f>IFERROR(__xludf.DUMMYFUNCTION("""COMPUTED_VALUE"""),FALSE)</f>
        <v>0</v>
      </c>
      <c r="C47" s="20" t="str">
        <f>IFERROR(__xludf.DUMMYFUNCTION("""COMPUTED_VALUE"""),"じゃらん")</f>
        <v>じゃらん</v>
      </c>
      <c r="D47" s="4">
        <f>IFERROR(__xludf.DUMMYFUNCTION("""COMPUTED_VALUE"""),4.0)</f>
        <v>4</v>
      </c>
      <c r="E47" s="19">
        <f>IFERROR(__xludf.DUMMYFUNCTION("""COMPUTED_VALUE"""),46111.0)</f>
        <v>46111</v>
      </c>
      <c r="F4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47" s="4"/>
      <c r="H47" s="4"/>
      <c r="I4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47" s="4" t="str">
        <f>IFERROR(__xludf.DUMMYFUNCTION("""COMPUTED_VALUE"""),"")</f>
        <v/>
      </c>
      <c r="K47" s="4" t="str">
        <f>IFERROR(__xludf.DUMMYFUNCTION("""COMPUTED_VALUE"""),"")</f>
        <v/>
      </c>
      <c r="L47" s="4" t="str">
        <f>IFERROR(__xludf.DUMMYFUNCTION("""COMPUTED_VALUE"""),"Yangさん")</f>
        <v>Yangさん</v>
      </c>
      <c r="N47" s="20"/>
      <c r="O47" s="20"/>
      <c r="P47" s="20"/>
      <c r="Q47" s="20"/>
      <c r="R47" s="20"/>
      <c r="S47" s="20"/>
      <c r="T47" s="20"/>
      <c r="U47" s="20"/>
      <c r="V47" s="20"/>
      <c r="W47" s="20"/>
      <c r="X47" s="20"/>
    </row>
    <row r="48">
      <c r="B48" s="17" t="b">
        <f>IFERROR(__xludf.DUMMYFUNCTION("""COMPUTED_VALUE"""),FALSE)</f>
        <v>0</v>
      </c>
      <c r="C48" s="20" t="str">
        <f>IFERROR(__xludf.DUMMYFUNCTION("""COMPUTED_VALUE"""),"じゃらん")</f>
        <v>じゃらん</v>
      </c>
      <c r="D48" s="4">
        <f>IFERROR(__xludf.DUMMYFUNCTION("""COMPUTED_VALUE"""),4.0)</f>
        <v>4</v>
      </c>
      <c r="E48" s="19">
        <f>IFERROR(__xludf.DUMMYFUNCTION("""COMPUTED_VALUE"""),46111.0)</f>
        <v>46111</v>
      </c>
      <c r="F4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48" s="4"/>
      <c r="H48" s="4"/>
      <c r="I4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48" s="4" t="str">
        <f>IFERROR(__xludf.DUMMYFUNCTION("""COMPUTED_VALUE"""),"")</f>
        <v/>
      </c>
      <c r="K48" s="4" t="str">
        <f>IFERROR(__xludf.DUMMYFUNCTION("""COMPUTED_VALUE"""),"")</f>
        <v/>
      </c>
      <c r="L48" s="4" t="str">
        <f>IFERROR(__xludf.DUMMYFUNCTION("""COMPUTED_VALUE"""),"Yangさん")</f>
        <v>Yangさん</v>
      </c>
      <c r="N48" s="20"/>
      <c r="O48" s="20"/>
      <c r="P48" s="20"/>
      <c r="Q48" s="20"/>
      <c r="R48" s="20"/>
      <c r="S48" s="20"/>
      <c r="T48" s="20"/>
      <c r="U48" s="20"/>
      <c r="V48" s="20"/>
      <c r="W48" s="20"/>
      <c r="X48" s="20"/>
    </row>
    <row r="49">
      <c r="B49" s="17" t="b">
        <f>IFERROR(__xludf.DUMMYFUNCTION("""COMPUTED_VALUE"""),FALSE)</f>
        <v>0</v>
      </c>
      <c r="C49" s="18" t="str">
        <f>IFERROR(__xludf.DUMMYFUNCTION("""COMPUTED_VALUE"""),"Booking.com")</f>
        <v>Booking.com</v>
      </c>
      <c r="D49" s="4">
        <f>IFERROR(__xludf.DUMMYFUNCTION("""COMPUTED_VALUE"""),9.0)</f>
        <v>9</v>
      </c>
      <c r="E49" s="19">
        <f>IFERROR(__xludf.DUMMYFUNCTION("""COMPUTED_VALUE"""),46110.0)</f>
        <v>46110</v>
      </c>
      <c r="F49" s="4"/>
      <c r="G49" s="4" t="str">
        <f>IFERROR(__xludf.DUMMYFUNCTION("""COMPUTED_VALUE"""),"Welcome coffee/tea availible in lobby, delicious breakfast with different smoothie everyday.")</f>
        <v>Welcome coffee/tea availible in lobby, delicious breakfast with different smoothie everyday.</v>
      </c>
      <c r="H49"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49" s="4" t="str">
        <f>IFERROR(__xludf.DUMMYFUNCTION("""COMPUTED_VALUE"""),"")</f>
        <v/>
      </c>
      <c r="J49"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49"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49" s="4" t="str">
        <f>IFERROR(__xludf.DUMMYFUNCTION("""COMPUTED_VALUE"""),"Elysia")</f>
        <v>Elysia</v>
      </c>
      <c r="N49" s="20"/>
      <c r="O49" s="20"/>
      <c r="P49" s="20"/>
      <c r="Q49" s="20"/>
      <c r="R49" s="20"/>
      <c r="S49" s="20"/>
      <c r="T49" s="20"/>
      <c r="U49" s="20"/>
      <c r="V49" s="20"/>
      <c r="W49" s="20"/>
      <c r="X49" s="20"/>
    </row>
    <row r="50">
      <c r="B50" s="17" t="b">
        <f>IFERROR(__xludf.DUMMYFUNCTION("""COMPUTED_VALUE"""),FALSE)</f>
        <v>0</v>
      </c>
      <c r="C50" s="20" t="str">
        <f>IFERROR(__xludf.DUMMYFUNCTION("""COMPUTED_VALUE"""),"じゃらん")</f>
        <v>じゃらん</v>
      </c>
      <c r="D50" s="4">
        <f>IFERROR(__xludf.DUMMYFUNCTION("""COMPUTED_VALUE"""),4.0)</f>
        <v>4</v>
      </c>
      <c r="E50" s="19">
        <f>IFERROR(__xludf.DUMMYFUNCTION("""COMPUTED_VALUE"""),46110.0)</f>
        <v>46110</v>
      </c>
      <c r="F5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0" s="4"/>
      <c r="H50" s="4"/>
      <c r="I5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0" s="4" t="str">
        <f>IFERROR(__xludf.DUMMYFUNCTION("""COMPUTED_VALUE"""),"")</f>
        <v/>
      </c>
      <c r="K50" s="4" t="str">
        <f>IFERROR(__xludf.DUMMYFUNCTION("""COMPUTED_VALUE"""),"")</f>
        <v/>
      </c>
      <c r="L50" s="4" t="str">
        <f>IFERROR(__xludf.DUMMYFUNCTION("""COMPUTED_VALUE"""),"しんちゃんさん")</f>
        <v>しんちゃんさん</v>
      </c>
      <c r="N50" s="20"/>
      <c r="O50" s="20"/>
      <c r="P50" s="20"/>
      <c r="Q50" s="20"/>
      <c r="R50" s="20"/>
      <c r="S50" s="20"/>
      <c r="T50" s="20"/>
      <c r="U50" s="20"/>
      <c r="V50" s="20"/>
      <c r="W50" s="20"/>
      <c r="X50" s="20"/>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IFERROR(__xludf.DUMMYFUNCTION("""COMPUTED_VALUE"""),46109.0)</f>
        <v>46109</v>
      </c>
      <c r="F51" s="4"/>
      <c r="G51" s="4" t="str">
        <f>IFERROR(__xludf.DUMMYFUNCTION("""COMPUTED_VALUE"""),"Staff were helpful and polite")</f>
        <v>Staff were helpful and polite</v>
      </c>
      <c r="H51" s="4" t="str">
        <f>IFERROR(__xludf.DUMMYFUNCTION("""COMPUTED_VALUE"""),"The elevator situation during checkout")</f>
        <v>The elevator situation during checkout</v>
      </c>
      <c r="I51" s="4" t="str">
        <f>IFERROR(__xludf.DUMMYFUNCTION("""COMPUTED_VALUE"""),"")</f>
        <v/>
      </c>
      <c r="J51" s="4" t="str">
        <f>IFERROR(__xludf.DUMMYFUNCTION("""COMPUTED_VALUE"""),"スタッフは親切で丁寧でした")</f>
        <v>スタッフは親切で丁寧でした</v>
      </c>
      <c r="K51" s="4" t="str">
        <f>IFERROR(__xludf.DUMMYFUNCTION("""COMPUTED_VALUE"""),"チェックアウト時のエレベーターの状況")</f>
        <v>チェックアウト時のエレベーターの状況</v>
      </c>
      <c r="L51" s="4" t="str">
        <f>IFERROR(__xludf.DUMMYFUNCTION("""COMPUTED_VALUE"""),"Cung")</f>
        <v>Cung</v>
      </c>
      <c r="N51" s="20"/>
      <c r="O51" s="20"/>
      <c r="P51" s="20"/>
      <c r="Q51" s="20"/>
      <c r="R51" s="20"/>
      <c r="S51" s="20"/>
      <c r="T51" s="20"/>
      <c r="U51" s="20"/>
      <c r="V51" s="20"/>
      <c r="W51" s="20"/>
      <c r="X51" s="20"/>
    </row>
    <row r="52">
      <c r="B52" s="17" t="b">
        <f>IFERROR(__xludf.DUMMYFUNCTION("""COMPUTED_VALUE"""),FALSE)</f>
        <v>0</v>
      </c>
      <c r="C52" s="20" t="str">
        <f>IFERROR(__xludf.DUMMYFUNCTION("""COMPUTED_VALUE"""),"Agoda")</f>
        <v>Agoda</v>
      </c>
      <c r="D52" s="4">
        <f>IFERROR(__xludf.DUMMYFUNCTION("""COMPUTED_VALUE"""),10.0)</f>
        <v>10</v>
      </c>
      <c r="E52" s="19">
        <f>IFERROR(__xludf.DUMMYFUNCTION("""COMPUTED_VALUE"""),46109.0)</f>
        <v>46109</v>
      </c>
      <c r="F52" s="4" t="str">
        <f>IFERROR(__xludf.DUMMYFUNCTION("""COMPUTED_VALUE"""),"駅から近くホテル全体的に清潔感があり、スタッフの対応や説明も良かったです")</f>
        <v>駅から近くホテル全体的に清潔感があり、スタッフの対応や説明も良かったです</v>
      </c>
      <c r="G52" s="4"/>
      <c r="H52" s="4"/>
      <c r="I52" s="4" t="str">
        <f>IFERROR(__xludf.DUMMYFUNCTION("""COMPUTED_VALUE"""),"駅から近くホテル全体的に清潔感があり、スタッフの対応や説明も良かったです")</f>
        <v>駅から近くホテル全体的に清潔感があり、スタッフの対応や説明も良かったです</v>
      </c>
      <c r="J52" s="4" t="str">
        <f>IFERROR(__xludf.DUMMYFUNCTION("""COMPUTED_VALUE"""),"")</f>
        <v/>
      </c>
      <c r="K52" s="4" t="str">
        <f>IFERROR(__xludf.DUMMYFUNCTION("""COMPUTED_VALUE"""),"")</f>
        <v/>
      </c>
      <c r="L52" s="4" t="str">
        <f>IFERROR(__xludf.DUMMYFUNCTION("""COMPUTED_VALUE"""),"Yoshio")</f>
        <v>Yoshio</v>
      </c>
      <c r="N52" s="20"/>
      <c r="O52" s="20"/>
      <c r="P52" s="20"/>
      <c r="Q52" s="20"/>
      <c r="R52" s="20"/>
      <c r="S52" s="20"/>
      <c r="T52" s="20"/>
      <c r="U52" s="20"/>
      <c r="V52" s="20"/>
      <c r="W52" s="20"/>
      <c r="X52" s="20"/>
    </row>
    <row r="53">
      <c r="B53" s="17" t="b">
        <f>IFERROR(__xludf.DUMMYFUNCTION("""COMPUTED_VALUE"""),FALSE)</f>
        <v>0</v>
      </c>
      <c r="C53" s="20" t="str">
        <f>IFERROR(__xludf.DUMMYFUNCTION("""COMPUTED_VALUE"""),"Agoda")</f>
        <v>Agoda</v>
      </c>
      <c r="D53" s="4">
        <f>IFERROR(__xludf.DUMMYFUNCTION("""COMPUTED_VALUE"""),7.0)</f>
        <v>7</v>
      </c>
      <c r="E53" s="19">
        <f>IFERROR(__xludf.DUMMYFUNCTION("""COMPUTED_VALUE"""),46109.0)</f>
        <v>46109</v>
      </c>
      <c r="F53" s="4" t="str">
        <f>IFERROR(__xludf.DUMMYFUNCTION("""COMPUTED_VALUE"""),"利便性の良いエリアでした")</f>
        <v>利便性の良いエリアでした</v>
      </c>
      <c r="G53" s="4"/>
      <c r="H53" s="4"/>
      <c r="I53" s="4" t="str">
        <f>IFERROR(__xludf.DUMMYFUNCTION("""COMPUTED_VALUE"""),"利便性の良いエリアでした")</f>
        <v>利便性の良いエリアでした</v>
      </c>
      <c r="J53" s="4" t="str">
        <f>IFERROR(__xludf.DUMMYFUNCTION("""COMPUTED_VALUE"""),"")</f>
        <v/>
      </c>
      <c r="K53" s="4" t="str">
        <f>IFERROR(__xludf.DUMMYFUNCTION("""COMPUTED_VALUE"""),"")</f>
        <v/>
      </c>
      <c r="L53" s="4" t="str">
        <f>IFERROR(__xludf.DUMMYFUNCTION("""COMPUTED_VALUE"""),"kazuki")</f>
        <v>kazuki</v>
      </c>
      <c r="N53" s="20"/>
      <c r="O53" s="20"/>
      <c r="P53" s="20"/>
      <c r="Q53" s="20"/>
      <c r="R53" s="20"/>
      <c r="S53" s="20"/>
      <c r="T53" s="20"/>
      <c r="U53" s="20"/>
      <c r="V53" s="20"/>
      <c r="W53" s="20"/>
      <c r="X53" s="20"/>
    </row>
    <row r="54">
      <c r="B54" s="17" t="b">
        <f>IFERROR(__xludf.DUMMYFUNCTION("""COMPUTED_VALUE"""),FALSE)</f>
        <v>0</v>
      </c>
      <c r="C54" s="18" t="str">
        <f>IFERROR(__xludf.DUMMYFUNCTION("""COMPUTED_VALUE"""),"Booking.com")</f>
        <v>Booking.com</v>
      </c>
      <c r="D54" s="4">
        <f>IFERROR(__xludf.DUMMYFUNCTION("""COMPUTED_VALUE"""),9.0)</f>
        <v>9</v>
      </c>
      <c r="E54" s="19">
        <f>IFERROR(__xludf.DUMMYFUNCTION("""COMPUTED_VALUE"""),46108.0)</f>
        <v>46108</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IFERROR(__xludf.DUMMYFUNCTION("""COMPUTED_VALUE"""),"Lene")</f>
        <v>Lene</v>
      </c>
      <c r="N54" s="20"/>
      <c r="O54" s="20"/>
      <c r="P54" s="20"/>
      <c r="Q54" s="20"/>
      <c r="R54" s="20"/>
      <c r="S54" s="20"/>
      <c r="T54" s="20"/>
      <c r="U54" s="20"/>
      <c r="V54" s="20"/>
      <c r="W54" s="20"/>
      <c r="X54" s="20"/>
    </row>
    <row r="55">
      <c r="B55" s="17" t="b">
        <f>IFERROR(__xludf.DUMMYFUNCTION("""COMPUTED_VALUE"""),FALSE)</f>
        <v>0</v>
      </c>
      <c r="C55" s="18" t="str">
        <f>IFERROR(__xludf.DUMMYFUNCTION("""COMPUTED_VALUE"""),"Trip.com")</f>
        <v>Trip.com</v>
      </c>
      <c r="D55" s="4">
        <f>IFERROR(__xludf.DUMMYFUNCTION("""COMPUTED_VALUE"""),9.0)</f>
        <v>9</v>
      </c>
      <c r="E55" s="19">
        <f>IFERROR(__xludf.DUMMYFUNCTION("""COMPUTED_VALUE"""),46108.0)</f>
        <v>46108</v>
      </c>
      <c r="F55" s="4" t="str">
        <f>IFERROR(__xludf.DUMMYFUNCTION("""COMPUTED_VALUE"""),"Good location. Breakfast just nice.")</f>
        <v>Good location. Breakfast just nice.</v>
      </c>
      <c r="G55" s="4"/>
      <c r="H55" s="4"/>
      <c r="I55" s="4" t="str">
        <f>IFERROR(__xludf.DUMMYFUNCTION("""COMPUTED_VALUE"""),"立地が良い。朝食もまあまあ。")</f>
        <v>立地が良い。朝食もまあまあ。</v>
      </c>
      <c r="J55" s="4" t="str">
        <f>IFERROR(__xludf.DUMMYFUNCTION("""COMPUTED_VALUE"""),"")</f>
        <v/>
      </c>
      <c r="K55" s="4" t="str">
        <f>IFERROR(__xludf.DUMMYFUNCTION("""COMPUTED_VALUE"""),"")</f>
        <v/>
      </c>
      <c r="L55" s="4" t="str">
        <f>IFERROR(__xludf.DUMMYFUNCTION("""COMPUTED_VALUE"""),"ゲ‍ス‍ト")</f>
        <v>ゲ‍ス‍ト</v>
      </c>
      <c r="N55" s="20"/>
      <c r="O55" s="20"/>
      <c r="P55" s="20"/>
      <c r="Q55" s="20"/>
      <c r="R55" s="20"/>
      <c r="S55" s="20"/>
      <c r="T55" s="20"/>
      <c r="U55" s="20"/>
      <c r="V55" s="20"/>
      <c r="W55" s="20"/>
      <c r="X55" s="20"/>
    </row>
    <row r="56">
      <c r="B56" s="17" t="b">
        <f>IFERROR(__xludf.DUMMYFUNCTION("""COMPUTED_VALUE"""),FALSE)</f>
        <v>0</v>
      </c>
      <c r="C56" s="18" t="str">
        <f>IFERROR(__xludf.DUMMYFUNCTION("""COMPUTED_VALUE"""),"Booking.com")</f>
        <v>Booking.com</v>
      </c>
      <c r="D56" s="4">
        <f>IFERROR(__xludf.DUMMYFUNCTION("""COMPUTED_VALUE"""),6.0)</f>
        <v>6</v>
      </c>
      <c r="E56" s="19">
        <f>IFERROR(__xludf.DUMMYFUNCTION("""COMPUTED_VALUE"""),46107.0)</f>
        <v>46107</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IFERROR(__xludf.DUMMYFUNCTION("""COMPUTED_VALUE"""),"Alessandra")</f>
        <v>Alessandra</v>
      </c>
      <c r="N56" s="20"/>
      <c r="O56" s="20"/>
      <c r="P56" s="20"/>
      <c r="Q56" s="20"/>
      <c r="R56" s="20"/>
      <c r="S56" s="20"/>
      <c r="T56" s="20"/>
      <c r="U56" s="20"/>
      <c r="V56" s="20"/>
      <c r="W56" s="20"/>
      <c r="X56" s="20"/>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IFERROR(__xludf.DUMMYFUNCTION("""COMPUTED_VALUE"""),46107.0)</f>
        <v>46107</v>
      </c>
      <c r="F57" s="4" t="str">
        <f>IFERROR(__xludf.DUMMYFUNCTION("""COMPUTED_VALUE"""),"服務親切，協助辦理入住，設施完備，唯房間稍小，大行李沒空間！整體算不錯！")</f>
        <v>服務親切，協助辦理入住，設施完備，唯房間稍小，大行李沒空間！整體算不錯！</v>
      </c>
      <c r="G57" s="4"/>
      <c r="H57" s="4"/>
      <c r="I57"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57" s="4" t="str">
        <f>IFERROR(__xludf.DUMMYFUNCTION("""COMPUTED_VALUE"""),"")</f>
        <v/>
      </c>
      <c r="K57" s="4" t="str">
        <f>IFERROR(__xludf.DUMMYFUNCTION("""COMPUTED_VALUE"""),"")</f>
        <v/>
      </c>
      <c r="L57" s="4" t="str">
        <f>IFERROR(__xludf.DUMMYFUNCTION("""COMPUTED_VALUE"""),"ゲ‍ス‍ト")</f>
        <v>ゲ‍ス‍ト</v>
      </c>
      <c r="N57" s="20"/>
      <c r="O57" s="20"/>
      <c r="P57" s="20"/>
      <c r="Q57" s="20"/>
      <c r="R57" s="20"/>
      <c r="S57" s="20"/>
      <c r="T57" s="20"/>
      <c r="U57" s="20"/>
      <c r="V57" s="20"/>
      <c r="W57" s="20"/>
      <c r="X57" s="20"/>
    </row>
    <row r="58">
      <c r="B58" s="17" t="b">
        <f>IFERROR(__xludf.DUMMYFUNCTION("""COMPUTED_VALUE"""),FALSE)</f>
        <v>0</v>
      </c>
      <c r="C58" s="18" t="str">
        <f>IFERROR(__xludf.DUMMYFUNCTION("""COMPUTED_VALUE"""),"Booking.com")</f>
        <v>Booking.com</v>
      </c>
      <c r="D58" s="4">
        <f>IFERROR(__xludf.DUMMYFUNCTION("""COMPUTED_VALUE"""),8.0)</f>
        <v>8</v>
      </c>
      <c r="E58" s="19">
        <f>IFERROR(__xludf.DUMMYFUNCTION("""COMPUTED_VALUE"""),46107.0)</f>
        <v>46107</v>
      </c>
      <c r="F58" s="4"/>
      <c r="G58"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58" s="4" t="str">
        <f>IFERROR(__xludf.DUMMYFUNCTION("""COMPUTED_VALUE"""),"設施比較老舊但很整潔舒適！ 唯一不習慣的是廁所太小了，使用上比較不方便.")</f>
        <v>設施比較老舊但很整潔舒適！ 唯一不習慣的是廁所太小了，使用上比較不方便.</v>
      </c>
      <c r="I58" s="4" t="str">
        <f>IFERROR(__xludf.DUMMYFUNCTION("""COMPUTED_VALUE"""),"")</f>
        <v/>
      </c>
      <c r="J58"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58"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58" s="4" t="str">
        <f>IFERROR(__xludf.DUMMYFUNCTION("""COMPUTED_VALUE"""),"Szujen")</f>
        <v>Szujen</v>
      </c>
      <c r="N58" s="20"/>
      <c r="O58" s="20"/>
      <c r="P58" s="20"/>
      <c r="Q58" s="20"/>
      <c r="R58" s="20"/>
      <c r="S58" s="20"/>
      <c r="T58" s="20"/>
      <c r="U58" s="20"/>
      <c r="V58" s="20"/>
      <c r="W58" s="20"/>
      <c r="X58" s="20"/>
    </row>
    <row r="59">
      <c r="B59" s="20" t="b">
        <f>IFERROR(__xludf.DUMMYFUNCTION("""COMPUTED_VALUE"""),FALSE)</f>
        <v>0</v>
      </c>
      <c r="C59" s="20" t="str">
        <f>IFERROR(__xludf.DUMMYFUNCTION("""COMPUTED_VALUE"""),"楽天トラベル")</f>
        <v>楽天トラベル</v>
      </c>
      <c r="D59" s="4">
        <f>IFERROR(__xludf.DUMMYFUNCTION("""COMPUTED_VALUE"""),5.0)</f>
        <v>5</v>
      </c>
      <c r="E59" s="19">
        <f>IFERROR(__xludf.DUMMYFUNCTION("""COMPUTED_VALUE"""),46107.0)</f>
        <v>46107</v>
      </c>
      <c r="F5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59" s="4"/>
      <c r="H59" s="4"/>
      <c r="I5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59" s="4" t="str">
        <f>IFERROR(__xludf.DUMMYFUNCTION("""COMPUTED_VALUE"""),"")</f>
        <v/>
      </c>
      <c r="K59" s="4" t="str">
        <f>IFERROR(__xludf.DUMMYFUNCTION("""COMPUTED_VALUE"""),"")</f>
        <v/>
      </c>
      <c r="L59" s="4" t="str">
        <f>IFERROR(__xludf.DUMMYFUNCTION("""COMPUTED_VALUE"""),"さっぽろ南区")</f>
        <v>さっぽろ南区</v>
      </c>
      <c r="N59" s="20"/>
      <c r="O59" s="20"/>
      <c r="P59" s="20"/>
      <c r="Q59" s="20"/>
      <c r="R59" s="20"/>
      <c r="S59" s="20"/>
      <c r="T59" s="20"/>
      <c r="U59" s="20"/>
      <c r="V59" s="20"/>
      <c r="W59" s="20"/>
      <c r="X59" s="20"/>
    </row>
    <row r="60">
      <c r="B60" s="20" t="b">
        <f>IFERROR(__xludf.DUMMYFUNCTION("""COMPUTED_VALUE"""),FALSE)</f>
        <v>0</v>
      </c>
      <c r="C60" s="20" t="str">
        <f>IFERROR(__xludf.DUMMYFUNCTION("""COMPUTED_VALUE"""),"Google")</f>
        <v>Google</v>
      </c>
      <c r="D60" s="4">
        <f>IFERROR(__xludf.DUMMYFUNCTION("""COMPUTED_VALUE"""),4.0)</f>
        <v>4</v>
      </c>
      <c r="E60" s="19">
        <f>IFERROR(__xludf.DUMMYFUNCTION("""COMPUTED_VALUE"""),46107.0)</f>
        <v>46107</v>
      </c>
      <c r="F6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0" s="4"/>
      <c r="H60" s="4"/>
      <c r="I6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0" s="4" t="str">
        <f>IFERROR(__xludf.DUMMYFUNCTION("""COMPUTED_VALUE"""),"")</f>
        <v/>
      </c>
      <c r="K60" s="4" t="str">
        <f>IFERROR(__xludf.DUMMYFUNCTION("""COMPUTED_VALUE"""),"")</f>
        <v/>
      </c>
      <c r="L60" s="4" t="str">
        <f>IFERROR(__xludf.DUMMYFUNCTION("""COMPUTED_VALUE"""),"i d")</f>
        <v>i d</v>
      </c>
      <c r="N60" s="20"/>
      <c r="O60" s="20"/>
      <c r="P60" s="20"/>
      <c r="Q60" s="20"/>
      <c r="R60" s="20"/>
      <c r="S60" s="20"/>
      <c r="T60" s="20"/>
      <c r="U60" s="20"/>
      <c r="V60" s="20"/>
      <c r="W60" s="20"/>
      <c r="X60" s="20"/>
    </row>
    <row r="61">
      <c r="B61" s="20" t="b">
        <f>IFERROR(__xludf.DUMMYFUNCTION("""COMPUTED_VALUE"""),FALSE)</f>
        <v>0</v>
      </c>
      <c r="C61" s="18" t="str">
        <f>IFERROR(__xludf.DUMMYFUNCTION("""COMPUTED_VALUE"""),"Booking.com")</f>
        <v>Booking.com</v>
      </c>
      <c r="D61" s="4">
        <f>IFERROR(__xludf.DUMMYFUNCTION("""COMPUTED_VALUE"""),8.0)</f>
        <v>8</v>
      </c>
      <c r="E61" s="19">
        <f>IFERROR(__xludf.DUMMYFUNCTION("""COMPUTED_VALUE"""),46105.0)</f>
        <v>46105</v>
      </c>
      <c r="F61" s="4"/>
      <c r="G61" s="4" t="str">
        <f>IFERROR(__xludf.DUMMYFUNCTION("""COMPUTED_VALUE"""),"早餐好吃 房間夠寬 24小時的免費飲料吧很棒")</f>
        <v>早餐好吃 房間夠寬 24小時的免費飲料吧很棒</v>
      </c>
      <c r="H61" s="4" t="str">
        <f>IFERROR(__xludf.DUMMYFUNCTION("""COMPUTED_VALUE"""),"沒有洗烘衣設備")</f>
        <v>沒有洗烘衣設備</v>
      </c>
      <c r="I61" s="4" t="str">
        <f>IFERROR(__xludf.DUMMYFUNCTION("""COMPUTED_VALUE"""),"")</f>
        <v/>
      </c>
      <c r="J61"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1" s="4" t="str">
        <f>IFERROR(__xludf.DUMMYFUNCTION("""COMPUTED_VALUE"""),"洗濯乾燥機はありません")</f>
        <v>洗濯乾燥機はありません</v>
      </c>
      <c r="L61" s="4" t="str">
        <f>IFERROR(__xludf.DUMMYFUNCTION("""COMPUTED_VALUE"""),"Yilan")</f>
        <v>Yilan</v>
      </c>
      <c r="N61" s="20"/>
      <c r="O61" s="20"/>
      <c r="P61" s="20"/>
      <c r="Q61" s="20"/>
      <c r="R61" s="20"/>
      <c r="S61" s="20"/>
      <c r="T61" s="20"/>
      <c r="U61" s="20"/>
      <c r="V61" s="20"/>
      <c r="W61" s="20"/>
      <c r="X61" s="20"/>
    </row>
    <row r="62">
      <c r="B62" s="20" t="b">
        <f>IFERROR(__xludf.DUMMYFUNCTION("""COMPUTED_VALUE"""),FALSE)</f>
        <v>0</v>
      </c>
      <c r="C62" s="18" t="str">
        <f>IFERROR(__xludf.DUMMYFUNCTION("""COMPUTED_VALUE"""),"Trip.com")</f>
        <v>Trip.com</v>
      </c>
      <c r="D62" s="4">
        <f>IFERROR(__xludf.DUMMYFUNCTION("""COMPUTED_VALUE"""),10.0)</f>
        <v>10</v>
      </c>
      <c r="E62" s="19">
        <f>IFERROR(__xludf.DUMMYFUNCTION("""COMPUTED_VALUE"""),46105.0)</f>
        <v>46105</v>
      </c>
      <c r="F62"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2" s="4"/>
      <c r="H62" s="4"/>
      <c r="I62" s="4" t="str">
        <f>IFERROR(__xludf.DUMMYFUNCTION("""COMPUTED_VALUE"""),"立地が最高で、とても便利です。部屋は清潔で、周辺を観光するのも簡単です。")</f>
        <v>立地が最高で、とても便利です。部屋は清潔で、周辺を観光するのも簡単です。</v>
      </c>
      <c r="J62" s="4" t="str">
        <f>IFERROR(__xludf.DUMMYFUNCTION("""COMPUTED_VALUE"""),"")</f>
        <v/>
      </c>
      <c r="K62" s="4" t="str">
        <f>IFERROR(__xludf.DUMMYFUNCTION("""COMPUTED_VALUE"""),"")</f>
        <v/>
      </c>
      <c r="L62" s="4" t="str">
        <f>IFERROR(__xludf.DUMMYFUNCTION("""COMPUTED_VALUE"""),"T‍a‍t‍u‍m‍V‍8")</f>
        <v>T‍a‍t‍u‍m‍V‍8</v>
      </c>
      <c r="N62" s="20"/>
      <c r="O62" s="20"/>
      <c r="P62" s="20"/>
      <c r="Q62" s="20"/>
      <c r="R62" s="20"/>
      <c r="S62" s="20"/>
      <c r="T62" s="20"/>
      <c r="U62" s="20"/>
      <c r="V62" s="20"/>
      <c r="W62" s="20"/>
      <c r="X62" s="20"/>
    </row>
    <row r="63">
      <c r="B63" s="20" t="b">
        <f>IFERROR(__xludf.DUMMYFUNCTION("""COMPUTED_VALUE"""),FALSE)</f>
        <v>0</v>
      </c>
      <c r="C63" s="20" t="str">
        <f>IFERROR(__xludf.DUMMYFUNCTION("""COMPUTED_VALUE"""),"楽天トラベル")</f>
        <v>楽天トラベル</v>
      </c>
      <c r="D63" s="4">
        <f>IFERROR(__xludf.DUMMYFUNCTION("""COMPUTED_VALUE"""),5.0)</f>
        <v>5</v>
      </c>
      <c r="E63" s="19">
        <f>IFERROR(__xludf.DUMMYFUNCTION("""COMPUTED_VALUE"""),46105.0)</f>
        <v>46105</v>
      </c>
      <c r="F6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3" s="4"/>
      <c r="H63" s="4"/>
      <c r="I6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3" s="4" t="str">
        <f>IFERROR(__xludf.DUMMYFUNCTION("""COMPUTED_VALUE"""),"")</f>
        <v/>
      </c>
      <c r="K63" s="4" t="str">
        <f>IFERROR(__xludf.DUMMYFUNCTION("""COMPUTED_VALUE"""),"")</f>
        <v/>
      </c>
      <c r="L63" s="4" t="str">
        <f>IFERROR(__xludf.DUMMYFUNCTION("""COMPUTED_VALUE"""),"turbotnnkchoutokkyu02")</f>
        <v>turbotnnkchoutokkyu02</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IFERROR(__xludf.DUMMYFUNCTION("""COMPUTED_VALUE"""),46104.0)</f>
        <v>46104</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IFERROR(__xludf.DUMMYFUNCTION("""COMPUTED_VALUE"""),"Dodang")</f>
        <v>Dodang</v>
      </c>
      <c r="N64" s="20"/>
      <c r="O64" s="20"/>
      <c r="P64" s="20"/>
      <c r="Q64" s="20"/>
      <c r="R64" s="20"/>
      <c r="S64" s="20"/>
      <c r="T64" s="20"/>
      <c r="U64" s="20"/>
      <c r="V64" s="20"/>
      <c r="W64" s="20"/>
      <c r="X64" s="20"/>
    </row>
    <row r="65">
      <c r="B65" s="20" t="b">
        <f>IFERROR(__xludf.DUMMYFUNCTION("""COMPUTED_VALUE"""),FALSE)</f>
        <v>0</v>
      </c>
      <c r="C65" s="20" t="str">
        <f>IFERROR(__xludf.DUMMYFUNCTION("""COMPUTED_VALUE"""),"Google")</f>
        <v>Google</v>
      </c>
      <c r="D65" s="4">
        <f>IFERROR(__xludf.DUMMYFUNCTION("""COMPUTED_VALUE"""),3.0)</f>
        <v>3</v>
      </c>
      <c r="E65" s="19">
        <f>IFERROR(__xludf.DUMMYFUNCTION("""COMPUTED_VALUE"""),46104.0)</f>
        <v>46104</v>
      </c>
      <c r="F6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65" s="4"/>
      <c r="H65" s="4"/>
      <c r="I6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65" s="4" t="str">
        <f>IFERROR(__xludf.DUMMYFUNCTION("""COMPUTED_VALUE"""),"")</f>
        <v/>
      </c>
      <c r="K65" s="4" t="str">
        <f>IFERROR(__xludf.DUMMYFUNCTION("""COMPUTED_VALUE"""),"")</f>
        <v/>
      </c>
      <c r="L65" s="4" t="str">
        <f>IFERROR(__xludf.DUMMYFUNCTION("""COMPUTED_VALUE"""),"A M")</f>
        <v>A M</v>
      </c>
      <c r="N65" s="20"/>
      <c r="O65" s="20"/>
      <c r="P65" s="20"/>
      <c r="Q65" s="20"/>
      <c r="R65" s="20"/>
      <c r="S65" s="20"/>
      <c r="T65" s="20"/>
      <c r="U65" s="20"/>
      <c r="V65" s="20"/>
      <c r="W65" s="20"/>
      <c r="X65" s="20"/>
    </row>
    <row r="66">
      <c r="B66" s="20"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IFERROR(__xludf.DUMMYFUNCTION("""COMPUTED_VALUE"""),"Location")</f>
        <v>Location</v>
      </c>
      <c r="H66" s="4" t="str">
        <f>IFERROR(__xludf.DUMMYFUNCTION("""COMPUTED_VALUE"""),"None")</f>
        <v>None</v>
      </c>
      <c r="I66" s="4" t="str">
        <f>IFERROR(__xludf.DUMMYFUNCTION("""COMPUTED_VALUE"""),"")</f>
        <v/>
      </c>
      <c r="J66" s="4" t="str">
        <f>IFERROR(__xludf.DUMMYFUNCTION("""COMPUTED_VALUE"""),"位置")</f>
        <v>位置</v>
      </c>
      <c r="K66" s="4" t="str">
        <f>IFERROR(__xludf.DUMMYFUNCTION("""COMPUTED_VALUE"""),"なし")</f>
        <v>なし</v>
      </c>
      <c r="L66" s="4" t="str">
        <f>IFERROR(__xludf.DUMMYFUNCTION("""COMPUTED_VALUE"""),"Yifang")</f>
        <v>Yifang</v>
      </c>
      <c r="N66" s="20"/>
      <c r="O66" s="20"/>
      <c r="P66" s="20"/>
      <c r="Q66" s="20"/>
      <c r="R66" s="20"/>
      <c r="S66" s="20"/>
      <c r="T66" s="20"/>
      <c r="U66" s="20"/>
      <c r="V66" s="20"/>
      <c r="W66" s="20"/>
      <c r="X66" s="20"/>
    </row>
    <row r="67">
      <c r="B67" s="20" t="b">
        <f>IFERROR(__xludf.DUMMYFUNCTION("""COMPUTED_VALUE"""),FALSE)</f>
        <v>0</v>
      </c>
      <c r="C67" s="20" t="str">
        <f>IFERROR(__xludf.DUMMYFUNCTION("""COMPUTED_VALUE"""),"Google")</f>
        <v>Google</v>
      </c>
      <c r="D67" s="4">
        <f>IFERROR(__xludf.DUMMYFUNCTION("""COMPUTED_VALUE"""),3.0)</f>
        <v>3</v>
      </c>
      <c r="E67" s="19">
        <f>IFERROR(__xludf.DUMMYFUNCTION("""COMPUTED_VALUE"""),46103.0)</f>
        <v>46103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IFERROR(__xludf.DUMMYFUNCTION("""COMPUTED_VALUE"""),"ひろもと")</f>
        <v>ひろもと</v>
      </c>
      <c r="N67" s="20"/>
      <c r="O67" s="20"/>
      <c r="P67" s="20"/>
      <c r="Q67" s="20"/>
      <c r="R67" s="20"/>
      <c r="S67" s="20"/>
      <c r="T67" s="20"/>
      <c r="U67" s="20"/>
      <c r="V67" s="20"/>
      <c r="W67" s="20"/>
      <c r="X67" s="20"/>
    </row>
    <row r="68">
      <c r="B68" s="20" t="b">
        <f>IFERROR(__xludf.DUMMYFUNCTION("""COMPUTED_VALUE"""),FALSE)</f>
        <v>0</v>
      </c>
      <c r="C68" s="18" t="str">
        <f>IFERROR(__xludf.DUMMYFUNCTION("""COMPUTED_VALUE"""),"Booking.com")</f>
        <v>Booking.com</v>
      </c>
      <c r="D68" s="4">
        <f>IFERROR(__xludf.DUMMYFUNCTION("""COMPUTED_VALUE"""),8.0)</f>
        <v>8</v>
      </c>
      <c r="E68" s="19">
        <f>IFERROR(__xludf.DUMMYFUNCTION("""COMPUTED_VALUE"""),46103.0)</f>
        <v>46103</v>
      </c>
      <c r="F68" s="4"/>
      <c r="G68"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68"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68" s="4" t="str">
        <f>IFERROR(__xludf.DUMMYFUNCTION("""COMPUTED_VALUE"""),"")</f>
        <v/>
      </c>
      <c r="J68"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68"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68" s="4" t="str">
        <f>IFERROR(__xludf.DUMMYFUNCTION("""COMPUTED_VALUE"""),"Suzanne")</f>
        <v>Suzanne</v>
      </c>
      <c r="N68" s="20"/>
      <c r="O68" s="20"/>
      <c r="P68" s="20"/>
      <c r="Q68" s="20"/>
      <c r="R68" s="20"/>
      <c r="S68" s="20"/>
      <c r="T68" s="20"/>
      <c r="U68" s="20"/>
      <c r="V68" s="20"/>
      <c r="W68" s="20"/>
      <c r="X68" s="20"/>
    </row>
    <row r="69">
      <c r="B69" s="20" t="b">
        <f>IFERROR(__xludf.DUMMYFUNCTION("""COMPUTED_VALUE"""),FALSE)</f>
        <v>0</v>
      </c>
      <c r="C69" s="20" t="str">
        <f>IFERROR(__xludf.DUMMYFUNCTION("""COMPUTED_VALUE"""),"じゃらん")</f>
        <v>じゃらん</v>
      </c>
      <c r="D69" s="4">
        <f>IFERROR(__xludf.DUMMYFUNCTION("""COMPUTED_VALUE"""),5.0)</f>
        <v>5</v>
      </c>
      <c r="E69" s="19">
        <f>IFERROR(__xludf.DUMMYFUNCTION("""COMPUTED_VALUE"""),46103.0)</f>
        <v>46103</v>
      </c>
      <c r="F6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69" s="4"/>
      <c r="H69" s="4"/>
      <c r="I6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69" s="4" t="str">
        <f>IFERROR(__xludf.DUMMYFUNCTION("""COMPUTED_VALUE"""),"")</f>
        <v/>
      </c>
      <c r="K69" s="4" t="str">
        <f>IFERROR(__xludf.DUMMYFUNCTION("""COMPUTED_VALUE"""),"")</f>
        <v/>
      </c>
      <c r="L69" s="4" t="str">
        <f>IFERROR(__xludf.DUMMYFUNCTION("""COMPUTED_VALUE"""),"まっつんさん")</f>
        <v>まっつんさん</v>
      </c>
      <c r="N69" s="20"/>
      <c r="O69" s="20"/>
      <c r="P69" s="20"/>
      <c r="Q69" s="20"/>
      <c r="R69" s="20"/>
      <c r="S69" s="20"/>
      <c r="T69" s="20"/>
      <c r="U69" s="20"/>
      <c r="V69" s="20"/>
      <c r="W69" s="20"/>
      <c r="X69" s="20"/>
    </row>
    <row r="70">
      <c r="B70" s="20" t="b">
        <f>IFERROR(__xludf.DUMMYFUNCTION("""COMPUTED_VALUE"""),FALSE)</f>
        <v>0</v>
      </c>
      <c r="C70" s="20" t="str">
        <f>IFERROR(__xludf.DUMMYFUNCTION("""COMPUTED_VALUE"""),"Agoda")</f>
        <v>Agoda</v>
      </c>
      <c r="D70" s="4">
        <f>IFERROR(__xludf.DUMMYFUNCTION("""COMPUTED_VALUE"""),6.0)</f>
        <v>6</v>
      </c>
      <c r="E70" s="19">
        <f>IFERROR(__xludf.DUMMYFUNCTION("""COMPUTED_VALUE"""),46102.0)</f>
        <v>46102</v>
      </c>
      <c r="F70" s="4" t="str">
        <f>IFERROR(__xludf.DUMMYFUNCTION("""COMPUTED_VALUE"""),"エアコンが暖房しかなくて　つらかった 両方あれば　幸いでした(^_^;)")</f>
        <v>エアコンが暖房しかなくて　つらかった 両方あれば　幸いでした(^_^;)</v>
      </c>
      <c r="G70" s="4"/>
      <c r="H70" s="4"/>
      <c r="I70" s="4" t="str">
        <f>IFERROR(__xludf.DUMMYFUNCTION("""COMPUTED_VALUE"""),"エアコンが暖房しかなくて　つらかった 両方あれば　幸いでした(^_^;)")</f>
        <v>エアコンが暖房しかなくて　つらかった 両方あれば　幸いでした(^_^;)</v>
      </c>
      <c r="J70" s="4" t="str">
        <f>IFERROR(__xludf.DUMMYFUNCTION("""COMPUTED_VALUE"""),"")</f>
        <v/>
      </c>
      <c r="K70" s="4" t="str">
        <f>IFERROR(__xludf.DUMMYFUNCTION("""COMPUTED_VALUE"""),"")</f>
        <v/>
      </c>
      <c r="L70" s="4" t="str">
        <f>IFERROR(__xludf.DUMMYFUNCTION("""COMPUTED_VALUE"""),"寿美子")</f>
        <v>寿美子</v>
      </c>
      <c r="N70" s="20"/>
      <c r="O70" s="20"/>
      <c r="P70" s="20"/>
      <c r="Q70" s="20"/>
      <c r="R70" s="20"/>
      <c r="S70" s="20"/>
      <c r="T70" s="20"/>
      <c r="U70" s="20"/>
      <c r="V70" s="20"/>
      <c r="W70" s="20"/>
      <c r="X70" s="20"/>
    </row>
    <row r="71">
      <c r="B71" s="20" t="b">
        <f>IFERROR(__xludf.DUMMYFUNCTION("""COMPUTED_VALUE"""),FALSE)</f>
        <v>0</v>
      </c>
      <c r="C71" s="20" t="str">
        <f>IFERROR(__xludf.DUMMYFUNCTION("""COMPUTED_VALUE"""),"楽天トラベル")</f>
        <v>楽天トラベル</v>
      </c>
      <c r="D71" s="4">
        <f>IFERROR(__xludf.DUMMYFUNCTION("""COMPUTED_VALUE"""),5.0)</f>
        <v>5</v>
      </c>
      <c r="E71" s="19">
        <f>IFERROR(__xludf.DUMMYFUNCTION("""COMPUTED_VALUE"""),46102.0)</f>
        <v>46102</v>
      </c>
      <c r="F71" s="4" t="str">
        <f>IFERROR(__xludf.DUMMYFUNCTION("""COMPUTED_VALUE"""),"受付時、とても親切なご案内でした。ありがとうございます。")</f>
        <v>受付時、とても親切なご案内でした。ありがとうございます。</v>
      </c>
      <c r="G71" s="4"/>
      <c r="H71" s="4"/>
      <c r="I71" s="4" t="str">
        <f>IFERROR(__xludf.DUMMYFUNCTION("""COMPUTED_VALUE"""),"受付時、とても親切なご案内でした。ありがとうございます。")</f>
        <v>受付時、とても親切なご案内でした。ありがとうございます。</v>
      </c>
      <c r="J71" s="4" t="str">
        <f>IFERROR(__xludf.DUMMYFUNCTION("""COMPUTED_VALUE"""),"")</f>
        <v/>
      </c>
      <c r="K71" s="4" t="str">
        <f>IFERROR(__xludf.DUMMYFUNCTION("""COMPUTED_VALUE"""),"")</f>
        <v/>
      </c>
      <c r="L71" s="4" t="str">
        <f>IFERROR(__xludf.DUMMYFUNCTION("""COMPUTED_VALUE"""),"fisher1091")</f>
        <v>fisher1091</v>
      </c>
      <c r="N71" s="20"/>
      <c r="O71" s="20"/>
      <c r="P71" s="20"/>
      <c r="Q71" s="20"/>
      <c r="R71" s="20"/>
      <c r="S71" s="20"/>
      <c r="T71" s="20"/>
      <c r="U71" s="20"/>
      <c r="V71" s="20"/>
      <c r="W71" s="20"/>
      <c r="X71" s="20"/>
    </row>
    <row r="72">
      <c r="B72" s="20" t="b">
        <f>IFERROR(__xludf.DUMMYFUNCTION("""COMPUTED_VALUE"""),FALSE)</f>
        <v>0</v>
      </c>
      <c r="C72" s="20"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2" s="4"/>
      <c r="H72" s="4"/>
      <c r="I7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2" s="4" t="str">
        <f>IFERROR(__xludf.DUMMYFUNCTION("""COMPUTED_VALUE"""),"")</f>
        <v/>
      </c>
      <c r="K72" s="4" t="str">
        <f>IFERROR(__xludf.DUMMYFUNCTION("""COMPUTED_VALUE"""),"")</f>
        <v/>
      </c>
      <c r="L72" s="4" t="str">
        <f>IFERROR(__xludf.DUMMYFUNCTION("""COMPUTED_VALUE"""),"はるるにゃん")</f>
        <v>はるるにゃん</v>
      </c>
      <c r="N72" s="20"/>
      <c r="O72" s="20"/>
      <c r="P72" s="20"/>
      <c r="Q72" s="20"/>
      <c r="R72" s="20"/>
      <c r="S72" s="20"/>
      <c r="T72" s="20"/>
      <c r="U72" s="20"/>
      <c r="V72" s="20"/>
      <c r="W72" s="20"/>
      <c r="X72" s="20"/>
    </row>
    <row r="73">
      <c r="B73" s="20" t="b">
        <f>IFERROR(__xludf.DUMMYFUNCTION("""COMPUTED_VALUE"""),FALSE)</f>
        <v>0</v>
      </c>
      <c r="C73" s="20" t="str">
        <f>IFERROR(__xludf.DUMMYFUNCTION("""COMPUTED_VALUE"""),"楽天トラベル")</f>
        <v>楽天トラベル</v>
      </c>
      <c r="D73" s="4">
        <f>IFERROR(__xludf.DUMMYFUNCTION("""COMPUTED_VALUE"""),5.0)</f>
        <v>5</v>
      </c>
      <c r="E73" s="19">
        <f>IFERROR(__xludf.DUMMYFUNCTION("""COMPUTED_VALUE"""),46102.0)</f>
        <v>46102</v>
      </c>
      <c r="F7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3" s="4"/>
      <c r="H73" s="4"/>
      <c r="I7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3" s="4" t="str">
        <f>IFERROR(__xludf.DUMMYFUNCTION("""COMPUTED_VALUE"""),"")</f>
        <v/>
      </c>
      <c r="K73" s="4" t="str">
        <f>IFERROR(__xludf.DUMMYFUNCTION("""COMPUTED_VALUE"""),"")</f>
        <v/>
      </c>
      <c r="L73" s="4" t="str">
        <f>IFERROR(__xludf.DUMMYFUNCTION("""COMPUTED_VALUE"""),"不明")</f>
        <v>不明</v>
      </c>
      <c r="N73" s="20"/>
      <c r="O73" s="20"/>
      <c r="P73" s="20"/>
      <c r="Q73" s="20"/>
      <c r="R73" s="20"/>
      <c r="S73" s="20"/>
      <c r="T73" s="20"/>
      <c r="U73" s="20"/>
      <c r="V73" s="20"/>
      <c r="W73" s="20"/>
      <c r="X73" s="20"/>
    </row>
    <row r="74">
      <c r="B74" s="20" t="b">
        <f>IFERROR(__xludf.DUMMYFUNCTION("""COMPUTED_VALUE"""),FALSE)</f>
        <v>0</v>
      </c>
      <c r="C74" s="20" t="str">
        <f>IFERROR(__xludf.DUMMYFUNCTION("""COMPUTED_VALUE"""),"楽天トラベル")</f>
        <v>楽天トラベル</v>
      </c>
      <c r="D74" s="4">
        <f>IFERROR(__xludf.DUMMYFUNCTION("""COMPUTED_VALUE"""),4.0)</f>
        <v>4</v>
      </c>
      <c r="E74" s="19">
        <f>IFERROR(__xludf.DUMMYFUNCTION("""COMPUTED_VALUE"""),46102.0)</f>
        <v>46102</v>
      </c>
      <c r="F7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74" s="4"/>
      <c r="H74" s="4"/>
      <c r="I7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74" s="4" t="str">
        <f>IFERROR(__xludf.DUMMYFUNCTION("""COMPUTED_VALUE"""),"")</f>
        <v/>
      </c>
      <c r="K74" s="4" t="str">
        <f>IFERROR(__xludf.DUMMYFUNCTION("""COMPUTED_VALUE"""),"")</f>
        <v/>
      </c>
      <c r="L74" s="4" t="str">
        <f>IFERROR(__xludf.DUMMYFUNCTION("""COMPUTED_VALUE"""),"かず26661041")</f>
        <v>かず26661041</v>
      </c>
      <c r="N74" s="20"/>
      <c r="O74" s="20"/>
      <c r="P74" s="20"/>
      <c r="Q74" s="20"/>
      <c r="R74" s="20"/>
      <c r="S74" s="20"/>
      <c r="T74" s="20"/>
      <c r="U74" s="20"/>
      <c r="V74" s="20"/>
      <c r="W74" s="20"/>
      <c r="X74" s="20"/>
    </row>
    <row r="75">
      <c r="B75" s="20" t="b">
        <f>IFERROR(__xludf.DUMMYFUNCTION("""COMPUTED_VALUE"""),FALSE)</f>
        <v>0</v>
      </c>
      <c r="C75" s="20" t="str">
        <f>IFERROR(__xludf.DUMMYFUNCTION("""COMPUTED_VALUE"""),"楽天トラベル")</f>
        <v>楽天トラベル</v>
      </c>
      <c r="D75" s="4">
        <f>IFERROR(__xludf.DUMMYFUNCTION("""COMPUTED_VALUE"""),5.0)</f>
        <v>5</v>
      </c>
      <c r="E75" s="19">
        <f>IFERROR(__xludf.DUMMYFUNCTION("""COMPUTED_VALUE"""),46101.0)</f>
        <v>46101</v>
      </c>
      <c r="F7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75" s="4"/>
      <c r="H75" s="4"/>
      <c r="I7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75" s="4" t="str">
        <f>IFERROR(__xludf.DUMMYFUNCTION("""COMPUTED_VALUE"""),"")</f>
        <v/>
      </c>
      <c r="K75" s="4" t="str">
        <f>IFERROR(__xludf.DUMMYFUNCTION("""COMPUTED_VALUE"""),"")</f>
        <v/>
      </c>
      <c r="L75" s="4" t="str">
        <f>IFERROR(__xludf.DUMMYFUNCTION("""COMPUTED_VALUE"""),"hurry５１")</f>
        <v>hurry５１</v>
      </c>
      <c r="N75" s="20"/>
      <c r="O75" s="20"/>
      <c r="P75" s="20"/>
      <c r="Q75" s="20"/>
      <c r="R75" s="20"/>
      <c r="S75" s="20"/>
      <c r="T75" s="20"/>
      <c r="U75" s="20"/>
      <c r="V75" s="20"/>
      <c r="W75" s="20"/>
      <c r="X75" s="20"/>
    </row>
    <row r="76">
      <c r="B76" s="20" t="b">
        <f>IFERROR(__xludf.DUMMYFUNCTION("""COMPUTED_VALUE"""),FALSE)</f>
        <v>0</v>
      </c>
      <c r="C76" s="18" t="str">
        <f>IFERROR(__xludf.DUMMYFUNCTION("""COMPUTED_VALUE"""),"Booking.com")</f>
        <v>Booking.com</v>
      </c>
      <c r="D76" s="4">
        <f>IFERROR(__xludf.DUMMYFUNCTION("""COMPUTED_VALUE"""),10.0)</f>
        <v>10</v>
      </c>
      <c r="E76" s="19">
        <f>IFERROR(__xludf.DUMMYFUNCTION("""COMPUTED_VALUE"""),46101.0)</f>
        <v>46101</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IFERROR(__xludf.DUMMYFUNCTION("""COMPUTED_VALUE"""),"Chantel")</f>
        <v>Chantel</v>
      </c>
      <c r="N76" s="20"/>
      <c r="O76" s="20"/>
      <c r="P76" s="20"/>
      <c r="Q76" s="20"/>
      <c r="R76" s="20"/>
      <c r="S76" s="20"/>
      <c r="T76" s="20"/>
      <c r="U76" s="20"/>
      <c r="V76" s="20"/>
      <c r="W76" s="20"/>
      <c r="X76" s="20"/>
    </row>
    <row r="77">
      <c r="B77" s="20" t="b">
        <f>IFERROR(__xludf.DUMMYFUNCTION("""COMPUTED_VALUE"""),FALSE)</f>
        <v>0</v>
      </c>
      <c r="C77" s="20" t="str">
        <f>IFERROR(__xludf.DUMMYFUNCTION("""COMPUTED_VALUE"""),"Google")</f>
        <v>Google</v>
      </c>
      <c r="D77" s="4">
        <f>IFERROR(__xludf.DUMMYFUNCTION("""COMPUTED_VALUE"""),4.0)</f>
        <v>4</v>
      </c>
      <c r="E77" s="19">
        <f>IFERROR(__xludf.DUMMYFUNCTION("""COMPUTED_VALUE"""),46100.0)</f>
        <v>46100</v>
      </c>
      <c r="F7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77" s="4"/>
      <c r="H77" s="4"/>
      <c r="I7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77" s="4" t="str">
        <f>IFERROR(__xludf.DUMMYFUNCTION("""COMPUTED_VALUE"""),"")</f>
        <v/>
      </c>
      <c r="K77" s="4" t="str">
        <f>IFERROR(__xludf.DUMMYFUNCTION("""COMPUTED_VALUE"""),"")</f>
        <v/>
      </c>
      <c r="L77" s="4" t="str">
        <f>IFERROR(__xludf.DUMMYFUNCTION("""COMPUTED_VALUE"""),"K M")</f>
        <v>K M</v>
      </c>
      <c r="N77" s="20"/>
      <c r="O77" s="20"/>
      <c r="P77" s="20"/>
      <c r="Q77" s="20"/>
      <c r="R77" s="20"/>
      <c r="S77" s="20"/>
      <c r="T77" s="20"/>
      <c r="U77" s="20"/>
      <c r="V77" s="20"/>
      <c r="W77" s="20"/>
      <c r="X77" s="20"/>
    </row>
    <row r="78">
      <c r="B78" s="20" t="b">
        <f>IFERROR(__xludf.DUMMYFUNCTION("""COMPUTED_VALUE"""),FALSE)</f>
        <v>0</v>
      </c>
      <c r="C78" s="20" t="str">
        <f>IFERROR(__xludf.DUMMYFUNCTION("""COMPUTED_VALUE"""),"Google")</f>
        <v>Google</v>
      </c>
      <c r="D78" s="4">
        <f>IFERROR(__xludf.DUMMYFUNCTION("""COMPUTED_VALUE"""),4.0)</f>
        <v>4</v>
      </c>
      <c r="E78" s="19">
        <f>IFERROR(__xludf.DUMMYFUNCTION("""COMPUTED_VALUE"""),46100.0)</f>
        <v>46100</v>
      </c>
      <c r="F78" s="4" t="str">
        <f>IFERROR(__xludf.DUMMYFUNCTION("""COMPUTED_VALUE"""),"無難")</f>
        <v>無難</v>
      </c>
      <c r="G78" s="4"/>
      <c r="H78" s="4"/>
      <c r="I78" s="4" t="str">
        <f>IFERROR(__xludf.DUMMYFUNCTION("""COMPUTED_VALUE"""),"無難")</f>
        <v>無難</v>
      </c>
      <c r="J78" s="4" t="str">
        <f>IFERROR(__xludf.DUMMYFUNCTION("""COMPUTED_VALUE"""),"")</f>
        <v/>
      </c>
      <c r="K78" s="4" t="str">
        <f>IFERROR(__xludf.DUMMYFUNCTION("""COMPUTED_VALUE"""),"")</f>
        <v/>
      </c>
      <c r="L78" s="4" t="str">
        <f>IFERROR(__xludf.DUMMYFUNCTION("""COMPUTED_VALUE"""),"前英")</f>
        <v>前英</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IFERROR(__xludf.DUMMYFUNCTION("""COMPUTED_VALUE"""),2.0)</f>
        <v>2</v>
      </c>
      <c r="E79" s="19">
        <f>IFERROR(__xludf.DUMMYFUNCTION("""COMPUTED_VALUE"""),46099.0)</f>
        <v>46099</v>
      </c>
      <c r="F7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79" s="4"/>
      <c r="H79" s="4"/>
      <c r="I7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79" s="4" t="str">
        <f>IFERROR(__xludf.DUMMYFUNCTION("""COMPUTED_VALUE"""),"")</f>
        <v/>
      </c>
      <c r="K79" s="4" t="str">
        <f>IFERROR(__xludf.DUMMYFUNCTION("""COMPUTED_VALUE"""),"")</f>
        <v/>
      </c>
      <c r="L79" s="4" t="str">
        <f>IFERROR(__xludf.DUMMYFUNCTION("""COMPUTED_VALUE"""),"りょこうすき123")</f>
        <v>りょこうすき123</v>
      </c>
      <c r="N79" s="20"/>
      <c r="O79" s="20"/>
      <c r="P79" s="20"/>
      <c r="Q79" s="20"/>
      <c r="R79" s="20"/>
      <c r="S79" s="20"/>
      <c r="T79" s="20"/>
      <c r="U79" s="20"/>
      <c r="V79" s="20"/>
      <c r="W79" s="20"/>
      <c r="X79" s="20"/>
    </row>
    <row r="80">
      <c r="B80" s="20" t="b">
        <f>IFERROR(__xludf.DUMMYFUNCTION("""COMPUTED_VALUE"""),FALSE)</f>
        <v>0</v>
      </c>
      <c r="C80" s="18" t="str">
        <f>IFERROR(__xludf.DUMMYFUNCTION("""COMPUTED_VALUE"""),"Trip.com")</f>
        <v>Trip.com</v>
      </c>
      <c r="D80" s="4">
        <f>IFERROR(__xludf.DUMMYFUNCTION("""COMPUTED_VALUE"""),7.0)</f>
        <v>7</v>
      </c>
      <c r="E80" s="19">
        <f>IFERROR(__xludf.DUMMYFUNCTION("""COMPUTED_VALUE"""),46099.0)</f>
        <v>46099</v>
      </c>
      <c r="F80" s="4" t="str">
        <f>IFERROR(__xludf.DUMMYFUNCTION("""COMPUTED_VALUE"""),"駅から近く、室内もきれいでした。")</f>
        <v>駅から近く、室内もきれいでした。</v>
      </c>
      <c r="G80" s="4"/>
      <c r="H80" s="4"/>
      <c r="I80" s="4" t="str">
        <f>IFERROR(__xludf.DUMMYFUNCTION("""COMPUTED_VALUE"""),"駅から近く、室内もきれいでした。")</f>
        <v>駅から近く、室内もきれいでした。</v>
      </c>
      <c r="J80" s="4" t="str">
        <f>IFERROR(__xludf.DUMMYFUNCTION("""COMPUTED_VALUE"""),"")</f>
        <v/>
      </c>
      <c r="K80" s="4" t="str">
        <f>IFERROR(__xludf.DUMMYFUNCTION("""COMPUTED_VALUE"""),"")</f>
        <v/>
      </c>
      <c r="L80" s="4" t="str">
        <f>IFERROR(__xludf.DUMMYFUNCTION("""COMPUTED_VALUE"""),"ゲ‍ス‍ト")</f>
        <v>ゲ‍ス‍ト</v>
      </c>
    </row>
    <row r="81">
      <c r="B81" s="20" t="b">
        <f>IFERROR(__xludf.DUMMYFUNCTION("""COMPUTED_VALUE"""),FALSE)</f>
        <v>0</v>
      </c>
      <c r="C81" s="20" t="str">
        <f>IFERROR(__xludf.DUMMYFUNCTION("""COMPUTED_VALUE"""),"楽天トラベル")</f>
        <v>楽天トラベル</v>
      </c>
      <c r="D81" s="4">
        <f>IFERROR(__xludf.DUMMYFUNCTION("""COMPUTED_VALUE"""),4.0)</f>
        <v>4</v>
      </c>
      <c r="E81" s="19">
        <f>IFERROR(__xludf.DUMMYFUNCTION("""COMPUTED_VALUE"""),46098.0)</f>
        <v>46098</v>
      </c>
      <c r="F81" s="4" t="str">
        <f>IFERROR(__xludf.DUMMYFUNCTION("""COMPUTED_VALUE"""),"普通のホテルですが朝食が美味しくて満足です")</f>
        <v>普通のホテルですが朝食が美味しくて満足です</v>
      </c>
      <c r="G81" s="4"/>
      <c r="H81" s="4"/>
      <c r="I81" s="4" t="str">
        <f>IFERROR(__xludf.DUMMYFUNCTION("""COMPUTED_VALUE"""),"普通のホテルですが朝食が美味しくて満足です")</f>
        <v>普通のホテルですが朝食が美味しくて満足です</v>
      </c>
      <c r="J81" s="4" t="str">
        <f>IFERROR(__xludf.DUMMYFUNCTION("""COMPUTED_VALUE"""),"")</f>
        <v/>
      </c>
      <c r="K81" s="4" t="str">
        <f>IFERROR(__xludf.DUMMYFUNCTION("""COMPUTED_VALUE"""),"")</f>
        <v/>
      </c>
      <c r="L81" s="4" t="str">
        <f>IFERROR(__xludf.DUMMYFUNCTION("""COMPUTED_VALUE"""),"date5991")</f>
        <v>date5991</v>
      </c>
    </row>
    <row r="82">
      <c r="B82" s="20" t="b">
        <f>IFERROR(__xludf.DUMMYFUNCTION("""COMPUTED_VALUE"""),FALSE)</f>
        <v>0</v>
      </c>
      <c r="C82" s="18" t="str">
        <f>IFERROR(__xludf.DUMMYFUNCTION("""COMPUTED_VALUE"""),"Booking.com")</f>
        <v>Booking.com</v>
      </c>
      <c r="D82" s="4">
        <f>IFERROR(__xludf.DUMMYFUNCTION("""COMPUTED_VALUE"""),8.0)</f>
        <v>8</v>
      </c>
      <c r="E82" s="19">
        <f>IFERROR(__xludf.DUMMYFUNCTION("""COMPUTED_VALUE"""),46098.0)</f>
        <v>46098</v>
      </c>
      <c r="F82" s="4"/>
      <c r="G82" s="4" t="str">
        <f>IFERROR(__xludf.DUMMYFUNCTION("""COMPUTED_VALUE"""),"Good")</f>
        <v>Good</v>
      </c>
      <c r="H82" s="4"/>
      <c r="I82" s="4" t="str">
        <f>IFERROR(__xludf.DUMMYFUNCTION("""COMPUTED_VALUE"""),"")</f>
        <v/>
      </c>
      <c r="J82" s="4" t="str">
        <f>IFERROR(__xludf.DUMMYFUNCTION("""COMPUTED_VALUE"""),"良い")</f>
        <v>良い</v>
      </c>
      <c r="K82" s="4" t="str">
        <f>IFERROR(__xludf.DUMMYFUNCTION("""COMPUTED_VALUE"""),"")</f>
        <v/>
      </c>
      <c r="L82" s="4" t="str">
        <f>IFERROR(__xludf.DUMMYFUNCTION("""COMPUTED_VALUE"""),"Yi")</f>
        <v>Yi</v>
      </c>
    </row>
    <row r="83">
      <c r="B83" s="20" t="b">
        <f>IFERROR(__xludf.DUMMYFUNCTION("""COMPUTED_VALUE"""),FALSE)</f>
        <v>0</v>
      </c>
      <c r="C83" s="18" t="str">
        <f>IFERROR(__xludf.DUMMYFUNCTION("""COMPUTED_VALUE"""),"Booking.com")</f>
        <v>Booking.com</v>
      </c>
      <c r="D83" s="4">
        <f>IFERROR(__xludf.DUMMYFUNCTION("""COMPUTED_VALUE"""),9.0)</f>
        <v>9</v>
      </c>
      <c r="E83" s="19">
        <f>IFERROR(__xludf.DUMMYFUNCTION("""COMPUTED_VALUE"""),46097.0)</f>
        <v>46097</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IFERROR(__xludf.DUMMYFUNCTION("""COMPUTED_VALUE"""),"Tracy")</f>
        <v>Tracy</v>
      </c>
    </row>
    <row r="84">
      <c r="B84" s="20" t="b">
        <f>IFERROR(__xludf.DUMMYFUNCTION("""COMPUTED_VALUE"""),FALSE)</f>
        <v>0</v>
      </c>
      <c r="C84" s="18" t="str">
        <f>IFERROR(__xludf.DUMMYFUNCTION("""COMPUTED_VALUE"""),"Booking.com")</f>
        <v>Booking.com</v>
      </c>
      <c r="D84" s="4">
        <f>IFERROR(__xludf.DUMMYFUNCTION("""COMPUTED_VALUE"""),10.0)</f>
        <v>10</v>
      </c>
      <c r="E84" s="19">
        <f>IFERROR(__xludf.DUMMYFUNCTION("""COMPUTED_VALUE"""),46096.0)</f>
        <v>46096</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IFERROR(__xludf.DUMMYFUNCTION("""COMPUTED_VALUE"""),"Stevan")</f>
        <v>Stevan</v>
      </c>
    </row>
    <row r="85">
      <c r="B85" s="20" t="b">
        <f>IFERROR(__xludf.DUMMYFUNCTION("""COMPUTED_VALUE"""),FALSE)</f>
        <v>0</v>
      </c>
      <c r="C85" s="18" t="str">
        <f>IFERROR(__xludf.DUMMYFUNCTION("""COMPUTED_VALUE"""),"Booking.com")</f>
        <v>Booking.com</v>
      </c>
      <c r="D85" s="4">
        <f>IFERROR(__xludf.DUMMYFUNCTION("""COMPUTED_VALUE"""),7.0)</f>
        <v>7</v>
      </c>
      <c r="E85" s="19">
        <f>IFERROR(__xludf.DUMMYFUNCTION("""COMPUTED_VALUE"""),46096.0)</f>
        <v>46096</v>
      </c>
      <c r="F85" s="4"/>
      <c r="G85" s="4" t="str">
        <f>IFERROR(__xludf.DUMMYFUNCTION("""COMPUTED_VALUE"""),"Complimentary parking ticket for parking at nearby carpark as the hotel does not provide parking on property.")</f>
        <v>Complimentary parking ticket for parking at nearby carpark as the hotel does not provide parking on property.</v>
      </c>
      <c r="H85" s="4" t="str">
        <f>IFERROR(__xludf.DUMMYFUNCTION("""COMPUTED_VALUE"""),"The bed and pillow were uncomfortable to sleep in.")</f>
        <v>The bed and pillow were uncomfortable to sleep in.</v>
      </c>
      <c r="I85" s="4" t="str">
        <f>IFERROR(__xludf.DUMMYFUNCTION("""COMPUTED_VALUE"""),"")</f>
        <v/>
      </c>
      <c r="J85"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85" s="4" t="str">
        <f>IFERROR(__xludf.DUMMYFUNCTION("""COMPUTED_VALUE"""),"ベッドと枕は寝心地が悪かった。")</f>
        <v>ベッドと枕は寝心地が悪かった。</v>
      </c>
      <c r="L85" s="4" t="str">
        <f>IFERROR(__xludf.DUMMYFUNCTION("""COMPUTED_VALUE"""),"Choon")</f>
        <v>Choon</v>
      </c>
    </row>
    <row r="86">
      <c r="B86" s="20" t="b">
        <f>IFERROR(__xludf.DUMMYFUNCTION("""COMPUTED_VALUE"""),FALSE)</f>
        <v>0</v>
      </c>
      <c r="C86" s="18" t="str">
        <f>IFERROR(__xludf.DUMMYFUNCTION("""COMPUTED_VALUE"""),"Booking.com")</f>
        <v>Booking.com</v>
      </c>
      <c r="D86" s="4">
        <f>IFERROR(__xludf.DUMMYFUNCTION("""COMPUTED_VALUE"""),9.0)</f>
        <v>9</v>
      </c>
      <c r="E86" s="19">
        <f>IFERROR(__xludf.DUMMYFUNCTION("""COMPUTED_VALUE"""),46096.0)</f>
        <v>46096</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IFERROR(__xludf.DUMMYFUNCTION("""COMPUTED_VALUE"""),"Brad")</f>
        <v>Brad</v>
      </c>
    </row>
    <row r="87">
      <c r="B87" s="20" t="b">
        <f>IFERROR(__xludf.DUMMYFUNCTION("""COMPUTED_VALUE"""),FALSE)</f>
        <v>0</v>
      </c>
      <c r="C87" s="20" t="str">
        <f>IFERROR(__xludf.DUMMYFUNCTION("""COMPUTED_VALUE"""),"楽天トラベル")</f>
        <v>楽天トラベル</v>
      </c>
      <c r="D87" s="4">
        <f>IFERROR(__xludf.DUMMYFUNCTION("""COMPUTED_VALUE"""),5.0)</f>
        <v>5</v>
      </c>
      <c r="E87" s="19">
        <f>IFERROR(__xludf.DUMMYFUNCTION("""COMPUTED_VALUE"""),46095.0)</f>
        <v>46095</v>
      </c>
      <c r="F8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87" s="4"/>
      <c r="H87" s="4"/>
      <c r="I8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87" s="4" t="str">
        <f>IFERROR(__xludf.DUMMYFUNCTION("""COMPUTED_VALUE"""),"")</f>
        <v/>
      </c>
      <c r="K87" s="4" t="str">
        <f>IFERROR(__xludf.DUMMYFUNCTION("""COMPUTED_VALUE"""),"")</f>
        <v/>
      </c>
      <c r="L87" s="4" t="str">
        <f>IFERROR(__xludf.DUMMYFUNCTION("""COMPUTED_VALUE"""),"シュタゲ@")</f>
        <v>シュタゲ@</v>
      </c>
    </row>
    <row r="88">
      <c r="B88" s="20" t="b">
        <f>IFERROR(__xludf.DUMMYFUNCTION("""COMPUTED_VALUE"""),FALSE)</f>
        <v>0</v>
      </c>
      <c r="C88" s="20" t="str">
        <f>IFERROR(__xludf.DUMMYFUNCTION("""COMPUTED_VALUE"""),"Google")</f>
        <v>Google</v>
      </c>
      <c r="D88" s="4">
        <f>IFERROR(__xludf.DUMMYFUNCTION("""COMPUTED_VALUE"""),5.0)</f>
        <v>5</v>
      </c>
      <c r="E88" s="19">
        <f>IFERROR(__xludf.DUMMYFUNCTION("""COMPUTED_VALUE"""),46095.0)</f>
        <v>46095</v>
      </c>
      <c r="F8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88" s="4"/>
      <c r="H88" s="4"/>
      <c r="I8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88" s="4" t="str">
        <f>IFERROR(__xludf.DUMMYFUNCTION("""COMPUTED_VALUE"""),"")</f>
        <v/>
      </c>
      <c r="K88" s="4" t="str">
        <f>IFERROR(__xludf.DUMMYFUNCTION("""COMPUTED_VALUE"""),"")</f>
        <v/>
      </c>
      <c r="L88" s="4" t="str">
        <f>IFERROR(__xludf.DUMMYFUNCTION("""COMPUTED_VALUE"""),"David Herz")</f>
        <v>David Herz</v>
      </c>
    </row>
    <row r="89">
      <c r="B89" s="20" t="b">
        <f>IFERROR(__xludf.DUMMYFUNCTION("""COMPUTED_VALUE"""),FALSE)</f>
        <v>0</v>
      </c>
      <c r="C89" s="20" t="str">
        <f>IFERROR(__xludf.DUMMYFUNCTION("""COMPUTED_VALUE"""),"Google")</f>
        <v>Google</v>
      </c>
      <c r="D89" s="4">
        <f>IFERROR(__xludf.DUMMYFUNCTION("""COMPUTED_VALUE"""),5.0)</f>
        <v>5</v>
      </c>
      <c r="E89" s="19">
        <f>IFERROR(__xludf.DUMMYFUNCTION("""COMPUTED_VALUE"""),46095.0)</f>
        <v>46095</v>
      </c>
      <c r="F89"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89" s="4"/>
      <c r="H89" s="4"/>
      <c r="I89"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89" s="4" t="str">
        <f>IFERROR(__xludf.DUMMYFUNCTION("""COMPUTED_VALUE"""),"")</f>
        <v/>
      </c>
      <c r="K89" s="4" t="str">
        <f>IFERROR(__xludf.DUMMYFUNCTION("""COMPUTED_VALUE"""),"")</f>
        <v/>
      </c>
      <c r="L89" s="4" t="str">
        <f>IFERROR(__xludf.DUMMYFUNCTION("""COMPUTED_VALUE"""),"David Herz")</f>
        <v>David Herz</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IFERROR(__xludf.DUMMYFUNCTION("""COMPUTED_VALUE"""),46094.0)</f>
        <v>46094</v>
      </c>
      <c r="F90" s="4"/>
      <c r="G90" s="4" t="str">
        <f>IFERROR(__xludf.DUMMYFUNCTION("""COMPUTED_VALUE"""),"The staff is super nice and willing to help even at late night")</f>
        <v>The staff is super nice and willing to help even at late night</v>
      </c>
      <c r="H90" s="4"/>
      <c r="I90" s="4" t="str">
        <f>IFERROR(__xludf.DUMMYFUNCTION("""COMPUTED_VALUE"""),"")</f>
        <v/>
      </c>
      <c r="J90" s="4" t="str">
        <f>IFERROR(__xludf.DUMMYFUNCTION("""COMPUTED_VALUE"""),"スタッフはとても親切で、深夜でも快く手伝ってくれます。")</f>
        <v>スタッフはとても親切で、深夜でも快く手伝ってくれます。</v>
      </c>
      <c r="K90" s="4" t="str">
        <f>IFERROR(__xludf.DUMMYFUNCTION("""COMPUTED_VALUE"""),"")</f>
        <v/>
      </c>
      <c r="L90" s="4" t="str">
        <f>IFERROR(__xludf.DUMMYFUNCTION("""COMPUTED_VALUE"""),"Teen")</f>
        <v>Teen</v>
      </c>
    </row>
    <row r="91">
      <c r="B91" s="20" t="b">
        <f>IFERROR(__xludf.DUMMYFUNCTION("""COMPUTED_VALUE"""),FALSE)</f>
        <v>0</v>
      </c>
      <c r="C91" s="20" t="str">
        <f>IFERROR(__xludf.DUMMYFUNCTION("""COMPUTED_VALUE"""),"楽天トラベル")</f>
        <v>楽天トラベル</v>
      </c>
      <c r="D91" s="4">
        <f>IFERROR(__xludf.DUMMYFUNCTION("""COMPUTED_VALUE"""),5.0)</f>
        <v>5</v>
      </c>
      <c r="E91" s="19">
        <f>IFERROR(__xludf.DUMMYFUNCTION("""COMPUTED_VALUE"""),46094.0)</f>
        <v>46094</v>
      </c>
      <c r="F91" s="4" t="str">
        <f>IFERROR(__xludf.DUMMYFUNCTION("""COMPUTED_VALUE"""),"バイキングとても美味しかったです！     ")</f>
        <v>バイキングとても美味しかったです！     </v>
      </c>
      <c r="G91" s="4"/>
      <c r="H91" s="4"/>
      <c r="I91" s="4" t="str">
        <f>IFERROR(__xludf.DUMMYFUNCTION("""COMPUTED_VALUE"""),"バイキングとても美味しかったです！     ")</f>
        <v>バイキングとても美味しかったです！     </v>
      </c>
      <c r="J91" s="4" t="str">
        <f>IFERROR(__xludf.DUMMYFUNCTION("""COMPUTED_VALUE"""),"")</f>
        <v/>
      </c>
      <c r="K91" s="4" t="str">
        <f>IFERROR(__xludf.DUMMYFUNCTION("""COMPUTED_VALUE"""),"")</f>
        <v/>
      </c>
      <c r="L91" s="4" t="str">
        <f>IFERROR(__xludf.DUMMYFUNCTION("""COMPUTED_VALUE"""),"yuichi0503")</f>
        <v>yuichi0503</v>
      </c>
    </row>
    <row r="92">
      <c r="B92" s="20" t="b">
        <f>IFERROR(__xludf.DUMMYFUNCTION("""COMPUTED_VALUE"""),FALSE)</f>
        <v>0</v>
      </c>
      <c r="C92" s="18" t="str">
        <f>IFERROR(__xludf.DUMMYFUNCTION("""COMPUTED_VALUE"""),"Booking.com")</f>
        <v>Booking.com</v>
      </c>
      <c r="D92" s="4">
        <f>IFERROR(__xludf.DUMMYFUNCTION("""COMPUTED_VALUE"""),7.0)</f>
        <v>7</v>
      </c>
      <c r="E92" s="19">
        <f>IFERROR(__xludf.DUMMYFUNCTION("""COMPUTED_VALUE"""),46094.0)</f>
        <v>46094</v>
      </c>
      <c r="F92" s="4"/>
      <c r="G92" s="4" t="str">
        <f>IFERROR(__xludf.DUMMYFUNCTION("""COMPUTED_VALUE"""),"Very good location,  nice staff,")</f>
        <v>Very good location,  nice staff,</v>
      </c>
      <c r="H92" s="4" t="str">
        <f>IFERROR(__xludf.DUMMYFUNCTION("""COMPUTED_VALUE"""),"Too small, bathroom entrance too high")</f>
        <v>Too small, bathroom entrance too high</v>
      </c>
      <c r="I92" s="4" t="str">
        <f>IFERROR(__xludf.DUMMYFUNCTION("""COMPUTED_VALUE"""),"")</f>
        <v/>
      </c>
      <c r="J92" s="4" t="str">
        <f>IFERROR(__xludf.DUMMYFUNCTION("""COMPUTED_VALUE"""),"立地が非常に良く、スタッフも親切です。")</f>
        <v>立地が非常に良く、スタッフも親切です。</v>
      </c>
      <c r="K92" s="4" t="str">
        <f>IFERROR(__xludf.DUMMYFUNCTION("""COMPUTED_VALUE"""),"狭すぎる、浴室の入り口が高すぎる")</f>
        <v>狭すぎる、浴室の入り口が高すぎる</v>
      </c>
      <c r="L92" s="4" t="str">
        <f>IFERROR(__xludf.DUMMYFUNCTION("""COMPUTED_VALUE"""),"Yumiko")</f>
        <v>Yumiko</v>
      </c>
    </row>
    <row r="93">
      <c r="B93" s="20" t="b">
        <f>IFERROR(__xludf.DUMMYFUNCTION("""COMPUTED_VALUE"""),FALSE)</f>
        <v>0</v>
      </c>
      <c r="C93" s="18" t="str">
        <f>IFERROR(__xludf.DUMMYFUNCTION("""COMPUTED_VALUE"""),"Booking.com")</f>
        <v>Booking.com</v>
      </c>
      <c r="D93" s="4">
        <f>IFERROR(__xludf.DUMMYFUNCTION("""COMPUTED_VALUE"""),9.0)</f>
        <v>9</v>
      </c>
      <c r="E93" s="19">
        <f>IFERROR(__xludf.DUMMYFUNCTION("""COMPUTED_VALUE"""),46094.0)</f>
        <v>46094</v>
      </c>
      <c r="F93" s="4"/>
      <c r="G93" s="4" t="str">
        <f>IFERROR(__xludf.DUMMYFUNCTION("""COMPUTED_VALUE"""),"Breakfast was good, service staff was courteous and helpful.")</f>
        <v>Breakfast was good, service staff was courteous and helpful.</v>
      </c>
      <c r="H93"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3" s="4" t="str">
        <f>IFERROR(__xludf.DUMMYFUNCTION("""COMPUTED_VALUE"""),"")</f>
        <v/>
      </c>
      <c r="J93" s="4" t="str">
        <f>IFERROR(__xludf.DUMMYFUNCTION("""COMPUTED_VALUE"""),"朝食は美味しく、サービススタッフは礼儀正しく親切だった。")</f>
        <v>朝食は美味しく、サービススタッフは礼儀正しく親切だった。</v>
      </c>
      <c r="K93" s="4" t="str">
        <f>IFERROR(__xludf.DUMMYFUNCTION("""COMPUTED_VALUE"""),"浴室のドアの縁石が少し高すぎるため、浴室への出入り時に危険な場合があります。")</f>
        <v>浴室のドアの縁石が少し高すぎるため、浴室への出入り時に危険な場合があります。</v>
      </c>
      <c r="L93" s="4" t="str">
        <f>IFERROR(__xludf.DUMMYFUNCTION("""COMPUTED_VALUE"""),"Thomas")</f>
        <v>Thomas</v>
      </c>
    </row>
    <row r="94">
      <c r="B94" s="20" t="b">
        <f>IFERROR(__xludf.DUMMYFUNCTION("""COMPUTED_VALUE"""),FALSE)</f>
        <v>0</v>
      </c>
      <c r="C94" s="20" t="str">
        <f>IFERROR(__xludf.DUMMYFUNCTION("""COMPUTED_VALUE"""),"じゃらん")</f>
        <v>じゃらん</v>
      </c>
      <c r="D94" s="4">
        <f>IFERROR(__xludf.DUMMYFUNCTION("""COMPUTED_VALUE"""),4.0)</f>
        <v>4</v>
      </c>
      <c r="E94" s="19">
        <f>IFERROR(__xludf.DUMMYFUNCTION("""COMPUTED_VALUE"""),46093.0)</f>
        <v>46093</v>
      </c>
      <c r="F9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94" s="4"/>
      <c r="H94" s="4"/>
      <c r="I9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94" s="4" t="str">
        <f>IFERROR(__xludf.DUMMYFUNCTION("""COMPUTED_VALUE"""),"")</f>
        <v/>
      </c>
      <c r="K94" s="4" t="str">
        <f>IFERROR(__xludf.DUMMYFUNCTION("""COMPUTED_VALUE"""),"")</f>
        <v/>
      </c>
      <c r="L94" s="4" t="str">
        <f>IFERROR(__xludf.DUMMYFUNCTION("""COMPUTED_VALUE"""),"トラベラーさん")</f>
        <v>トラベラーさん</v>
      </c>
    </row>
    <row r="95">
      <c r="B95" s="20" t="b">
        <f>IFERROR(__xludf.DUMMYFUNCTION("""COMPUTED_VALUE"""),FALSE)</f>
        <v>0</v>
      </c>
      <c r="C95" s="18" t="str">
        <f>IFERROR(__xludf.DUMMYFUNCTION("""COMPUTED_VALUE"""),"Booking.com")</f>
        <v>Booking.com</v>
      </c>
      <c r="D95" s="4">
        <f>IFERROR(__xludf.DUMMYFUNCTION("""COMPUTED_VALUE"""),10.0)</f>
        <v>10</v>
      </c>
      <c r="E95" s="19">
        <f>IFERROR(__xludf.DUMMYFUNCTION("""COMPUTED_VALUE"""),46093.0)</f>
        <v>46093</v>
      </c>
      <c r="F95" s="4"/>
      <c r="G95"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95" s="4"/>
      <c r="I95" s="4" t="str">
        <f>IFERROR(__xludf.DUMMYFUNCTION("""COMPUTED_VALUE"""),"")</f>
        <v/>
      </c>
      <c r="J95"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95" s="4" t="str">
        <f>IFERROR(__xludf.DUMMYFUNCTION("""COMPUTED_VALUE"""),"")</f>
        <v/>
      </c>
      <c r="L95" s="4" t="str">
        <f>IFERROR(__xludf.DUMMYFUNCTION("""COMPUTED_VALUE"""),"Alexander")</f>
        <v>Alexander</v>
      </c>
    </row>
    <row r="96">
      <c r="B96" s="20" t="b">
        <f>IFERROR(__xludf.DUMMYFUNCTION("""COMPUTED_VALUE"""),FALSE)</f>
        <v>0</v>
      </c>
      <c r="C96" s="20" t="str">
        <f>IFERROR(__xludf.DUMMYFUNCTION("""COMPUTED_VALUE"""),"Agoda")</f>
        <v>Agoda</v>
      </c>
      <c r="D96" s="4">
        <f>IFERROR(__xludf.DUMMYFUNCTION("""COMPUTED_VALUE"""),6.0)</f>
        <v>6</v>
      </c>
      <c r="E96" s="19">
        <f>IFERROR(__xludf.DUMMYFUNCTION("""COMPUTED_VALUE"""),46092.0)</f>
        <v>46092</v>
      </c>
      <c r="F96" s="4" t="str">
        <f>IFERROR(__xludf.DUMMYFUNCTION("""COMPUTED_VALUE"""),"チェックインの応対が丁寧でよかったです。")</f>
        <v>チェックインの応対が丁寧でよかったです。</v>
      </c>
      <c r="G96" s="4"/>
      <c r="H96" s="4"/>
      <c r="I96" s="4" t="str">
        <f>IFERROR(__xludf.DUMMYFUNCTION("""COMPUTED_VALUE"""),"チェックインの応対が丁寧でよかったです。")</f>
        <v>チェックインの応対が丁寧でよかったです。</v>
      </c>
      <c r="J96" s="4" t="str">
        <f>IFERROR(__xludf.DUMMYFUNCTION("""COMPUTED_VALUE"""),"")</f>
        <v/>
      </c>
      <c r="K96" s="4" t="str">
        <f>IFERROR(__xludf.DUMMYFUNCTION("""COMPUTED_VALUE"""),"")</f>
        <v/>
      </c>
      <c r="L96" s="4" t="str">
        <f>IFERROR(__xludf.DUMMYFUNCTION("""COMPUTED_VALUE"""),"Kiyoshi")</f>
        <v>Kiyoshi</v>
      </c>
    </row>
    <row r="97">
      <c r="B97" s="20" t="b">
        <f>IFERROR(__xludf.DUMMYFUNCTION("""COMPUTED_VALUE"""),FALSE)</f>
        <v>0</v>
      </c>
      <c r="C97" s="18" t="str">
        <f>IFERROR(__xludf.DUMMYFUNCTION("""COMPUTED_VALUE"""),"Trip.com")</f>
        <v>Trip.com</v>
      </c>
      <c r="D97" s="4">
        <f>IFERROR(__xludf.DUMMYFUNCTION("""COMPUTED_VALUE"""),10.0)</f>
        <v>10</v>
      </c>
      <c r="E97" s="19">
        <f>IFERROR(__xludf.DUMMYFUNCTION("""COMPUTED_VALUE"""),46092.0)</f>
        <v>46092</v>
      </c>
      <c r="F97" s="4" t="str">
        <f>IFERROR(__xludf.DUMMYFUNCTION("""COMPUTED_VALUE"""),"Very good kind people")</f>
        <v>Very good kind people</v>
      </c>
      <c r="G97" s="4"/>
      <c r="H97" s="4"/>
      <c r="I97" s="4" t="str">
        <f>IFERROR(__xludf.DUMMYFUNCTION("""COMPUTED_VALUE"""),"とても親切な人たち")</f>
        <v>とても親切な人たち</v>
      </c>
      <c r="J97" s="4" t="str">
        <f>IFERROR(__xludf.DUMMYFUNCTION("""COMPUTED_VALUE"""),"")</f>
        <v/>
      </c>
      <c r="K97" s="4" t="str">
        <f>IFERROR(__xludf.DUMMYFUNCTION("""COMPUTED_VALUE"""),"")</f>
        <v/>
      </c>
      <c r="L97" s="4" t="str">
        <f>IFERROR(__xludf.DUMMYFUNCTION("""COMPUTED_VALUE"""),"ゲ‍ス‍ト")</f>
        <v>ゲ‍ス‍ト</v>
      </c>
    </row>
    <row r="98">
      <c r="B98" s="20" t="b">
        <f>IFERROR(__xludf.DUMMYFUNCTION("""COMPUTED_VALUE"""),FALSE)</f>
        <v>0</v>
      </c>
      <c r="C98" s="18" t="str">
        <f>IFERROR(__xludf.DUMMYFUNCTION("""COMPUTED_VALUE"""),"Booking.com")</f>
        <v>Booking.com</v>
      </c>
      <c r="D98" s="4">
        <f>IFERROR(__xludf.DUMMYFUNCTION("""COMPUTED_VALUE"""),8.0)</f>
        <v>8</v>
      </c>
      <c r="E98" s="19">
        <f>IFERROR(__xludf.DUMMYFUNCTION("""COMPUTED_VALUE"""),46092.0)</f>
        <v>46092</v>
      </c>
      <c r="F98" s="4"/>
      <c r="G98" s="4" t="str">
        <f>IFERROR(__xludf.DUMMYFUNCTION("""COMPUTED_VALUE"""),"部屋が明るくきれいだった。")</f>
        <v>部屋が明るくきれいだった。</v>
      </c>
      <c r="H98" s="4" t="str">
        <f>IFERROR(__xludf.DUMMYFUNCTION("""COMPUTED_VALUE"""),"風呂が少し古い感じだった。")</f>
        <v>風呂が少し古い感じだった。</v>
      </c>
      <c r="I98" s="4" t="str">
        <f>IFERROR(__xludf.DUMMYFUNCTION("""COMPUTED_VALUE"""),"")</f>
        <v/>
      </c>
      <c r="J98" s="4" t="str">
        <f>IFERROR(__xludf.DUMMYFUNCTION("""COMPUTED_VALUE"""),"部屋が明るくきれいだった。")</f>
        <v>部屋が明るくきれいだった。</v>
      </c>
      <c r="K98" s="4" t="str">
        <f>IFERROR(__xludf.DUMMYFUNCTION("""COMPUTED_VALUE"""),"風呂が少し古い感じだった。")</f>
        <v>風呂が少し古い感じだった。</v>
      </c>
      <c r="L98" s="4" t="str">
        <f>IFERROR(__xludf.DUMMYFUNCTION("""COMPUTED_VALUE"""),"Takeo")</f>
        <v>Takeo</v>
      </c>
    </row>
    <row r="99">
      <c r="B99" s="20" t="b">
        <f>IFERROR(__xludf.DUMMYFUNCTION("""COMPUTED_VALUE"""),FALSE)</f>
        <v>0</v>
      </c>
      <c r="C99" s="20" t="str">
        <f>IFERROR(__xludf.DUMMYFUNCTION("""COMPUTED_VALUE"""),"楽天トラベル")</f>
        <v>楽天トラベル</v>
      </c>
      <c r="D99" s="4">
        <f>IFERROR(__xludf.DUMMYFUNCTION("""COMPUTED_VALUE"""),3.0)</f>
        <v>3</v>
      </c>
      <c r="E99" s="19">
        <f>IFERROR(__xludf.DUMMYFUNCTION("""COMPUTED_VALUE"""),46092.0)</f>
        <v>46092</v>
      </c>
      <c r="F99" s="4" t="str">
        <f>IFERROR(__xludf.DUMMYFUNCTION("""COMPUTED_VALUE"""),"喫煙所がない。屋外設置もないため、喫煙者には辛いかも。")</f>
        <v>喫煙所がない。屋外設置もないため、喫煙者には辛いかも。</v>
      </c>
      <c r="G99" s="4"/>
      <c r="H99" s="4"/>
      <c r="I99" s="4" t="str">
        <f>IFERROR(__xludf.DUMMYFUNCTION("""COMPUTED_VALUE"""),"喫煙所がない。屋外設置もないため、喫煙者には辛いかも。")</f>
        <v>喫煙所がない。屋外設置もないため、喫煙者には辛いかも。</v>
      </c>
      <c r="J99" s="4" t="str">
        <f>IFERROR(__xludf.DUMMYFUNCTION("""COMPUTED_VALUE"""),"")</f>
        <v/>
      </c>
      <c r="K99" s="4" t="str">
        <f>IFERROR(__xludf.DUMMYFUNCTION("""COMPUTED_VALUE"""),"")</f>
        <v/>
      </c>
      <c r="L99" s="4" t="str">
        <f>IFERROR(__xludf.DUMMYFUNCTION("""COMPUTED_VALUE"""),"のり47076716")</f>
        <v>のり47076716</v>
      </c>
    </row>
    <row r="100">
      <c r="B100" s="20" t="b">
        <f>IFERROR(__xludf.DUMMYFUNCTION("""COMPUTED_VALUE"""),FALSE)</f>
        <v>0</v>
      </c>
      <c r="C100" s="20" t="str">
        <f>IFERROR(__xludf.DUMMYFUNCTION("""COMPUTED_VALUE"""),"Google")</f>
        <v>Google</v>
      </c>
      <c r="D100" s="4">
        <f>IFERROR(__xludf.DUMMYFUNCTION("""COMPUTED_VALUE"""),5.0)</f>
        <v>5</v>
      </c>
      <c r="E100" s="19">
        <f>IFERROR(__xludf.DUMMYFUNCTION("""COMPUTED_VALUE"""),46092.0)</f>
        <v>46092</v>
      </c>
      <c r="F10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0" s="4"/>
      <c r="H100" s="4"/>
      <c r="I10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0" s="4" t="str">
        <f>IFERROR(__xludf.DUMMYFUNCTION("""COMPUTED_VALUE"""),"")</f>
        <v/>
      </c>
      <c r="K100" s="4" t="str">
        <f>IFERROR(__xludf.DUMMYFUNCTION("""COMPUTED_VALUE"""),"")</f>
        <v/>
      </c>
      <c r="L100" s="4" t="str">
        <f>IFERROR(__xludf.DUMMYFUNCTION("""COMPUTED_VALUE"""),"Bernhard Ulbrich")</f>
        <v>Bernhard Ulbrich</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20" t="str">
        <f>IFERROR(__xludf.DUMMYFUNCTION("""COMPUTED_VALUE"""),"じゃらん")</f>
        <v>じゃらん</v>
      </c>
      <c r="D101" s="4">
        <f>IFERROR(__xludf.DUMMYFUNCTION("""COMPUTED_VALUE"""),4.0)</f>
        <v>4</v>
      </c>
      <c r="E101" s="19">
        <f>IFERROR(__xludf.DUMMYFUNCTION("""COMPUTED_VALUE"""),46092.0)</f>
        <v>46092</v>
      </c>
      <c r="F10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1" s="4"/>
      <c r="H101" s="4"/>
      <c r="I10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1" s="4" t="str">
        <f>IFERROR(__xludf.DUMMYFUNCTION("""COMPUTED_VALUE"""),"")</f>
        <v/>
      </c>
      <c r="K101" s="4" t="str">
        <f>IFERROR(__xludf.DUMMYFUNCTION("""COMPUTED_VALUE"""),"")</f>
        <v/>
      </c>
      <c r="L101" s="4" t="str">
        <f>IFERROR(__xludf.DUMMYFUNCTION("""COMPUTED_VALUE"""),"まささん")</f>
        <v>まささん</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IFERROR(__xludf.DUMMYFUNCTION("""COMPUTED_VALUE"""),"Google")</f>
        <v>Google</v>
      </c>
      <c r="D102" s="4">
        <f>IFERROR(__xludf.DUMMYFUNCTION("""COMPUTED_VALUE"""),5.0)</f>
        <v>5</v>
      </c>
      <c r="E102" s="19">
        <f>IFERROR(__xludf.DUMMYFUNCTION("""COMPUTED_VALUE"""),46092.0)</f>
        <v>46092</v>
      </c>
      <c r="F102"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2" s="4"/>
      <c r="H102" s="4"/>
      <c r="I102"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2" s="4" t="str">
        <f>IFERROR(__xludf.DUMMYFUNCTION("""COMPUTED_VALUE"""),"")</f>
        <v/>
      </c>
      <c r="K102" s="4" t="str">
        <f>IFERROR(__xludf.DUMMYFUNCTION("""COMPUTED_VALUE"""),"")</f>
        <v/>
      </c>
      <c r="L102" s="4" t="str">
        <f>IFERROR(__xludf.DUMMYFUNCTION("""COMPUTED_VALUE"""),"Bernhard Ulbrich")</f>
        <v>Bernhard Ulbrich</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20" t="str">
        <f>IFERROR(__xludf.DUMMYFUNCTION("""COMPUTED_VALUE"""),"Google")</f>
        <v>Google</v>
      </c>
      <c r="D103" s="4">
        <f>IFERROR(__xludf.DUMMYFUNCTION("""COMPUTED_VALUE"""),5.0)</f>
        <v>5</v>
      </c>
      <c r="E103" s="19">
        <f>IFERROR(__xludf.DUMMYFUNCTION("""COMPUTED_VALUE"""),46091.0)</f>
        <v>46091</v>
      </c>
      <c r="F10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3" s="4"/>
      <c r="H103" s="4"/>
      <c r="I10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3" s="4" t="str">
        <f>IFERROR(__xludf.DUMMYFUNCTION("""COMPUTED_VALUE"""),"")</f>
        <v/>
      </c>
      <c r="K103" s="4" t="str">
        <f>IFERROR(__xludf.DUMMYFUNCTION("""COMPUTED_VALUE"""),"")</f>
        <v/>
      </c>
      <c r="L103" s="4" t="str">
        <f>IFERROR(__xludf.DUMMYFUNCTION("""COMPUTED_VALUE"""),"アブドーラ林")</f>
        <v>アブドーラ林</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IFERROR(__xludf.DUMMYFUNCTION("""COMPUTED_VALUE"""),"Trip.com")</f>
        <v>Trip.com</v>
      </c>
      <c r="D104" s="4">
        <f>IFERROR(__xludf.DUMMYFUNCTION("""COMPUTED_VALUE"""),9.0)</f>
        <v>9</v>
      </c>
      <c r="E104" s="19">
        <f>IFERROR(__xludf.DUMMYFUNCTION("""COMPUTED_VALUE"""),46091.0)</f>
        <v>46091</v>
      </c>
      <c r="F10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04" s="4"/>
      <c r="H104" s="4"/>
      <c r="I10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04" s="4" t="str">
        <f>IFERROR(__xludf.DUMMYFUNCTION("""COMPUTED_VALUE"""),"")</f>
        <v/>
      </c>
      <c r="K104" s="4" t="str">
        <f>IFERROR(__xludf.DUMMYFUNCTION("""COMPUTED_VALUE"""),"")</f>
        <v/>
      </c>
      <c r="L104" s="4" t="str">
        <f>IFERROR(__xludf.DUMMYFUNCTION("""COMPUTED_VALUE"""),"た‍く‍ろ‍の‍楽‍し‍み‍か‍た‍☺‍️")</f>
        <v>た‍く‍ろ‍の‍楽‍し‍み‍か‍た‍☺‍️</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18" t="str">
        <f>IFERROR(__xludf.DUMMYFUNCTION("""COMPUTED_VALUE"""),"Booking.com")</f>
        <v>Booking.com</v>
      </c>
      <c r="D105" s="4">
        <f>IFERROR(__xludf.DUMMYFUNCTION("""COMPUTED_VALUE"""),8.0)</f>
        <v>8</v>
      </c>
      <c r="E105" s="19">
        <f>IFERROR(__xludf.DUMMYFUNCTION("""COMPUTED_VALUE"""),46091.0)</f>
        <v>46091</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IFERROR(__xludf.DUMMYFUNCTION("""COMPUTED_VALUE"""),"Minchun")</f>
        <v>Minchun</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18" t="str">
        <f>IFERROR(__xludf.DUMMYFUNCTION("""COMPUTED_VALUE"""),"Trip.com")</f>
        <v>Trip.com</v>
      </c>
      <c r="D106" s="4">
        <f>IFERROR(__xludf.DUMMYFUNCTION("""COMPUTED_VALUE"""),9.0)</f>
        <v>9</v>
      </c>
      <c r="E106" s="19">
        <f>IFERROR(__xludf.DUMMYFUNCTION("""COMPUTED_VALUE"""),46090.0)</f>
        <v>46090</v>
      </c>
      <c r="F106" s="4" t="str">
        <f>IFERROR(__xludf.DUMMYFUNCTION("""COMPUTED_VALUE"""),"There is no problem.")</f>
        <v>There is no problem.</v>
      </c>
      <c r="G106" s="4"/>
      <c r="H106" s="4"/>
      <c r="I106" s="4" t="str">
        <f>IFERROR(__xludf.DUMMYFUNCTION("""COMPUTED_VALUE"""),"問題ありません。")</f>
        <v>問題ありません。</v>
      </c>
      <c r="J106" s="4" t="str">
        <f>IFERROR(__xludf.DUMMYFUNCTION("""COMPUTED_VALUE"""),"")</f>
        <v/>
      </c>
      <c r="K106" s="4" t="str">
        <f>IFERROR(__xludf.DUMMYFUNCTION("""COMPUTED_VALUE"""),"")</f>
        <v/>
      </c>
      <c r="L106" s="4" t="str">
        <f>IFERROR(__xludf.DUMMYFUNCTION("""COMPUTED_VALUE"""),"匿‍名‍ユ‍ー‍ザ‍ー")</f>
        <v>匿‍名‍ユ‍ー‍ザ‍ー</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18" t="str">
        <f>IFERROR(__xludf.DUMMYFUNCTION("""COMPUTED_VALUE"""),"Trip.com")</f>
        <v>Trip.com</v>
      </c>
      <c r="D107" s="4">
        <f>IFERROR(__xludf.DUMMYFUNCTION("""COMPUTED_VALUE"""),10.0)</f>
        <v>10</v>
      </c>
      <c r="E107" s="19">
        <f>IFERROR(__xludf.DUMMYFUNCTION("""COMPUTED_VALUE"""),46090.0)</f>
        <v>46090</v>
      </c>
      <c r="F107" s="4" t="str">
        <f>IFERROR(__xludf.DUMMYFUNCTION("""COMPUTED_VALUE"""),"Best location , excellent service, have tea and coffee corner, includes breakfast, the staffs are all helpful")</f>
        <v>Best location , excellent service, have tea and coffee corner, includes breakfast, the staffs are all helpful</v>
      </c>
      <c r="G107" s="4"/>
      <c r="H107" s="4"/>
      <c r="I107"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07" s="4" t="str">
        <f>IFERROR(__xludf.DUMMYFUNCTION("""COMPUTED_VALUE"""),"")</f>
        <v/>
      </c>
      <c r="K107" s="4" t="str">
        <f>IFERROR(__xludf.DUMMYFUNCTION("""COMPUTED_VALUE"""),"")</f>
        <v/>
      </c>
      <c r="L107" s="4" t="str">
        <f>IFERROR(__xludf.DUMMYFUNCTION("""COMPUTED_VALUE"""),"ゲ‍ス‍ト")</f>
        <v>ゲ‍ス‍ト</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18" t="str">
        <f>IFERROR(__xludf.DUMMYFUNCTION("""COMPUTED_VALUE"""),"Booking.com")</f>
        <v>Booking.com</v>
      </c>
      <c r="D108" s="4">
        <f>IFERROR(__xludf.DUMMYFUNCTION("""COMPUTED_VALUE"""),10.0)</f>
        <v>10</v>
      </c>
      <c r="E108" s="19">
        <f>IFERROR(__xludf.DUMMYFUNCTION("""COMPUTED_VALUE"""),46090.0)</f>
        <v>46090</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IFERROR(__xludf.DUMMYFUNCTION("""COMPUTED_VALUE"""),"Marcela")</f>
        <v>Marcela</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18" t="str">
        <f>IFERROR(__xludf.DUMMYFUNCTION("""COMPUTED_VALUE"""),"Booking.com")</f>
        <v>Booking.com</v>
      </c>
      <c r="D109" s="4">
        <f>IFERROR(__xludf.DUMMYFUNCTION("""COMPUTED_VALUE"""),8.0)</f>
        <v>8</v>
      </c>
      <c r="E109" s="19">
        <f>IFERROR(__xludf.DUMMYFUNCTION("""COMPUTED_VALUE"""),46090.0)</f>
        <v>46090</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IFERROR(__xludf.DUMMYFUNCTION("""COMPUTED_VALUE"""),"Tzuyao")</f>
        <v>Tzuyao</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IFERROR(__xludf.DUMMYFUNCTION("""COMPUTED_VALUE"""),"Booking.com")</f>
        <v>Booking.com</v>
      </c>
      <c r="D110" s="4">
        <f>IFERROR(__xludf.DUMMYFUNCTION("""COMPUTED_VALUE"""),9.0)</f>
        <v>9</v>
      </c>
      <c r="E110" s="19">
        <f>IFERROR(__xludf.DUMMYFUNCTION("""COMPUTED_VALUE"""),46090.0)</f>
        <v>46090</v>
      </c>
      <c r="F110" s="4"/>
      <c r="G110"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0" s="4" t="str">
        <f>IFERROR(__xludf.DUMMYFUNCTION("""COMPUTED_VALUE"""),"Nothing")</f>
        <v>Nothing</v>
      </c>
      <c r="I110" s="4" t="str">
        <f>IFERROR(__xludf.DUMMYFUNCTION("""COMPUTED_VALUE"""),"")</f>
        <v/>
      </c>
      <c r="J110"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10" s="4" t="str">
        <f>IFERROR(__xludf.DUMMYFUNCTION("""COMPUTED_VALUE"""),"何もない")</f>
        <v>何もない</v>
      </c>
      <c r="L110" s="4" t="str">
        <f>IFERROR(__xludf.DUMMYFUNCTION("""COMPUTED_VALUE"""),"Robert")</f>
        <v>Robert</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IFERROR(__xludf.DUMMYFUNCTION("""COMPUTED_VALUE"""),46090.0)</f>
        <v>46090</v>
      </c>
      <c r="F111" s="4"/>
      <c r="G111"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1" s="4"/>
      <c r="I111" s="4" t="str">
        <f>IFERROR(__xludf.DUMMYFUNCTION("""COMPUTED_VALUE"""),"")</f>
        <v/>
      </c>
      <c r="J111"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11" s="4" t="str">
        <f>IFERROR(__xludf.DUMMYFUNCTION("""COMPUTED_VALUE"""),"")</f>
        <v/>
      </c>
      <c r="L111" s="4" t="str">
        <f>IFERROR(__xludf.DUMMYFUNCTION("""COMPUTED_VALUE"""),"Robert")</f>
        <v>Robert</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IFERROR(__xludf.DUMMYFUNCTION("""COMPUTED_VALUE"""),"Booking.com")</f>
        <v>Booking.com</v>
      </c>
      <c r="D112" s="4">
        <f>IFERROR(__xludf.DUMMYFUNCTION("""COMPUTED_VALUE"""),10.0)</f>
        <v>10</v>
      </c>
      <c r="E112" s="19">
        <f>IFERROR(__xludf.DUMMYFUNCTION("""COMPUTED_VALUE"""),46089.0)</f>
        <v>46089</v>
      </c>
      <c r="F112" s="4"/>
      <c r="G112" s="4" t="str">
        <f>IFERROR(__xludf.DUMMYFUNCTION("""COMPUTED_VALUE"""),"とにかくお安く泊まれました。その上、無料で朝食が付いていて文句なし。")</f>
        <v>とにかくお安く泊まれました。その上、無料で朝食が付いていて文句なし。</v>
      </c>
      <c r="H112" s="4" t="str">
        <f>IFERROR(__xludf.DUMMYFUNCTION("""COMPUTED_VALUE"""),"ありません。")</f>
        <v>ありません。</v>
      </c>
      <c r="I112" s="4" t="str">
        <f>IFERROR(__xludf.DUMMYFUNCTION("""COMPUTED_VALUE"""),"")</f>
        <v/>
      </c>
      <c r="J112" s="4" t="str">
        <f>IFERROR(__xludf.DUMMYFUNCTION("""COMPUTED_VALUE"""),"とにかくお安く泊まれました。その上、無料で朝食が付いていて文句なし。")</f>
        <v>とにかくお安く泊まれました。その上、無料で朝食が付いていて文句なし。</v>
      </c>
      <c r="K112" s="4" t="str">
        <f>IFERROR(__xludf.DUMMYFUNCTION("""COMPUTED_VALUE"""),"ありません。")</f>
        <v>ありません。</v>
      </c>
      <c r="L112" s="4" t="str">
        <f>IFERROR(__xludf.DUMMYFUNCTION("""COMPUTED_VALUE"""),"Yasuhiro")</f>
        <v>Yasuhiro</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D113" s="4"/>
      <c r="E113" s="4"/>
      <c r="F113" s="4"/>
      <c r="G113" s="4"/>
      <c r="H113" s="4"/>
      <c r="I113" s="4"/>
      <c r="J113" s="4"/>
      <c r="K113" s="4"/>
      <c r="L113" s="4"/>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D114" s="4"/>
      <c r="E114" s="4"/>
      <c r="F114" s="4"/>
      <c r="G114" s="4"/>
      <c r="H114" s="4"/>
      <c r="I114" s="4"/>
      <c r="J114" s="4"/>
      <c r="K114" s="4"/>
      <c r="L114" s="4"/>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D115" s="4"/>
      <c r="E115" s="4"/>
      <c r="F115" s="4"/>
      <c r="G115" s="4"/>
      <c r="H115" s="4"/>
      <c r="I115" s="4"/>
      <c r="J115" s="4"/>
      <c r="K115" s="4"/>
      <c r="L115" s="4"/>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D116" s="4"/>
      <c r="E116" s="4"/>
      <c r="F116" s="4"/>
      <c r="G116" s="4"/>
      <c r="H116" s="4"/>
      <c r="I116" s="4"/>
      <c r="J116" s="4"/>
      <c r="K116" s="4"/>
      <c r="L116" s="4"/>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D117" s="4"/>
      <c r="E117" s="4"/>
      <c r="F117" s="4"/>
      <c r="G117" s="4"/>
      <c r="H117" s="4"/>
      <c r="I117" s="4"/>
      <c r="J117" s="4"/>
      <c r="K117" s="4"/>
      <c r="L117" s="4"/>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D118" s="4"/>
      <c r="E118" s="4"/>
      <c r="F118" s="4"/>
      <c r="G118" s="4"/>
      <c r="H118" s="4"/>
      <c r="I118" s="4"/>
      <c r="J118" s="4"/>
      <c r="K118" s="4"/>
      <c r="L118" s="4"/>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8"/>
    <hyperlink r:id="rId9" ref="O18"/>
    <hyperlink r:id="rId10" ref="C19"/>
    <hyperlink r:id="rId11" ref="O19"/>
    <hyperlink r:id="rId12" ref="C20"/>
    <hyperlink r:id="rId13" ref="O20"/>
    <hyperlink r:id="rId14" ref="C23"/>
    <hyperlink r:id="rId15" ref="O23"/>
    <hyperlink r:id="rId16" ref="C27"/>
    <hyperlink r:id="rId17" ref="O27"/>
    <hyperlink r:id="rId18" ref="C28"/>
    <hyperlink r:id="rId19" ref="O28"/>
    <hyperlink r:id="rId20" ref="C29"/>
    <hyperlink r:id="rId21" ref="O29"/>
    <hyperlink r:id="rId22" ref="C30"/>
    <hyperlink r:id="rId23" ref="O30"/>
    <hyperlink r:id="rId24" ref="C34"/>
    <hyperlink r:id="rId25" ref="O34"/>
    <hyperlink r:id="rId26" ref="C35"/>
    <hyperlink r:id="rId27" ref="O35"/>
    <hyperlink r:id="rId28" ref="C36"/>
    <hyperlink r:id="rId29" ref="O36"/>
    <hyperlink r:id="rId30" ref="C40"/>
    <hyperlink r:id="rId31" ref="C42"/>
    <hyperlink r:id="rId32" ref="C43"/>
    <hyperlink r:id="rId33" ref="C44"/>
    <hyperlink r:id="rId34" ref="C49"/>
    <hyperlink r:id="rId35" ref="C51"/>
    <hyperlink r:id="rId36" ref="C54"/>
    <hyperlink r:id="rId37" ref="C55"/>
    <hyperlink r:id="rId38" ref="C56"/>
    <hyperlink r:id="rId39" ref="C57"/>
    <hyperlink r:id="rId40" ref="C58"/>
    <hyperlink r:id="rId41" ref="C61"/>
    <hyperlink r:id="rId42" ref="C62"/>
    <hyperlink r:id="rId43" ref="C64"/>
    <hyperlink r:id="rId44" ref="C66"/>
    <hyperlink r:id="rId45" ref="C68"/>
    <hyperlink r:id="rId46" ref="C76"/>
    <hyperlink r:id="rId47" ref="C80"/>
    <hyperlink r:id="rId48" ref="C82"/>
    <hyperlink r:id="rId49" ref="C83"/>
    <hyperlink r:id="rId50" ref="C84"/>
    <hyperlink r:id="rId51" ref="C85"/>
    <hyperlink r:id="rId52" ref="C86"/>
    <hyperlink r:id="rId53" ref="C90"/>
    <hyperlink r:id="rId54" ref="C92"/>
    <hyperlink r:id="rId55" ref="C93"/>
    <hyperlink r:id="rId56" ref="C95"/>
    <hyperlink r:id="rId57" ref="C97"/>
    <hyperlink r:id="rId58" ref="C98"/>
    <hyperlink r:id="rId59" ref="O101"/>
    <hyperlink r:id="rId60" ref="O103"/>
    <hyperlink r:id="rId61" ref="C104"/>
    <hyperlink r:id="rId62" ref="O104"/>
    <hyperlink r:id="rId63" ref="C105"/>
    <hyperlink r:id="rId64" ref="O105"/>
    <hyperlink r:id="rId65" ref="C106"/>
    <hyperlink r:id="rId66" ref="C107"/>
    <hyperlink r:id="rId67" ref="C108"/>
    <hyperlink r:id="rId68" ref="C109"/>
    <hyperlink r:id="rId69" ref="C110"/>
    <hyperlink r:id="rId70" ref="O110"/>
    <hyperlink r:id="rId71" ref="C111"/>
    <hyperlink r:id="rId72" ref="C112"/>
    <hyperlink r:id="rId73" ref="O112"/>
    <hyperlink r:id="rId74" ref="O115"/>
    <hyperlink r:id="rId75" ref="O116"/>
    <hyperlink r:id="rId76" ref="O117"/>
    <hyperlink r:id="rId77" ref="O118"/>
    <hyperlink r:id="rId78" ref="O119"/>
    <hyperlink r:id="rId79" ref="O122"/>
    <hyperlink r:id="rId80" ref="O123"/>
    <hyperlink r:id="rId81" ref="O125"/>
    <hyperlink r:id="rId82" ref="O127"/>
    <hyperlink r:id="rId83" ref="O129"/>
    <hyperlink r:id="rId84" ref="O137"/>
    <hyperlink r:id="rId85" ref="O141"/>
    <hyperlink r:id="rId86" ref="O143"/>
    <hyperlink r:id="rId87" ref="O144"/>
    <hyperlink r:id="rId88" ref="O145"/>
    <hyperlink r:id="rId89" ref="O146"/>
    <hyperlink r:id="rId90" ref="O147"/>
    <hyperlink r:id="rId91" ref="O151"/>
    <hyperlink r:id="rId92" ref="O153"/>
    <hyperlink r:id="rId93" ref="O154"/>
    <hyperlink r:id="rId94" ref="O156"/>
    <hyperlink r:id="rId95" ref="O158"/>
    <hyperlink r:id="rId96" ref="O159"/>
    <hyperlink r:id="rId97" ref="O165"/>
    <hyperlink r:id="rId98" ref="O166"/>
    <hyperlink r:id="rId99" ref="O167"/>
    <hyperlink r:id="rId100" ref="O168"/>
    <hyperlink r:id="rId101" ref="O169"/>
    <hyperlink r:id="rId102" ref="O170"/>
    <hyperlink r:id="rId103" ref="O171"/>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1764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46126</v>
      </c>
      <c r="C7" s="358"/>
      <c r="D7" s="274"/>
      <c r="E7" s="359">
        <f>today()+1</f>
        <v>46127</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46126</v>
      </c>
      <c r="C7" s="358"/>
      <c r="D7" s="274"/>
      <c r="E7" s="359">
        <f>today()+1</f>
        <v>46127</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8</v>
      </c>
      <c r="D9" s="186"/>
      <c r="E9" s="372" t="str">
        <f t="shared" ref="E9:E65" si="6">K9</f>
        <v>出勤者数合計</v>
      </c>
      <c r="F9" s="381">
        <f t="shared" ref="F9:F65" si="7">if(E9="","", xlookup($E$7,$N$7:$AR$7,$N9:$AR9))</f>
        <v>8</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9</v>
      </c>
      <c r="AF9" s="385">
        <f t="array" ref="AF9">SUM(COUNTIF(AF11:AF105, {"◎","〇","☆","共","特","浴"}))</f>
        <v>9</v>
      </c>
      <c r="AG9" s="385">
        <f t="array" ref="AG9">SUM(COUNTIF(AG11:AG105, {"◎","〇","☆","共","特","浴"}))</f>
        <v>9</v>
      </c>
      <c r="AH9" s="385">
        <f t="array" ref="AH9">SUM(COUNTIF(AH11:AH105, {"◎","〇","☆","共","特","浴"}))</f>
        <v>8</v>
      </c>
      <c r="AI9" s="385">
        <f t="array" ref="AI9">SUM(COUNTIF(AI11:AI105, {"◎","〇","☆","共","特","浴"}))</f>
        <v>10</v>
      </c>
      <c r="AJ9" s="385">
        <f t="array" ref="AJ9">SUM(COUNTIF(AJ11:AJ105, {"◎","〇","☆","共","特","浴"}))</f>
        <v>8</v>
      </c>
      <c r="AK9" s="385">
        <f t="array" ref="AK9">SUM(COUNTIF(AK11:AK105, {"◎","〇","☆","共","特","浴"}))</f>
        <v>8</v>
      </c>
      <c r="AL9" s="385">
        <f t="array" ref="AL9">SUM(COUNTIF(AL11:AL105, {"◎","〇","☆","共","特","浴"}))</f>
        <v>9</v>
      </c>
      <c r="AM9" s="385">
        <f t="array" ref="AM9">SUM(COUNTIF(AM11:AM105, {"◎","〇","☆","共","特","浴"}))</f>
        <v>10</v>
      </c>
      <c r="AN9" s="385">
        <f t="array" ref="AN9">SUM(COUNTIF(AN11:AN105, {"◎","〇","☆","共","特","浴"}))</f>
        <v>11</v>
      </c>
      <c r="AO9" s="385">
        <f t="array" ref="AO9">SUM(COUNTIF(AO11:AO105, {"◎","〇","☆","共","特","浴"}))</f>
        <v>9</v>
      </c>
      <c r="AP9" s="385">
        <f t="array" ref="AP9">SUM(COUNTIF(AP11:AP105, {"◎","〇","☆","共","特","浴"}))</f>
        <v>7</v>
      </c>
      <c r="AQ9" s="385">
        <f t="array" ref="AQ9">SUM(COUNTIF(AQ11:AQ105, {"◎","〇","☆","共","特","浴"}))</f>
        <v>9</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1</v>
      </c>
      <c r="D10" s="186"/>
      <c r="E10" s="372" t="str">
        <f t="shared" si="6"/>
        <v>チェッカー数</v>
      </c>
      <c r="F10" s="381">
        <f t="shared" si="7"/>
        <v>1</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1</v>
      </c>
      <c r="AF10" s="385">
        <f t="array" ref="AF10">SUM(COUNTIF(AF11:AF105, {"◎","☆"}))</f>
        <v>1</v>
      </c>
      <c r="AG10" s="385">
        <f t="array" ref="AG10">SUM(COUNTIF(AG11:AG105, {"◎","☆"}))</f>
        <v>2</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錦</v>
      </c>
      <c r="D11" s="186"/>
      <c r="E11" s="372" t="str">
        <f t="shared" si="6"/>
        <v>ビマル</v>
      </c>
      <c r="F11" s="381" t="str">
        <f t="shared" si="7"/>
        <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207</v>
      </c>
      <c r="AF11" s="390" t="s">
        <v>187</v>
      </c>
      <c r="AG11" s="390" t="s">
        <v>187</v>
      </c>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v>
      </c>
      <c r="D12" s="186"/>
      <c r="E12" s="372" t="str">
        <f t="shared" si="6"/>
        <v>小川</v>
      </c>
      <c r="F12" s="381" t="str">
        <f t="shared" si="7"/>
        <v>◎</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錦</v>
      </c>
      <c r="D29" s="186"/>
      <c r="E29" s="372" t="str">
        <f t="shared" si="6"/>
        <v>サウド</v>
      </c>
      <c r="F29" s="381" t="str">
        <f t="shared" si="7"/>
        <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t="s">
        <v>119</v>
      </c>
      <c r="AG29" s="390" t="s">
        <v>283</v>
      </c>
      <c r="AH29" s="390" t="s">
        <v>281</v>
      </c>
      <c r="AI29" s="390"/>
      <c r="AJ29" s="390" t="s">
        <v>119</v>
      </c>
      <c r="AK29" s="390" t="s">
        <v>281</v>
      </c>
      <c r="AL29" s="390"/>
      <c r="AM29" s="390" t="s">
        <v>119</v>
      </c>
      <c r="AN29" s="390" t="s">
        <v>119</v>
      </c>
      <c r="AO29" s="390" t="s">
        <v>281</v>
      </c>
      <c r="AP29" s="390"/>
      <c r="AQ29" s="390" t="s">
        <v>119</v>
      </c>
      <c r="AR29" s="385"/>
      <c r="AS29" s="391">
        <f t="array" ref="AS29">SUM(COUNTIF(N29:AR29, {"◎","〇","☆","共","特","浴"}))</f>
        <v>11</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7</v>
      </c>
      <c r="D41" s="186"/>
      <c r="E41" s="372" t="str">
        <f t="shared" si="6"/>
        <v>メイド数</v>
      </c>
      <c r="F41" s="381">
        <f t="shared" si="7"/>
        <v>7</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8</v>
      </c>
      <c r="AG41" s="385">
        <f t="shared" si="9"/>
        <v>7</v>
      </c>
      <c r="AH41" s="385">
        <f t="shared" si="9"/>
        <v>7</v>
      </c>
      <c r="AI41" s="385">
        <f t="shared" si="9"/>
        <v>8</v>
      </c>
      <c r="AJ41" s="385">
        <f t="shared" si="9"/>
        <v>7</v>
      </c>
      <c r="AK41" s="385">
        <f t="shared" si="9"/>
        <v>7</v>
      </c>
      <c r="AL41" s="385">
        <f t="shared" si="9"/>
        <v>8</v>
      </c>
      <c r="AM41" s="385">
        <f t="shared" si="9"/>
        <v>9</v>
      </c>
      <c r="AN41" s="385">
        <f t="shared" si="9"/>
        <v>9</v>
      </c>
      <c r="AO41" s="385">
        <f t="shared" si="9"/>
        <v>8</v>
      </c>
      <c r="AP41" s="385">
        <f t="shared" si="9"/>
        <v>6</v>
      </c>
      <c r="AQ41" s="385">
        <f t="shared" si="9"/>
        <v>8</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〇</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〇</v>
      </c>
      <c r="D46" s="186"/>
      <c r="E46" s="372" t="str">
        <f t="shared" si="6"/>
        <v>君島</v>
      </c>
      <c r="F46" s="381" t="str">
        <f t="shared" si="7"/>
        <v>〇</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〇</v>
      </c>
      <c r="D47" s="186"/>
      <c r="E47" s="372" t="str">
        <f t="shared" si="6"/>
        <v>多田</v>
      </c>
      <c r="F47" s="381" t="str">
        <f t="shared" si="7"/>
        <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〇</v>
      </c>
      <c r="D48" s="186"/>
      <c r="E48" s="372" t="str">
        <f t="shared" si="6"/>
        <v>白鳥</v>
      </c>
      <c r="F48" s="381" t="str">
        <f t="shared" si="7"/>
        <v>〇</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
      </c>
      <c r="D49" s="186"/>
      <c r="E49" s="372" t="str">
        <f t="shared" si="6"/>
        <v>ラメス</v>
      </c>
      <c r="F49" s="381" t="str">
        <f t="shared" si="7"/>
        <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
      </c>
      <c r="D50" s="186"/>
      <c r="E50" s="372" t="str">
        <f t="shared" si="6"/>
        <v>二サン</v>
      </c>
      <c r="F50" s="381" t="str">
        <f t="shared" si="7"/>
        <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
      </c>
      <c r="D53" s="186"/>
      <c r="E53" s="372" t="str">
        <f t="shared" si="6"/>
        <v>パワン</v>
      </c>
      <c r="F53" s="381" t="str">
        <f t="shared" si="7"/>
        <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〇</v>
      </c>
      <c r="D54" s="186"/>
      <c r="E54" s="372" t="str">
        <f t="shared" si="6"/>
        <v>スニタ</v>
      </c>
      <c r="F54" s="381" t="str">
        <f t="shared" si="7"/>
        <v>〇</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〇</v>
      </c>
      <c r="D55" s="186"/>
      <c r="E55" s="372" t="str">
        <f t="shared" si="6"/>
        <v>岩井</v>
      </c>
      <c r="F55" s="381" t="str">
        <f t="shared" si="7"/>
        <v>〇</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
      </c>
      <c r="D57" s="186"/>
      <c r="E57" s="372" t="str">
        <f t="shared" si="6"/>
        <v>テンジ</v>
      </c>
      <c r="F57" s="381" t="str">
        <f t="shared" si="7"/>
        <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〇</v>
      </c>
      <c r="D58" s="186"/>
      <c r="E58" s="372" t="str">
        <f t="shared" si="6"/>
        <v>ビジャヤ</v>
      </c>
      <c r="F58" s="381" t="str">
        <f t="shared" si="7"/>
        <v>〇</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
      </c>
      <c r="D59" s="186"/>
      <c r="E59" s="372" t="str">
        <f t="shared" si="6"/>
        <v>ロジナ</v>
      </c>
      <c r="F59" s="381" t="str">
        <f t="shared" si="7"/>
        <v>〇</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1446820</v>
      </c>
      <c r="D1" s="406">
        <f>AZ20</f>
        <v>208104.7879</v>
      </c>
      <c r="E1" s="406">
        <f>BG23</f>
        <v>712389</v>
      </c>
      <c r="F1" s="406">
        <f>BB23+BG40</f>
        <v>0</v>
      </c>
      <c r="G1" s="406">
        <f t="shared" ref="G1:H1" si="1">I8</f>
        <v>31419.81818</v>
      </c>
      <c r="H1" s="406">
        <f t="shared" si="1"/>
        <v>0</v>
      </c>
      <c r="I1" s="407">
        <f>G8</f>
        <v>0.7713976165</v>
      </c>
      <c r="J1" s="407">
        <f>AT7</f>
        <v>0</v>
      </c>
      <c r="K1" s="408">
        <f>AV44</f>
        <v>0</v>
      </c>
      <c r="L1" s="409">
        <f>F44</f>
        <v>1764</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0.2900628562</v>
      </c>
      <c r="D7" s="71"/>
      <c r="E7" s="447">
        <f>AU12</f>
        <v>0.5044993209</v>
      </c>
      <c r="F7" s="71"/>
      <c r="G7" s="448" t="s">
        <v>311</v>
      </c>
      <c r="H7" s="449">
        <f t="array" ref="H7">xlookup($D$5,'🌟目標数値'!$A$3:$A$14,'🌟目標数値'!D$3:D14)</f>
        <v>3224820</v>
      </c>
      <c r="I7" s="449" t="s">
        <v>311</v>
      </c>
      <c r="J7" s="450" t="s">
        <v>311</v>
      </c>
      <c r="K7" s="451" t="s">
        <v>311</v>
      </c>
      <c r="L7" s="451" t="s">
        <v>311</v>
      </c>
      <c r="M7" s="452">
        <f t="array" ref="M7">xlookup($D$5,'🌟目標数値'!$A$3:$A$14,'🌟目標数値'!E$3:E14)</f>
        <v>935400.5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0.3420649382</v>
      </c>
      <c r="D8" s="71"/>
      <c r="E8" s="459">
        <f>(BB23+BG23-BE24)/H8</f>
        <v>0.4923826046</v>
      </c>
      <c r="F8" s="71"/>
      <c r="G8" s="460">
        <f>G47</f>
        <v>0.7713976165</v>
      </c>
      <c r="H8" s="461">
        <f>BB30</f>
        <v>1446820</v>
      </c>
      <c r="I8" s="462">
        <f>IFERROR(__xludf.DUMMYFUNCTION("IMPORTRANGE(""https://docs.google.com/spreadsheets/d/1QbHfX9wvC_RRupa4CCe_ZxA6O4e2Ap9vqX5hrZPeQRg/edit"",""date2_1!R18"")/G5*COUNTIFS($E$13:$E$43,""&gt;0"")"),31419.818181818177)</f>
        <v>31419.81818</v>
      </c>
      <c r="J8" s="463">
        <f>IFERROR(__xludf.DUMMYFUNCTION("IMPORTRANGE(""https://docs.google.com/spreadsheets/d/1PIAlDmsTatDNi42y_Nu-aVFqvVCXfe6jiDJFQImKjZ0/edit#gid=630612029"",""R8_4!J18"")"),0.0)</f>
        <v>0</v>
      </c>
      <c r="K8" s="464">
        <f>BE24</f>
        <v>0</v>
      </c>
      <c r="L8" s="464">
        <f>BB30-BB23-AZ20-BG45-BG23+BE24</f>
        <v>526326.2121</v>
      </c>
      <c r="M8" s="465">
        <f>L8-I8</f>
        <v>494906.3939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1397422</v>
      </c>
      <c r="I9" s="475" t="s">
        <v>311</v>
      </c>
      <c r="J9" s="476" t="s">
        <v>311</v>
      </c>
      <c r="K9" s="477" t="s">
        <v>311</v>
      </c>
      <c r="L9" s="477" t="s">
        <v>311</v>
      </c>
      <c r="M9" s="478">
        <f>M7/G5*COUNTIFS($E$11:$E$41,"&gt;0")</f>
        <v>405340.2167</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0.5044993209</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IFERROR(__xludf.DUMMYFUNCTION("FLATTEN('⚙️抽出用'!B5:AF5)"),48142.0)</f>
        <v>48142</v>
      </c>
      <c r="AU13" s="516">
        <f t="shared" ref="AU13:AU43" si="7">if(E13="","",iferror((AT13+AR13+$BF$23/if(month($D$5)=month(today()),day(today()),$G$5))/(AS13+(sum($BA$31:$BA$32)/$G$5)),""))</f>
        <v>0.4837226162</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IFERROR(__xludf.DUMMYFUNCTION("""COMPUTED_VALUE"""),43931.0)</f>
        <v>43931</v>
      </c>
      <c r="AU14" s="516">
        <f t="shared" si="7"/>
        <v>0.4612096532</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0.4522451383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0.529833599</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0.4954151876</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IFERROR(__xludf.DUMMYFUNCTION("""COMPUTED_VALUE"""),44990.0)</f>
        <v>44990</v>
      </c>
      <c r="AU18" s="516">
        <f t="shared" si="7"/>
        <v>0.4732864964</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0.5323818761</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IFERROR(__xludf.DUMMYFUNCTION("""COMPUTED_VALUE"""),53125.0)</f>
        <v>53125</v>
      </c>
      <c r="AU20" s="516">
        <f t="shared" si="7"/>
        <v>0.5195371687</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IFERROR(__xludf.DUMMYFUNCTION("IMPORTRANGE(""https://docs.google.com/spreadsheets/d/1QbHfX9wvC_RRupa4CCe_ZxA6O4e2Ap9vqX5hrZPeQRg/edit?gid=284905409#gid=284905409"",""date2_1!D18"")/G5*COUNTIFS($E$13:$E$43,""&gt;0"")+sum(AZ14:BA19)"),208104.78787878787)</f>
        <v>208104.7879</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IFERROR(__xludf.DUMMYFUNCTION("""COMPUTED_VALUE"""),46522.0)</f>
        <v>46522</v>
      </c>
      <c r="AU21" s="516">
        <f t="shared" si="7"/>
        <v>0.4691214879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IFERROR(__xludf.DUMMYFUNCTION("""COMPUTED_VALUE"""),54859.0)</f>
        <v>54859</v>
      </c>
      <c r="AU22" s="516">
        <f t="shared" si="7"/>
        <v>0.4882996792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0.5339429511</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IFERROR(__xludf.DUMMYFUNCTION("IMPORTRANGE(AT9,""total!ai2"")"),652415.0)</f>
        <v>652415</v>
      </c>
      <c r="BF23" s="550">
        <f>IFERROR(__xludf.DUMMYFUNCTION("IMPORTRANGE(AT9,""total!an2"")"),59974.0)</f>
        <v>59974</v>
      </c>
      <c r="BG23" s="548">
        <f>sum(BE23:BF27)+BE20</f>
        <v>712389</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0.4730472726</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IFERROR(__xludf.DUMMYFUNCTION("""COMPUTED_VALUE"""),45026.0)</f>
        <v>45026</v>
      </c>
      <c r="AU25" s="516">
        <f t="shared" si="7"/>
        <v>0.459380074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IFERROR(__xludf.DUMMYFUNCTION("""COMPUTED_VALUE"""),0.0)</f>
        <v>0</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IFERROR(__xludf.DUMMYFUNCTION("""COMPUTED_VALUE"""),0.0)</f>
        <v>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IFERROR(__xludf.DUMMYFUNCTION("""COMPUTED_VALUE"""),0.0)</f>
        <v>0</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IFERROR(__xludf.DUMMYFUNCTION("""COMPUTED_VALUE"""),0.0)</f>
        <v>0</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IFERROR(__xludf.DUMMYFUNCTION("""COMPUTED_VALUE"""),0.0)</f>
        <v>0</v>
      </c>
      <c r="AU30" s="516" t="str">
        <f t="shared" si="7"/>
        <v/>
      </c>
      <c r="AV30" s="507">
        <f>countifs('🔵クレーム'!$C:$C,MONTH($D$5)&amp;"月",'🔵クレーム'!$D:$D,day(C30)&amp;"日",'🔵クレーム'!$I:$I,"&lt;&gt;")</f>
        <v>0</v>
      </c>
      <c r="AW30" s="517"/>
      <c r="AX30" s="416"/>
      <c r="AY30" s="560" t="s">
        <v>382</v>
      </c>
      <c r="AZ30" s="550">
        <f>AS46</f>
        <v>1446820</v>
      </c>
      <c r="BA30" s="561" t="s">
        <v>311</v>
      </c>
      <c r="BB30" s="548">
        <f>SUM(AZ30:AZ36)</f>
        <v>1446820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IFERROR(__xludf.DUMMYFUNCTION("""COMPUTED_VALUE"""),0.0)</f>
        <v>0</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IFERROR(__xludf.DUMMYFUNCTION("""COMPUTED_VALUE"""),0.0)</f>
        <v>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1846</v>
      </c>
      <c r="F44" s="586">
        <f t="shared" ref="F44:AB44" si="11">SUM(F13:F43)</f>
        <v>1764</v>
      </c>
      <c r="G44" s="586">
        <f t="shared" si="11"/>
        <v>1424</v>
      </c>
      <c r="H44" s="586">
        <f t="shared" si="11"/>
        <v>340</v>
      </c>
      <c r="I44" s="586">
        <f t="shared" si="11"/>
        <v>26</v>
      </c>
      <c r="J44" s="586">
        <f t="shared" si="11"/>
        <v>26</v>
      </c>
      <c r="K44" s="586">
        <f t="shared" si="11"/>
        <v>2</v>
      </c>
      <c r="L44" s="586">
        <f t="shared" si="11"/>
        <v>58</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1446820</v>
      </c>
      <c r="AT44" s="589">
        <f t="shared" si="12"/>
        <v>652415</v>
      </c>
      <c r="AU44" s="590">
        <f>AVERAGE(AU13:AU43)</f>
        <v>0.4901094769</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1395520</v>
      </c>
      <c r="H46" s="607">
        <f t="shared" si="14"/>
        <v>34000</v>
      </c>
      <c r="I46" s="607">
        <f t="shared" si="14"/>
        <v>2600</v>
      </c>
      <c r="J46" s="607">
        <f t="shared" si="14"/>
        <v>2600</v>
      </c>
      <c r="K46" s="607">
        <f t="shared" si="14"/>
        <v>500</v>
      </c>
      <c r="L46" s="607">
        <f t="shared" si="14"/>
        <v>11600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1446820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0.7713976165</v>
      </c>
      <c r="H47" s="615">
        <f>H44/$F$44</f>
        <v>0.1927437642</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0.3420649382</v>
      </c>
      <c r="D10" s="794">
        <f t="array" ref="D10">INDIRECT($E$8 &amp; "!E8")</f>
        <v>0.4923826046</v>
      </c>
      <c r="E10" s="794">
        <f t="array" ref="E10">INDIRECT($E$8 &amp; "!G8")</f>
        <v>0.7713976165</v>
      </c>
      <c r="F10" s="795">
        <f t="array" ref="F10">INDIRECT($E$8 &amp; "!H8")</f>
        <v>1446820</v>
      </c>
      <c r="G10" s="795">
        <f t="array" ref="G10">INDIRECT($E$8 &amp; "!K8")</f>
        <v>0</v>
      </c>
      <c r="H10" s="795">
        <f t="array" ref="H10">INDIRECT($E$8 &amp; "!M8")</f>
        <v>494906.3939</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0.2900628562</v>
      </c>
      <c r="D11" s="798"/>
      <c r="E11" s="799"/>
      <c r="F11" s="800">
        <f t="array" ref="F11">INDIRECT($E$8 &amp; "!H7")</f>
        <v>3224820</v>
      </c>
      <c r="G11" s="798"/>
      <c r="H11" s="801">
        <f t="array" ref="H11">INDIRECT($E$8 &amp; "!M7")</f>
        <v>935400.5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487</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488</v>
      </c>
      <c r="O2" s="279"/>
      <c r="P2" s="280"/>
      <c r="Q2" s="281"/>
      <c r="R2" s="281"/>
      <c r="S2" s="282"/>
      <c r="T2" s="281"/>
      <c r="U2" s="281"/>
      <c r="V2" s="281"/>
      <c r="W2" s="281"/>
      <c r="X2" s="281"/>
      <c r="Y2" s="283"/>
      <c r="Z2" s="262"/>
      <c r="AA2" s="262"/>
      <c r="AB2" s="262"/>
      <c r="AC2" s="262"/>
      <c r="AD2" s="262"/>
      <c r="AE2" s="262"/>
      <c r="AF2" s="284"/>
      <c r="AG2" s="285"/>
      <c r="AH2" s="286"/>
      <c r="AI2" s="287" t="s">
        <v>489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46126</v>
      </c>
      <c r="C7" s="358"/>
      <c r="D7" s="274"/>
      <c r="E7" s="359">
        <f>today()+1</f>
        <v>46127</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490</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491</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493</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494</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492</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491</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495</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496</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497</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498</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499</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500</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501</v>
      </c>
      <c r="H165" s="728"/>
      <c r="I165" s="728" t="s">
        <v>502</v>
      </c>
      <c r="J165" s="728" t="s">
        <v>503</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504</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505</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506</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507</v>
      </c>
      <c r="H322" s="728"/>
      <c r="I322" s="729">
        <v>0.6666666666666666</v>
      </c>
      <c r="J322" s="728" t="s">
        <v>503</v>
      </c>
      <c r="K322" s="728" t="s">
        <v>431</v>
      </c>
      <c r="L322" s="730"/>
      <c r="M322" s="730"/>
      <c r="N322" s="727" t="s">
        <v>508</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"),"①R8_3集計")</f>
        <v>①R8_3集計</v>
      </c>
      <c r="F8" s="271"/>
      <c r="G8" s="208"/>
      <c r="H8" s="208"/>
      <c r="I8" s="186"/>
      <c r="J8" s="775"/>
      <c r="K8" s="759"/>
      <c r="L8" s="788" t="s">
        <v>510</v>
      </c>
      <c r="M8" s="230"/>
      <c r="N8" s="230"/>
      <c r="O8" s="230"/>
      <c r="P8" s="230"/>
      <c r="Q8" s="230"/>
      <c r="R8" s="230"/>
      <c r="S8" s="232"/>
      <c r="U8" s="788" t="s">
        <v>511</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512</v>
      </c>
      <c r="M22" s="230"/>
      <c r="N22" s="230"/>
      <c r="O22" s="230"/>
      <c r="P22" s="230"/>
      <c r="Q22" s="230"/>
      <c r="R22" s="230"/>
      <c r="S22" s="232"/>
      <c r="U22" s="788" t="s">
        <v>513</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514</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t="s">
        <v>515</v>
      </c>
      <c r="M50" s="230"/>
      <c r="N50" s="230"/>
      <c r="O50" s="230"/>
      <c r="P50" s="230"/>
      <c r="Q50" s="230"/>
      <c r="R50" s="230"/>
      <c r="S50" s="232"/>
      <c r="U50" s="788" t="s">
        <v>516</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517</v>
      </c>
      <c r="M64" s="230"/>
      <c r="N64" s="230"/>
      <c r="O64" s="230"/>
      <c r="P64" s="230"/>
      <c r="Q64" s="230"/>
      <c r="R64" s="230"/>
      <c r="S64" s="232"/>
      <c r="U64" s="788" t="s">
        <v>518</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491</v>
      </c>
      <c r="D66" s="844"/>
      <c r="E66" s="870" t="s">
        <v>519</v>
      </c>
      <c r="F66" s="871" t="s">
        <v>520</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492</v>
      </c>
      <c r="D67" s="844"/>
      <c r="E67" s="870" t="s">
        <v>519</v>
      </c>
      <c r="F67" s="871" t="s">
        <v>520</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521</v>
      </c>
      <c r="M78" s="230"/>
      <c r="N78" s="230"/>
      <c r="O78" s="230"/>
      <c r="P78" s="230"/>
      <c r="Q78" s="230"/>
      <c r="R78" s="230"/>
      <c r="S78" s="232"/>
      <c r="U78" s="788" t="s">
        <v>522</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523</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524</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525</v>
      </c>
      <c r="O2" s="279"/>
      <c r="P2" s="280"/>
      <c r="Q2" s="281"/>
      <c r="R2" s="281"/>
      <c r="S2" s="282"/>
      <c r="T2" s="281"/>
      <c r="U2" s="281"/>
      <c r="V2" s="281"/>
      <c r="W2" s="281"/>
      <c r="X2" s="281"/>
      <c r="Y2" s="283"/>
      <c r="Z2" s="262"/>
      <c r="AA2" s="262"/>
      <c r="AB2" s="262"/>
      <c r="AC2" s="262"/>
      <c r="AD2" s="262"/>
      <c r="AE2" s="262"/>
      <c r="AF2" s="284"/>
      <c r="AG2" s="285"/>
      <c r="AH2" s="286"/>
      <c r="AI2" s="287" t="s">
        <v>526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46126</v>
      </c>
      <c r="C7" s="358"/>
      <c r="D7" s="274"/>
      <c r="E7" s="359">
        <f>today()+1</f>
        <v>46127</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527</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491</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492</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528</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529</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531</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534</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535</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536</v>
      </c>
      <c r="H165" s="728"/>
      <c r="I165" s="729">
        <v>0.6597222222222222</v>
      </c>
      <c r="J165" s="728" t="s">
        <v>537</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538</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539</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539</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540</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539</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539</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539</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541</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539</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539</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444</v>
      </c>
      <c r="G5" s="773" t="s">
        <v>509</v>
      </c>
      <c r="H5" s="774" t="b">
        <v>1</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t="s">
        <v>542</v>
      </c>
      <c r="M8" s="230"/>
      <c r="N8" s="230"/>
      <c r="O8" s="230"/>
      <c r="P8" s="230"/>
      <c r="Q8" s="230"/>
      <c r="R8" s="230"/>
      <c r="S8" s="232"/>
      <c r="U8" s="788" t="s">
        <v>543</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544</v>
      </c>
      <c r="M22" s="230"/>
      <c r="N22" s="230"/>
      <c r="O22" s="230"/>
      <c r="P22" s="230"/>
      <c r="Q22" s="230"/>
      <c r="R22" s="230"/>
      <c r="S22" s="232"/>
      <c r="U22" s="788" t="s">
        <v>545</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546</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1</v>
      </c>
      <c r="E50" s="821"/>
      <c r="F50" s="821"/>
      <c r="G50" s="821"/>
      <c r="H50" s="821"/>
      <c r="I50" s="760"/>
      <c r="J50" s="760"/>
      <c r="K50" s="759"/>
      <c r="L50" s="788" t="s">
        <v>547</v>
      </c>
      <c r="M50" s="230"/>
      <c r="N50" s="230"/>
      <c r="O50" s="230"/>
      <c r="P50" s="230"/>
      <c r="Q50" s="230"/>
      <c r="R50" s="230"/>
      <c r="S50" s="232"/>
      <c r="U50" s="788" t="s">
        <v>548</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495</v>
      </c>
      <c r="D52" s="844"/>
      <c r="E52" s="873">
        <v>46070.0</v>
      </c>
      <c r="F52" s="861" t="s">
        <v>549</v>
      </c>
      <c r="G52" s="861" t="s">
        <v>550</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2</v>
      </c>
      <c r="E64" s="821"/>
      <c r="F64" s="821"/>
      <c r="G64" s="821"/>
      <c r="H64" s="821"/>
      <c r="I64" s="821"/>
      <c r="J64" s="760"/>
      <c r="K64" s="759"/>
      <c r="L64" s="788" t="s">
        <v>551</v>
      </c>
      <c r="M64" s="230"/>
      <c r="N64" s="230"/>
      <c r="O64" s="230"/>
      <c r="P64" s="230"/>
      <c r="Q64" s="230"/>
      <c r="R64" s="230"/>
      <c r="S64" s="232"/>
      <c r="U64" s="788" t="s">
        <v>552</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533</v>
      </c>
      <c r="D66" s="844"/>
      <c r="E66" s="874">
        <v>46067.0</v>
      </c>
      <c r="F66" s="871" t="s">
        <v>553</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528</v>
      </c>
      <c r="D67" s="844"/>
      <c r="E67" s="870" t="s">
        <v>554</v>
      </c>
      <c r="F67" s="871" t="s">
        <v>555</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556</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557</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559</v>
      </c>
      <c r="K4" s="186"/>
      <c r="L4" s="186"/>
      <c r="M4" s="186"/>
      <c r="N4" s="186"/>
      <c r="O4" s="186"/>
      <c r="P4" s="186"/>
      <c r="Q4" s="186"/>
      <c r="R4" s="186"/>
      <c r="S4" s="186"/>
      <c r="T4" s="186"/>
      <c r="U4" s="186"/>
      <c r="V4" s="186"/>
      <c r="W4" s="186"/>
      <c r="X4" s="186"/>
      <c r="Y4" s="186"/>
      <c r="Z4" s="186"/>
      <c r="AA4" s="186"/>
      <c r="AB4" s="186"/>
      <c r="AC4" s="186"/>
    </row>
    <row r="5">
      <c r="A5" s="186"/>
      <c r="B5" s="878" t="s">
        <v>560</v>
      </c>
      <c r="C5" s="878" t="s">
        <v>561</v>
      </c>
      <c r="D5" s="878" t="s">
        <v>95</v>
      </c>
      <c r="E5" s="878" t="s">
        <v>447</v>
      </c>
      <c r="F5" s="878" t="s">
        <v>562</v>
      </c>
      <c r="G5" s="879" t="s">
        <v>563</v>
      </c>
      <c r="H5" s="878" t="s">
        <v>564</v>
      </c>
      <c r="I5" s="878" t="s">
        <v>565</v>
      </c>
      <c r="J5" s="878" t="s">
        <v>566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567</v>
      </c>
      <c r="F6" s="882"/>
      <c r="G6" s="883" t="s">
        <v>568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569</v>
      </c>
      <c r="F7" s="884"/>
      <c r="G7" s="883" t="s">
        <v>570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571</v>
      </c>
      <c r="F8" s="885"/>
      <c r="G8" s="883" t="s">
        <v>572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573</v>
      </c>
      <c r="H16" s="168" t="s">
        <v>574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575</v>
      </c>
      <c r="F17" s="888"/>
      <c r="G17" s="883" t="s">
        <v>573</v>
      </c>
      <c r="H17" s="168" t="s">
        <v>576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577</v>
      </c>
      <c r="F18" s="888"/>
      <c r="G18" s="883" t="s">
        <v>573</v>
      </c>
      <c r="H18" s="168" t="s">
        <v>578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579</v>
      </c>
      <c r="F19" s="888"/>
      <c r="G19" s="883" t="s">
        <v>573</v>
      </c>
      <c r="H19" s="168" t="s">
        <v>580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582</v>
      </c>
      <c r="F24" s="889"/>
      <c r="G24" s="883" t="s">
        <v>581</v>
      </c>
      <c r="H24" s="168" t="s">
        <v>575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583</v>
      </c>
      <c r="F25" s="889"/>
      <c r="G25" s="883" t="s">
        <v>581</v>
      </c>
      <c r="H25" s="168" t="s">
        <v>578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584</v>
      </c>
      <c r="F26" s="889"/>
      <c r="G26" s="883" t="s">
        <v>581</v>
      </c>
      <c r="H26" s="168" t="s">
        <v>580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585</v>
      </c>
      <c r="F31" s="888"/>
      <c r="G31" s="883" t="s">
        <v>573</v>
      </c>
      <c r="H31" s="168" t="s">
        <v>582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586</v>
      </c>
      <c r="F32" s="888"/>
      <c r="G32" s="883" t="s">
        <v>573</v>
      </c>
      <c r="H32" s="168" t="s">
        <v>578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587</v>
      </c>
      <c r="F33" s="888"/>
      <c r="G33" s="883" t="s">
        <v>573</v>
      </c>
      <c r="H33" s="168" t="s">
        <v>580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588</v>
      </c>
      <c r="F38" s="889"/>
      <c r="G38" s="883" t="s">
        <v>581</v>
      </c>
      <c r="H38" s="168" t="s">
        <v>585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589</v>
      </c>
      <c r="F39" s="889"/>
      <c r="G39" s="883" t="s">
        <v>581</v>
      </c>
      <c r="H39" s="168" t="s">
        <v>578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590</v>
      </c>
      <c r="F40" s="889"/>
      <c r="G40" s="883" t="s">
        <v>581</v>
      </c>
      <c r="H40" s="168" t="s">
        <v>580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591</v>
      </c>
      <c r="F45" s="888"/>
      <c r="G45" s="883" t="s">
        <v>573</v>
      </c>
      <c r="H45" s="168" t="s">
        <v>588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592</v>
      </c>
      <c r="F46" s="888"/>
      <c r="G46" s="883" t="s">
        <v>573</v>
      </c>
      <c r="H46" s="168" t="s">
        <v>578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593</v>
      </c>
      <c r="F47" s="888"/>
      <c r="G47" s="883" t="s">
        <v>573</v>
      </c>
      <c r="H47" s="168" t="s">
        <v>580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594</v>
      </c>
      <c r="F52" s="889"/>
      <c r="G52" s="883" t="s">
        <v>581</v>
      </c>
      <c r="H52" s="168" t="s">
        <v>591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595</v>
      </c>
      <c r="F53" s="889"/>
      <c r="G53" s="883" t="s">
        <v>581</v>
      </c>
      <c r="H53" s="168" t="s">
        <v>578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596</v>
      </c>
      <c r="F54" s="889"/>
      <c r="G54" s="883" t="s">
        <v>581</v>
      </c>
      <c r="H54" s="168" t="s">
        <v>580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597</v>
      </c>
      <c r="F59" s="888"/>
      <c r="G59" s="883" t="s">
        <v>573</v>
      </c>
      <c r="H59" s="168" t="s">
        <v>594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598</v>
      </c>
      <c r="F60" s="888"/>
      <c r="G60" s="883" t="s">
        <v>573</v>
      </c>
      <c r="H60" s="168" t="s">
        <v>578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599</v>
      </c>
      <c r="F61" s="888"/>
      <c r="G61" s="883" t="s">
        <v>573</v>
      </c>
      <c r="H61" s="168" t="s">
        <v>580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600</v>
      </c>
      <c r="F66" s="889"/>
      <c r="G66" s="883" t="s">
        <v>581</v>
      </c>
      <c r="H66" s="168" t="s">
        <v>597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601</v>
      </c>
      <c r="F67" s="889"/>
      <c r="G67" s="883" t="s">
        <v>581</v>
      </c>
      <c r="H67" s="168" t="s">
        <v>578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602</v>
      </c>
      <c r="F68" s="889"/>
      <c r="G68" s="883" t="s">
        <v>581</v>
      </c>
      <c r="H68" s="168" t="s">
        <v>580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603</v>
      </c>
      <c r="F73" s="888"/>
      <c r="G73" s="883" t="s">
        <v>573</v>
      </c>
      <c r="H73" s="168" t="s">
        <v>600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604</v>
      </c>
      <c r="F74" s="888"/>
      <c r="G74" s="883" t="s">
        <v>573</v>
      </c>
      <c r="H74" s="168" t="s">
        <v>578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605</v>
      </c>
      <c r="F75" s="888"/>
      <c r="G75" s="883" t="s">
        <v>573</v>
      </c>
      <c r="H75" s="168" t="s">
        <v>580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606</v>
      </c>
      <c r="F80" s="889"/>
      <c r="G80" s="883" t="s">
        <v>581</v>
      </c>
      <c r="H80" s="168" t="s">
        <v>603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607</v>
      </c>
      <c r="F81" s="889"/>
      <c r="G81" s="883" t="s">
        <v>581</v>
      </c>
      <c r="H81" s="168" t="s">
        <v>578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608</v>
      </c>
      <c r="F82" s="889"/>
      <c r="G82" s="883" t="s">
        <v>581</v>
      </c>
      <c r="H82" s="168" t="s">
        <v>580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609</v>
      </c>
      <c r="F87" s="888"/>
      <c r="G87" s="883" t="s">
        <v>573</v>
      </c>
      <c r="H87" s="168" t="s">
        <v>606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610</v>
      </c>
      <c r="F88" s="888"/>
      <c r="G88" s="883" t="s">
        <v>573</v>
      </c>
      <c r="H88" s="168" t="s">
        <v>578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611</v>
      </c>
      <c r="F89" s="888"/>
      <c r="G89" s="883" t="s">
        <v>573</v>
      </c>
      <c r="H89" s="168" t="s">
        <v>580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612</v>
      </c>
      <c r="F94" s="889"/>
      <c r="G94" s="883" t="s">
        <v>581</v>
      </c>
      <c r="H94" s="168" t="s">
        <v>609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613</v>
      </c>
      <c r="F95" s="889"/>
      <c r="G95" s="883" t="s">
        <v>581</v>
      </c>
      <c r="H95" s="168" t="s">
        <v>578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614</v>
      </c>
      <c r="F96" s="889"/>
      <c r="G96" s="883" t="s">
        <v>581</v>
      </c>
      <c r="H96" s="168" t="s">
        <v>580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615</v>
      </c>
      <c r="F102" s="891"/>
      <c r="G102" s="883" t="s">
        <v>616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617</v>
      </c>
      <c r="F103" s="892"/>
      <c r="G103" s="883" t="s">
        <v>618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619</v>
      </c>
      <c r="F104" s="893"/>
      <c r="G104" s="883" t="s">
        <v>620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621</v>
      </c>
      <c r="F105" s="894"/>
      <c r="G105" s="883" t="s">
        <v>622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623</v>
      </c>
      <c r="F106" s="895"/>
      <c r="G106" s="883" t="s">
        <v>624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574</v>
      </c>
      <c r="F107" s="896"/>
      <c r="G107" s="883" t="s">
        <v>625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576</v>
      </c>
      <c r="F108" s="896"/>
      <c r="G108" s="883" t="s">
        <v>625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578</v>
      </c>
      <c r="F109" s="896"/>
      <c r="G109" s="883" t="s">
        <v>625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580</v>
      </c>
      <c r="F110" s="896"/>
      <c r="G110" s="883" t="s">
        <v>625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626</v>
      </c>
      <c r="B1" s="5"/>
      <c r="C1" s="5"/>
      <c r="D1" s="5"/>
      <c r="E1" s="5"/>
      <c r="F1" s="5"/>
      <c r="G1" s="5"/>
      <c r="I1" s="900" t="s">
        <v>627</v>
      </c>
      <c r="J1" s="901">
        <f>A3</f>
        <v>46054</v>
      </c>
      <c r="K1" s="900" t="str">
        <f>"①R"&amp;year(J1)-2018&amp;"_"&amp;month(J1)&amp;"集計"</f>
        <v>①R8_2集計</v>
      </c>
      <c r="N1" s="902">
        <f>R4</f>
        <v>2620184</v>
      </c>
      <c r="O1" s="902">
        <f>R7</f>
        <v>650673.9333</v>
      </c>
      <c r="P1" s="903">
        <f>R8</f>
        <v>0.2483313894</v>
      </c>
      <c r="Q1" s="903">
        <f>R6</f>
        <v>0.4988237722</v>
      </c>
    </row>
    <row r="2">
      <c r="A2" s="904" t="s">
        <v>627</v>
      </c>
      <c r="B2" s="905" t="s">
        <v>50</v>
      </c>
      <c r="C2" s="905" t="s">
        <v>302</v>
      </c>
      <c r="D2" s="904" t="s">
        <v>303</v>
      </c>
      <c r="E2" s="904" t="s">
        <v>308</v>
      </c>
      <c r="F2" s="904" t="s">
        <v>300</v>
      </c>
      <c r="G2" s="904" t="s">
        <v>628</v>
      </c>
      <c r="H2" s="906"/>
      <c r="I2" s="907" t="s">
        <v>629</v>
      </c>
      <c r="J2" s="908">
        <f>DAY(EOMONTH(J1,0))</f>
        <v>28</v>
      </c>
      <c r="K2" s="909" t="s">
        <v>630</v>
      </c>
      <c r="L2" s="909" t="s">
        <v>302</v>
      </c>
      <c r="M2" s="909" t="s">
        <v>631</v>
      </c>
      <c r="N2" s="909" t="s">
        <v>632</v>
      </c>
      <c r="O2" s="910"/>
      <c r="P2" s="909" t="s">
        <v>633</v>
      </c>
      <c r="Q2" s="907" t="s">
        <v>634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636</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0.75</v>
      </c>
      <c r="D5" s="914">
        <f t="shared" ref="D5:G5" si="6">xlookup($B5,$K:$K,N:N)</f>
        <v>3224820</v>
      </c>
      <c r="E5" s="914">
        <f t="shared" si="6"/>
        <v>935400.5</v>
      </c>
      <c r="F5" s="915">
        <f t="shared" si="6"/>
        <v>0.2900628562</v>
      </c>
      <c r="G5" s="915">
        <f t="shared" si="6"/>
        <v>0.5044993209</v>
      </c>
      <c r="H5" s="906"/>
      <c r="I5" s="907" t="s">
        <v>637</v>
      </c>
      <c r="J5" s="911">
        <v>210000.0</v>
      </c>
      <c r="K5" s="922" t="s">
        <v>638</v>
      </c>
      <c r="L5" s="2"/>
      <c r="M5" s="911">
        <v>26.3</v>
      </c>
      <c r="N5" s="911">
        <v>21.05</v>
      </c>
      <c r="O5" s="918"/>
      <c r="P5" s="923"/>
      <c r="Q5" s="907" t="s">
        <v>639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640</v>
      </c>
      <c r="J6" s="918"/>
      <c r="K6" s="922" t="s">
        <v>641</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642</v>
      </c>
      <c r="J7" s="918"/>
      <c r="K7" s="909" t="s">
        <v>643</v>
      </c>
      <c r="L7" s="911">
        <v>1140.0</v>
      </c>
      <c r="M7" s="917">
        <f>M6*(L7*6)</f>
        <v>36897.848</v>
      </c>
      <c r="N7" s="917">
        <f>N6*(L7*6)</f>
        <v>7383.077</v>
      </c>
      <c r="O7" s="923"/>
      <c r="P7" s="917">
        <f t="shared" si="10"/>
        <v>44280.925</v>
      </c>
      <c r="Q7" s="907" t="s">
        <v>644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645</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646</v>
      </c>
      <c r="J9" s="918"/>
      <c r="K9" s="922" t="s">
        <v>647</v>
      </c>
      <c r="L9" s="2"/>
      <c r="M9" s="917">
        <f>P7+(P6*J15)</f>
        <v>48165.21667</v>
      </c>
      <c r="N9" s="923"/>
      <c r="O9" s="919" t="s">
        <v>648</v>
      </c>
      <c r="P9" s="919" t="s">
        <v>649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650</v>
      </c>
      <c r="J10" s="918"/>
      <c r="K10" s="922" t="s">
        <v>651</v>
      </c>
      <c r="L10" s="2"/>
      <c r="M10" s="917">
        <f>M9*J2-(8.7*L7*6)+K3*J16*J2*30</f>
        <v>1307010.067</v>
      </c>
      <c r="N10" s="923"/>
      <c r="O10" s="931" t="s">
        <v>652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653</v>
      </c>
      <c r="J11" s="918"/>
      <c r="K11" s="922" t="s">
        <v>654</v>
      </c>
      <c r="L11" s="2"/>
      <c r="M11" s="907" t="s">
        <v>394</v>
      </c>
      <c r="N11" s="907" t="s">
        <v>372</v>
      </c>
      <c r="O11" s="931" t="s">
        <v>655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656</v>
      </c>
      <c r="J12" s="918"/>
      <c r="K12" s="922" t="s">
        <v>657</v>
      </c>
      <c r="L12" s="2"/>
      <c r="M12" s="921">
        <f t="shared" ref="M12:M13" si="17">J4*1.15</f>
        <v>391000</v>
      </c>
      <c r="N12" s="921">
        <v>15000.0</v>
      </c>
      <c r="O12" s="931" t="s">
        <v>658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659</v>
      </c>
      <c r="J13" s="918"/>
      <c r="K13" s="922" t="s">
        <v>660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661</v>
      </c>
      <c r="J14" s="918"/>
      <c r="K14" s="933" t="s">
        <v>662</v>
      </c>
      <c r="L14" s="2"/>
      <c r="M14" s="932"/>
      <c r="N14" s="932"/>
      <c r="O14" s="907" t="s">
        <v>180</v>
      </c>
      <c r="P14" s="917">
        <f>SUM(P10:P13)</f>
        <v>87472</v>
      </c>
      <c r="Q14" s="923"/>
      <c r="R14" s="934"/>
    </row>
    <row r="15">
      <c r="A15" s="924"/>
      <c r="B15" s="924"/>
      <c r="C15" s="924"/>
      <c r="D15" s="924"/>
      <c r="E15" s="924"/>
      <c r="F15" s="924"/>
      <c r="G15" s="924"/>
      <c r="H15" s="924"/>
      <c r="I15" s="925" t="s">
        <v>663</v>
      </c>
      <c r="J15" s="911">
        <v>600.0</v>
      </c>
      <c r="K15" s="922" t="s">
        <v>664</v>
      </c>
      <c r="L15" s="2"/>
      <c r="M15" s="921">
        <f>J9*J10*J11</f>
        <v>0</v>
      </c>
      <c r="N15" s="921">
        <f>J11*J15</f>
        <v>0</v>
      </c>
      <c r="O15" s="923"/>
      <c r="P15" s="923"/>
      <c r="Q15" s="923"/>
      <c r="R15" s="923"/>
    </row>
    <row r="16">
      <c r="A16" s="924"/>
      <c r="B16" s="924"/>
      <c r="C16" s="924"/>
      <c r="D16" s="924"/>
      <c r="E16" s="924"/>
      <c r="F16" s="924"/>
      <c r="G16" s="924"/>
      <c r="H16" s="924"/>
      <c r="I16" s="925" t="s">
        <v>655</v>
      </c>
      <c r="J16" s="935">
        <v>0.15</v>
      </c>
      <c r="K16" s="922" t="s">
        <v>665</v>
      </c>
      <c r="L16" s="2"/>
      <c r="M16" s="921">
        <f>J12*J13*J14</f>
        <v>0</v>
      </c>
      <c r="N16" s="921">
        <f>J14*J15</f>
        <v>0</v>
      </c>
      <c r="O16" s="923"/>
      <c r="P16" s="923"/>
      <c r="Q16" s="923"/>
      <c r="R16" s="934"/>
    </row>
    <row r="17">
      <c r="A17" s="924"/>
      <c r="B17" s="924"/>
      <c r="C17" s="924"/>
      <c r="D17" s="924"/>
      <c r="E17" s="924"/>
      <c r="F17" s="924"/>
      <c r="G17" s="924"/>
      <c r="H17" s="924"/>
      <c r="I17" s="925" t="s">
        <v>666</v>
      </c>
      <c r="J17" s="926">
        <v>0.035</v>
      </c>
      <c r="K17" s="922" t="s">
        <v>667</v>
      </c>
      <c r="L17" s="2"/>
      <c r="M17" s="921">
        <f>SUM(M12:N16)</f>
        <v>662500</v>
      </c>
      <c r="N17" s="932"/>
      <c r="O17" s="923"/>
      <c r="P17" s="923"/>
      <c r="Q17" s="923"/>
      <c r="R17" s="923"/>
    </row>
    <row r="19">
      <c r="I19" s="900" t="s">
        <v>627</v>
      </c>
      <c r="J19" s="901">
        <f>A4</f>
        <v>46082</v>
      </c>
      <c r="K19" s="900" t="str">
        <f>"①R"&amp;year(J19)-2018&amp;"_"&amp;month(J19)&amp;"集計"</f>
        <v>①R8_3集計</v>
      </c>
      <c r="N19" s="902">
        <f>R22</f>
        <v>2900918</v>
      </c>
      <c r="O19" s="902">
        <f>R25</f>
        <v>784995.2833</v>
      </c>
      <c r="P19" s="903">
        <f>R26</f>
        <v>0.2706023691</v>
      </c>
      <c r="Q19" s="903">
        <f>R24</f>
        <v>0.5010216479</v>
      </c>
    </row>
    <row r="20">
      <c r="I20" s="907" t="s">
        <v>629</v>
      </c>
      <c r="J20" s="908">
        <f>DAY(EOMONTH(J19,0))</f>
        <v>31</v>
      </c>
      <c r="K20" s="909" t="s">
        <v>630</v>
      </c>
      <c r="L20" s="909" t="s">
        <v>302</v>
      </c>
      <c r="M20" s="909" t="s">
        <v>631</v>
      </c>
      <c r="N20" s="909" t="s">
        <v>632</v>
      </c>
      <c r="O20" s="910"/>
      <c r="P20" s="909" t="s">
        <v>633</v>
      </c>
      <c r="Q20" s="907" t="s">
        <v>634</v>
      </c>
      <c r="R20" s="911">
        <v>980.0</v>
      </c>
    </row>
    <row r="21">
      <c r="I21" s="907" t="s">
        <v>302</v>
      </c>
      <c r="J21" s="916">
        <f t="array" ref="J21">xlookup(K19,$B$3:$B$14,$C$3:$C$14)*100</f>
        <v>65</v>
      </c>
      <c r="K21" s="917">
        <f>SUM(M21:O21)</f>
        <v>142</v>
      </c>
      <c r="L21" s="917">
        <v>100.0</v>
      </c>
      <c r="M21" s="911">
        <v>142.0</v>
      </c>
      <c r="N21" s="918"/>
      <c r="O21" s="918"/>
      <c r="P21" s="917">
        <f>K21*J20</f>
        <v>4402</v>
      </c>
      <c r="Q21" s="919" t="s">
        <v>635</v>
      </c>
      <c r="R21" s="917">
        <f>P32</f>
        <v>96844</v>
      </c>
    </row>
    <row r="22">
      <c r="I22" s="907" t="s">
        <v>636</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637</v>
      </c>
      <c r="J23" s="911">
        <v>210000.0</v>
      </c>
      <c r="K23" s="922" t="s">
        <v>638</v>
      </c>
      <c r="L23" s="2"/>
      <c r="M23" s="911">
        <v>26.3</v>
      </c>
      <c r="N23" s="911">
        <v>21.05</v>
      </c>
      <c r="O23" s="918"/>
      <c r="P23" s="923"/>
      <c r="Q23" s="907" t="s">
        <v>639</v>
      </c>
      <c r="R23" s="917">
        <f>M28</f>
        <v>1453422.717</v>
      </c>
    </row>
    <row r="24">
      <c r="I24" s="925" t="s">
        <v>640</v>
      </c>
      <c r="J24" s="918"/>
      <c r="K24" s="922" t="s">
        <v>641</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642</v>
      </c>
      <c r="J25" s="918"/>
      <c r="K25" s="909" t="s">
        <v>643</v>
      </c>
      <c r="L25" s="911">
        <v>1140.0</v>
      </c>
      <c r="M25" s="917">
        <f>M24*(L25*6)</f>
        <v>36897.848</v>
      </c>
      <c r="N25" s="917">
        <f>N24*(L25*6)</f>
        <v>7383.077</v>
      </c>
      <c r="O25" s="923"/>
      <c r="P25" s="917">
        <f t="shared" si="20"/>
        <v>44280.925</v>
      </c>
      <c r="Q25" s="907" t="s">
        <v>644</v>
      </c>
      <c r="R25" s="917">
        <f>R22-R23-M35</f>
        <v>784995.2833</v>
      </c>
    </row>
    <row r="26">
      <c r="I26" s="907" t="s">
        <v>645</v>
      </c>
      <c r="J26" s="918"/>
      <c r="K26" s="923"/>
      <c r="L26" s="923"/>
      <c r="M26" s="923"/>
      <c r="N26" s="923"/>
      <c r="O26" s="923"/>
      <c r="P26" s="923"/>
      <c r="Q26" s="907" t="s">
        <v>300</v>
      </c>
      <c r="R26" s="926">
        <f>R25/R22</f>
        <v>0.2706023691</v>
      </c>
    </row>
    <row r="27">
      <c r="I27" s="925" t="s">
        <v>646</v>
      </c>
      <c r="J27" s="918"/>
      <c r="K27" s="922" t="s">
        <v>647</v>
      </c>
      <c r="L27" s="2"/>
      <c r="M27" s="917">
        <f>P25+(P24*J33)</f>
        <v>48165.21667</v>
      </c>
      <c r="N27" s="923"/>
      <c r="O27" s="919" t="s">
        <v>648</v>
      </c>
      <c r="P27" s="919" t="s">
        <v>649</v>
      </c>
      <c r="Q27" s="923"/>
      <c r="R27" s="923"/>
    </row>
    <row r="28">
      <c r="I28" s="930" t="s">
        <v>650</v>
      </c>
      <c r="J28" s="918"/>
      <c r="K28" s="922" t="s">
        <v>651</v>
      </c>
      <c r="L28" s="2"/>
      <c r="M28" s="917">
        <f>M27*J20-(8.7*L25*6)+K21*J34*J20*30</f>
        <v>1453422.717</v>
      </c>
      <c r="N28" s="923"/>
      <c r="O28" s="931" t="s">
        <v>652</v>
      </c>
      <c r="P28" s="918"/>
      <c r="Q28" s="923"/>
      <c r="R28" s="932"/>
    </row>
    <row r="29">
      <c r="I29" s="930" t="s">
        <v>653</v>
      </c>
      <c r="J29" s="918"/>
      <c r="K29" s="922" t="s">
        <v>654</v>
      </c>
      <c r="L29" s="2"/>
      <c r="M29" s="907" t="s">
        <v>394</v>
      </c>
      <c r="N29" s="907" t="s">
        <v>372</v>
      </c>
      <c r="O29" s="931" t="s">
        <v>655</v>
      </c>
      <c r="P29" s="911">
        <f>K21*J34*J20*100</f>
        <v>66030</v>
      </c>
      <c r="Q29" s="923"/>
      <c r="R29" s="923"/>
    </row>
    <row r="30">
      <c r="I30" s="925" t="s">
        <v>656</v>
      </c>
      <c r="J30" s="918"/>
      <c r="K30" s="922" t="s">
        <v>657</v>
      </c>
      <c r="L30" s="2"/>
      <c r="M30" s="921">
        <f t="shared" ref="M30:M31" si="21">J22*1.15</f>
        <v>391000</v>
      </c>
      <c r="N30" s="921">
        <v>15000.0</v>
      </c>
      <c r="O30" s="931" t="s">
        <v>658</v>
      </c>
      <c r="P30" s="911">
        <f>K21*J35*J20*200</f>
        <v>30814</v>
      </c>
      <c r="Q30" s="923"/>
      <c r="R30" s="923"/>
    </row>
    <row r="31">
      <c r="I31" s="925" t="s">
        <v>659</v>
      </c>
      <c r="J31" s="918"/>
      <c r="K31" s="922" t="s">
        <v>660</v>
      </c>
      <c r="L31" s="2"/>
      <c r="M31" s="921">
        <f t="shared" si="21"/>
        <v>241500</v>
      </c>
      <c r="N31" s="921">
        <v>15000.0</v>
      </c>
      <c r="O31" s="923"/>
      <c r="P31" s="923"/>
      <c r="Q31" s="923"/>
      <c r="R31" s="923"/>
    </row>
    <row r="32">
      <c r="I32" s="925" t="s">
        <v>661</v>
      </c>
      <c r="J32" s="918"/>
      <c r="K32" s="933" t="s">
        <v>662</v>
      </c>
      <c r="L32" s="2"/>
      <c r="M32" s="932"/>
      <c r="N32" s="932"/>
      <c r="O32" s="907" t="s">
        <v>180</v>
      </c>
      <c r="P32" s="917">
        <f>SUM(P28:P31)</f>
        <v>96844</v>
      </c>
      <c r="Q32" s="923"/>
      <c r="R32" s="934"/>
    </row>
    <row r="33">
      <c r="I33" s="925" t="s">
        <v>663</v>
      </c>
      <c r="J33" s="911">
        <v>600.0</v>
      </c>
      <c r="K33" s="922" t="s">
        <v>664</v>
      </c>
      <c r="L33" s="2"/>
      <c r="M33" s="921">
        <f>J27*J28*J29</f>
        <v>0</v>
      </c>
      <c r="N33" s="921">
        <f>J29*J33</f>
        <v>0</v>
      </c>
      <c r="O33" s="923"/>
      <c r="P33" s="923"/>
      <c r="Q33" s="923"/>
      <c r="R33" s="923"/>
    </row>
    <row r="34">
      <c r="I34" s="925" t="s">
        <v>655</v>
      </c>
      <c r="J34" s="935">
        <v>0.15</v>
      </c>
      <c r="K34" s="922" t="s">
        <v>665</v>
      </c>
      <c r="L34" s="2"/>
      <c r="M34" s="921">
        <f>J30*J31*J32</f>
        <v>0</v>
      </c>
      <c r="N34" s="921">
        <f>J32*J33</f>
        <v>0</v>
      </c>
      <c r="O34" s="923"/>
      <c r="P34" s="923"/>
      <c r="Q34" s="923"/>
      <c r="R34" s="934"/>
    </row>
    <row r="35">
      <c r="I35" s="925" t="s">
        <v>666</v>
      </c>
      <c r="J35" s="926">
        <v>0.035</v>
      </c>
      <c r="K35" s="922" t="s">
        <v>667</v>
      </c>
      <c r="L35" s="2"/>
      <c r="M35" s="921">
        <f>SUM(M30:N34)</f>
        <v>662500</v>
      </c>
      <c r="N35" s="932"/>
      <c r="O35" s="923"/>
      <c r="P35" s="923"/>
      <c r="Q35" s="923"/>
      <c r="R35" s="923"/>
    </row>
    <row r="37">
      <c r="I37" s="900" t="s">
        <v>627</v>
      </c>
      <c r="J37" s="901">
        <f>A5</f>
        <v>46113</v>
      </c>
      <c r="K37" s="900" t="str">
        <f>"①R"&amp;year(J37)-2018&amp;"_"&amp;month(J37)&amp;"集計"</f>
        <v>①R8_4集計</v>
      </c>
      <c r="N37" s="902">
        <f>R40</f>
        <v>3224820</v>
      </c>
      <c r="O37" s="902">
        <f>R43</f>
        <v>935400.5</v>
      </c>
      <c r="P37" s="903">
        <f>R44</f>
        <v>0.2900628562</v>
      </c>
      <c r="Q37" s="903">
        <f>R42</f>
        <v>0.5044993209</v>
      </c>
    </row>
    <row r="38">
      <c r="I38" s="907" t="s">
        <v>629</v>
      </c>
      <c r="J38" s="908">
        <f>DAY(EOMONTH(J37,0))</f>
        <v>30</v>
      </c>
      <c r="K38" s="909" t="s">
        <v>630</v>
      </c>
      <c r="L38" s="909" t="s">
        <v>302</v>
      </c>
      <c r="M38" s="909" t="s">
        <v>631</v>
      </c>
      <c r="N38" s="909" t="s">
        <v>632</v>
      </c>
      <c r="O38" s="910"/>
      <c r="P38" s="909" t="s">
        <v>633</v>
      </c>
      <c r="Q38" s="907" t="s">
        <v>634</v>
      </c>
      <c r="R38" s="911">
        <v>980.0</v>
      </c>
    </row>
    <row r="39">
      <c r="I39" s="907" t="s">
        <v>302</v>
      </c>
      <c r="J39" s="916">
        <f t="array" ref="J39">xlookup(K37,$B$3:$B$14,$C$3:$C$14)*100</f>
        <v>75</v>
      </c>
      <c r="K39" s="917">
        <f>SUM(M39:O39)</f>
        <v>142</v>
      </c>
      <c r="L39" s="917">
        <v>100.0</v>
      </c>
      <c r="M39" s="911">
        <v>142.0</v>
      </c>
      <c r="N39" s="918"/>
      <c r="O39" s="918"/>
      <c r="P39" s="917">
        <f>K39*J38</f>
        <v>4260</v>
      </c>
      <c r="Q39" s="919" t="s">
        <v>635</v>
      </c>
      <c r="R39" s="917">
        <f>P50</f>
        <v>93720</v>
      </c>
    </row>
    <row r="40">
      <c r="I40" s="907" t="s">
        <v>636</v>
      </c>
      <c r="J40" s="911">
        <v>340000.0</v>
      </c>
      <c r="K40" s="917">
        <f>K39*L40%</f>
        <v>106.5</v>
      </c>
      <c r="L40" s="921">
        <f>J39</f>
        <v>75</v>
      </c>
      <c r="M40" s="917">
        <f>K40*80%</f>
        <v>85.2</v>
      </c>
      <c r="N40" s="917">
        <f>K40*20%</f>
        <v>21.3</v>
      </c>
      <c r="O40" s="917">
        <f>O39*L40%</f>
        <v>0</v>
      </c>
      <c r="P40" s="917">
        <f>K40*J38</f>
        <v>3195</v>
      </c>
      <c r="Q40" s="907" t="s">
        <v>303</v>
      </c>
      <c r="R40" s="917">
        <f>R38*P40+R39</f>
        <v>3224820</v>
      </c>
    </row>
    <row r="41">
      <c r="I41" s="907" t="s">
        <v>637</v>
      </c>
      <c r="J41" s="911">
        <v>210000.0</v>
      </c>
      <c r="K41" s="922" t="s">
        <v>638</v>
      </c>
      <c r="L41" s="2"/>
      <c r="M41" s="911">
        <v>26.3</v>
      </c>
      <c r="N41" s="911">
        <v>21.05</v>
      </c>
      <c r="O41" s="918"/>
      <c r="P41" s="923"/>
      <c r="Q41" s="907" t="s">
        <v>639</v>
      </c>
      <c r="R41" s="917">
        <f>M46</f>
        <v>1626919.5</v>
      </c>
    </row>
    <row r="42">
      <c r="I42" s="925" t="s">
        <v>640</v>
      </c>
      <c r="J42" s="918"/>
      <c r="K42" s="922" t="s">
        <v>641</v>
      </c>
      <c r="L42" s="2"/>
      <c r="M42" s="917">
        <f t="shared" ref="M42:N42" si="22">M40/(360/M41)</f>
        <v>6.224333333</v>
      </c>
      <c r="N42" s="917">
        <f t="shared" si="22"/>
        <v>1.245458333</v>
      </c>
      <c r="O42" s="923"/>
      <c r="P42" s="917">
        <f t="shared" ref="P42:P43" si="23">M42+N42+O42</f>
        <v>7.469791667</v>
      </c>
      <c r="Q42" s="907" t="s">
        <v>301</v>
      </c>
      <c r="R42" s="926">
        <f>R41/R40</f>
        <v>0.5044993209</v>
      </c>
    </row>
    <row r="43">
      <c r="I43" s="928" t="s">
        <v>642</v>
      </c>
      <c r="J43" s="918"/>
      <c r="K43" s="909" t="s">
        <v>643</v>
      </c>
      <c r="L43" s="911">
        <v>1140.0</v>
      </c>
      <c r="M43" s="917">
        <f>M42*(L43*6)</f>
        <v>42574.44</v>
      </c>
      <c r="N43" s="917">
        <f>N42*(L43*6)</f>
        <v>8518.935</v>
      </c>
      <c r="O43" s="923"/>
      <c r="P43" s="917">
        <f t="shared" si="23"/>
        <v>51093.375</v>
      </c>
      <c r="Q43" s="907" t="s">
        <v>644</v>
      </c>
      <c r="R43" s="917">
        <f>R40-R41-M53</f>
        <v>935400.5</v>
      </c>
    </row>
    <row r="44">
      <c r="I44" s="907" t="s">
        <v>645</v>
      </c>
      <c r="J44" s="918"/>
      <c r="K44" s="923"/>
      <c r="L44" s="923"/>
      <c r="M44" s="923"/>
      <c r="N44" s="923"/>
      <c r="O44" s="923"/>
      <c r="P44" s="923"/>
      <c r="Q44" s="907" t="s">
        <v>300</v>
      </c>
      <c r="R44" s="926">
        <f>R43/R40</f>
        <v>0.2900628562</v>
      </c>
    </row>
    <row r="45">
      <c r="I45" s="925" t="s">
        <v>646</v>
      </c>
      <c r="J45" s="918"/>
      <c r="K45" s="922" t="s">
        <v>647</v>
      </c>
      <c r="L45" s="2"/>
      <c r="M45" s="917">
        <f>P43+(P42*J51)</f>
        <v>55575.25</v>
      </c>
      <c r="N45" s="923"/>
      <c r="O45" s="919" t="s">
        <v>648</v>
      </c>
      <c r="P45" s="919" t="s">
        <v>649</v>
      </c>
      <c r="Q45" s="923"/>
      <c r="R45" s="923"/>
    </row>
    <row r="46">
      <c r="I46" s="930" t="s">
        <v>650</v>
      </c>
      <c r="J46" s="918"/>
      <c r="K46" s="922" t="s">
        <v>651</v>
      </c>
      <c r="L46" s="2"/>
      <c r="M46" s="917">
        <f>M45*J38-(8.7*L43*6)+K39*J52*J38*30</f>
        <v>1626919.5</v>
      </c>
      <c r="N46" s="923"/>
      <c r="O46" s="931" t="s">
        <v>652</v>
      </c>
      <c r="P46" s="918"/>
      <c r="Q46" s="923"/>
      <c r="R46" s="932"/>
    </row>
    <row r="47">
      <c r="I47" s="930" t="s">
        <v>653</v>
      </c>
      <c r="J47" s="918"/>
      <c r="K47" s="922" t="s">
        <v>654</v>
      </c>
      <c r="L47" s="2"/>
      <c r="M47" s="907" t="s">
        <v>394</v>
      </c>
      <c r="N47" s="907" t="s">
        <v>372</v>
      </c>
      <c r="O47" s="931" t="s">
        <v>655</v>
      </c>
      <c r="P47" s="911">
        <f>K39*J52*J38*100</f>
        <v>63900</v>
      </c>
      <c r="Q47" s="923"/>
      <c r="R47" s="923"/>
    </row>
    <row r="48">
      <c r="I48" s="925" t="s">
        <v>656</v>
      </c>
      <c r="J48" s="918"/>
      <c r="K48" s="922" t="s">
        <v>657</v>
      </c>
      <c r="L48" s="2"/>
      <c r="M48" s="921">
        <f t="shared" ref="M48:M49" si="24">J40*1.15</f>
        <v>391000</v>
      </c>
      <c r="N48" s="921">
        <v>15000.0</v>
      </c>
      <c r="O48" s="931" t="s">
        <v>658</v>
      </c>
      <c r="P48" s="911">
        <f>K39*J53*J38*200</f>
        <v>29820</v>
      </c>
      <c r="Q48" s="923"/>
      <c r="R48" s="923"/>
    </row>
    <row r="49">
      <c r="I49" s="925" t="s">
        <v>659</v>
      </c>
      <c r="J49" s="918"/>
      <c r="K49" s="922" t="s">
        <v>660</v>
      </c>
      <c r="L49" s="2"/>
      <c r="M49" s="921">
        <f t="shared" si="24"/>
        <v>241500</v>
      </c>
      <c r="N49" s="921">
        <v>15000.0</v>
      </c>
      <c r="O49" s="923"/>
      <c r="P49" s="923"/>
      <c r="Q49" s="923"/>
      <c r="R49" s="923"/>
    </row>
    <row r="50">
      <c r="I50" s="925" t="s">
        <v>661</v>
      </c>
      <c r="J50" s="918"/>
      <c r="K50" s="933" t="s">
        <v>662</v>
      </c>
      <c r="L50" s="2"/>
      <c r="M50" s="932"/>
      <c r="N50" s="932"/>
      <c r="O50" s="907" t="s">
        <v>180</v>
      </c>
      <c r="P50" s="917">
        <f>SUM(P46:P49)</f>
        <v>93720</v>
      </c>
      <c r="Q50" s="923"/>
      <c r="R50" s="934"/>
    </row>
    <row r="51">
      <c r="I51" s="925" t="s">
        <v>663</v>
      </c>
      <c r="J51" s="911">
        <v>600.0</v>
      </c>
      <c r="K51" s="922" t="s">
        <v>664</v>
      </c>
      <c r="L51" s="2"/>
      <c r="M51" s="921">
        <f>J45*J46*J47</f>
        <v>0</v>
      </c>
      <c r="N51" s="921">
        <f>J47*J51</f>
        <v>0</v>
      </c>
      <c r="O51" s="923"/>
      <c r="P51" s="923"/>
      <c r="Q51" s="923"/>
      <c r="R51" s="923"/>
    </row>
    <row r="52">
      <c r="I52" s="925" t="s">
        <v>655</v>
      </c>
      <c r="J52" s="935">
        <v>0.15</v>
      </c>
      <c r="K52" s="922" t="s">
        <v>665</v>
      </c>
      <c r="L52" s="2"/>
      <c r="M52" s="921">
        <f>J48*J49*J50</f>
        <v>0</v>
      </c>
      <c r="N52" s="921">
        <f>J50*J51</f>
        <v>0</v>
      </c>
      <c r="O52" s="923"/>
      <c r="P52" s="923"/>
      <c r="Q52" s="923"/>
      <c r="R52" s="934"/>
    </row>
    <row r="53">
      <c r="I53" s="925" t="s">
        <v>666</v>
      </c>
      <c r="J53" s="926">
        <v>0.035</v>
      </c>
      <c r="K53" s="922" t="s">
        <v>667</v>
      </c>
      <c r="L53" s="2"/>
      <c r="M53" s="921">
        <f>SUM(M48:N52)</f>
        <v>662500</v>
      </c>
      <c r="N53" s="932"/>
      <c r="O53" s="923"/>
      <c r="P53" s="923"/>
      <c r="Q53" s="923"/>
      <c r="R53" s="923"/>
    </row>
    <row r="55">
      <c r="I55" s="900" t="s">
        <v>627</v>
      </c>
      <c r="J55" s="901">
        <f>A6</f>
        <v>46143</v>
      </c>
      <c r="K55" s="900" t="str">
        <f>"①R"&amp;year(J55)-2018&amp;"_"&amp;month(J55)&amp;"集計"</f>
        <v>①R8_5集計</v>
      </c>
      <c r="N55" s="902">
        <f>R58</f>
        <v>96844</v>
      </c>
      <c r="O55" s="902">
        <f>R61</f>
        <v>-525957</v>
      </c>
      <c r="P55" s="903">
        <f>R62</f>
        <v>-5.430971459</v>
      </c>
      <c r="Q55" s="903">
        <f>R60</f>
        <v>-0.4099273058</v>
      </c>
    </row>
    <row r="56">
      <c r="I56" s="907" t="s">
        <v>629</v>
      </c>
      <c r="J56" s="908">
        <f>DAY(EOMONTH(J55,0))</f>
        <v>31</v>
      </c>
      <c r="K56" s="909" t="s">
        <v>630</v>
      </c>
      <c r="L56" s="909" t="s">
        <v>302</v>
      </c>
      <c r="M56" s="909" t="s">
        <v>631</v>
      </c>
      <c r="N56" s="909" t="s">
        <v>632</v>
      </c>
      <c r="O56" s="910"/>
      <c r="P56" s="909" t="s">
        <v>633</v>
      </c>
      <c r="Q56" s="907" t="s">
        <v>634</v>
      </c>
      <c r="R56" s="911">
        <v>980.0</v>
      </c>
    </row>
    <row r="57">
      <c r="I57" s="907" t="s">
        <v>302</v>
      </c>
      <c r="J57" s="916">
        <f t="array" ref="J57">xlookup(K55,$B$3:$B$14,$C$3:$C$14)*100</f>
        <v>0</v>
      </c>
      <c r="K57" s="917">
        <f>SUM(M57:O57)</f>
        <v>142</v>
      </c>
      <c r="L57" s="917">
        <v>100.0</v>
      </c>
      <c r="M57" s="911">
        <v>142.0</v>
      </c>
      <c r="N57" s="918"/>
      <c r="O57" s="918"/>
      <c r="P57" s="917">
        <f>K57*J56</f>
        <v>4402</v>
      </c>
      <c r="Q57" s="919" t="s">
        <v>635</v>
      </c>
      <c r="R57" s="917">
        <f>P68</f>
        <v>96844</v>
      </c>
    </row>
    <row r="58">
      <c r="I58" s="907" t="s">
        <v>636</v>
      </c>
      <c r="J58" s="911">
        <v>340000.0</v>
      </c>
      <c r="K58" s="917">
        <f>K57*L58%</f>
        <v>0</v>
      </c>
      <c r="L58" s="921">
        <f>J57</f>
        <v>0</v>
      </c>
      <c r="M58" s="917">
        <f>K58*80%</f>
        <v>0</v>
      </c>
      <c r="N58" s="917">
        <f>K58*20%</f>
        <v>0</v>
      </c>
      <c r="O58" s="917">
        <f>O57*L58%</f>
        <v>0</v>
      </c>
      <c r="P58" s="917">
        <f>K58*J56</f>
        <v>0</v>
      </c>
      <c r="Q58" s="907" t="s">
        <v>303</v>
      </c>
      <c r="R58" s="917">
        <f>R56*P58+R57</f>
        <v>96844</v>
      </c>
    </row>
    <row r="59">
      <c r="I59" s="907" t="s">
        <v>637</v>
      </c>
      <c r="J59" s="911">
        <v>210000.0</v>
      </c>
      <c r="K59" s="922" t="s">
        <v>638</v>
      </c>
      <c r="L59" s="2"/>
      <c r="M59" s="911">
        <v>26.3</v>
      </c>
      <c r="N59" s="911">
        <v>21.05</v>
      </c>
      <c r="O59" s="918"/>
      <c r="P59" s="923"/>
      <c r="Q59" s="907" t="s">
        <v>639</v>
      </c>
      <c r="R59" s="917">
        <f>M64</f>
        <v>-39699</v>
      </c>
    </row>
    <row r="60">
      <c r="I60" s="925" t="s">
        <v>640</v>
      </c>
      <c r="J60" s="918"/>
      <c r="K60" s="922" t="s">
        <v>641</v>
      </c>
      <c r="L60" s="2"/>
      <c r="M60" s="917">
        <f t="shared" ref="M60:N60" si="25">M58/(360/M59)</f>
        <v>0</v>
      </c>
      <c r="N60" s="917">
        <f t="shared" si="25"/>
        <v>0</v>
      </c>
      <c r="O60" s="923"/>
      <c r="P60" s="917">
        <f t="shared" ref="P60:P61" si="26">M60+N60+O60</f>
        <v>0</v>
      </c>
      <c r="Q60" s="907" t="s">
        <v>301</v>
      </c>
      <c r="R60" s="926">
        <f>R59/R58</f>
        <v>-0.4099273058</v>
      </c>
    </row>
    <row r="61">
      <c r="I61" s="928" t="s">
        <v>642</v>
      </c>
      <c r="J61" s="918"/>
      <c r="K61" s="909" t="s">
        <v>643</v>
      </c>
      <c r="L61" s="911">
        <v>1140.0</v>
      </c>
      <c r="M61" s="917">
        <f>M60*(L61*6)</f>
        <v>0</v>
      </c>
      <c r="N61" s="917">
        <f>N60*(L61*6)</f>
        <v>0</v>
      </c>
      <c r="O61" s="923"/>
      <c r="P61" s="917">
        <f t="shared" si="26"/>
        <v>0</v>
      </c>
      <c r="Q61" s="907" t="s">
        <v>644</v>
      </c>
      <c r="R61" s="917">
        <f>R58-R59-M71</f>
        <v>-525957</v>
      </c>
    </row>
    <row r="62">
      <c r="I62" s="907" t="s">
        <v>645</v>
      </c>
      <c r="J62" s="918"/>
      <c r="K62" s="923"/>
      <c r="L62" s="923"/>
      <c r="M62" s="923"/>
      <c r="N62" s="923"/>
      <c r="O62" s="923"/>
      <c r="P62" s="923"/>
      <c r="Q62" s="907" t="s">
        <v>300</v>
      </c>
      <c r="R62" s="926">
        <f>R61/R58</f>
        <v>-5.430971459</v>
      </c>
    </row>
    <row r="63">
      <c r="I63" s="925" t="s">
        <v>646</v>
      </c>
      <c r="J63" s="918"/>
      <c r="K63" s="922" t="s">
        <v>647</v>
      </c>
      <c r="L63" s="2"/>
      <c r="M63" s="917">
        <f>P61+(P60*J69)</f>
        <v>0</v>
      </c>
      <c r="N63" s="923"/>
      <c r="O63" s="919" t="s">
        <v>648</v>
      </c>
      <c r="P63" s="919" t="s">
        <v>649</v>
      </c>
      <c r="Q63" s="923"/>
      <c r="R63" s="923"/>
    </row>
    <row r="64">
      <c r="I64" s="930" t="s">
        <v>650</v>
      </c>
      <c r="J64" s="918"/>
      <c r="K64" s="922" t="s">
        <v>651</v>
      </c>
      <c r="L64" s="2"/>
      <c r="M64" s="917">
        <f>M63*J56-(8.7*L61*6)+K57*J70*J56*30</f>
        <v>-39699</v>
      </c>
      <c r="N64" s="923"/>
      <c r="O64" s="931" t="s">
        <v>652</v>
      </c>
      <c r="P64" s="918"/>
      <c r="Q64" s="923"/>
      <c r="R64" s="932"/>
    </row>
    <row r="65">
      <c r="I65" s="930" t="s">
        <v>653</v>
      </c>
      <c r="J65" s="918"/>
      <c r="K65" s="922" t="s">
        <v>654</v>
      </c>
      <c r="L65" s="2"/>
      <c r="M65" s="907" t="s">
        <v>394</v>
      </c>
      <c r="N65" s="907" t="s">
        <v>372</v>
      </c>
      <c r="O65" s="931" t="s">
        <v>655</v>
      </c>
      <c r="P65" s="911">
        <f>K57*J70*J56*100</f>
        <v>66030</v>
      </c>
      <c r="Q65" s="923"/>
      <c r="R65" s="923"/>
    </row>
    <row r="66">
      <c r="I66" s="925" t="s">
        <v>656</v>
      </c>
      <c r="J66" s="918"/>
      <c r="K66" s="922" t="s">
        <v>657</v>
      </c>
      <c r="L66" s="2"/>
      <c r="M66" s="921">
        <f t="shared" ref="M66:M67" si="27">J58*1.15</f>
        <v>391000</v>
      </c>
      <c r="N66" s="921">
        <v>15000.0</v>
      </c>
      <c r="O66" s="931" t="s">
        <v>658</v>
      </c>
      <c r="P66" s="911">
        <f>K57*J71*J56*200</f>
        <v>30814</v>
      </c>
      <c r="Q66" s="923"/>
      <c r="R66" s="923"/>
    </row>
    <row r="67">
      <c r="I67" s="925" t="s">
        <v>659</v>
      </c>
      <c r="J67" s="918"/>
      <c r="K67" s="922" t="s">
        <v>660</v>
      </c>
      <c r="L67" s="2"/>
      <c r="M67" s="921">
        <f t="shared" si="27"/>
        <v>241500</v>
      </c>
      <c r="N67" s="921">
        <v>15000.0</v>
      </c>
      <c r="O67" s="923"/>
      <c r="P67" s="923"/>
      <c r="Q67" s="923"/>
      <c r="R67" s="923"/>
    </row>
    <row r="68">
      <c r="I68" s="925" t="s">
        <v>661</v>
      </c>
      <c r="J68" s="918"/>
      <c r="K68" s="933" t="s">
        <v>662</v>
      </c>
      <c r="L68" s="2"/>
      <c r="M68" s="932"/>
      <c r="N68" s="932"/>
      <c r="O68" s="907" t="s">
        <v>180</v>
      </c>
      <c r="P68" s="917">
        <f>SUM(P64:P67)</f>
        <v>96844</v>
      </c>
      <c r="Q68" s="923"/>
      <c r="R68" s="934"/>
    </row>
    <row r="69">
      <c r="I69" s="925" t="s">
        <v>663</v>
      </c>
      <c r="J69" s="911">
        <v>600.0</v>
      </c>
      <c r="K69" s="922" t="s">
        <v>664</v>
      </c>
      <c r="L69" s="2"/>
      <c r="M69" s="921">
        <f>J63*J64*J65</f>
        <v>0</v>
      </c>
      <c r="N69" s="921">
        <f>J65*J69</f>
        <v>0</v>
      </c>
      <c r="O69" s="923"/>
      <c r="P69" s="923"/>
      <c r="Q69" s="923"/>
      <c r="R69" s="923"/>
    </row>
    <row r="70">
      <c r="I70" s="925" t="s">
        <v>655</v>
      </c>
      <c r="J70" s="935">
        <v>0.15</v>
      </c>
      <c r="K70" s="922" t="s">
        <v>665</v>
      </c>
      <c r="L70" s="2"/>
      <c r="M70" s="921">
        <f>J66*J67*J68</f>
        <v>0</v>
      </c>
      <c r="N70" s="921">
        <f>J68*J69</f>
        <v>0</v>
      </c>
      <c r="O70" s="923"/>
      <c r="P70" s="923"/>
      <c r="Q70" s="923"/>
      <c r="R70" s="934"/>
    </row>
    <row r="71">
      <c r="I71" s="925" t="s">
        <v>666</v>
      </c>
      <c r="J71" s="926">
        <v>0.035</v>
      </c>
      <c r="K71" s="922" t="s">
        <v>667</v>
      </c>
      <c r="L71" s="2"/>
      <c r="M71" s="921">
        <f>SUM(M66:N70)</f>
        <v>662500</v>
      </c>
      <c r="N71" s="932"/>
      <c r="O71" s="923"/>
      <c r="P71" s="923"/>
      <c r="Q71" s="923"/>
      <c r="R71" s="923"/>
    </row>
    <row r="73">
      <c r="I73" s="900" t="s">
        <v>627</v>
      </c>
      <c r="J73" s="901">
        <f>A7</f>
        <v>46174</v>
      </c>
      <c r="K73" s="900" t="str">
        <f>"①R"&amp;year(J73)-2018&amp;"_"&amp;month(J73)&amp;"集計"</f>
        <v>①R8_6集計</v>
      </c>
      <c r="N73" s="902">
        <f>R76</f>
        <v>93720</v>
      </c>
      <c r="O73" s="902">
        <f>R79</f>
        <v>-528442</v>
      </c>
      <c r="P73" s="903">
        <f>R80</f>
        <v>-5.638518993</v>
      </c>
      <c r="Q73" s="903">
        <f>R78</f>
        <v>-0.4304097311</v>
      </c>
    </row>
    <row r="74">
      <c r="I74" s="907" t="s">
        <v>629</v>
      </c>
      <c r="J74" s="908">
        <f>DAY(EOMONTH(J73,0))</f>
        <v>30</v>
      </c>
      <c r="K74" s="909" t="s">
        <v>630</v>
      </c>
      <c r="L74" s="909" t="s">
        <v>302</v>
      </c>
      <c r="M74" s="909" t="s">
        <v>631</v>
      </c>
      <c r="N74" s="909" t="s">
        <v>632</v>
      </c>
      <c r="O74" s="910"/>
      <c r="P74" s="909" t="s">
        <v>633</v>
      </c>
      <c r="Q74" s="907" t="s">
        <v>634</v>
      </c>
      <c r="R74" s="911">
        <v>980.0</v>
      </c>
    </row>
    <row r="75">
      <c r="I75" s="907" t="s">
        <v>302</v>
      </c>
      <c r="J75" s="916">
        <f t="array" ref="J75">xlookup(K73,$B$3:$B$14,$C$3:$C$14)*100</f>
        <v>0</v>
      </c>
      <c r="K75" s="917">
        <f>SUM(M75:O75)</f>
        <v>142</v>
      </c>
      <c r="L75" s="917">
        <v>100.0</v>
      </c>
      <c r="M75" s="911">
        <v>142.0</v>
      </c>
      <c r="N75" s="918"/>
      <c r="O75" s="918"/>
      <c r="P75" s="917">
        <f>K75*J74</f>
        <v>4260</v>
      </c>
      <c r="Q75" s="919" t="s">
        <v>635</v>
      </c>
      <c r="R75" s="917">
        <f>P86</f>
        <v>93720</v>
      </c>
    </row>
    <row r="76">
      <c r="I76" s="907" t="s">
        <v>636</v>
      </c>
      <c r="J76" s="911">
        <v>340000.0</v>
      </c>
      <c r="K76" s="917">
        <f>K75*L76%</f>
        <v>0</v>
      </c>
      <c r="L76" s="921">
        <f>J75</f>
        <v>0</v>
      </c>
      <c r="M76" s="917">
        <f>K76*80%</f>
        <v>0</v>
      </c>
      <c r="N76" s="917">
        <f>K76*20%</f>
        <v>0</v>
      </c>
      <c r="O76" s="917">
        <f>O75*L76%</f>
        <v>0</v>
      </c>
      <c r="P76" s="917">
        <f>K76*J74</f>
        <v>0</v>
      </c>
      <c r="Q76" s="907" t="s">
        <v>303</v>
      </c>
      <c r="R76" s="917">
        <f>R74*P76+R75</f>
        <v>93720</v>
      </c>
    </row>
    <row r="77">
      <c r="I77" s="907" t="s">
        <v>637</v>
      </c>
      <c r="J77" s="911">
        <v>210000.0</v>
      </c>
      <c r="K77" s="922" t="s">
        <v>638</v>
      </c>
      <c r="L77" s="2"/>
      <c r="M77" s="911">
        <v>26.3</v>
      </c>
      <c r="N77" s="911">
        <v>21.05</v>
      </c>
      <c r="O77" s="918"/>
      <c r="P77" s="923"/>
      <c r="Q77" s="907" t="s">
        <v>639</v>
      </c>
      <c r="R77" s="917">
        <f>M82</f>
        <v>-40338</v>
      </c>
    </row>
    <row r="78">
      <c r="I78" s="925" t="s">
        <v>640</v>
      </c>
      <c r="J78" s="918"/>
      <c r="K78" s="922" t="s">
        <v>641</v>
      </c>
      <c r="L78" s="2"/>
      <c r="M78" s="917">
        <f t="shared" ref="M78:N78" si="28">M76/(360/M77)</f>
        <v>0</v>
      </c>
      <c r="N78" s="917">
        <f t="shared" si="28"/>
        <v>0</v>
      </c>
      <c r="O78" s="923"/>
      <c r="P78" s="917">
        <f t="shared" ref="P78:P79" si="29">M78+N78+O78</f>
        <v>0</v>
      </c>
      <c r="Q78" s="907" t="s">
        <v>301</v>
      </c>
      <c r="R78" s="926">
        <f>R77/R76</f>
        <v>-0.4304097311</v>
      </c>
    </row>
    <row r="79">
      <c r="I79" s="928" t="s">
        <v>642</v>
      </c>
      <c r="J79" s="918"/>
      <c r="K79" s="909" t="s">
        <v>643</v>
      </c>
      <c r="L79" s="911">
        <v>1140.0</v>
      </c>
      <c r="M79" s="917">
        <f>M78*(L79*6)</f>
        <v>0</v>
      </c>
      <c r="N79" s="917">
        <f>N78*(L79*6)</f>
        <v>0</v>
      </c>
      <c r="O79" s="923"/>
      <c r="P79" s="917">
        <f t="shared" si="29"/>
        <v>0</v>
      </c>
      <c r="Q79" s="907" t="s">
        <v>644</v>
      </c>
      <c r="R79" s="917">
        <f>R76-R77-M89</f>
        <v>-528442</v>
      </c>
    </row>
    <row r="80">
      <c r="I80" s="907" t="s">
        <v>645</v>
      </c>
      <c r="J80" s="918"/>
      <c r="K80" s="923"/>
      <c r="L80" s="923"/>
      <c r="M80" s="923"/>
      <c r="N80" s="923"/>
      <c r="O80" s="923"/>
      <c r="P80" s="923"/>
      <c r="Q80" s="907" t="s">
        <v>300</v>
      </c>
      <c r="R80" s="926">
        <f>R79/R76</f>
        <v>-5.638518993</v>
      </c>
    </row>
    <row r="81">
      <c r="I81" s="925" t="s">
        <v>646</v>
      </c>
      <c r="J81" s="918"/>
      <c r="K81" s="922" t="s">
        <v>647</v>
      </c>
      <c r="L81" s="2"/>
      <c r="M81" s="917">
        <f>P79+(P78*J87)</f>
        <v>0</v>
      </c>
      <c r="N81" s="923"/>
      <c r="O81" s="919" t="s">
        <v>648</v>
      </c>
      <c r="P81" s="919" t="s">
        <v>649</v>
      </c>
      <c r="Q81" s="923"/>
      <c r="R81" s="923"/>
    </row>
    <row r="82">
      <c r="I82" s="930" t="s">
        <v>650</v>
      </c>
      <c r="J82" s="918"/>
      <c r="K82" s="922" t="s">
        <v>651</v>
      </c>
      <c r="L82" s="2"/>
      <c r="M82" s="917">
        <f>M81*J74-(8.7*L79*6)+K75*J88*J74*30</f>
        <v>-40338</v>
      </c>
      <c r="N82" s="923"/>
      <c r="O82" s="931" t="s">
        <v>652</v>
      </c>
      <c r="P82" s="918"/>
      <c r="Q82" s="923"/>
      <c r="R82" s="932"/>
    </row>
    <row r="83">
      <c r="I83" s="930" t="s">
        <v>653</v>
      </c>
      <c r="J83" s="918"/>
      <c r="K83" s="922" t="s">
        <v>654</v>
      </c>
      <c r="L83" s="2"/>
      <c r="M83" s="907" t="s">
        <v>394</v>
      </c>
      <c r="N83" s="907" t="s">
        <v>372</v>
      </c>
      <c r="O83" s="931" t="s">
        <v>655</v>
      </c>
      <c r="P83" s="911">
        <f>K75*J88*J74*100</f>
        <v>63900</v>
      </c>
      <c r="Q83" s="923"/>
      <c r="R83" s="923"/>
    </row>
    <row r="84">
      <c r="I84" s="925" t="s">
        <v>656</v>
      </c>
      <c r="J84" s="918"/>
      <c r="K84" s="922" t="s">
        <v>657</v>
      </c>
      <c r="L84" s="2"/>
      <c r="M84" s="921">
        <f t="shared" ref="M84:M85" si="30">J76*1.15</f>
        <v>391000</v>
      </c>
      <c r="N84" s="921">
        <v>15000.0</v>
      </c>
      <c r="O84" s="931" t="s">
        <v>658</v>
      </c>
      <c r="P84" s="911">
        <f>K75*J89*J74*200</f>
        <v>29820</v>
      </c>
      <c r="Q84" s="923"/>
      <c r="R84" s="923"/>
    </row>
    <row r="85">
      <c r="I85" s="925" t="s">
        <v>659</v>
      </c>
      <c r="J85" s="918"/>
      <c r="K85" s="922" t="s">
        <v>660</v>
      </c>
      <c r="L85" s="2"/>
      <c r="M85" s="921">
        <f t="shared" si="30"/>
        <v>241500</v>
      </c>
      <c r="N85" s="921">
        <v>15000.0</v>
      </c>
      <c r="O85" s="923"/>
      <c r="P85" s="923"/>
      <c r="Q85" s="923"/>
      <c r="R85" s="923"/>
    </row>
    <row r="86">
      <c r="I86" s="925" t="s">
        <v>661</v>
      </c>
      <c r="J86" s="918"/>
      <c r="K86" s="933" t="s">
        <v>662</v>
      </c>
      <c r="L86" s="2"/>
      <c r="M86" s="932"/>
      <c r="N86" s="932"/>
      <c r="O86" s="907" t="s">
        <v>180</v>
      </c>
      <c r="P86" s="917">
        <f>SUM(P82:P85)</f>
        <v>93720</v>
      </c>
      <c r="Q86" s="923"/>
      <c r="R86" s="934"/>
    </row>
    <row r="87">
      <c r="I87" s="925" t="s">
        <v>663</v>
      </c>
      <c r="J87" s="911">
        <v>600.0</v>
      </c>
      <c r="K87" s="922" t="s">
        <v>664</v>
      </c>
      <c r="L87" s="2"/>
      <c r="M87" s="921">
        <f>J81*J82*J83</f>
        <v>0</v>
      </c>
      <c r="N87" s="921">
        <f>J83*J87</f>
        <v>0</v>
      </c>
      <c r="O87" s="923"/>
      <c r="P87" s="923"/>
      <c r="Q87" s="923"/>
      <c r="R87" s="923"/>
    </row>
    <row r="88">
      <c r="I88" s="925" t="s">
        <v>655</v>
      </c>
      <c r="J88" s="935">
        <v>0.15</v>
      </c>
      <c r="K88" s="922" t="s">
        <v>665</v>
      </c>
      <c r="L88" s="2"/>
      <c r="M88" s="921">
        <f>J84*J85*J86</f>
        <v>0</v>
      </c>
      <c r="N88" s="921">
        <f>J86*J87</f>
        <v>0</v>
      </c>
      <c r="O88" s="923"/>
      <c r="P88" s="923"/>
      <c r="Q88" s="923"/>
      <c r="R88" s="934"/>
    </row>
    <row r="89">
      <c r="I89" s="925" t="s">
        <v>666</v>
      </c>
      <c r="J89" s="926">
        <v>0.035</v>
      </c>
      <c r="K89" s="922" t="s">
        <v>667</v>
      </c>
      <c r="L89" s="2"/>
      <c r="M89" s="921">
        <f>SUM(M84:N88)</f>
        <v>662500</v>
      </c>
      <c r="N89" s="932"/>
      <c r="O89" s="923"/>
      <c r="P89" s="923"/>
      <c r="Q89" s="923"/>
      <c r="R89" s="923"/>
    </row>
    <row r="91">
      <c r="I91" s="900" t="s">
        <v>627</v>
      </c>
      <c r="J91" s="901">
        <f>A8</f>
        <v>46204</v>
      </c>
      <c r="K91" s="900" t="str">
        <f>"①R"&amp;year(J91)-2018&amp;"_"&amp;month(J91)&amp;"集計"</f>
        <v>①R8_7集計</v>
      </c>
      <c r="N91" s="902">
        <f>R94</f>
        <v>96844</v>
      </c>
      <c r="O91" s="902">
        <f>R97</f>
        <v>-525957</v>
      </c>
      <c r="P91" s="903">
        <f>R98</f>
        <v>-5.430971459</v>
      </c>
      <c r="Q91" s="903">
        <f>R96</f>
        <v>-0.4099273058</v>
      </c>
    </row>
    <row r="92">
      <c r="I92" s="907" t="s">
        <v>629</v>
      </c>
      <c r="J92" s="908">
        <f>DAY(EOMONTH(J91,0))</f>
        <v>31</v>
      </c>
      <c r="K92" s="909" t="s">
        <v>630</v>
      </c>
      <c r="L92" s="909" t="s">
        <v>302</v>
      </c>
      <c r="M92" s="909" t="s">
        <v>631</v>
      </c>
      <c r="N92" s="909" t="s">
        <v>632</v>
      </c>
      <c r="O92" s="910"/>
      <c r="P92" s="909" t="s">
        <v>633</v>
      </c>
      <c r="Q92" s="907" t="s">
        <v>634</v>
      </c>
      <c r="R92" s="911">
        <v>980.0</v>
      </c>
    </row>
    <row r="93">
      <c r="I93" s="907" t="s">
        <v>302</v>
      </c>
      <c r="J93" s="916">
        <f t="array" ref="J93">xlookup(K91,$B$3:$B$14,$C$3:$C$14)*100</f>
        <v>0</v>
      </c>
      <c r="K93" s="917">
        <f>SUM(M93:O93)</f>
        <v>142</v>
      </c>
      <c r="L93" s="917">
        <v>100.0</v>
      </c>
      <c r="M93" s="911">
        <v>142.0</v>
      </c>
      <c r="N93" s="918"/>
      <c r="O93" s="918"/>
      <c r="P93" s="917">
        <f>K93*J92</f>
        <v>4402</v>
      </c>
      <c r="Q93" s="919" t="s">
        <v>635</v>
      </c>
      <c r="R93" s="917">
        <f>P104</f>
        <v>96844</v>
      </c>
    </row>
    <row r="94">
      <c r="I94" s="907" t="s">
        <v>636</v>
      </c>
      <c r="J94" s="911">
        <v>340000.0</v>
      </c>
      <c r="K94" s="917">
        <f>K93*L94%</f>
        <v>0</v>
      </c>
      <c r="L94" s="921">
        <f>J93</f>
        <v>0</v>
      </c>
      <c r="M94" s="917">
        <f>K94*80%</f>
        <v>0</v>
      </c>
      <c r="N94" s="917">
        <f>K94*20%</f>
        <v>0</v>
      </c>
      <c r="O94" s="917">
        <f>O93*L94%</f>
        <v>0</v>
      </c>
      <c r="P94" s="917">
        <f>K94*J92</f>
        <v>0</v>
      </c>
      <c r="Q94" s="907" t="s">
        <v>303</v>
      </c>
      <c r="R94" s="917">
        <f>R92*P94+R93</f>
        <v>96844</v>
      </c>
    </row>
    <row r="95">
      <c r="I95" s="907" t="s">
        <v>637</v>
      </c>
      <c r="J95" s="911">
        <v>210000.0</v>
      </c>
      <c r="K95" s="922" t="s">
        <v>638</v>
      </c>
      <c r="L95" s="2"/>
      <c r="M95" s="911">
        <v>26.3</v>
      </c>
      <c r="N95" s="911">
        <v>21.05</v>
      </c>
      <c r="O95" s="918"/>
      <c r="P95" s="923"/>
      <c r="Q95" s="907" t="s">
        <v>639</v>
      </c>
      <c r="R95" s="917">
        <f>M100</f>
        <v>-39699</v>
      </c>
    </row>
    <row r="96">
      <c r="I96" s="925" t="s">
        <v>640</v>
      </c>
      <c r="J96" s="918"/>
      <c r="K96" s="922" t="s">
        <v>641</v>
      </c>
      <c r="L96" s="2"/>
      <c r="M96" s="917">
        <f t="shared" ref="M96:N96" si="31">M94/(360/M95)</f>
        <v>0</v>
      </c>
      <c r="N96" s="917">
        <f t="shared" si="31"/>
        <v>0</v>
      </c>
      <c r="O96" s="923"/>
      <c r="P96" s="917">
        <f t="shared" ref="P96:P97" si="32">M96+N96+O96</f>
        <v>0</v>
      </c>
      <c r="Q96" s="907" t="s">
        <v>301</v>
      </c>
      <c r="R96" s="926">
        <f>R95/R94</f>
        <v>-0.4099273058</v>
      </c>
    </row>
    <row r="97">
      <c r="I97" s="928" t="s">
        <v>642</v>
      </c>
      <c r="J97" s="918"/>
      <c r="K97" s="909" t="s">
        <v>643</v>
      </c>
      <c r="L97" s="911">
        <v>1140.0</v>
      </c>
      <c r="M97" s="917">
        <f>M96*(L97*6)</f>
        <v>0</v>
      </c>
      <c r="N97" s="917">
        <f>N96*(L97*6)</f>
        <v>0</v>
      </c>
      <c r="O97" s="923"/>
      <c r="P97" s="917">
        <f t="shared" si="32"/>
        <v>0</v>
      </c>
      <c r="Q97" s="907" t="s">
        <v>644</v>
      </c>
      <c r="R97" s="917">
        <f>R94-R95-M107</f>
        <v>-525957</v>
      </c>
    </row>
    <row r="98">
      <c r="I98" s="907" t="s">
        <v>645</v>
      </c>
      <c r="J98" s="918"/>
      <c r="K98" s="923"/>
      <c r="L98" s="923"/>
      <c r="M98" s="923"/>
      <c r="N98" s="923"/>
      <c r="O98" s="923"/>
      <c r="P98" s="923"/>
      <c r="Q98" s="907" t="s">
        <v>300</v>
      </c>
      <c r="R98" s="926">
        <f>R97/R94</f>
        <v>-5.430971459</v>
      </c>
    </row>
    <row r="99">
      <c r="I99" s="925" t="s">
        <v>646</v>
      </c>
      <c r="J99" s="918"/>
      <c r="K99" s="922" t="s">
        <v>647</v>
      </c>
      <c r="L99" s="2"/>
      <c r="M99" s="917">
        <f>P97+(P96*J105)</f>
        <v>0</v>
      </c>
      <c r="N99" s="923"/>
      <c r="O99" s="919" t="s">
        <v>648</v>
      </c>
      <c r="P99" s="919" t="s">
        <v>649</v>
      </c>
      <c r="Q99" s="923"/>
      <c r="R99" s="923"/>
    </row>
    <row r="100">
      <c r="I100" s="930" t="s">
        <v>650</v>
      </c>
      <c r="J100" s="918"/>
      <c r="K100" s="922" t="s">
        <v>651</v>
      </c>
      <c r="L100" s="2"/>
      <c r="M100" s="917">
        <f>M99*J92-(8.7*L97*6)+K93*J106*J92*30</f>
        <v>-39699</v>
      </c>
      <c r="N100" s="923"/>
      <c r="O100" s="931" t="s">
        <v>652</v>
      </c>
      <c r="P100" s="918"/>
      <c r="Q100" s="923"/>
      <c r="R100" s="932"/>
    </row>
    <row r="101">
      <c r="I101" s="930" t="s">
        <v>653</v>
      </c>
      <c r="J101" s="918"/>
      <c r="K101" s="922" t="s">
        <v>654</v>
      </c>
      <c r="L101" s="2"/>
      <c r="M101" s="907" t="s">
        <v>394</v>
      </c>
      <c r="N101" s="907" t="s">
        <v>372</v>
      </c>
      <c r="O101" s="931" t="s">
        <v>655</v>
      </c>
      <c r="P101" s="911">
        <f>K93*J106*J92*100</f>
        <v>66030</v>
      </c>
      <c r="Q101" s="923"/>
      <c r="R101" s="923"/>
    </row>
    <row r="102">
      <c r="I102" s="925" t="s">
        <v>656</v>
      </c>
      <c r="J102" s="918"/>
      <c r="K102" s="922" t="s">
        <v>657</v>
      </c>
      <c r="L102" s="2"/>
      <c r="M102" s="921">
        <f t="shared" ref="M102:M103" si="33">J94*1.15</f>
        <v>391000</v>
      </c>
      <c r="N102" s="921">
        <v>15000.0</v>
      </c>
      <c r="O102" s="931" t="s">
        <v>658</v>
      </c>
      <c r="P102" s="911">
        <f>K93*J107*J92*200</f>
        <v>30814</v>
      </c>
      <c r="Q102" s="923"/>
      <c r="R102" s="923"/>
    </row>
    <row r="103">
      <c r="I103" s="925" t="s">
        <v>659</v>
      </c>
      <c r="J103" s="918"/>
      <c r="K103" s="922" t="s">
        <v>660</v>
      </c>
      <c r="L103" s="2"/>
      <c r="M103" s="921">
        <f t="shared" si="33"/>
        <v>241500</v>
      </c>
      <c r="N103" s="921">
        <v>15000.0</v>
      </c>
      <c r="O103" s="923"/>
      <c r="P103" s="923"/>
      <c r="Q103" s="923"/>
      <c r="R103" s="923"/>
    </row>
    <row r="104">
      <c r="I104" s="925" t="s">
        <v>661</v>
      </c>
      <c r="J104" s="918"/>
      <c r="K104" s="933" t="s">
        <v>662</v>
      </c>
      <c r="L104" s="2"/>
      <c r="M104" s="932"/>
      <c r="N104" s="932"/>
      <c r="O104" s="907" t="s">
        <v>180</v>
      </c>
      <c r="P104" s="917">
        <f>SUM(P100:P103)</f>
        <v>96844</v>
      </c>
      <c r="Q104" s="923"/>
      <c r="R104" s="934"/>
    </row>
    <row r="105">
      <c r="I105" s="925" t="s">
        <v>663</v>
      </c>
      <c r="J105" s="911">
        <v>600.0</v>
      </c>
      <c r="K105" s="922" t="s">
        <v>664</v>
      </c>
      <c r="L105" s="2"/>
      <c r="M105" s="921">
        <f>J99*J100*J101</f>
        <v>0</v>
      </c>
      <c r="N105" s="921">
        <f>J101*J105</f>
        <v>0</v>
      </c>
      <c r="O105" s="923"/>
      <c r="P105" s="923"/>
      <c r="Q105" s="923"/>
      <c r="R105" s="923"/>
    </row>
    <row r="106">
      <c r="I106" s="925" t="s">
        <v>655</v>
      </c>
      <c r="J106" s="935">
        <v>0.15</v>
      </c>
      <c r="K106" s="922" t="s">
        <v>665</v>
      </c>
      <c r="L106" s="2"/>
      <c r="M106" s="921">
        <f>J102*J103*J104</f>
        <v>0</v>
      </c>
      <c r="N106" s="921">
        <f>J104*J105</f>
        <v>0</v>
      </c>
      <c r="O106" s="923"/>
      <c r="P106" s="923"/>
      <c r="Q106" s="923"/>
      <c r="R106" s="934"/>
    </row>
    <row r="107">
      <c r="I107" s="925" t="s">
        <v>666</v>
      </c>
      <c r="J107" s="926">
        <v>0.035</v>
      </c>
      <c r="K107" s="922" t="s">
        <v>667</v>
      </c>
      <c r="L107" s="2"/>
      <c r="M107" s="921">
        <f>SUM(M102:N106)</f>
        <v>662500</v>
      </c>
      <c r="N107" s="932"/>
      <c r="O107" s="923"/>
      <c r="P107" s="923"/>
      <c r="Q107" s="923"/>
      <c r="R107" s="923"/>
    </row>
    <row r="109">
      <c r="I109" s="900" t="s">
        <v>627</v>
      </c>
      <c r="J109" s="901">
        <f>A9</f>
        <v>46235</v>
      </c>
      <c r="K109" s="900" t="str">
        <f>"①R"&amp;year(J109)-2018&amp;"_"&amp;month(J109)&amp;"集計"</f>
        <v>①R8_8集計</v>
      </c>
      <c r="N109" s="902">
        <f>R112</f>
        <v>96844</v>
      </c>
      <c r="O109" s="902">
        <f>R115</f>
        <v>-525957</v>
      </c>
      <c r="P109" s="903">
        <f>R116</f>
        <v>-5.430971459</v>
      </c>
      <c r="Q109" s="903">
        <f>R114</f>
        <v>-0.4099273058</v>
      </c>
    </row>
    <row r="110">
      <c r="I110" s="907" t="s">
        <v>629</v>
      </c>
      <c r="J110" s="908">
        <f>DAY(EOMONTH(J109,0))</f>
        <v>31</v>
      </c>
      <c r="K110" s="909" t="s">
        <v>630</v>
      </c>
      <c r="L110" s="909" t="s">
        <v>302</v>
      </c>
      <c r="M110" s="909" t="s">
        <v>631</v>
      </c>
      <c r="N110" s="909" t="s">
        <v>632</v>
      </c>
      <c r="O110" s="910"/>
      <c r="P110" s="909" t="s">
        <v>633</v>
      </c>
      <c r="Q110" s="907" t="s">
        <v>634</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635</v>
      </c>
      <c r="R111" s="917">
        <f>P122</f>
        <v>96844</v>
      </c>
    </row>
    <row r="112">
      <c r="I112" s="907" t="s">
        <v>636</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637</v>
      </c>
      <c r="J113" s="911">
        <v>210000.0</v>
      </c>
      <c r="K113" s="922" t="s">
        <v>638</v>
      </c>
      <c r="L113" s="2"/>
      <c r="M113" s="911">
        <v>26.3</v>
      </c>
      <c r="N113" s="911">
        <v>21.05</v>
      </c>
      <c r="O113" s="918"/>
      <c r="P113" s="923"/>
      <c r="Q113" s="907" t="s">
        <v>639</v>
      </c>
      <c r="R113" s="917">
        <f>M118</f>
        <v>-39699</v>
      </c>
    </row>
    <row r="114">
      <c r="I114" s="925" t="s">
        <v>640</v>
      </c>
      <c r="J114" s="918"/>
      <c r="K114" s="922" t="s">
        <v>641</v>
      </c>
      <c r="L114" s="2"/>
      <c r="M114" s="917">
        <f t="shared" ref="M114:N114" si="34">M112/(360/M113)</f>
        <v>0</v>
      </c>
      <c r="N114" s="917">
        <f t="shared" si="34"/>
        <v>0</v>
      </c>
      <c r="O114" s="923"/>
      <c r="P114" s="917">
        <f t="shared" ref="P114:P115" si="35">M114+N114+O114</f>
        <v>0</v>
      </c>
      <c r="Q114" s="907" t="s">
        <v>301</v>
      </c>
      <c r="R114" s="926">
        <f>R113/R112</f>
        <v>-0.4099273058</v>
      </c>
    </row>
    <row r="115">
      <c r="I115" s="928" t="s">
        <v>642</v>
      </c>
      <c r="J115" s="918"/>
      <c r="K115" s="909" t="s">
        <v>643</v>
      </c>
      <c r="L115" s="911">
        <v>1140.0</v>
      </c>
      <c r="M115" s="917">
        <f>M114*(L115*6)</f>
        <v>0</v>
      </c>
      <c r="N115" s="917">
        <f>N114*(L115*6)</f>
        <v>0</v>
      </c>
      <c r="O115" s="923"/>
      <c r="P115" s="917">
        <f t="shared" si="35"/>
        <v>0</v>
      </c>
      <c r="Q115" s="907" t="s">
        <v>644</v>
      </c>
      <c r="R115" s="917">
        <f>R112-R113-M125</f>
        <v>-525957</v>
      </c>
    </row>
    <row r="116">
      <c r="I116" s="907" t="s">
        <v>645</v>
      </c>
      <c r="J116" s="918"/>
      <c r="K116" s="923"/>
      <c r="L116" s="923"/>
      <c r="M116" s="923"/>
      <c r="N116" s="923"/>
      <c r="O116" s="923"/>
      <c r="P116" s="923"/>
      <c r="Q116" s="907" t="s">
        <v>300</v>
      </c>
      <c r="R116" s="926">
        <f>R115/R112</f>
        <v>-5.430971459</v>
      </c>
    </row>
    <row r="117">
      <c r="I117" s="925" t="s">
        <v>646</v>
      </c>
      <c r="J117" s="918"/>
      <c r="K117" s="922" t="s">
        <v>647</v>
      </c>
      <c r="L117" s="2"/>
      <c r="M117" s="917">
        <f>P115+(P114*J123)</f>
        <v>0</v>
      </c>
      <c r="N117" s="923"/>
      <c r="O117" s="919" t="s">
        <v>648</v>
      </c>
      <c r="P117" s="919" t="s">
        <v>649</v>
      </c>
      <c r="Q117" s="923"/>
      <c r="R117" s="923"/>
    </row>
    <row r="118">
      <c r="I118" s="930" t="s">
        <v>650</v>
      </c>
      <c r="J118" s="918"/>
      <c r="K118" s="922" t="s">
        <v>651</v>
      </c>
      <c r="L118" s="2"/>
      <c r="M118" s="917">
        <f>M117*J110-(8.7*L115*6)+K111*J124*J110*30</f>
        <v>-39699</v>
      </c>
      <c r="N118" s="923"/>
      <c r="O118" s="931" t="s">
        <v>652</v>
      </c>
      <c r="P118" s="918"/>
      <c r="Q118" s="923"/>
      <c r="R118" s="932"/>
    </row>
    <row r="119">
      <c r="I119" s="930" t="s">
        <v>653</v>
      </c>
      <c r="J119" s="918"/>
      <c r="K119" s="922" t="s">
        <v>654</v>
      </c>
      <c r="L119" s="2"/>
      <c r="M119" s="907" t="s">
        <v>394</v>
      </c>
      <c r="N119" s="907" t="s">
        <v>372</v>
      </c>
      <c r="O119" s="931" t="s">
        <v>655</v>
      </c>
      <c r="P119" s="911">
        <f>K111*J124*J110*100</f>
        <v>66030</v>
      </c>
      <c r="Q119" s="923"/>
      <c r="R119" s="923"/>
    </row>
    <row r="120">
      <c r="I120" s="925" t="s">
        <v>656</v>
      </c>
      <c r="J120" s="918"/>
      <c r="K120" s="922" t="s">
        <v>657</v>
      </c>
      <c r="L120" s="2"/>
      <c r="M120" s="921">
        <f t="shared" ref="M120:M121" si="36">J112*1.15</f>
        <v>391000</v>
      </c>
      <c r="N120" s="921">
        <v>15000.0</v>
      </c>
      <c r="O120" s="931" t="s">
        <v>658</v>
      </c>
      <c r="P120" s="911">
        <f>K111*J125*J110*200</f>
        <v>30814</v>
      </c>
      <c r="Q120" s="923"/>
      <c r="R120" s="923"/>
    </row>
    <row r="121">
      <c r="I121" s="925" t="s">
        <v>659</v>
      </c>
      <c r="J121" s="918"/>
      <c r="K121" s="922" t="s">
        <v>660</v>
      </c>
      <c r="L121" s="2"/>
      <c r="M121" s="921">
        <f t="shared" si="36"/>
        <v>241500</v>
      </c>
      <c r="N121" s="921">
        <v>15000.0</v>
      </c>
      <c r="O121" s="923"/>
      <c r="P121" s="923"/>
      <c r="Q121" s="923"/>
      <c r="R121" s="923"/>
    </row>
    <row r="122">
      <c r="I122" s="925" t="s">
        <v>661</v>
      </c>
      <c r="J122" s="918"/>
      <c r="K122" s="933" t="s">
        <v>662</v>
      </c>
      <c r="L122" s="2"/>
      <c r="M122" s="932"/>
      <c r="N122" s="932"/>
      <c r="O122" s="907" t="s">
        <v>180</v>
      </c>
      <c r="P122" s="917">
        <f>SUM(P118:P121)</f>
        <v>96844</v>
      </c>
      <c r="Q122" s="923"/>
      <c r="R122" s="934"/>
    </row>
    <row r="123">
      <c r="I123" s="925" t="s">
        <v>663</v>
      </c>
      <c r="J123" s="911">
        <v>600.0</v>
      </c>
      <c r="K123" s="922" t="s">
        <v>664</v>
      </c>
      <c r="L123" s="2"/>
      <c r="M123" s="921">
        <f>J117*J118*J119</f>
        <v>0</v>
      </c>
      <c r="N123" s="921">
        <f>J119*J123</f>
        <v>0</v>
      </c>
      <c r="O123" s="923"/>
      <c r="P123" s="923"/>
      <c r="Q123" s="923"/>
      <c r="R123" s="923"/>
    </row>
    <row r="124">
      <c r="I124" s="925" t="s">
        <v>655</v>
      </c>
      <c r="J124" s="935">
        <v>0.15</v>
      </c>
      <c r="K124" s="922" t="s">
        <v>665</v>
      </c>
      <c r="L124" s="2"/>
      <c r="M124" s="921">
        <f>J120*J121*J122</f>
        <v>0</v>
      </c>
      <c r="N124" s="921">
        <f>J122*J123</f>
        <v>0</v>
      </c>
      <c r="O124" s="923"/>
      <c r="P124" s="923"/>
      <c r="Q124" s="923"/>
      <c r="R124" s="934"/>
    </row>
    <row r="125">
      <c r="I125" s="925" t="s">
        <v>666</v>
      </c>
      <c r="J125" s="926">
        <v>0.035</v>
      </c>
      <c r="K125" s="922" t="s">
        <v>667</v>
      </c>
      <c r="L125" s="2"/>
      <c r="M125" s="921">
        <f>SUM(M120:N124)</f>
        <v>662500</v>
      </c>
      <c r="N125" s="932"/>
      <c r="O125" s="923"/>
      <c r="P125" s="923"/>
      <c r="Q125" s="923"/>
      <c r="R125" s="923"/>
    </row>
    <row r="127">
      <c r="I127" s="900" t="s">
        <v>627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629</v>
      </c>
      <c r="J128" s="908">
        <f>DAY(EOMONTH(J127,0))</f>
        <v>30</v>
      </c>
      <c r="K128" s="909" t="s">
        <v>630</v>
      </c>
      <c r="L128" s="909" t="s">
        <v>302</v>
      </c>
      <c r="M128" s="909" t="s">
        <v>631</v>
      </c>
      <c r="N128" s="909" t="s">
        <v>632</v>
      </c>
      <c r="O128" s="910"/>
      <c r="P128" s="909" t="s">
        <v>633</v>
      </c>
      <c r="Q128" s="907" t="s">
        <v>634</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635</v>
      </c>
      <c r="R129" s="917">
        <f>P140</f>
        <v>93720</v>
      </c>
    </row>
    <row r="130">
      <c r="I130" s="907" t="s">
        <v>636</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637</v>
      </c>
      <c r="J131" s="911">
        <v>210000.0</v>
      </c>
      <c r="K131" s="922" t="s">
        <v>638</v>
      </c>
      <c r="L131" s="2"/>
      <c r="M131" s="911">
        <v>26.3</v>
      </c>
      <c r="N131" s="911">
        <v>21.05</v>
      </c>
      <c r="O131" s="918"/>
      <c r="P131" s="923"/>
      <c r="Q131" s="907" t="s">
        <v>639</v>
      </c>
      <c r="R131" s="917">
        <f>M136</f>
        <v>-40338</v>
      </c>
    </row>
    <row r="132">
      <c r="I132" s="925" t="s">
        <v>640</v>
      </c>
      <c r="J132" s="918"/>
      <c r="K132" s="922" t="s">
        <v>641</v>
      </c>
      <c r="L132" s="2"/>
      <c r="M132" s="917">
        <f t="shared" ref="M132:N132" si="37">M130/(360/M131)</f>
        <v>0</v>
      </c>
      <c r="N132" s="917">
        <f t="shared" si="37"/>
        <v>0</v>
      </c>
      <c r="O132" s="923"/>
      <c r="P132" s="917">
        <f t="shared" ref="P132:P133" si="38">M132+N132+O132</f>
        <v>0</v>
      </c>
      <c r="Q132" s="907" t="s">
        <v>301</v>
      </c>
      <c r="R132" s="926">
        <f>R131/R130</f>
        <v>-0.4304097311</v>
      </c>
    </row>
    <row r="133">
      <c r="I133" s="928" t="s">
        <v>642</v>
      </c>
      <c r="J133" s="918"/>
      <c r="K133" s="909" t="s">
        <v>643</v>
      </c>
      <c r="L133" s="911">
        <v>1140.0</v>
      </c>
      <c r="M133" s="917">
        <f>M132*(L133*6)</f>
        <v>0</v>
      </c>
      <c r="N133" s="917">
        <f>N132*(L133*6)</f>
        <v>0</v>
      </c>
      <c r="O133" s="923"/>
      <c r="P133" s="917">
        <f t="shared" si="38"/>
        <v>0</v>
      </c>
      <c r="Q133" s="907" t="s">
        <v>644</v>
      </c>
      <c r="R133" s="917">
        <f>R130-R131-M143</f>
        <v>-528442</v>
      </c>
    </row>
    <row r="134">
      <c r="I134" s="907" t="s">
        <v>645</v>
      </c>
      <c r="J134" s="918"/>
      <c r="K134" s="923"/>
      <c r="L134" s="923"/>
      <c r="M134" s="923"/>
      <c r="N134" s="923"/>
      <c r="O134" s="923"/>
      <c r="P134" s="923"/>
      <c r="Q134" s="907" t="s">
        <v>300</v>
      </c>
      <c r="R134" s="926">
        <f>R133/R130</f>
        <v>-5.638518993</v>
      </c>
    </row>
    <row r="135">
      <c r="I135" s="925" t="s">
        <v>646</v>
      </c>
      <c r="J135" s="918"/>
      <c r="K135" s="922" t="s">
        <v>647</v>
      </c>
      <c r="L135" s="2"/>
      <c r="M135" s="917">
        <f>P133+(P132*J141)</f>
        <v>0</v>
      </c>
      <c r="N135" s="923"/>
      <c r="O135" s="919" t="s">
        <v>648</v>
      </c>
      <c r="P135" s="919" t="s">
        <v>649</v>
      </c>
      <c r="Q135" s="923"/>
      <c r="R135" s="923"/>
    </row>
    <row r="136">
      <c r="I136" s="930" t="s">
        <v>650</v>
      </c>
      <c r="J136" s="918"/>
      <c r="K136" s="922" t="s">
        <v>651</v>
      </c>
      <c r="L136" s="2"/>
      <c r="M136" s="917">
        <f>M135*J128-(8.7*L133*6)+K129*J142*J128*30</f>
        <v>-40338</v>
      </c>
      <c r="N136" s="923"/>
      <c r="O136" s="931" t="s">
        <v>652</v>
      </c>
      <c r="P136" s="918"/>
      <c r="Q136" s="923"/>
      <c r="R136" s="932"/>
    </row>
    <row r="137">
      <c r="I137" s="930" t="s">
        <v>653</v>
      </c>
      <c r="J137" s="918"/>
      <c r="K137" s="922" t="s">
        <v>654</v>
      </c>
      <c r="L137" s="2"/>
      <c r="M137" s="907" t="s">
        <v>394</v>
      </c>
      <c r="N137" s="907" t="s">
        <v>372</v>
      </c>
      <c r="O137" s="931" t="s">
        <v>655</v>
      </c>
      <c r="P137" s="911">
        <f>K129*J142*J128*100</f>
        <v>63900</v>
      </c>
      <c r="Q137" s="923"/>
      <c r="R137" s="923"/>
    </row>
    <row r="138">
      <c r="I138" s="925" t="s">
        <v>656</v>
      </c>
      <c r="J138" s="918"/>
      <c r="K138" s="922" t="s">
        <v>657</v>
      </c>
      <c r="L138" s="2"/>
      <c r="M138" s="921">
        <f t="shared" ref="M138:M139" si="39">J130*1.15</f>
        <v>391000</v>
      </c>
      <c r="N138" s="921">
        <v>15000.0</v>
      </c>
      <c r="O138" s="931" t="s">
        <v>658</v>
      </c>
      <c r="P138" s="911">
        <f>K129*J143*J128*200</f>
        <v>29820</v>
      </c>
      <c r="Q138" s="923"/>
      <c r="R138" s="923"/>
    </row>
    <row r="139">
      <c r="I139" s="925" t="s">
        <v>659</v>
      </c>
      <c r="J139" s="918"/>
      <c r="K139" s="922" t="s">
        <v>660</v>
      </c>
      <c r="L139" s="2"/>
      <c r="M139" s="921">
        <f t="shared" si="39"/>
        <v>241500</v>
      </c>
      <c r="N139" s="921">
        <v>15000.0</v>
      </c>
      <c r="O139" s="923"/>
      <c r="P139" s="923"/>
      <c r="Q139" s="923"/>
      <c r="R139" s="923"/>
    </row>
    <row r="140">
      <c r="I140" s="925" t="s">
        <v>661</v>
      </c>
      <c r="J140" s="918"/>
      <c r="K140" s="933" t="s">
        <v>662</v>
      </c>
      <c r="L140" s="2"/>
      <c r="M140" s="932"/>
      <c r="N140" s="932"/>
      <c r="O140" s="907" t="s">
        <v>180</v>
      </c>
      <c r="P140" s="917">
        <f>SUM(P136:P139)</f>
        <v>93720</v>
      </c>
      <c r="Q140" s="923"/>
      <c r="R140" s="934"/>
    </row>
    <row r="141">
      <c r="I141" s="925" t="s">
        <v>663</v>
      </c>
      <c r="J141" s="911">
        <v>600.0</v>
      </c>
      <c r="K141" s="922" t="s">
        <v>664</v>
      </c>
      <c r="L141" s="2"/>
      <c r="M141" s="921">
        <f>J135*J136*J137</f>
        <v>0</v>
      </c>
      <c r="N141" s="921">
        <f>J137*J141</f>
        <v>0</v>
      </c>
      <c r="O141" s="923"/>
      <c r="P141" s="923"/>
      <c r="Q141" s="923"/>
      <c r="R141" s="923"/>
    </row>
    <row r="142">
      <c r="I142" s="925" t="s">
        <v>655</v>
      </c>
      <c r="J142" s="935">
        <v>0.15</v>
      </c>
      <c r="K142" s="922" t="s">
        <v>665</v>
      </c>
      <c r="L142" s="2"/>
      <c r="M142" s="921">
        <f>J138*J139*J140</f>
        <v>0</v>
      </c>
      <c r="N142" s="921">
        <f>J140*J141</f>
        <v>0</v>
      </c>
      <c r="O142" s="923"/>
      <c r="P142" s="923"/>
      <c r="Q142" s="923"/>
      <c r="R142" s="934"/>
    </row>
    <row r="143">
      <c r="I143" s="925" t="s">
        <v>666</v>
      </c>
      <c r="J143" s="926">
        <v>0.035</v>
      </c>
      <c r="K143" s="922" t="s">
        <v>667</v>
      </c>
      <c r="L143" s="2"/>
      <c r="M143" s="921">
        <f>SUM(M138:N142)</f>
        <v>662500</v>
      </c>
      <c r="N143" s="932"/>
      <c r="O143" s="923"/>
      <c r="P143" s="923"/>
      <c r="Q143" s="923"/>
      <c r="R143" s="923"/>
    </row>
    <row r="145">
      <c r="I145" s="900" t="s">
        <v>627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629</v>
      </c>
      <c r="J146" s="908">
        <f>DAY(EOMONTH(J145,0))</f>
        <v>31</v>
      </c>
      <c r="K146" s="909" t="s">
        <v>630</v>
      </c>
      <c r="L146" s="909" t="s">
        <v>302</v>
      </c>
      <c r="M146" s="909" t="s">
        <v>631</v>
      </c>
      <c r="N146" s="909" t="s">
        <v>632</v>
      </c>
      <c r="O146" s="910"/>
      <c r="P146" s="909" t="s">
        <v>633</v>
      </c>
      <c r="Q146" s="907" t="s">
        <v>634</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635</v>
      </c>
      <c r="R147" s="917">
        <f>P158</f>
        <v>96844</v>
      </c>
    </row>
    <row r="148">
      <c r="I148" s="907" t="s">
        <v>636</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637</v>
      </c>
      <c r="J149" s="911">
        <v>210000.0</v>
      </c>
      <c r="K149" s="922" t="s">
        <v>638</v>
      </c>
      <c r="L149" s="2"/>
      <c r="M149" s="911">
        <v>26.3</v>
      </c>
      <c r="N149" s="911">
        <v>21.05</v>
      </c>
      <c r="O149" s="918"/>
      <c r="P149" s="923"/>
      <c r="Q149" s="907" t="s">
        <v>639</v>
      </c>
      <c r="R149" s="917">
        <f>M154</f>
        <v>-39699</v>
      </c>
    </row>
    <row r="150">
      <c r="I150" s="925" t="s">
        <v>640</v>
      </c>
      <c r="J150" s="918"/>
      <c r="K150" s="922" t="s">
        <v>641</v>
      </c>
      <c r="L150" s="2"/>
      <c r="M150" s="917">
        <f t="shared" ref="M150:N150" si="40">M148/(360/M149)</f>
        <v>0</v>
      </c>
      <c r="N150" s="917">
        <f t="shared" si="40"/>
        <v>0</v>
      </c>
      <c r="O150" s="923"/>
      <c r="P150" s="917">
        <f t="shared" ref="P150:P151" si="41">M150+N150+O150</f>
        <v>0</v>
      </c>
      <c r="Q150" s="907" t="s">
        <v>301</v>
      </c>
      <c r="R150" s="926">
        <f>R149/R148</f>
        <v>-0.4099273058</v>
      </c>
    </row>
    <row r="151">
      <c r="I151" s="928" t="s">
        <v>642</v>
      </c>
      <c r="J151" s="918"/>
      <c r="K151" s="909" t="s">
        <v>643</v>
      </c>
      <c r="L151" s="911">
        <v>1140.0</v>
      </c>
      <c r="M151" s="917">
        <f>M150*(L151*6)</f>
        <v>0</v>
      </c>
      <c r="N151" s="917">
        <f>N150*(L151*6)</f>
        <v>0</v>
      </c>
      <c r="O151" s="923"/>
      <c r="P151" s="917">
        <f t="shared" si="41"/>
        <v>0</v>
      </c>
      <c r="Q151" s="907" t="s">
        <v>644</v>
      </c>
      <c r="R151" s="917">
        <f>R148-R149-M161</f>
        <v>-525957</v>
      </c>
    </row>
    <row r="152">
      <c r="I152" s="907" t="s">
        <v>645</v>
      </c>
      <c r="J152" s="918"/>
      <c r="K152" s="923"/>
      <c r="L152" s="923"/>
      <c r="M152" s="923"/>
      <c r="N152" s="923"/>
      <c r="O152" s="923"/>
      <c r="P152" s="923"/>
      <c r="Q152" s="907" t="s">
        <v>300</v>
      </c>
      <c r="R152" s="926">
        <f>R151/R148</f>
        <v>-5.430971459</v>
      </c>
    </row>
    <row r="153">
      <c r="I153" s="925" t="s">
        <v>646</v>
      </c>
      <c r="J153" s="918"/>
      <c r="K153" s="922" t="s">
        <v>647</v>
      </c>
      <c r="L153" s="2"/>
      <c r="M153" s="917">
        <f>P151+(P150*J159)</f>
        <v>0</v>
      </c>
      <c r="N153" s="923"/>
      <c r="O153" s="919" t="s">
        <v>648</v>
      </c>
      <c r="P153" s="919" t="s">
        <v>649</v>
      </c>
      <c r="Q153" s="923"/>
      <c r="R153" s="923"/>
    </row>
    <row r="154">
      <c r="I154" s="930" t="s">
        <v>650</v>
      </c>
      <c r="J154" s="918"/>
      <c r="K154" s="922" t="s">
        <v>651</v>
      </c>
      <c r="L154" s="2"/>
      <c r="M154" s="917">
        <f>M153*J146-(8.7*L151*6)+K147*J160*J146*30</f>
        <v>-39699</v>
      </c>
      <c r="N154" s="923"/>
      <c r="O154" s="931" t="s">
        <v>652</v>
      </c>
      <c r="P154" s="918"/>
      <c r="Q154" s="923"/>
      <c r="R154" s="932"/>
    </row>
    <row r="155">
      <c r="I155" s="930" t="s">
        <v>653</v>
      </c>
      <c r="J155" s="918"/>
      <c r="K155" s="922" t="s">
        <v>654</v>
      </c>
      <c r="L155" s="2"/>
      <c r="M155" s="907" t="s">
        <v>394</v>
      </c>
      <c r="N155" s="907" t="s">
        <v>372</v>
      </c>
      <c r="O155" s="931" t="s">
        <v>655</v>
      </c>
      <c r="P155" s="911">
        <f>K147*J160*J146*100</f>
        <v>66030</v>
      </c>
      <c r="Q155" s="923"/>
      <c r="R155" s="923"/>
    </row>
    <row r="156">
      <c r="I156" s="925" t="s">
        <v>656</v>
      </c>
      <c r="J156" s="918"/>
      <c r="K156" s="922" t="s">
        <v>657</v>
      </c>
      <c r="L156" s="2"/>
      <c r="M156" s="921">
        <f t="shared" ref="M156:M157" si="42">J148*1.15</f>
        <v>391000</v>
      </c>
      <c r="N156" s="921">
        <v>15000.0</v>
      </c>
      <c r="O156" s="931" t="s">
        <v>658</v>
      </c>
      <c r="P156" s="911">
        <f>K147*J161*J146*200</f>
        <v>30814</v>
      </c>
      <c r="Q156" s="923"/>
      <c r="R156" s="923"/>
    </row>
    <row r="157">
      <c r="I157" s="925" t="s">
        <v>659</v>
      </c>
      <c r="J157" s="918"/>
      <c r="K157" s="922" t="s">
        <v>660</v>
      </c>
      <c r="L157" s="2"/>
      <c r="M157" s="921">
        <f t="shared" si="42"/>
        <v>241500</v>
      </c>
      <c r="N157" s="921">
        <v>15000.0</v>
      </c>
      <c r="O157" s="923"/>
      <c r="P157" s="923"/>
      <c r="Q157" s="923"/>
      <c r="R157" s="923"/>
    </row>
    <row r="158">
      <c r="I158" s="925" t="s">
        <v>661</v>
      </c>
      <c r="J158" s="918"/>
      <c r="K158" s="933" t="s">
        <v>662</v>
      </c>
      <c r="L158" s="2"/>
      <c r="M158" s="932"/>
      <c r="N158" s="932"/>
      <c r="O158" s="907" t="s">
        <v>180</v>
      </c>
      <c r="P158" s="917">
        <f>SUM(P154:P157)</f>
        <v>96844</v>
      </c>
      <c r="Q158" s="923"/>
      <c r="R158" s="934"/>
    </row>
    <row r="159">
      <c r="I159" s="925" t="s">
        <v>663</v>
      </c>
      <c r="J159" s="911">
        <v>600.0</v>
      </c>
      <c r="K159" s="922" t="s">
        <v>664</v>
      </c>
      <c r="L159" s="2"/>
      <c r="M159" s="921">
        <f>J153*J154*J155</f>
        <v>0</v>
      </c>
      <c r="N159" s="921">
        <f>J155*J159</f>
        <v>0</v>
      </c>
      <c r="O159" s="923"/>
      <c r="P159" s="923"/>
      <c r="Q159" s="923"/>
      <c r="R159" s="923"/>
    </row>
    <row r="160">
      <c r="I160" s="925" t="s">
        <v>655</v>
      </c>
      <c r="J160" s="935">
        <v>0.15</v>
      </c>
      <c r="K160" s="922" t="s">
        <v>665</v>
      </c>
      <c r="L160" s="2"/>
      <c r="M160" s="921">
        <f>J156*J157*J158</f>
        <v>0</v>
      </c>
      <c r="N160" s="921">
        <f>J158*J159</f>
        <v>0</v>
      </c>
      <c r="O160" s="923"/>
      <c r="P160" s="923"/>
      <c r="Q160" s="923"/>
      <c r="R160" s="934"/>
    </row>
    <row r="161">
      <c r="I161" s="925" t="s">
        <v>666</v>
      </c>
      <c r="J161" s="926">
        <v>0.035</v>
      </c>
      <c r="K161" s="922" t="s">
        <v>667</v>
      </c>
      <c r="L161" s="2"/>
      <c r="M161" s="921">
        <f>SUM(M156:N160)</f>
        <v>662500</v>
      </c>
      <c r="N161" s="932"/>
      <c r="O161" s="923"/>
      <c r="P161" s="923"/>
      <c r="Q161" s="923"/>
      <c r="R161" s="923"/>
    </row>
    <row r="163">
      <c r="I163" s="900" t="s">
        <v>627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629</v>
      </c>
      <c r="J164" s="908">
        <f>DAY(EOMONTH(J163,0))</f>
        <v>30</v>
      </c>
      <c r="K164" s="909" t="s">
        <v>630</v>
      </c>
      <c r="L164" s="909" t="s">
        <v>302</v>
      </c>
      <c r="M164" s="909" t="s">
        <v>631</v>
      </c>
      <c r="N164" s="909" t="s">
        <v>632</v>
      </c>
      <c r="O164" s="910"/>
      <c r="P164" s="909" t="s">
        <v>633</v>
      </c>
      <c r="Q164" s="907" t="s">
        <v>634</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635</v>
      </c>
      <c r="R165" s="917">
        <f>P176</f>
        <v>93720</v>
      </c>
    </row>
    <row r="166">
      <c r="I166" s="907" t="s">
        <v>636</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637</v>
      </c>
      <c r="J167" s="911">
        <v>210000.0</v>
      </c>
      <c r="K167" s="922" t="s">
        <v>638</v>
      </c>
      <c r="L167" s="2"/>
      <c r="M167" s="911">
        <v>26.3</v>
      </c>
      <c r="N167" s="911">
        <v>21.05</v>
      </c>
      <c r="O167" s="918"/>
      <c r="P167" s="923"/>
      <c r="Q167" s="907" t="s">
        <v>639</v>
      </c>
      <c r="R167" s="917">
        <f>M172</f>
        <v>-40338</v>
      </c>
    </row>
    <row r="168">
      <c r="I168" s="925" t="s">
        <v>640</v>
      </c>
      <c r="J168" s="918"/>
      <c r="K168" s="922" t="s">
        <v>641</v>
      </c>
      <c r="L168" s="2"/>
      <c r="M168" s="917">
        <f t="shared" ref="M168:N168" si="43">M166/(360/M167)</f>
        <v>0</v>
      </c>
      <c r="N168" s="917">
        <f t="shared" si="43"/>
        <v>0</v>
      </c>
      <c r="O168" s="923"/>
      <c r="P168" s="917">
        <f t="shared" ref="P168:P169" si="44">M168+N168+O168</f>
        <v>0</v>
      </c>
      <c r="Q168" s="907" t="s">
        <v>301</v>
      </c>
      <c r="R168" s="926">
        <f>R167/R166</f>
        <v>-0.4304097311</v>
      </c>
    </row>
    <row r="169">
      <c r="I169" s="928" t="s">
        <v>642</v>
      </c>
      <c r="J169" s="918"/>
      <c r="K169" s="909" t="s">
        <v>643</v>
      </c>
      <c r="L169" s="911">
        <v>1140.0</v>
      </c>
      <c r="M169" s="917">
        <f>M168*(L169*6)</f>
        <v>0</v>
      </c>
      <c r="N169" s="917">
        <f>N168*(L169*6)</f>
        <v>0</v>
      </c>
      <c r="O169" s="923"/>
      <c r="P169" s="917">
        <f t="shared" si="44"/>
        <v>0</v>
      </c>
      <c r="Q169" s="907" t="s">
        <v>644</v>
      </c>
      <c r="R169" s="917">
        <f>R166-R167-M179</f>
        <v>-528442</v>
      </c>
    </row>
    <row r="170">
      <c r="I170" s="907" t="s">
        <v>645</v>
      </c>
      <c r="J170" s="918"/>
      <c r="K170" s="923"/>
      <c r="L170" s="923"/>
      <c r="M170" s="923"/>
      <c r="N170" s="923"/>
      <c r="O170" s="923"/>
      <c r="P170" s="923"/>
      <c r="Q170" s="907" t="s">
        <v>300</v>
      </c>
      <c r="R170" s="926">
        <f>R169/R166</f>
        <v>-5.638518993</v>
      </c>
    </row>
    <row r="171">
      <c r="I171" s="925" t="s">
        <v>646</v>
      </c>
      <c r="J171" s="918"/>
      <c r="K171" s="922" t="s">
        <v>647</v>
      </c>
      <c r="L171" s="2"/>
      <c r="M171" s="917">
        <f>P169+(P168*J177)</f>
        <v>0</v>
      </c>
      <c r="N171" s="923"/>
      <c r="O171" s="919" t="s">
        <v>648</v>
      </c>
      <c r="P171" s="919" t="s">
        <v>649</v>
      </c>
      <c r="Q171" s="923"/>
      <c r="R171" s="923"/>
    </row>
    <row r="172">
      <c r="I172" s="930" t="s">
        <v>650</v>
      </c>
      <c r="J172" s="918"/>
      <c r="K172" s="922" t="s">
        <v>651</v>
      </c>
      <c r="L172" s="2"/>
      <c r="M172" s="917">
        <f>M171*J164-(8.7*L169*6)+K165*J178*J164*30</f>
        <v>-40338</v>
      </c>
      <c r="N172" s="923"/>
      <c r="O172" s="931" t="s">
        <v>652</v>
      </c>
      <c r="P172" s="918"/>
      <c r="Q172" s="923"/>
      <c r="R172" s="932"/>
    </row>
    <row r="173">
      <c r="I173" s="930" t="s">
        <v>653</v>
      </c>
      <c r="J173" s="918"/>
      <c r="K173" s="922" t="s">
        <v>654</v>
      </c>
      <c r="L173" s="2"/>
      <c r="M173" s="907" t="s">
        <v>394</v>
      </c>
      <c r="N173" s="907" t="s">
        <v>372</v>
      </c>
      <c r="O173" s="931" t="s">
        <v>655</v>
      </c>
      <c r="P173" s="911">
        <f>K165*J178*J164*100</f>
        <v>63900</v>
      </c>
      <c r="Q173" s="923"/>
      <c r="R173" s="923"/>
    </row>
    <row r="174">
      <c r="I174" s="925" t="s">
        <v>656</v>
      </c>
      <c r="J174" s="918"/>
      <c r="K174" s="922" t="s">
        <v>657</v>
      </c>
      <c r="L174" s="2"/>
      <c r="M174" s="921">
        <f t="shared" ref="M174:M175" si="45">J166*1.15</f>
        <v>391000</v>
      </c>
      <c r="N174" s="921">
        <v>15000.0</v>
      </c>
      <c r="O174" s="931" t="s">
        <v>658</v>
      </c>
      <c r="P174" s="911">
        <f>K165*J179*J164*200</f>
        <v>29820</v>
      </c>
      <c r="Q174" s="923"/>
      <c r="R174" s="923"/>
    </row>
    <row r="175">
      <c r="I175" s="925" t="s">
        <v>659</v>
      </c>
      <c r="J175" s="918"/>
      <c r="K175" s="922" t="s">
        <v>660</v>
      </c>
      <c r="L175" s="2"/>
      <c r="M175" s="921">
        <f t="shared" si="45"/>
        <v>241500</v>
      </c>
      <c r="N175" s="921">
        <v>15000.0</v>
      </c>
      <c r="O175" s="923"/>
      <c r="P175" s="923"/>
      <c r="Q175" s="923"/>
      <c r="R175" s="923"/>
    </row>
    <row r="176">
      <c r="I176" s="925" t="s">
        <v>661</v>
      </c>
      <c r="J176" s="918"/>
      <c r="K176" s="933" t="s">
        <v>662</v>
      </c>
      <c r="L176" s="2"/>
      <c r="M176" s="932"/>
      <c r="N176" s="932"/>
      <c r="O176" s="907" t="s">
        <v>180</v>
      </c>
      <c r="P176" s="917">
        <f>SUM(P172:P175)</f>
        <v>93720</v>
      </c>
      <c r="Q176" s="923"/>
      <c r="R176" s="934"/>
    </row>
    <row r="177">
      <c r="I177" s="925" t="s">
        <v>663</v>
      </c>
      <c r="J177" s="911">
        <v>600.0</v>
      </c>
      <c r="K177" s="922" t="s">
        <v>664</v>
      </c>
      <c r="L177" s="2"/>
      <c r="M177" s="921">
        <f>J171*J172*J173</f>
        <v>0</v>
      </c>
      <c r="N177" s="921">
        <f>J173*J177</f>
        <v>0</v>
      </c>
      <c r="O177" s="923"/>
      <c r="P177" s="923"/>
      <c r="Q177" s="923"/>
      <c r="R177" s="923"/>
    </row>
    <row r="178">
      <c r="I178" s="925" t="s">
        <v>655</v>
      </c>
      <c r="J178" s="935">
        <v>0.15</v>
      </c>
      <c r="K178" s="922" t="s">
        <v>665</v>
      </c>
      <c r="L178" s="2"/>
      <c r="M178" s="921">
        <f>J174*J175*J176</f>
        <v>0</v>
      </c>
      <c r="N178" s="921">
        <f>J176*J177</f>
        <v>0</v>
      </c>
      <c r="O178" s="923"/>
      <c r="P178" s="923"/>
      <c r="Q178" s="923"/>
      <c r="R178" s="934"/>
    </row>
    <row r="179">
      <c r="I179" s="925" t="s">
        <v>666</v>
      </c>
      <c r="J179" s="926">
        <v>0.035</v>
      </c>
      <c r="K179" s="922" t="s">
        <v>667</v>
      </c>
      <c r="L179" s="2"/>
      <c r="M179" s="921">
        <f>SUM(M174:N178)</f>
        <v>662500</v>
      </c>
      <c r="N179" s="932"/>
      <c r="O179" s="923"/>
      <c r="P179" s="923"/>
      <c r="Q179" s="923"/>
      <c r="R179" s="923"/>
    </row>
    <row r="181">
      <c r="I181" s="900" t="s">
        <v>627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629</v>
      </c>
      <c r="J182" s="908">
        <f>DAY(EOMONTH(J181,0))</f>
        <v>31</v>
      </c>
      <c r="K182" s="909" t="s">
        <v>630</v>
      </c>
      <c r="L182" s="909" t="s">
        <v>302</v>
      </c>
      <c r="M182" s="909" t="s">
        <v>631</v>
      </c>
      <c r="N182" s="909" t="s">
        <v>632</v>
      </c>
      <c r="O182" s="910"/>
      <c r="P182" s="909" t="s">
        <v>633</v>
      </c>
      <c r="Q182" s="907" t="s">
        <v>634</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635</v>
      </c>
      <c r="R183" s="917">
        <f>P194</f>
        <v>96844</v>
      </c>
    </row>
    <row r="184">
      <c r="I184" s="907" t="s">
        <v>636</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637</v>
      </c>
      <c r="J185" s="911">
        <v>210000.0</v>
      </c>
      <c r="K185" s="922" t="s">
        <v>638</v>
      </c>
      <c r="L185" s="2"/>
      <c r="M185" s="911">
        <v>26.3</v>
      </c>
      <c r="N185" s="911">
        <v>21.05</v>
      </c>
      <c r="O185" s="918"/>
      <c r="P185" s="923"/>
      <c r="Q185" s="907" t="s">
        <v>639</v>
      </c>
      <c r="R185" s="917">
        <f>M190</f>
        <v>-39699</v>
      </c>
    </row>
    <row r="186">
      <c r="I186" s="925" t="s">
        <v>640</v>
      </c>
      <c r="J186" s="918"/>
      <c r="K186" s="922" t="s">
        <v>641</v>
      </c>
      <c r="L186" s="2"/>
      <c r="M186" s="917">
        <f t="shared" ref="M186:N186" si="46">M184/(360/M185)</f>
        <v>0</v>
      </c>
      <c r="N186" s="917">
        <f t="shared" si="46"/>
        <v>0</v>
      </c>
      <c r="O186" s="923"/>
      <c r="P186" s="917">
        <f t="shared" ref="P186:P187" si="47">M186+N186+O186</f>
        <v>0</v>
      </c>
      <c r="Q186" s="907" t="s">
        <v>301</v>
      </c>
      <c r="R186" s="926">
        <f>R185/R184</f>
        <v>-0.4099273058</v>
      </c>
    </row>
    <row r="187">
      <c r="I187" s="928" t="s">
        <v>642</v>
      </c>
      <c r="J187" s="918"/>
      <c r="K187" s="909" t="s">
        <v>643</v>
      </c>
      <c r="L187" s="911">
        <v>1140.0</v>
      </c>
      <c r="M187" s="917">
        <f>M186*(L187*6)</f>
        <v>0</v>
      </c>
      <c r="N187" s="917">
        <f>N186*(L187*6)</f>
        <v>0</v>
      </c>
      <c r="O187" s="923"/>
      <c r="P187" s="917">
        <f t="shared" si="47"/>
        <v>0</v>
      </c>
      <c r="Q187" s="907" t="s">
        <v>644</v>
      </c>
      <c r="R187" s="917">
        <f>R184-R185-M197</f>
        <v>-525957</v>
      </c>
    </row>
    <row r="188">
      <c r="I188" s="907" t="s">
        <v>645</v>
      </c>
      <c r="J188" s="918"/>
      <c r="K188" s="923"/>
      <c r="L188" s="923"/>
      <c r="M188" s="923"/>
      <c r="N188" s="923"/>
      <c r="O188" s="923"/>
      <c r="P188" s="923"/>
      <c r="Q188" s="907" t="s">
        <v>300</v>
      </c>
      <c r="R188" s="926">
        <f>R187/R184</f>
        <v>-5.430971459</v>
      </c>
    </row>
    <row r="189">
      <c r="I189" s="925" t="s">
        <v>646</v>
      </c>
      <c r="J189" s="918"/>
      <c r="K189" s="922" t="s">
        <v>647</v>
      </c>
      <c r="L189" s="2"/>
      <c r="M189" s="917">
        <f>P187+(P186*J195)</f>
        <v>0</v>
      </c>
      <c r="N189" s="923"/>
      <c r="O189" s="919" t="s">
        <v>648</v>
      </c>
      <c r="P189" s="919" t="s">
        <v>649</v>
      </c>
      <c r="Q189" s="923"/>
      <c r="R189" s="923"/>
    </row>
    <row r="190">
      <c r="I190" s="930" t="s">
        <v>650</v>
      </c>
      <c r="J190" s="918"/>
      <c r="K190" s="922" t="s">
        <v>651</v>
      </c>
      <c r="L190" s="2"/>
      <c r="M190" s="917">
        <f>M189*J182-(8.7*L187*6)+K183*J196*J182*30</f>
        <v>-39699</v>
      </c>
      <c r="N190" s="923"/>
      <c r="O190" s="931" t="s">
        <v>652</v>
      </c>
      <c r="P190" s="918"/>
      <c r="Q190" s="923"/>
      <c r="R190" s="932"/>
    </row>
    <row r="191">
      <c r="I191" s="930" t="s">
        <v>653</v>
      </c>
      <c r="J191" s="918"/>
      <c r="K191" s="922" t="s">
        <v>654</v>
      </c>
      <c r="L191" s="2"/>
      <c r="M191" s="907" t="s">
        <v>394</v>
      </c>
      <c r="N191" s="907" t="s">
        <v>372</v>
      </c>
      <c r="O191" s="931" t="s">
        <v>655</v>
      </c>
      <c r="P191" s="911">
        <f>K183*J196*J182*100</f>
        <v>66030</v>
      </c>
      <c r="Q191" s="923"/>
      <c r="R191" s="923"/>
    </row>
    <row r="192">
      <c r="I192" s="925" t="s">
        <v>656</v>
      </c>
      <c r="J192" s="918"/>
      <c r="K192" s="922" t="s">
        <v>657</v>
      </c>
      <c r="L192" s="2"/>
      <c r="M192" s="921">
        <f t="shared" ref="M192:M193" si="48">J184*1.15</f>
        <v>391000</v>
      </c>
      <c r="N192" s="921">
        <v>15000.0</v>
      </c>
      <c r="O192" s="931" t="s">
        <v>658</v>
      </c>
      <c r="P192" s="911">
        <f>K183*J197*J182*200</f>
        <v>30814</v>
      </c>
      <c r="Q192" s="923"/>
      <c r="R192" s="923"/>
    </row>
    <row r="193">
      <c r="I193" s="925" t="s">
        <v>659</v>
      </c>
      <c r="J193" s="918"/>
      <c r="K193" s="922" t="s">
        <v>660</v>
      </c>
      <c r="L193" s="2"/>
      <c r="M193" s="921">
        <f t="shared" si="48"/>
        <v>241500</v>
      </c>
      <c r="N193" s="921">
        <v>15000.0</v>
      </c>
      <c r="O193" s="923"/>
      <c r="P193" s="923"/>
      <c r="Q193" s="923"/>
      <c r="R193" s="923"/>
    </row>
    <row r="194">
      <c r="I194" s="925" t="s">
        <v>661</v>
      </c>
      <c r="J194" s="918"/>
      <c r="K194" s="933" t="s">
        <v>662</v>
      </c>
      <c r="L194" s="2"/>
      <c r="M194" s="932"/>
      <c r="N194" s="932"/>
      <c r="O194" s="907" t="s">
        <v>180</v>
      </c>
      <c r="P194" s="917">
        <f>SUM(P190:P193)</f>
        <v>96844</v>
      </c>
      <c r="Q194" s="923"/>
      <c r="R194" s="934"/>
    </row>
    <row r="195">
      <c r="I195" s="925" t="s">
        <v>663</v>
      </c>
      <c r="J195" s="911">
        <v>600.0</v>
      </c>
      <c r="K195" s="922" t="s">
        <v>664</v>
      </c>
      <c r="L195" s="2"/>
      <c r="M195" s="921">
        <f>J189*J190*J191</f>
        <v>0</v>
      </c>
      <c r="N195" s="921">
        <f>J191*J195</f>
        <v>0</v>
      </c>
      <c r="O195" s="923"/>
      <c r="P195" s="923"/>
      <c r="Q195" s="923"/>
      <c r="R195" s="923"/>
    </row>
    <row r="196">
      <c r="I196" s="925" t="s">
        <v>655</v>
      </c>
      <c r="J196" s="935">
        <v>0.15</v>
      </c>
      <c r="K196" s="922" t="s">
        <v>665</v>
      </c>
      <c r="L196" s="2"/>
      <c r="M196" s="921">
        <f>J192*J193*J194</f>
        <v>0</v>
      </c>
      <c r="N196" s="921">
        <f>J194*J195</f>
        <v>0</v>
      </c>
      <c r="O196" s="923"/>
      <c r="P196" s="923"/>
      <c r="Q196" s="923"/>
      <c r="R196" s="934"/>
    </row>
    <row r="197">
      <c r="I197" s="925" t="s">
        <v>666</v>
      </c>
      <c r="J197" s="926">
        <v>0.035</v>
      </c>
      <c r="K197" s="922" t="s">
        <v>667</v>
      </c>
      <c r="L197" s="2"/>
      <c r="M197" s="921">
        <f>SUM(M192:N196)</f>
        <v>662500</v>
      </c>
      <c r="N197" s="932"/>
      <c r="O197" s="923"/>
      <c r="P197" s="923"/>
      <c r="Q197" s="923"/>
      <c r="R197" s="923"/>
    </row>
    <row r="199">
      <c r="I199" s="900" t="s">
        <v>627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629</v>
      </c>
      <c r="J200" s="908">
        <f>DAY(EOMONTH(J199,0))</f>
        <v>31</v>
      </c>
      <c r="K200" s="909" t="s">
        <v>630</v>
      </c>
      <c r="L200" s="909" t="s">
        <v>302</v>
      </c>
      <c r="M200" s="909" t="s">
        <v>631</v>
      </c>
      <c r="N200" s="909" t="s">
        <v>632</v>
      </c>
      <c r="O200" s="910"/>
      <c r="P200" s="909" t="s">
        <v>633</v>
      </c>
      <c r="Q200" s="907" t="s">
        <v>634</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635</v>
      </c>
      <c r="R201" s="917">
        <f>P212</f>
        <v>96844</v>
      </c>
    </row>
    <row r="202">
      <c r="I202" s="907" t="s">
        <v>636</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637</v>
      </c>
      <c r="J203" s="911">
        <v>210000.0</v>
      </c>
      <c r="K203" s="922" t="s">
        <v>638</v>
      </c>
      <c r="L203" s="2"/>
      <c r="M203" s="911">
        <v>26.3</v>
      </c>
      <c r="N203" s="911">
        <v>21.05</v>
      </c>
      <c r="O203" s="918"/>
      <c r="P203" s="923"/>
      <c r="Q203" s="907" t="s">
        <v>639</v>
      </c>
      <c r="R203" s="917">
        <f>M208</f>
        <v>-39699</v>
      </c>
    </row>
    <row r="204">
      <c r="I204" s="925" t="s">
        <v>640</v>
      </c>
      <c r="J204" s="918"/>
      <c r="K204" s="922" t="s">
        <v>641</v>
      </c>
      <c r="L204" s="2"/>
      <c r="M204" s="917">
        <f t="shared" ref="M204:N204" si="49">M202/(360/M203)</f>
        <v>0</v>
      </c>
      <c r="N204" s="917">
        <f t="shared" si="49"/>
        <v>0</v>
      </c>
      <c r="O204" s="923"/>
      <c r="P204" s="917">
        <f t="shared" ref="P204:P205" si="50">M204+N204+O204</f>
        <v>0</v>
      </c>
      <c r="Q204" s="907" t="s">
        <v>301</v>
      </c>
      <c r="R204" s="926">
        <f>R203/R202</f>
        <v>-0.4099273058</v>
      </c>
    </row>
    <row r="205">
      <c r="I205" s="928" t="s">
        <v>642</v>
      </c>
      <c r="J205" s="918"/>
      <c r="K205" s="909" t="s">
        <v>643</v>
      </c>
      <c r="L205" s="911">
        <v>1140.0</v>
      </c>
      <c r="M205" s="917">
        <f>M204*(L205*6)</f>
        <v>0</v>
      </c>
      <c r="N205" s="917">
        <f>N204*(L205*6)</f>
        <v>0</v>
      </c>
      <c r="O205" s="923"/>
      <c r="P205" s="917">
        <f t="shared" si="50"/>
        <v>0</v>
      </c>
      <c r="Q205" s="907" t="s">
        <v>644</v>
      </c>
      <c r="R205" s="917">
        <f>R202-R203-M215</f>
        <v>-525957</v>
      </c>
    </row>
    <row r="206">
      <c r="I206" s="907" t="s">
        <v>645</v>
      </c>
      <c r="J206" s="918"/>
      <c r="K206" s="923"/>
      <c r="L206" s="923"/>
      <c r="M206" s="923"/>
      <c r="N206" s="923"/>
      <c r="O206" s="923"/>
      <c r="P206" s="923"/>
      <c r="Q206" s="907" t="s">
        <v>300</v>
      </c>
      <c r="R206" s="926">
        <f>R205/R202</f>
        <v>-5.430971459</v>
      </c>
    </row>
    <row r="207">
      <c r="I207" s="925" t="s">
        <v>646</v>
      </c>
      <c r="J207" s="918"/>
      <c r="K207" s="922" t="s">
        <v>647</v>
      </c>
      <c r="L207" s="2"/>
      <c r="M207" s="917">
        <f>P205+(P204*J213)</f>
        <v>0</v>
      </c>
      <c r="N207" s="923"/>
      <c r="O207" s="919" t="s">
        <v>648</v>
      </c>
      <c r="P207" s="919" t="s">
        <v>649</v>
      </c>
      <c r="Q207" s="923"/>
      <c r="R207" s="923"/>
    </row>
    <row r="208">
      <c r="I208" s="930" t="s">
        <v>650</v>
      </c>
      <c r="J208" s="918"/>
      <c r="K208" s="922" t="s">
        <v>651</v>
      </c>
      <c r="L208" s="2"/>
      <c r="M208" s="917">
        <f>M207*J200-(8.7*L205*6)+K201*J214*J200*30</f>
        <v>-39699</v>
      </c>
      <c r="N208" s="923"/>
      <c r="O208" s="931" t="s">
        <v>652</v>
      </c>
      <c r="P208" s="918"/>
      <c r="Q208" s="923"/>
      <c r="R208" s="932"/>
    </row>
    <row r="209">
      <c r="I209" s="930" t="s">
        <v>653</v>
      </c>
      <c r="J209" s="918"/>
      <c r="K209" s="922" t="s">
        <v>654</v>
      </c>
      <c r="L209" s="2"/>
      <c r="M209" s="907" t="s">
        <v>394</v>
      </c>
      <c r="N209" s="907" t="s">
        <v>372</v>
      </c>
      <c r="O209" s="931" t="s">
        <v>655</v>
      </c>
      <c r="P209" s="911">
        <f>K201*J214*J200*100</f>
        <v>66030</v>
      </c>
      <c r="Q209" s="923"/>
      <c r="R209" s="923"/>
    </row>
    <row r="210">
      <c r="I210" s="925" t="s">
        <v>656</v>
      </c>
      <c r="J210" s="918"/>
      <c r="K210" s="922" t="s">
        <v>657</v>
      </c>
      <c r="L210" s="2"/>
      <c r="M210" s="921">
        <f t="shared" ref="M210:M211" si="51">J202*1.15</f>
        <v>391000</v>
      </c>
      <c r="N210" s="921">
        <v>15000.0</v>
      </c>
      <c r="O210" s="931" t="s">
        <v>658</v>
      </c>
      <c r="P210" s="911">
        <f>K201*J215*J200*200</f>
        <v>30814</v>
      </c>
      <c r="Q210" s="923"/>
      <c r="R210" s="923"/>
    </row>
    <row r="211">
      <c r="I211" s="925" t="s">
        <v>659</v>
      </c>
      <c r="J211" s="918"/>
      <c r="K211" s="922" t="s">
        <v>660</v>
      </c>
      <c r="L211" s="2"/>
      <c r="M211" s="921">
        <f t="shared" si="51"/>
        <v>241500</v>
      </c>
      <c r="N211" s="921">
        <v>15000.0</v>
      </c>
      <c r="O211" s="923"/>
      <c r="P211" s="923"/>
      <c r="Q211" s="923"/>
      <c r="R211" s="923"/>
    </row>
    <row r="212">
      <c r="I212" s="925" t="s">
        <v>661</v>
      </c>
      <c r="J212" s="918"/>
      <c r="K212" s="933" t="s">
        <v>662</v>
      </c>
      <c r="L212" s="2"/>
      <c r="M212" s="932"/>
      <c r="N212" s="932"/>
      <c r="O212" s="907" t="s">
        <v>180</v>
      </c>
      <c r="P212" s="917">
        <f>SUM(P208:P211)</f>
        <v>96844</v>
      </c>
      <c r="Q212" s="923"/>
      <c r="R212" s="934"/>
    </row>
    <row r="213">
      <c r="I213" s="925" t="s">
        <v>663</v>
      </c>
      <c r="J213" s="911">
        <v>600.0</v>
      </c>
      <c r="K213" s="922" t="s">
        <v>664</v>
      </c>
      <c r="L213" s="2"/>
      <c r="M213" s="921">
        <f>J207*J208*J209</f>
        <v>0</v>
      </c>
      <c r="N213" s="921">
        <f>J209*J213</f>
        <v>0</v>
      </c>
      <c r="O213" s="923"/>
      <c r="P213" s="923"/>
      <c r="Q213" s="923"/>
      <c r="R213" s="923"/>
    </row>
    <row r="214">
      <c r="I214" s="925" t="s">
        <v>655</v>
      </c>
      <c r="J214" s="935">
        <v>0.15</v>
      </c>
      <c r="K214" s="922" t="s">
        <v>665</v>
      </c>
      <c r="L214" s="2"/>
      <c r="M214" s="921">
        <f>J210*J211*J212</f>
        <v>0</v>
      </c>
      <c r="N214" s="921">
        <f>J212*J213</f>
        <v>0</v>
      </c>
      <c r="O214" s="923"/>
      <c r="P214" s="923"/>
      <c r="Q214" s="923"/>
      <c r="R214" s="934"/>
    </row>
    <row r="215">
      <c r="I215" s="925" t="s">
        <v>666</v>
      </c>
      <c r="J215" s="926">
        <v>0.035</v>
      </c>
      <c r="K215" s="922" t="s">
        <v>667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669</v>
      </c>
      <c r="C2" s="186"/>
      <c r="D2" s="186"/>
      <c r="E2" s="186"/>
      <c r="F2" s="208"/>
      <c r="G2" s="186"/>
      <c r="H2" s="186"/>
      <c r="I2" s="186"/>
      <c r="J2" s="186"/>
      <c r="K2" s="186"/>
      <c r="L2" s="186"/>
      <c r="M2" s="186"/>
      <c r="N2" s="186"/>
      <c r="O2" s="938"/>
      <c r="P2" s="946">
        <f>month(P3)</f>
        <v>2</v>
      </c>
      <c r="Q2" s="947" t="s">
        <v>670</v>
      </c>
      <c r="R2" s="948" t="s">
        <v>671</v>
      </c>
      <c r="S2" s="949" t="s">
        <v>672</v>
      </c>
      <c r="T2" s="949" t="s">
        <v>673</v>
      </c>
      <c r="U2" s="949" t="s">
        <v>674</v>
      </c>
      <c r="V2" s="950" t="s">
        <v>675</v>
      </c>
      <c r="W2" s="949" t="s">
        <v>676</v>
      </c>
      <c r="X2" s="949" t="s">
        <v>677</v>
      </c>
      <c r="Y2" s="946"/>
      <c r="Z2" s="946">
        <f>month(Z3)</f>
        <v>3</v>
      </c>
      <c r="AA2" s="947" t="s">
        <v>670</v>
      </c>
      <c r="AB2" s="948" t="s">
        <v>671</v>
      </c>
      <c r="AC2" s="949" t="s">
        <v>672</v>
      </c>
      <c r="AD2" s="949" t="s">
        <v>673</v>
      </c>
      <c r="AE2" s="949" t="s">
        <v>674</v>
      </c>
      <c r="AF2" s="950" t="s">
        <v>678</v>
      </c>
      <c r="AG2" s="949" t="s">
        <v>676</v>
      </c>
      <c r="AH2" s="949" t="s">
        <v>677</v>
      </c>
      <c r="AI2" s="946"/>
      <c r="AJ2" s="946">
        <f>month(AJ3)</f>
        <v>4</v>
      </c>
      <c r="AK2" s="947" t="s">
        <v>670</v>
      </c>
      <c r="AL2" s="948" t="s">
        <v>671</v>
      </c>
      <c r="AM2" s="949" t="s">
        <v>672</v>
      </c>
      <c r="AN2" s="949" t="s">
        <v>673</v>
      </c>
      <c r="AO2" s="949" t="s">
        <v>674</v>
      </c>
      <c r="AP2" s="950" t="s">
        <v>679</v>
      </c>
      <c r="AQ2" s="949" t="s">
        <v>676</v>
      </c>
      <c r="AR2" s="949" t="s">
        <v>677</v>
      </c>
      <c r="AS2" s="949"/>
      <c r="AT2" s="946">
        <f>month(AT3)</f>
        <v>5</v>
      </c>
      <c r="AU2" s="951" t="s">
        <v>670</v>
      </c>
      <c r="AV2" s="952" t="s">
        <v>671</v>
      </c>
      <c r="AW2" s="953" t="s">
        <v>672</v>
      </c>
      <c r="AX2" s="953" t="s">
        <v>673</v>
      </c>
      <c r="AY2" s="953" t="s">
        <v>674</v>
      </c>
      <c r="AZ2" s="954" t="s">
        <v>680</v>
      </c>
      <c r="BA2" s="953" t="s">
        <v>676</v>
      </c>
      <c r="BB2" s="953" t="s">
        <v>677</v>
      </c>
      <c r="BC2" s="946"/>
      <c r="BD2" s="946">
        <f>month(BD3)</f>
        <v>6</v>
      </c>
      <c r="BE2" s="947" t="s">
        <v>670</v>
      </c>
      <c r="BF2" s="948" t="s">
        <v>671</v>
      </c>
      <c r="BG2" s="949" t="s">
        <v>672</v>
      </c>
      <c r="BH2" s="949" t="s">
        <v>673</v>
      </c>
      <c r="BI2" s="949" t="s">
        <v>674</v>
      </c>
      <c r="BJ2" s="950" t="s">
        <v>681</v>
      </c>
      <c r="BK2" s="949" t="s">
        <v>676</v>
      </c>
      <c r="BL2" s="949" t="s">
        <v>677</v>
      </c>
      <c r="BM2" s="946"/>
      <c r="BN2" s="946">
        <f>month(BN3)</f>
        <v>7</v>
      </c>
      <c r="BO2" s="947" t="s">
        <v>670</v>
      </c>
      <c r="BP2" s="948" t="s">
        <v>671</v>
      </c>
      <c r="BQ2" s="949" t="s">
        <v>672</v>
      </c>
      <c r="BR2" s="949" t="s">
        <v>673</v>
      </c>
      <c r="BS2" s="949" t="s">
        <v>674</v>
      </c>
      <c r="BT2" s="950" t="s">
        <v>682</v>
      </c>
      <c r="BU2" s="949" t="s">
        <v>676</v>
      </c>
      <c r="BV2" s="949" t="s">
        <v>677</v>
      </c>
      <c r="BW2" s="949"/>
      <c r="BX2" s="946">
        <f>month(BX3)</f>
        <v>8</v>
      </c>
      <c r="BY2" s="947" t="s">
        <v>670</v>
      </c>
      <c r="BZ2" s="948" t="s">
        <v>671</v>
      </c>
      <c r="CA2" s="949" t="s">
        <v>672</v>
      </c>
      <c r="CB2" s="949" t="s">
        <v>673</v>
      </c>
      <c r="CC2" s="949" t="s">
        <v>674</v>
      </c>
      <c r="CD2" s="950" t="s">
        <v>683</v>
      </c>
      <c r="CE2" s="949" t="s">
        <v>676</v>
      </c>
      <c r="CF2" s="949" t="s">
        <v>677</v>
      </c>
      <c r="CG2" s="946"/>
      <c r="CH2" s="946">
        <f>month(CH3)</f>
        <v>9</v>
      </c>
      <c r="CI2" s="947" t="s">
        <v>670</v>
      </c>
      <c r="CJ2" s="948" t="s">
        <v>671</v>
      </c>
      <c r="CK2" s="949" t="s">
        <v>672</v>
      </c>
      <c r="CL2" s="949" t="s">
        <v>673</v>
      </c>
      <c r="CM2" s="949" t="s">
        <v>674</v>
      </c>
      <c r="CN2" s="950" t="s">
        <v>684</v>
      </c>
      <c r="CO2" s="949" t="s">
        <v>676</v>
      </c>
      <c r="CP2" s="949" t="s">
        <v>677</v>
      </c>
      <c r="CQ2" s="946"/>
      <c r="CR2" s="946">
        <f>month(CR3)</f>
        <v>10</v>
      </c>
      <c r="CS2" s="947" t="s">
        <v>670</v>
      </c>
      <c r="CT2" s="948" t="s">
        <v>671</v>
      </c>
      <c r="CU2" s="949" t="s">
        <v>672</v>
      </c>
      <c r="CV2" s="949" t="s">
        <v>673</v>
      </c>
      <c r="CW2" s="949" t="s">
        <v>674</v>
      </c>
      <c r="CX2" s="950" t="s">
        <v>685</v>
      </c>
      <c r="CY2" s="949" t="s">
        <v>676</v>
      </c>
      <c r="CZ2" s="949" t="s">
        <v>677</v>
      </c>
      <c r="DA2" s="949"/>
      <c r="DB2" s="946">
        <f>month(DB3)</f>
        <v>11</v>
      </c>
      <c r="DC2" s="947" t="s">
        <v>670</v>
      </c>
      <c r="DD2" s="948" t="s">
        <v>671</v>
      </c>
      <c r="DE2" s="949" t="s">
        <v>672</v>
      </c>
      <c r="DF2" s="949" t="s">
        <v>673</v>
      </c>
      <c r="DG2" s="949" t="s">
        <v>674</v>
      </c>
      <c r="DH2" s="950" t="s">
        <v>686</v>
      </c>
      <c r="DI2" s="949" t="s">
        <v>676</v>
      </c>
      <c r="DJ2" s="949" t="s">
        <v>677</v>
      </c>
      <c r="DK2" s="946"/>
      <c r="DL2" s="946">
        <f>month(DL3)</f>
        <v>12</v>
      </c>
      <c r="DM2" s="947" t="s">
        <v>670</v>
      </c>
      <c r="DN2" s="948" t="s">
        <v>671</v>
      </c>
      <c r="DO2" s="949" t="s">
        <v>672</v>
      </c>
      <c r="DP2" s="949" t="s">
        <v>673</v>
      </c>
      <c r="DQ2" s="949" t="s">
        <v>674</v>
      </c>
      <c r="DR2" s="950" t="s">
        <v>687</v>
      </c>
      <c r="DS2" s="949" t="s">
        <v>676</v>
      </c>
      <c r="DT2" s="949" t="s">
        <v>677</v>
      </c>
      <c r="DU2" s="946"/>
      <c r="DV2" s="946">
        <f>month(DV3)</f>
        <v>1</v>
      </c>
      <c r="DW2" s="947" t="s">
        <v>670</v>
      </c>
      <c r="DX2" s="948" t="s">
        <v>671</v>
      </c>
      <c r="DY2" s="949" t="s">
        <v>672</v>
      </c>
      <c r="DZ2" s="949" t="s">
        <v>673</v>
      </c>
      <c r="EA2" s="949" t="s">
        <v>674</v>
      </c>
      <c r="EB2" s="950" t="s">
        <v>688</v>
      </c>
      <c r="EC2" s="949" t="s">
        <v>676</v>
      </c>
      <c r="ED2" s="949" t="s">
        <v>677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689</v>
      </c>
      <c r="D3" s="959" t="s">
        <v>478</v>
      </c>
      <c r="E3" s="959" t="s">
        <v>690</v>
      </c>
      <c r="F3" s="960" t="s">
        <v>691</v>
      </c>
      <c r="G3" s="961" t="s">
        <v>692</v>
      </c>
      <c r="H3" s="962" t="s">
        <v>693</v>
      </c>
      <c r="I3" s="959" t="s">
        <v>694</v>
      </c>
      <c r="J3" s="959" t="s">
        <v>695</v>
      </c>
      <c r="K3" s="186"/>
      <c r="L3" s="963" t="s">
        <v>95</v>
      </c>
      <c r="M3" s="963" t="s">
        <v>447</v>
      </c>
      <c r="N3" s="186"/>
      <c r="O3" s="938"/>
      <c r="P3" s="964">
        <v>46054.0</v>
      </c>
      <c r="Q3" s="965" t="s">
        <v>79</v>
      </c>
      <c r="R3" s="966" t="s">
        <v>689</v>
      </c>
      <c r="S3" s="965" t="s">
        <v>478</v>
      </c>
      <c r="T3" s="965" t="s">
        <v>696</v>
      </c>
      <c r="U3" s="965" t="s">
        <v>697</v>
      </c>
      <c r="V3" s="965" t="s">
        <v>698</v>
      </c>
      <c r="W3" s="965" t="s">
        <v>699</v>
      </c>
      <c r="X3" s="965" t="s">
        <v>700</v>
      </c>
      <c r="Y3" s="967"/>
      <c r="Z3" s="964">
        <v>46082.0</v>
      </c>
      <c r="AA3" s="965" t="s">
        <v>79</v>
      </c>
      <c r="AB3" s="966" t="s">
        <v>689</v>
      </c>
      <c r="AC3" s="965" t="s">
        <v>478</v>
      </c>
      <c r="AD3" s="965" t="s">
        <v>696</v>
      </c>
      <c r="AE3" s="965" t="s">
        <v>697</v>
      </c>
      <c r="AF3" s="965" t="s">
        <v>698</v>
      </c>
      <c r="AG3" s="965" t="s">
        <v>699</v>
      </c>
      <c r="AH3" s="965" t="s">
        <v>700</v>
      </c>
      <c r="AI3" s="968"/>
      <c r="AJ3" s="969">
        <v>46113.0</v>
      </c>
      <c r="AK3" s="965" t="s">
        <v>79</v>
      </c>
      <c r="AL3" s="966" t="s">
        <v>689</v>
      </c>
      <c r="AM3" s="965" t="s">
        <v>478</v>
      </c>
      <c r="AN3" s="965" t="s">
        <v>696</v>
      </c>
      <c r="AO3" s="965" t="s">
        <v>697</v>
      </c>
      <c r="AP3" s="965" t="s">
        <v>698</v>
      </c>
      <c r="AQ3" s="965" t="s">
        <v>699</v>
      </c>
      <c r="AR3" s="965" t="s">
        <v>700</v>
      </c>
      <c r="AS3" s="967"/>
      <c r="AT3" s="969">
        <v>46143.0</v>
      </c>
      <c r="AU3" s="970" t="s">
        <v>79</v>
      </c>
      <c r="AV3" s="971" t="s">
        <v>689</v>
      </c>
      <c r="AW3" s="970" t="s">
        <v>478</v>
      </c>
      <c r="AX3" s="970" t="s">
        <v>696</v>
      </c>
      <c r="AY3" s="970" t="s">
        <v>697</v>
      </c>
      <c r="AZ3" s="970" t="s">
        <v>698</v>
      </c>
      <c r="BA3" s="970" t="s">
        <v>699</v>
      </c>
      <c r="BB3" s="970" t="s">
        <v>700</v>
      </c>
      <c r="BC3" s="967"/>
      <c r="BD3" s="969">
        <v>46174.0</v>
      </c>
      <c r="BE3" s="965" t="s">
        <v>79</v>
      </c>
      <c r="BF3" s="966" t="s">
        <v>689</v>
      </c>
      <c r="BG3" s="965" t="s">
        <v>478</v>
      </c>
      <c r="BH3" s="965" t="s">
        <v>696</v>
      </c>
      <c r="BI3" s="965" t="s">
        <v>697</v>
      </c>
      <c r="BJ3" s="965" t="s">
        <v>698</v>
      </c>
      <c r="BK3" s="965" t="s">
        <v>699</v>
      </c>
      <c r="BL3" s="965" t="s">
        <v>700</v>
      </c>
      <c r="BM3" s="968"/>
      <c r="BN3" s="969">
        <v>46205.0</v>
      </c>
      <c r="BO3" s="965" t="s">
        <v>79</v>
      </c>
      <c r="BP3" s="966" t="s">
        <v>689</v>
      </c>
      <c r="BQ3" s="965" t="s">
        <v>478</v>
      </c>
      <c r="BR3" s="965" t="s">
        <v>696</v>
      </c>
      <c r="BS3" s="965" t="s">
        <v>697</v>
      </c>
      <c r="BT3" s="965" t="s">
        <v>698</v>
      </c>
      <c r="BU3" s="965" t="s">
        <v>699</v>
      </c>
      <c r="BV3" s="965" t="s">
        <v>700</v>
      </c>
      <c r="BW3" s="967"/>
      <c r="BX3" s="969">
        <v>46235.0</v>
      </c>
      <c r="BY3" s="965" t="s">
        <v>79</v>
      </c>
      <c r="BZ3" s="966" t="s">
        <v>689</v>
      </c>
      <c r="CA3" s="965" t="s">
        <v>478</v>
      </c>
      <c r="CB3" s="965" t="s">
        <v>696</v>
      </c>
      <c r="CC3" s="965" t="s">
        <v>697</v>
      </c>
      <c r="CD3" s="965" t="s">
        <v>698</v>
      </c>
      <c r="CE3" s="965" t="s">
        <v>699</v>
      </c>
      <c r="CF3" s="965" t="s">
        <v>700</v>
      </c>
      <c r="CG3" s="967"/>
      <c r="CH3" s="969">
        <v>46266.0</v>
      </c>
      <c r="CI3" s="965" t="s">
        <v>79</v>
      </c>
      <c r="CJ3" s="966" t="s">
        <v>689</v>
      </c>
      <c r="CK3" s="965" t="s">
        <v>478</v>
      </c>
      <c r="CL3" s="965" t="s">
        <v>696</v>
      </c>
      <c r="CM3" s="965" t="s">
        <v>697</v>
      </c>
      <c r="CN3" s="965" t="s">
        <v>698</v>
      </c>
      <c r="CO3" s="965" t="s">
        <v>699</v>
      </c>
      <c r="CP3" s="965" t="s">
        <v>700</v>
      </c>
      <c r="CQ3" s="968"/>
      <c r="CR3" s="969">
        <v>46296.0</v>
      </c>
      <c r="CS3" s="965" t="s">
        <v>79</v>
      </c>
      <c r="CT3" s="966" t="s">
        <v>689</v>
      </c>
      <c r="CU3" s="965" t="s">
        <v>478</v>
      </c>
      <c r="CV3" s="965" t="s">
        <v>696</v>
      </c>
      <c r="CW3" s="965" t="s">
        <v>697</v>
      </c>
      <c r="CX3" s="965" t="s">
        <v>698</v>
      </c>
      <c r="CY3" s="965" t="s">
        <v>699</v>
      </c>
      <c r="CZ3" s="965" t="s">
        <v>700</v>
      </c>
      <c r="DA3" s="967"/>
      <c r="DB3" s="969">
        <v>46327.0</v>
      </c>
      <c r="DC3" s="965" t="s">
        <v>79</v>
      </c>
      <c r="DD3" s="966" t="s">
        <v>689</v>
      </c>
      <c r="DE3" s="965" t="s">
        <v>478</v>
      </c>
      <c r="DF3" s="965" t="s">
        <v>696</v>
      </c>
      <c r="DG3" s="965" t="s">
        <v>697</v>
      </c>
      <c r="DH3" s="965" t="s">
        <v>698</v>
      </c>
      <c r="DI3" s="965" t="s">
        <v>699</v>
      </c>
      <c r="DJ3" s="965" t="s">
        <v>700</v>
      </c>
      <c r="DK3" s="967"/>
      <c r="DL3" s="969">
        <v>46357.0</v>
      </c>
      <c r="DM3" s="965" t="s">
        <v>79</v>
      </c>
      <c r="DN3" s="966" t="s">
        <v>689</v>
      </c>
      <c r="DO3" s="965" t="s">
        <v>478</v>
      </c>
      <c r="DP3" s="965" t="s">
        <v>696</v>
      </c>
      <c r="DQ3" s="965" t="s">
        <v>697</v>
      </c>
      <c r="DR3" s="965" t="s">
        <v>698</v>
      </c>
      <c r="DS3" s="965" t="s">
        <v>699</v>
      </c>
      <c r="DT3" s="965" t="s">
        <v>700</v>
      </c>
      <c r="DU3" s="967"/>
      <c r="DV3" s="969">
        <v>46388.0</v>
      </c>
      <c r="DW3" s="965" t="s">
        <v>79</v>
      </c>
      <c r="DX3" s="966" t="s">
        <v>689</v>
      </c>
      <c r="DY3" s="965" t="s">
        <v>478</v>
      </c>
      <c r="DZ3" s="965" t="s">
        <v>696</v>
      </c>
      <c r="EA3" s="965" t="s">
        <v>697</v>
      </c>
      <c r="EB3" s="965" t="s">
        <v>698</v>
      </c>
      <c r="EC3" s="965" t="s">
        <v>699</v>
      </c>
      <c r="ED3" s="965" t="s">
        <v>700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31</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202.1</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IFERROR(__xludf.DUMMYFUNCTION("IMPORTRANGE($P$7,$P$4&amp;AO$2)"),9.0)</f>
        <v>9</v>
      </c>
      <c r="AP4" s="213">
        <f t="shared" ref="AP4:AP299" si="7">COUNTIF(INDIRECT(AP$2 &amp; "L9:L"), AL4)</f>
        <v>0</v>
      </c>
      <c r="AQ4" s="985">
        <f>IFERROR(__xludf.DUMMYFUNCTION("IMPORTRANGE($P$7,$P$4&amp;AQ$2)"),64.68333333333334)</f>
        <v>64.68333333</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643</v>
      </c>
      <c r="F5" s="976">
        <f t="shared" si="2"/>
        <v>33</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176.8833333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IFERROR(__xludf.DUMMYFUNCTION("""COMPUTED_VALUE"""),6.0)</f>
        <v>6</v>
      </c>
      <c r="AP5" s="213">
        <f t="shared" si="7"/>
        <v>0</v>
      </c>
      <c r="AQ5" s="985">
        <f>IFERROR(__xludf.DUMMYFUNCTION("""COMPUTED_VALUE"""),37.9)</f>
        <v>37.9</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643</v>
      </c>
      <c r="F6" s="976">
        <f t="shared" si="2"/>
        <v>28</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146.95</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IFERROR(__xludf.DUMMYFUNCTION("""COMPUTED_VALUE"""),6.0)</f>
        <v>6</v>
      </c>
      <c r="AP6" s="213">
        <f t="shared" si="7"/>
        <v>0</v>
      </c>
      <c r="AQ6" s="985">
        <f>IFERROR(__xludf.DUMMYFUNCTION("""COMPUTED_VALUE"""),35.166666666666664)</f>
        <v>35.16666667</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643</v>
      </c>
      <c r="F7" s="976">
        <f t="shared" si="2"/>
        <v>33</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170.9833333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IFERROR(__xludf.DUMMYFUNCTION("""COMPUTED_VALUE"""),5.0)</f>
        <v>5</v>
      </c>
      <c r="AP7" s="213">
        <f t="shared" si="7"/>
        <v>0</v>
      </c>
      <c r="AQ7" s="985">
        <f>IFERROR(__xludf.DUMMYFUNCTION("""COMPUTED_VALUE"""),28.416666666666668)</f>
        <v>28.41666667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643</v>
      </c>
      <c r="F8" s="976">
        <f t="shared" si="2"/>
        <v>38</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211.0166667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IFERROR(__xludf.DUMMYFUNCTION("""COMPUTED_VALUE"""),7.0)</f>
        <v>7</v>
      </c>
      <c r="AP8" s="213">
        <f t="shared" si="7"/>
        <v>0</v>
      </c>
      <c r="AQ8" s="985">
        <f>IFERROR(__xludf.DUMMYFUNCTION("""COMPUTED_VALUE"""),44.9)</f>
        <v>44.9</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706</v>
      </c>
      <c r="F10" s="976">
        <f t="shared" si="2"/>
        <v>50</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217.2</v>
      </c>
      <c r="J10" s="979">
        <f t="shared" si="21"/>
        <v>59</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IFERROR(__xludf.DUMMYFUNCTION("""COMPUTED_VALUE"""),11.0)</f>
        <v>11</v>
      </c>
      <c r="AP10" s="213">
        <f t="shared" si="7"/>
        <v>0</v>
      </c>
      <c r="AQ10" s="985">
        <f>IFERROR(__xludf.DUMMYFUNCTION("""COMPUTED_VALUE"""),49.25)</f>
        <v>49.25</v>
      </c>
      <c r="AR10" s="213">
        <f>IFERROR(__xludf.DUMMYFUNCTION("""COMPUTED_VALUE"""),18.0)</f>
        <v>18</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706</v>
      </c>
      <c r="F11" s="976">
        <f t="shared" si="2"/>
        <v>24</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104.2333333</v>
      </c>
      <c r="J11" s="979">
        <f t="shared" si="22"/>
        <v>218</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IFERROR(__xludf.DUMMYFUNCTION("""COMPUTED_VALUE"""),5.0)</f>
        <v>5</v>
      </c>
      <c r="AP11" s="213">
        <f t="shared" si="7"/>
        <v>0</v>
      </c>
      <c r="AQ11" s="985">
        <f>IFERROR(__xludf.DUMMYFUNCTION("""COMPUTED_VALUE"""),20.35)</f>
        <v>20.35</v>
      </c>
      <c r="AR11" s="213">
        <f>IFERROR(__xludf.DUMMYFUNCTION("""COMPUTED_VALUE"""),43.0)</f>
        <v>43</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706</v>
      </c>
      <c r="F13" s="976">
        <f t="shared" si="2"/>
        <v>27</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103.3333333</v>
      </c>
      <c r="J13" s="979">
        <f t="shared" si="24"/>
        <v>47</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IFERROR(__xludf.DUMMYFUNCTION("""COMPUTED_VALUE"""),6.0)</f>
        <v>6</v>
      </c>
      <c r="AP13" s="213">
        <f t="shared" si="7"/>
        <v>0</v>
      </c>
      <c r="AQ13" s="985">
        <f>IFERROR(__xludf.DUMMYFUNCTION("""COMPUTED_VALUE"""),26.65)</f>
        <v>26.65</v>
      </c>
      <c r="AR13" s="213">
        <f>IFERROR(__xludf.DUMMYFUNCTION("""COMPUTED_VALUE"""),31.0)</f>
        <v>31</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706</v>
      </c>
      <c r="F14" s="976">
        <f t="shared" si="2"/>
        <v>22</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78.21666667</v>
      </c>
      <c r="J14" s="979">
        <f t="shared" si="25"/>
        <v>16</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IFERROR(__xludf.DUMMYFUNCTION("""COMPUTED_VALUE"""),3.0)</f>
        <v>3</v>
      </c>
      <c r="AP14" s="213">
        <f t="shared" si="7"/>
        <v>0</v>
      </c>
      <c r="AQ14" s="985">
        <f>IFERROR(__xludf.DUMMYFUNCTION("""COMPUTED_VALUE"""),8.55)</f>
        <v>8.55</v>
      </c>
      <c r="AR14" s="213">
        <f>IFERROR(__xludf.DUMMYFUNCTION("""COMPUTED_VALUE"""),4.0)</f>
        <v>4</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706</v>
      </c>
      <c r="F15" s="976">
        <f t="shared" si="2"/>
        <v>55</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187.2833333</v>
      </c>
      <c r="J15" s="979">
        <f t="shared" si="26"/>
        <v>161</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IFERROR(__xludf.DUMMYFUNCTION("""COMPUTED_VALUE"""),10.0)</f>
        <v>10</v>
      </c>
      <c r="AP15" s="213">
        <f t="shared" si="7"/>
        <v>0</v>
      </c>
      <c r="AQ15" s="985">
        <f>IFERROR(__xludf.DUMMYFUNCTION("""COMPUTED_VALUE"""),35.5)</f>
        <v>35.5</v>
      </c>
      <c r="AR15" s="213">
        <f>IFERROR(__xludf.DUMMYFUNCTION("""COMPUTED_VALUE"""),30.0)</f>
        <v>30</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706</v>
      </c>
      <c r="F16" s="976">
        <f t="shared" si="2"/>
        <v>64</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283.7166667</v>
      </c>
      <c r="J16" s="979">
        <f t="shared" si="27"/>
        <v>348</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IFERROR(__xludf.DUMMYFUNCTION("""COMPUTED_VALUE"""),13.0)</f>
        <v>13</v>
      </c>
      <c r="AP16" s="213">
        <f t="shared" si="7"/>
        <v>0</v>
      </c>
      <c r="AQ16" s="985">
        <f>IFERROR(__xludf.DUMMYFUNCTION("""COMPUTED_VALUE"""),56.28333333333333)</f>
        <v>56.28333333</v>
      </c>
      <c r="AR16" s="213">
        <f>IFERROR(__xludf.DUMMYFUNCTION("""COMPUTED_VALUE"""),56.0)</f>
        <v>56</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706</v>
      </c>
      <c r="F17" s="976">
        <f t="shared" si="2"/>
        <v>28</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23.45</v>
      </c>
      <c r="J17" s="979">
        <f t="shared" si="28"/>
        <v>61</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IFERROR(__xludf.DUMMYFUNCTION("""COMPUTED_VALUE"""),7.0)</f>
        <v>7</v>
      </c>
      <c r="AP17" s="213">
        <f t="shared" si="7"/>
        <v>0</v>
      </c>
      <c r="AQ17" s="985">
        <f>IFERROR(__xludf.DUMMYFUNCTION("""COMPUTED_VALUE"""),23.45)</f>
        <v>23.45</v>
      </c>
      <c r="AR17" s="213">
        <f>IFERROR(__xludf.DUMMYFUNCTION("""COMPUTED_VALUE"""),15.0)</f>
        <v>15</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706</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72.85</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IFERROR(__xludf.DUMMYFUNCTION("""COMPUTED_VALUE"""),10.283333333333333)</f>
        <v>10.28333333</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706</v>
      </c>
      <c r="F19" s="976">
        <f t="shared" si="2"/>
        <v>32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99.05</v>
      </c>
      <c r="J19" s="979">
        <f t="shared" si="30"/>
        <v>51</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IFERROR(__xludf.DUMMYFUNCTION("""COMPUTED_VALUE"""),10.0)</f>
        <v>10</v>
      </c>
      <c r="AP19" s="213">
        <f t="shared" si="7"/>
        <v>0</v>
      </c>
      <c r="AQ19" s="985">
        <f>IFERROR(__xludf.DUMMYFUNCTION("""COMPUTED_VALUE"""),31.666666666666668)</f>
        <v>31.66666667</v>
      </c>
      <c r="AR19" s="213">
        <f>IFERROR(__xludf.DUMMYFUNCTION("""COMPUTED_VALUE"""),15.0)</f>
        <v>15</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706</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IFERROR(__xludf.DUMMYFUNCTION("""COMPUTED_VALUE"""),17.533333333333335)</f>
        <v>17.53333333</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643</v>
      </c>
      <c r="F21" s="976">
        <f t="shared" si="2"/>
        <v>1</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6.533333333</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IFERROR(__xludf.DUMMYFUNCTION("""COMPUTED_VALUE"""),1.0)</f>
        <v>1</v>
      </c>
      <c r="AP21" s="213">
        <f t="shared" si="7"/>
        <v>0</v>
      </c>
      <c r="AQ21" s="985">
        <f>IFERROR(__xludf.DUMMYFUNCTION("""COMPUTED_VALUE"""),6.533333333333333)</f>
        <v>6.533333333</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273</v>
      </c>
      <c r="D22" s="975" t="s">
        <v>89</v>
      </c>
      <c r="E22" s="975" t="s">
        <v>705</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IFERROR(__xludf.DUMMYFUNCTION("""COMPUTED_VALUE"""),233.0)</f>
        <v>233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707</v>
      </c>
      <c r="D2" s="5"/>
      <c r="I2" s="1010" t="s">
        <v>292</v>
      </c>
    </row>
    <row r="3" ht="8.25" customHeight="1">
      <c r="B3" s="1012"/>
      <c r="D3" s="5"/>
    </row>
    <row r="4">
      <c r="B4" s="1013" t="s">
        <v>708</v>
      </c>
      <c r="C4" s="1014" t="s">
        <v>709</v>
      </c>
      <c r="D4" s="217"/>
      <c r="E4" s="217"/>
      <c r="F4" s="217"/>
      <c r="G4" s="217"/>
      <c r="H4" s="2"/>
      <c r="I4" s="1015" t="s">
        <v>710</v>
      </c>
      <c r="J4" s="217"/>
      <c r="K4" s="217"/>
      <c r="L4" s="217"/>
      <c r="M4" s="2"/>
      <c r="N4" s="1016" t="s">
        <v>224</v>
      </c>
      <c r="O4" s="230"/>
      <c r="P4" s="232"/>
      <c r="R4" s="201" t="s">
        <v>95</v>
      </c>
      <c r="S4" s="201" t="s">
        <v>96</v>
      </c>
    </row>
    <row r="5">
      <c r="B5" s="344"/>
      <c r="C5" s="1017" t="s">
        <v>465</v>
      </c>
      <c r="D5" s="1018" t="s">
        <v>711</v>
      </c>
      <c r="E5" s="1019" t="s">
        <v>712</v>
      </c>
      <c r="F5" s="1019" t="s">
        <v>713</v>
      </c>
      <c r="G5" s="1019" t="s">
        <v>392</v>
      </c>
      <c r="H5" s="1020" t="s">
        <v>714</v>
      </c>
      <c r="I5" s="1021" t="s">
        <v>465</v>
      </c>
      <c r="J5" s="1022" t="s">
        <v>715</v>
      </c>
      <c r="K5" s="1023"/>
      <c r="L5" s="1022" t="s">
        <v>716</v>
      </c>
      <c r="M5" s="204"/>
      <c r="N5" s="221"/>
      <c r="O5" s="221"/>
      <c r="P5" s="107"/>
      <c r="R5" s="207"/>
      <c r="S5" s="207"/>
    </row>
    <row r="6">
      <c r="B6" s="1024"/>
      <c r="C6" s="1025" t="s">
        <v>717</v>
      </c>
      <c r="D6" s="1026" t="s">
        <v>718</v>
      </c>
      <c r="E6" s="1027" t="s">
        <v>719</v>
      </c>
      <c r="F6" s="1027" t="s">
        <v>720</v>
      </c>
      <c r="G6" s="1027" t="s">
        <v>721</v>
      </c>
      <c r="H6" s="1028" t="s">
        <v>722</v>
      </c>
      <c r="I6" s="1029" t="s">
        <v>723</v>
      </c>
      <c r="J6" s="1030" t="s">
        <v>724</v>
      </c>
      <c r="K6" s="1031"/>
      <c r="L6" s="1030" t="s">
        <v>725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726</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""日別集計!D5:AH5""),""ファイルなし"")"),48142.0)</f>
        <v>48142</v>
      </c>
      <c r="C5" s="20">
        <f>IFERROR(__xludf.DUMMYFUNCTION("""COMPUTED_VALUE"""),43931.0)</f>
        <v>43931</v>
      </c>
      <c r="D5" s="20">
        <f>IFERROR(__xludf.DUMMYFUNCTION("""COMPUTED_VALUE"""),49470.0)</f>
        <v>49470</v>
      </c>
      <c r="E5" s="20">
        <f>IFERROR(__xludf.DUMMYFUNCTION("""COMPUTED_VALUE"""),53166.0)</f>
        <v>53166</v>
      </c>
      <c r="F5" s="20">
        <f>IFERROR(__xludf.DUMMYFUNCTION("""COMPUTED_VALUE"""),54730.0)</f>
        <v>54730</v>
      </c>
      <c r="G5" s="20">
        <f>IFERROR(__xludf.DUMMYFUNCTION("""COMPUTED_VALUE"""),44990.0)</f>
        <v>44990</v>
      </c>
      <c r="H5" s="20">
        <f>IFERROR(__xludf.DUMMYFUNCTION("""COMPUTED_VALUE"""),39627.0)</f>
        <v>39627</v>
      </c>
      <c r="I5" s="20">
        <f>IFERROR(__xludf.DUMMYFUNCTION("""COMPUTED_VALUE"""),53125.0)</f>
        <v>53125</v>
      </c>
      <c r="J5" s="20">
        <f>IFERROR(__xludf.DUMMYFUNCTION("""COMPUTED_VALUE"""),46522.0)</f>
        <v>46522</v>
      </c>
      <c r="K5" s="20">
        <f>IFERROR(__xludf.DUMMYFUNCTION("""COMPUTED_VALUE"""),54859.0)</f>
        <v>54859</v>
      </c>
      <c r="L5" s="20">
        <f>IFERROR(__xludf.DUMMYFUNCTION("""COMPUTED_VALUE"""),60697.0)</f>
        <v>60697</v>
      </c>
      <c r="M5" s="20">
        <f>IFERROR(__xludf.DUMMYFUNCTION("""COMPUTED_VALUE"""),58130.0)</f>
        <v>58130</v>
      </c>
      <c r="N5" s="20">
        <f>IFERROR(__xludf.DUMMYFUNCTION("""COMPUTED_VALUE"""),45026.0)</f>
        <v>45026</v>
      </c>
      <c r="O5" s="20">
        <f>IFERROR(__xludf.DUMMYFUNCTION("""COMPUTED_VALUE"""),0.0)</f>
        <v>0</v>
      </c>
      <c r="P5" s="20">
        <f>IFERROR(__xludf.DUMMYFUNCTION("""COMPUTED_VALUE"""),0.0)</f>
        <v>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727</v>
      </c>
      <c r="C30" s="230"/>
      <c r="D30" s="230"/>
      <c r="E30" s="230"/>
      <c r="F30" s="232"/>
      <c r="I30" s="295"/>
    </row>
    <row r="31">
      <c r="B31" s="1072" t="s">
        <v>728</v>
      </c>
      <c r="C31" s="1073" t="s">
        <v>302</v>
      </c>
      <c r="D31" s="1074" t="s">
        <v>303</v>
      </c>
      <c r="E31" s="1074" t="s">
        <v>644</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729</v>
      </c>
      <c r="E44" s="1010" t="s">
        <v>729</v>
      </c>
      <c r="F44" s="1010" t="s">
        <v>729</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730</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731</v>
      </c>
      <c r="O2" s="279"/>
      <c r="P2" s="280"/>
      <c r="Q2" s="281"/>
      <c r="R2" s="281"/>
      <c r="S2" s="282"/>
      <c r="T2" s="281"/>
      <c r="U2" s="281"/>
      <c r="V2" s="281"/>
      <c r="W2" s="281"/>
      <c r="X2" s="281"/>
      <c r="Y2" s="283"/>
      <c r="Z2" s="262"/>
      <c r="AA2" s="262"/>
      <c r="AB2" s="262"/>
      <c r="AC2" s="262"/>
      <c r="AD2" s="262"/>
      <c r="AE2" s="262"/>
      <c r="AF2" s="284"/>
      <c r="AG2" s="285"/>
      <c r="AH2" s="286"/>
      <c r="AI2" s="287" t="s">
        <v>732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46126</v>
      </c>
      <c r="C7" s="358"/>
      <c r="D7" s="274"/>
      <c r="E7" s="359">
        <f>today()+1</f>
        <v>46127</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火</v>
      </c>
      <c r="D8" s="113"/>
      <c r="E8" s="1084" t="s">
        <v>225</v>
      </c>
      <c r="F8" s="1085" t="str">
        <f>TEXT(E7,"ddd")</f>
        <v>水</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
      </c>
      <c r="C11" s="381" t="str">
        <f t="shared" si="5"/>
        <v/>
      </c>
      <c r="D11" s="186"/>
      <c r="E11" s="372" t="str">
        <f t="shared" si="6"/>
        <v/>
      </c>
      <c r="F11" s="381" t="str">
        <f t="shared" si="7"/>
        <v/>
      </c>
      <c r="G11" s="186"/>
      <c r="H11" s="186"/>
      <c r="I11" s="168" t="b">
        <v>0</v>
      </c>
      <c r="J11" s="362"/>
      <c r="K11" s="382"/>
      <c r="L11" s="383"/>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527</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530</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492</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491</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532</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533</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495</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439</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440</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441</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442</v>
      </c>
      <c r="C4" s="767"/>
      <c r="D4" s="768" t="s">
        <v>443</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444</v>
      </c>
      <c r="G5" s="773"/>
      <c r="H5" s="774" t="b">
        <v>0</v>
      </c>
      <c r="J5" s="775"/>
      <c r="K5" s="759"/>
      <c r="L5" s="776" t="s">
        <v>445</v>
      </c>
      <c r="T5" s="775"/>
      <c r="U5" s="777" t="s">
        <v>446</v>
      </c>
      <c r="AC5" s="760"/>
      <c r="AD5" s="778" t="s">
        <v>95</v>
      </c>
      <c r="AE5" s="778" t="s">
        <v>447</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448</v>
      </c>
      <c r="M7" s="221"/>
      <c r="N7" s="221"/>
      <c r="O7" s="221"/>
      <c r="P7" s="221"/>
      <c r="Q7" s="221"/>
      <c r="R7" s="221"/>
      <c r="S7" s="107"/>
      <c r="T7" s="782" t="s">
        <v>449</v>
      </c>
      <c r="U7" s="783" t="s">
        <v>450</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451</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452</v>
      </c>
      <c r="C13" s="805"/>
      <c r="D13" s="806" t="s">
        <v>50</v>
      </c>
      <c r="E13" s="807" t="s">
        <v>453</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454</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455</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456</v>
      </c>
      <c r="C20" s="791" t="s">
        <v>457</v>
      </c>
      <c r="D20" s="791" t="s">
        <v>88</v>
      </c>
      <c r="E20" s="791" t="s">
        <v>89</v>
      </c>
      <c r="F20" s="791" t="s">
        <v>458</v>
      </c>
      <c r="G20" s="791" t="s">
        <v>230</v>
      </c>
      <c r="H20" s="791" t="s">
        <v>230</v>
      </c>
      <c r="I20" s="791" t="s">
        <v>459</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460</v>
      </c>
      <c r="M21" s="217"/>
      <c r="N21" s="217"/>
      <c r="O21" s="217"/>
      <c r="P21" s="217"/>
      <c r="Q21" s="217"/>
      <c r="R21" s="217"/>
      <c r="S21" s="2"/>
      <c r="T21" s="782" t="s">
        <v>449</v>
      </c>
      <c r="U21" s="783" t="s">
        <v>461</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462</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463</v>
      </c>
      <c r="C25" s="831" t="s">
        <v>464</v>
      </c>
      <c r="D25" s="2"/>
      <c r="E25" s="831" t="s">
        <v>465</v>
      </c>
      <c r="F25" s="217"/>
      <c r="G25" s="217"/>
      <c r="H25" s="831" t="s">
        <v>466</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467</v>
      </c>
      <c r="M35" s="217"/>
      <c r="N35" s="217"/>
      <c r="O35" s="217"/>
      <c r="P35" s="217"/>
      <c r="Q35" s="217"/>
      <c r="R35" s="217"/>
      <c r="S35" s="2"/>
      <c r="T35" s="782" t="s">
        <v>449</v>
      </c>
      <c r="U35" s="783" t="s">
        <v>467</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468</v>
      </c>
      <c r="C37" s="838"/>
      <c r="D37" s="839">
        <f>counta(C39:D48)</f>
        <v>0</v>
      </c>
      <c r="E37" s="840" t="s">
        <v>469</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465</v>
      </c>
      <c r="F38" s="844"/>
      <c r="G38" s="843" t="s">
        <v>470</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471</v>
      </c>
      <c r="M49" s="217"/>
      <c r="N49" s="217"/>
      <c r="O49" s="217"/>
      <c r="P49" s="217"/>
      <c r="Q49" s="217"/>
      <c r="R49" s="217"/>
      <c r="S49" s="2"/>
      <c r="T49" s="782" t="s">
        <v>449</v>
      </c>
      <c r="U49" s="783" t="s">
        <v>472</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473</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474</v>
      </c>
      <c r="C51" s="843" t="s">
        <v>227</v>
      </c>
      <c r="D51" s="844"/>
      <c r="E51" s="842" t="s">
        <v>475</v>
      </c>
      <c r="F51" s="842" t="s">
        <v>476</v>
      </c>
      <c r="G51" s="842" t="s">
        <v>477</v>
      </c>
      <c r="H51" s="843" t="s">
        <v>478</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479</v>
      </c>
      <c r="M63" s="217"/>
      <c r="N63" s="217"/>
      <c r="O63" s="217"/>
      <c r="P63" s="217"/>
      <c r="Q63" s="217"/>
      <c r="R63" s="217"/>
      <c r="S63" s="2"/>
      <c r="T63" s="782" t="s">
        <v>449</v>
      </c>
      <c r="U63" s="783" t="s">
        <v>480</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481</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474</v>
      </c>
      <c r="C65" s="843" t="s">
        <v>227</v>
      </c>
      <c r="D65" s="844"/>
      <c r="E65" s="842" t="s">
        <v>482</v>
      </c>
      <c r="F65" s="843" t="s">
        <v>483</v>
      </c>
      <c r="G65" s="844"/>
      <c r="H65" s="843" t="s">
        <v>478</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484</v>
      </c>
      <c r="M77" s="217"/>
      <c r="N77" s="217"/>
      <c r="O77" s="217"/>
      <c r="P77" s="217"/>
      <c r="Q77" s="217"/>
      <c r="R77" s="217"/>
      <c r="S77" s="2"/>
      <c r="T77" s="775"/>
      <c r="U77" s="867" t="s">
        <v>485</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486</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0.7713976165</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0.6985174072</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1446820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7056960</v>
      </c>
      <c r="P7" s="1091"/>
      <c r="Q7" s="1090"/>
      <c r="R7" s="1090"/>
      <c r="S7" s="1090"/>
      <c r="T7" s="1090"/>
      <c r="U7" s="1090"/>
      <c r="V7" s="1099">
        <v>4.0</v>
      </c>
      <c r="W7" s="1092"/>
    </row>
    <row r="8">
      <c r="A8" s="1100"/>
      <c r="B8" s="1106" t="s">
        <v>735</v>
      </c>
      <c r="C8" s="1109">
        <f t="shared" ref="C8:N8" si="3">iferror(indirect(C3&amp;"!AZ20"),"")</f>
        <v>435560</v>
      </c>
      <c r="D8" s="1109">
        <f t="shared" si="3"/>
        <v>462514.5455</v>
      </c>
      <c r="E8" s="1109">
        <f t="shared" si="3"/>
        <v>208104.7879</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1106179.333</v>
      </c>
      <c r="P8" s="1091"/>
      <c r="Q8" s="1090"/>
      <c r="R8" s="1090"/>
      <c r="S8" s="1090"/>
      <c r="T8" s="1090"/>
      <c r="U8" s="1090"/>
      <c r="V8" s="1099">
        <v>5.0</v>
      </c>
      <c r="W8" s="1092"/>
    </row>
    <row r="9">
      <c r="A9" s="1100"/>
      <c r="B9" s="1106" t="s">
        <v>639</v>
      </c>
      <c r="C9" s="1109">
        <f t="shared" ref="C9:N9" si="5">iferror(indirect(C3&amp;"!BG23")-indirect(C3&amp;"!BE24"),"")</f>
        <v>1444829</v>
      </c>
      <c r="D9" s="1109">
        <f t="shared" si="5"/>
        <v>1625675</v>
      </c>
      <c r="E9" s="1109">
        <f t="shared" si="5"/>
        <v>712389</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3782893</v>
      </c>
      <c r="P9" s="1090"/>
      <c r="Q9" s="1091"/>
      <c r="R9" s="1090"/>
      <c r="S9" s="1090"/>
      <c r="T9" s="1090"/>
      <c r="U9" s="1090"/>
      <c r="V9" s="1099">
        <v>6.0</v>
      </c>
      <c r="W9" s="1092"/>
    </row>
    <row r="10">
      <c r="A10" s="1100"/>
      <c r="B10" s="1106" t="s">
        <v>710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31419.81818</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166558.125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494906.3939</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2001329.542</v>
      </c>
      <c r="P13" s="1090"/>
      <c r="Q13" s="1090"/>
      <c r="R13" s="1090"/>
      <c r="S13" s="1090"/>
      <c r="T13" s="1090"/>
      <c r="U13" s="1090"/>
      <c r="V13" s="1099">
        <v>10.0</v>
      </c>
      <c r="W13" s="1092"/>
    </row>
    <row r="14">
      <c r="A14" s="1100"/>
      <c r="B14" s="1106" t="s">
        <v>628</v>
      </c>
      <c r="C14" s="1107">
        <f t="shared" ref="C14:N14" si="10">iferror(indirect(C3&amp;"!E8"),"")</f>
        <v>0.5440359822</v>
      </c>
      <c r="D14" s="1107">
        <f t="shared" si="10"/>
        <v>0.5502592761</v>
      </c>
      <c r="E14" s="1107">
        <f t="shared" si="10"/>
        <v>0.4923826046</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0.5360513592</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0.3420649382</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0.2835965546</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639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739</v>
      </c>
      <c r="C3" s="1124"/>
      <c r="D3" s="1124"/>
      <c r="E3" s="1124"/>
      <c r="F3" s="1124"/>
      <c r="G3" s="360"/>
      <c r="H3" s="1125" t="s">
        <v>740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452</v>
      </c>
      <c r="E4" s="1129" t="s">
        <v>34</v>
      </c>
      <c r="F4" s="1128" t="s">
        <v>741</v>
      </c>
      <c r="G4" s="1128" t="s">
        <v>742</v>
      </c>
      <c r="H4" s="1130"/>
      <c r="I4" s="1131" t="s">
        <v>226</v>
      </c>
      <c r="J4" s="1131" t="s">
        <v>452</v>
      </c>
      <c r="K4" s="1132" t="s">
        <v>34</v>
      </c>
      <c r="L4" s="1131" t="s">
        <v>741</v>
      </c>
      <c r="M4" s="1133" t="s">
        <v>742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1764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743</v>
      </c>
      <c r="C17" s="1158">
        <f t="shared" ref="C17:D17" si="3">SUM(C4:C16)</f>
        <v>42456</v>
      </c>
      <c r="D17" s="1158">
        <f t="shared" si="3"/>
        <v>3</v>
      </c>
      <c r="E17" s="1159">
        <f>D17/C17</f>
        <v>0.00007066139062</v>
      </c>
      <c r="F17" s="1158">
        <f>SUM(F5:F16)</f>
        <v>0.018</v>
      </c>
      <c r="G17" s="1160">
        <f>F17/C17</f>
        <v>0.0000004239683437</v>
      </c>
      <c r="H17" s="1161" t="s">
        <v>743</v>
      </c>
      <c r="I17" s="1162">
        <f t="shared" ref="I17:J17" si="4">SUM(I5:I16)</f>
        <v>8633</v>
      </c>
      <c r="J17" s="1162">
        <f t="shared" si="4"/>
        <v>0</v>
      </c>
      <c r="K17" s="1163">
        <f>J17/I17</f>
        <v>0</v>
      </c>
      <c r="L17" s="1162">
        <f>SUM(L5:L16)</f>
        <v>5</v>
      </c>
      <c r="M17" s="1164">
        <f>L17/I17</f>
        <v>0.000579172941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705</v>
      </c>
      <c r="K33" s="17"/>
      <c r="L33" s="17"/>
    </row>
    <row r="34">
      <c r="B34" s="1184" t="s">
        <v>744</v>
      </c>
      <c r="C34" s="1118"/>
      <c r="D34" s="1118"/>
      <c r="E34" s="1118"/>
      <c r="F34" s="1118"/>
      <c r="G34" s="1118"/>
      <c r="H34" s="1118"/>
      <c r="I34" s="1118"/>
      <c r="J34" s="1118"/>
      <c r="K34" s="1118"/>
      <c r="L34" s="1118"/>
      <c r="M34" s="1119"/>
      <c r="O34" s="1010"/>
      <c r="P34" s="1010"/>
      <c r="Q34" s="1010"/>
      <c r="S34" s="1010"/>
      <c r="T34" s="1010"/>
      <c r="U34" s="1010"/>
    </row>
    <row r="35">
      <c r="B35" s="1185" t="s">
        <v>745</v>
      </c>
      <c r="D35" s="1186"/>
      <c r="M35" s="1187"/>
      <c r="O35" s="1010"/>
      <c r="P35" s="1010"/>
      <c r="Q35" s="1010"/>
      <c r="S35" s="1010"/>
      <c r="T35" s="1010"/>
      <c r="U35" s="1010"/>
    </row>
    <row r="36">
      <c r="B36" s="1188" t="s">
        <v>746</v>
      </c>
      <c r="C36" s="1119"/>
      <c r="D36" s="1188" t="s">
        <v>747</v>
      </c>
      <c r="E36" s="1119"/>
      <c r="F36" s="1188" t="s">
        <v>748</v>
      </c>
      <c r="G36" s="1118"/>
      <c r="H36" s="1188" t="s">
        <v>749</v>
      </c>
      <c r="I36" s="1118"/>
      <c r="J36" s="1119"/>
      <c r="K36" s="1188" t="s">
        <v>750</v>
      </c>
      <c r="L36" s="1118"/>
      <c r="M36" s="1119"/>
      <c r="O36" s="1010" t="s">
        <v>80</v>
      </c>
      <c r="P36" s="1010" t="s">
        <v>81</v>
      </c>
      <c r="Q36" s="1010" t="s">
        <v>751</v>
      </c>
      <c r="S36" s="1010" t="s">
        <v>88</v>
      </c>
      <c r="T36" s="1010" t="s">
        <v>89</v>
      </c>
      <c r="U36" s="1010" t="s">
        <v>91</v>
      </c>
      <c r="W36" s="1010" t="s">
        <v>80</v>
      </c>
      <c r="X36" s="1010" t="s">
        <v>81</v>
      </c>
      <c r="Y36" s="1010" t="s">
        <v>751</v>
      </c>
      <c r="AA36" s="1010" t="s">
        <v>88</v>
      </c>
      <c r="AB36" s="1010" t="s">
        <v>89</v>
      </c>
      <c r="AC36" s="1010" t="s">
        <v>91</v>
      </c>
    </row>
    <row r="37">
      <c r="B37" s="1189"/>
      <c r="C37" s="1190"/>
      <c r="D37" s="1189"/>
      <c r="E37" s="1190"/>
      <c r="F37" s="1189"/>
      <c r="G37" s="1191"/>
      <c r="H37" s="1189"/>
      <c r="I37" s="1191"/>
      <c r="J37" s="1190"/>
      <c r="K37" s="1189"/>
      <c r="L37" s="1191"/>
      <c r="M37" s="1190"/>
      <c r="N37" s="1010" t="s">
        <v>752</v>
      </c>
      <c r="O37" s="1192" t="s">
        <v>52</v>
      </c>
      <c r="P37" s="1192" t="s">
        <v>753</v>
      </c>
      <c r="Q37" s="1192" t="s">
        <v>38</v>
      </c>
      <c r="R37" s="1193"/>
      <c r="S37" s="1192" t="s">
        <v>754</v>
      </c>
      <c r="T37" s="1192" t="s">
        <v>755</v>
      </c>
      <c r="U37" s="1194" t="s">
        <v>756</v>
      </c>
      <c r="V37" s="1010" t="s">
        <v>745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757</v>
      </c>
      <c r="D38" s="1197" t="s">
        <v>88</v>
      </c>
      <c r="E38" s="1197" t="s">
        <v>757</v>
      </c>
      <c r="F38" s="1198" t="s">
        <v>751</v>
      </c>
      <c r="G38" s="1198" t="s">
        <v>757</v>
      </c>
      <c r="H38" s="1197" t="s">
        <v>751</v>
      </c>
      <c r="I38" s="1199" t="s">
        <v>757</v>
      </c>
      <c r="J38" s="1200" t="s">
        <v>758</v>
      </c>
      <c r="K38" s="1201"/>
      <c r="L38" s="1202" t="s">
        <v>757</v>
      </c>
      <c r="M38" s="1203" t="s">
        <v>758</v>
      </c>
      <c r="O38" s="1192" t="s">
        <v>54</v>
      </c>
      <c r="P38" s="1192" t="s">
        <v>759</v>
      </c>
      <c r="Q38" s="1192" t="s">
        <v>39</v>
      </c>
      <c r="R38" s="1193"/>
      <c r="S38" s="1192" t="s">
        <v>760</v>
      </c>
      <c r="T38" s="1192" t="s">
        <v>760</v>
      </c>
      <c r="U38" s="1194" t="s">
        <v>761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762</v>
      </c>
      <c r="Q39" s="1192" t="s">
        <v>30</v>
      </c>
      <c r="R39" s="1193"/>
      <c r="S39" s="1192" t="s">
        <v>754</v>
      </c>
      <c r="T39" s="1192" t="s">
        <v>268</v>
      </c>
      <c r="U39" s="1194" t="s">
        <v>763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705</v>
      </c>
      <c r="K40" s="1213" t="s">
        <v>38</v>
      </c>
      <c r="L40" s="1214">
        <f t="shared" si="5"/>
        <v>0</v>
      </c>
      <c r="M40" s="1215">
        <f t="shared" si="6"/>
        <v>0</v>
      </c>
      <c r="O40" s="1192" t="s">
        <v>62</v>
      </c>
      <c r="P40" s="1192" t="s">
        <v>97</v>
      </c>
      <c r="Q40" s="1192" t="s">
        <v>28</v>
      </c>
      <c r="R40" s="1193"/>
      <c r="S40" s="1192" t="s">
        <v>311</v>
      </c>
      <c r="T40" s="1192" t="s">
        <v>311</v>
      </c>
      <c r="U40" s="1194" t="s">
        <v>764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705</v>
      </c>
      <c r="K41" s="1213" t="s">
        <v>37</v>
      </c>
      <c r="L41" s="1214">
        <f t="shared" si="5"/>
        <v>1</v>
      </c>
      <c r="M41" s="1215">
        <f t="shared" si="6"/>
        <v>0.2</v>
      </c>
      <c r="O41" s="1192" t="s">
        <v>62</v>
      </c>
      <c r="P41" s="1192" t="s">
        <v>762</v>
      </c>
      <c r="Q41" s="1192" t="s">
        <v>28</v>
      </c>
      <c r="R41" s="1193"/>
      <c r="S41" s="1192" t="s">
        <v>311</v>
      </c>
      <c r="T41" s="1192" t="s">
        <v>311</v>
      </c>
      <c r="U41" s="1194" t="s">
        <v>765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705</v>
      </c>
      <c r="K42" s="1213" t="s">
        <v>40</v>
      </c>
      <c r="L42" s="1214">
        <f t="shared" si="5"/>
        <v>1</v>
      </c>
      <c r="M42" s="1215">
        <f t="shared" si="6"/>
        <v>0.2</v>
      </c>
      <c r="O42" s="1192" t="s">
        <v>66</v>
      </c>
      <c r="P42" s="1192" t="s">
        <v>766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705</v>
      </c>
      <c r="K43" s="1213" t="s">
        <v>42</v>
      </c>
      <c r="L43" s="1214">
        <f t="shared" si="5"/>
        <v>0</v>
      </c>
      <c r="M43" s="1215">
        <f t="shared" si="6"/>
        <v>0</v>
      </c>
      <c r="O43" s="1192" t="s">
        <v>68</v>
      </c>
      <c r="P43" s="1192" t="s">
        <v>767</v>
      </c>
      <c r="Q43" s="1192" t="s">
        <v>28</v>
      </c>
      <c r="R43" s="1193"/>
      <c r="S43" s="1192"/>
      <c r="T43" s="1192"/>
      <c r="U43" s="1194" t="s">
        <v>768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705</v>
      </c>
      <c r="K45" s="1213" t="s">
        <v>769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705</v>
      </c>
      <c r="K46" s="1213" t="s">
        <v>770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705</v>
      </c>
      <c r="K47" s="1213" t="s">
        <v>771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705</v>
      </c>
      <c r="K48" s="1213" t="s">
        <v>772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774</v>
      </c>
      <c r="C93" s="232"/>
      <c r="D93" s="1239" t="s">
        <v>745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705</v>
      </c>
      <c r="K417" s="17"/>
      <c r="L417" s="17"/>
      <c r="AC417" s="1257"/>
    </row>
    <row r="418">
      <c r="B418" s="17"/>
      <c r="C418" s="17"/>
      <c r="D418" s="17"/>
      <c r="E418" s="444"/>
      <c r="F418" s="17"/>
      <c r="G418" s="17"/>
      <c r="H418" s="17"/>
      <c r="I418" s="17"/>
      <c r="J418" s="17" t="s">
        <v>705</v>
      </c>
      <c r="K418" s="17"/>
      <c r="L418" s="17"/>
      <c r="AC418" s="1257"/>
    </row>
    <row r="419">
      <c r="B419" s="17"/>
      <c r="C419" s="17"/>
      <c r="D419" s="17"/>
      <c r="E419" s="444"/>
      <c r="F419" s="17"/>
      <c r="G419" s="17"/>
      <c r="H419" s="17"/>
      <c r="I419" s="17"/>
      <c r="J419" s="17" t="s">
        <v>705</v>
      </c>
      <c r="K419" s="17"/>
      <c r="L419" s="17"/>
      <c r="AC419" s="1257"/>
    </row>
    <row r="420">
      <c r="B420" s="17"/>
      <c r="C420" s="17"/>
      <c r="D420" s="17"/>
      <c r="E420" s="444"/>
      <c r="F420" s="17"/>
      <c r="G420" s="17"/>
      <c r="H420" s="17"/>
      <c r="I420" s="17"/>
      <c r="J420" s="17" t="s">
        <v>705</v>
      </c>
      <c r="K420" s="17"/>
      <c r="L420" s="17"/>
      <c r="AC420" s="1257"/>
    </row>
    <row r="421">
      <c r="B421" s="17"/>
      <c r="C421" s="17"/>
      <c r="D421" s="17"/>
      <c r="E421" s="444"/>
      <c r="F421" s="17"/>
      <c r="G421" s="17"/>
      <c r="H421" s="17"/>
      <c r="I421" s="17"/>
      <c r="J421" s="17" t="s">
        <v>705</v>
      </c>
      <c r="K421" s="17"/>
      <c r="L421" s="17"/>
      <c r="AC421" s="1257"/>
    </row>
    <row r="422">
      <c r="B422" s="17"/>
      <c r="C422" s="17"/>
      <c r="D422" s="17"/>
      <c r="E422" s="444"/>
      <c r="F422" s="17"/>
      <c r="G422" s="17"/>
      <c r="H422" s="17"/>
      <c r="I422" s="17"/>
      <c r="J422" s="17" t="s">
        <v>705</v>
      </c>
      <c r="K422" s="17"/>
      <c r="L422" s="17"/>
      <c r="AC422" s="1257"/>
    </row>
    <row r="423">
      <c r="B423" s="17"/>
      <c r="C423" s="17"/>
      <c r="D423" s="17"/>
      <c r="E423" s="444"/>
      <c r="F423" s="17"/>
      <c r="G423" s="17"/>
      <c r="H423" s="17"/>
      <c r="I423" s="17"/>
      <c r="J423" s="17" t="s">
        <v>705</v>
      </c>
      <c r="K423" s="17"/>
      <c r="L423" s="17"/>
      <c r="AC423" s="1257"/>
    </row>
    <row r="424">
      <c r="B424" s="17"/>
      <c r="C424" s="17"/>
      <c r="D424" s="17"/>
      <c r="E424" s="444"/>
      <c r="F424" s="17"/>
      <c r="G424" s="17"/>
      <c r="H424" s="17"/>
      <c r="I424" s="17"/>
      <c r="J424" s="17" t="s">
        <v>705</v>
      </c>
      <c r="K424" s="17"/>
      <c r="L424" s="17"/>
      <c r="AC424" s="1257"/>
    </row>
    <row r="425">
      <c r="B425" s="17"/>
      <c r="C425" s="17"/>
      <c r="D425" s="17"/>
      <c r="E425" s="444"/>
      <c r="F425" s="17"/>
      <c r="G425" s="17"/>
      <c r="H425" s="17"/>
      <c r="I425" s="17"/>
      <c r="J425" s="17" t="s">
        <v>705</v>
      </c>
      <c r="K425" s="17"/>
      <c r="L425" s="17"/>
      <c r="AC425" s="1257"/>
    </row>
    <row r="426">
      <c r="B426" s="17"/>
      <c r="C426" s="17"/>
      <c r="D426" s="17"/>
      <c r="E426" s="444"/>
      <c r="F426" s="17"/>
      <c r="G426" s="17"/>
      <c r="H426" s="17"/>
      <c r="I426" s="17"/>
      <c r="J426" s="17" t="s">
        <v>705</v>
      </c>
      <c r="K426" s="17"/>
      <c r="L426" s="17"/>
      <c r="AC426" s="1257"/>
    </row>
    <row r="427">
      <c r="B427" s="17"/>
      <c r="C427" s="17"/>
      <c r="D427" s="17"/>
      <c r="E427" s="444"/>
      <c r="F427" s="17"/>
      <c r="G427" s="17"/>
      <c r="H427" s="17"/>
      <c r="I427" s="17"/>
      <c r="J427" s="17" t="s">
        <v>705</v>
      </c>
      <c r="K427" s="17"/>
      <c r="L427" s="17"/>
      <c r="AC427" s="1257"/>
    </row>
    <row r="428">
      <c r="B428" s="17"/>
      <c r="C428" s="17"/>
      <c r="D428" s="17"/>
      <c r="E428" s="444"/>
      <c r="F428" s="17"/>
      <c r="G428" s="17"/>
      <c r="H428" s="17"/>
      <c r="I428" s="17"/>
      <c r="J428" s="17" t="s">
        <v>705</v>
      </c>
      <c r="K428" s="17"/>
      <c r="L428" s="17"/>
      <c r="AC428" s="1257"/>
    </row>
    <row r="429">
      <c r="B429" s="17"/>
      <c r="C429" s="17"/>
      <c r="D429" s="17"/>
      <c r="E429" s="444"/>
      <c r="F429" s="17"/>
      <c r="G429" s="17"/>
      <c r="H429" s="17"/>
      <c r="I429" s="17"/>
      <c r="J429" s="17" t="s">
        <v>705</v>
      </c>
      <c r="K429" s="17"/>
      <c r="L429" s="17"/>
      <c r="AC429" s="1257"/>
    </row>
    <row r="430">
      <c r="B430" s="17"/>
      <c r="C430" s="17"/>
      <c r="D430" s="17"/>
      <c r="E430" s="444"/>
      <c r="F430" s="17"/>
      <c r="G430" s="17"/>
      <c r="H430" s="17"/>
      <c r="I430" s="17"/>
      <c r="J430" s="17" t="s">
        <v>705</v>
      </c>
      <c r="K430" s="17"/>
      <c r="L430" s="17"/>
      <c r="AC430" s="1257"/>
    </row>
    <row r="431">
      <c r="B431" s="17"/>
      <c r="C431" s="17"/>
      <c r="D431" s="17"/>
      <c r="E431" s="444"/>
      <c r="F431" s="17"/>
      <c r="G431" s="17"/>
      <c r="H431" s="17"/>
      <c r="I431" s="17"/>
      <c r="J431" s="17" t="s">
        <v>705</v>
      </c>
      <c r="K431" s="17"/>
      <c r="L431" s="17"/>
      <c r="AC431" s="1257"/>
    </row>
    <row r="432">
      <c r="B432" s="17"/>
      <c r="C432" s="17"/>
      <c r="D432" s="17"/>
      <c r="E432" s="444"/>
      <c r="F432" s="17"/>
      <c r="G432" s="17"/>
      <c r="H432" s="17"/>
      <c r="I432" s="17"/>
      <c r="J432" s="17" t="s">
        <v>705</v>
      </c>
      <c r="K432" s="17"/>
      <c r="L432" s="17"/>
      <c r="AC432" s="1257"/>
    </row>
    <row r="433">
      <c r="B433" s="17"/>
      <c r="C433" s="17"/>
      <c r="D433" s="17"/>
      <c r="E433" s="444"/>
      <c r="F433" s="17"/>
      <c r="G433" s="17"/>
      <c r="H433" s="17"/>
      <c r="I433" s="17"/>
      <c r="J433" s="17" t="s">
        <v>705</v>
      </c>
      <c r="K433" s="17"/>
      <c r="L433" s="17"/>
      <c r="AC433" s="1257"/>
    </row>
    <row r="434">
      <c r="B434" s="17"/>
      <c r="C434" s="17"/>
      <c r="D434" s="17"/>
      <c r="E434" s="444"/>
      <c r="F434" s="17"/>
      <c r="G434" s="17"/>
      <c r="H434" s="17"/>
      <c r="I434" s="17"/>
      <c r="J434" s="17" t="s">
        <v>705</v>
      </c>
      <c r="K434" s="17"/>
      <c r="L434" s="17"/>
      <c r="AC434" s="1257"/>
    </row>
    <row r="435">
      <c r="B435" s="17"/>
      <c r="C435" s="17"/>
      <c r="D435" s="17"/>
      <c r="E435" s="444"/>
      <c r="F435" s="17"/>
      <c r="G435" s="17"/>
      <c r="H435" s="17"/>
      <c r="I435" s="17"/>
      <c r="J435" s="17" t="s">
        <v>705</v>
      </c>
      <c r="K435" s="17"/>
      <c r="L435" s="17"/>
      <c r="AC435" s="1257"/>
    </row>
    <row r="436">
      <c r="B436" s="17"/>
      <c r="C436" s="17"/>
      <c r="D436" s="17"/>
      <c r="E436" s="444"/>
      <c r="F436" s="17"/>
      <c r="G436" s="17"/>
      <c r="H436" s="17"/>
      <c r="I436" s="17"/>
      <c r="J436" s="17" t="s">
        <v>705</v>
      </c>
      <c r="K436" s="17"/>
      <c r="L436" s="17"/>
      <c r="AC436" s="1257"/>
    </row>
    <row r="437">
      <c r="B437" s="17"/>
      <c r="C437" s="17"/>
      <c r="D437" s="17"/>
      <c r="E437" s="444"/>
      <c r="F437" s="17"/>
      <c r="G437" s="17"/>
      <c r="H437" s="17"/>
      <c r="I437" s="17"/>
      <c r="J437" s="17" t="s">
        <v>705</v>
      </c>
      <c r="K437" s="17"/>
      <c r="L437" s="17"/>
      <c r="AC437" s="1257"/>
    </row>
    <row r="438">
      <c r="B438" s="17"/>
      <c r="C438" s="17"/>
      <c r="D438" s="17"/>
      <c r="E438" s="444"/>
      <c r="F438" s="17"/>
      <c r="G438" s="17"/>
      <c r="H438" s="17"/>
      <c r="I438" s="17"/>
      <c r="J438" s="17" t="s">
        <v>705</v>
      </c>
      <c r="K438" s="17"/>
      <c r="L438" s="17"/>
      <c r="AC438" s="1257"/>
    </row>
    <row r="439">
      <c r="B439" s="17"/>
      <c r="C439" s="17"/>
      <c r="D439" s="17"/>
      <c r="E439" s="444"/>
      <c r="F439" s="17"/>
      <c r="G439" s="17"/>
      <c r="H439" s="17"/>
      <c r="I439" s="17"/>
      <c r="J439" s="17" t="s">
        <v>705</v>
      </c>
      <c r="K439" s="17"/>
      <c r="L439" s="17"/>
      <c r="AC439" s="1257"/>
    </row>
    <row r="440">
      <c r="B440" s="17"/>
      <c r="C440" s="17"/>
      <c r="D440" s="17"/>
      <c r="E440" s="444"/>
      <c r="F440" s="17"/>
      <c r="G440" s="17"/>
      <c r="H440" s="17"/>
      <c r="I440" s="17"/>
      <c r="J440" s="17" t="s">
        <v>705</v>
      </c>
      <c r="K440" s="17"/>
      <c r="L440" s="17"/>
      <c r="AC440" s="1257"/>
    </row>
    <row r="441">
      <c r="B441" s="17"/>
      <c r="C441" s="17"/>
      <c r="D441" s="17"/>
      <c r="E441" s="444"/>
      <c r="F441" s="17"/>
      <c r="G441" s="17"/>
      <c r="H441" s="17"/>
      <c r="I441" s="17"/>
      <c r="J441" s="17" t="s">
        <v>705</v>
      </c>
      <c r="K441" s="17"/>
      <c r="L441" s="17"/>
      <c r="AC441" s="1257"/>
    </row>
    <row r="442">
      <c r="B442" s="17"/>
      <c r="C442" s="17"/>
      <c r="D442" s="17"/>
      <c r="E442" s="444"/>
      <c r="F442" s="17"/>
      <c r="G442" s="17"/>
      <c r="H442" s="17"/>
      <c r="I442" s="17"/>
      <c r="J442" s="17" t="s">
        <v>705</v>
      </c>
      <c r="K442" s="17"/>
      <c r="L442" s="17"/>
      <c r="AC442" s="1257"/>
    </row>
    <row r="443">
      <c r="B443" s="17"/>
      <c r="C443" s="17"/>
      <c r="D443" s="17"/>
      <c r="E443" s="444"/>
      <c r="F443" s="17"/>
      <c r="G443" s="17"/>
      <c r="H443" s="17"/>
      <c r="I443" s="17"/>
      <c r="J443" s="17" t="s">
        <v>705</v>
      </c>
      <c r="K443" s="17"/>
      <c r="L443" s="17"/>
      <c r="AC443" s="1257"/>
    </row>
    <row r="444">
      <c r="B444" s="17"/>
      <c r="C444" s="17"/>
      <c r="D444" s="17"/>
      <c r="E444" s="444"/>
      <c r="F444" s="17"/>
      <c r="G444" s="17"/>
      <c r="H444" s="17"/>
      <c r="I444" s="17"/>
      <c r="J444" s="17" t="s">
        <v>705</v>
      </c>
      <c r="K444" s="17"/>
      <c r="L444" s="17"/>
      <c r="AC444" s="1257"/>
    </row>
    <row r="445">
      <c r="B445" s="17"/>
      <c r="C445" s="17"/>
      <c r="D445" s="17"/>
      <c r="E445" s="444"/>
      <c r="F445" s="17"/>
      <c r="G445" s="17"/>
      <c r="H445" s="17"/>
      <c r="I445" s="17"/>
      <c r="J445" s="17" t="s">
        <v>705</v>
      </c>
      <c r="K445" s="17"/>
      <c r="L445" s="17"/>
      <c r="AC445" s="1257"/>
    </row>
    <row r="446">
      <c r="B446" s="17"/>
      <c r="C446" s="17"/>
      <c r="D446" s="17"/>
      <c r="E446" s="444"/>
      <c r="F446" s="17"/>
      <c r="G446" s="17"/>
      <c r="H446" s="17"/>
      <c r="I446" s="17"/>
      <c r="J446" s="17" t="s">
        <v>705</v>
      </c>
      <c r="K446" s="17"/>
      <c r="L446" s="17"/>
      <c r="AC446" s="1257"/>
    </row>
    <row r="447">
      <c r="B447" s="17"/>
      <c r="C447" s="17"/>
      <c r="D447" s="17"/>
      <c r="E447" s="444"/>
      <c r="F447" s="17"/>
      <c r="G447" s="17"/>
      <c r="H447" s="17"/>
      <c r="I447" s="17"/>
      <c r="J447" s="17" t="s">
        <v>705</v>
      </c>
      <c r="K447" s="17"/>
      <c r="L447" s="17"/>
      <c r="AC447" s="1257"/>
    </row>
    <row r="448">
      <c r="B448" s="17"/>
      <c r="C448" s="17"/>
      <c r="D448" s="17"/>
      <c r="E448" s="444"/>
      <c r="F448" s="17"/>
      <c r="G448" s="17"/>
      <c r="H448" s="17"/>
      <c r="I448" s="17"/>
      <c r="J448" s="17" t="s">
        <v>705</v>
      </c>
      <c r="K448" s="17"/>
      <c r="L448" s="17"/>
      <c r="AC448" s="1257"/>
    </row>
    <row r="449">
      <c r="B449" s="17"/>
      <c r="C449" s="17"/>
      <c r="D449" s="17"/>
      <c r="E449" s="444"/>
      <c r="F449" s="17"/>
      <c r="G449" s="17"/>
      <c r="H449" s="17"/>
      <c r="I449" s="17"/>
      <c r="J449" s="17" t="s">
        <v>705</v>
      </c>
      <c r="K449" s="17"/>
      <c r="L449" s="17"/>
      <c r="AC449" s="1257"/>
    </row>
    <row r="450">
      <c r="B450" s="17"/>
      <c r="C450" s="17"/>
      <c r="D450" s="17"/>
      <c r="E450" s="444"/>
      <c r="F450" s="17"/>
      <c r="G450" s="17"/>
      <c r="H450" s="17"/>
      <c r="I450" s="17"/>
      <c r="J450" s="17" t="s">
        <v>705</v>
      </c>
      <c r="K450" s="17"/>
      <c r="L450" s="17"/>
      <c r="AC450" s="1257"/>
    </row>
    <row r="451">
      <c r="B451" s="17"/>
      <c r="C451" s="17"/>
      <c r="D451" s="17"/>
      <c r="E451" s="444"/>
      <c r="F451" s="17"/>
      <c r="G451" s="17"/>
      <c r="H451" s="17"/>
      <c r="I451" s="17"/>
      <c r="J451" s="17" t="s">
        <v>705</v>
      </c>
      <c r="K451" s="17"/>
      <c r="L451" s="17"/>
      <c r="AC451" s="1257"/>
    </row>
    <row r="452">
      <c r="B452" s="17"/>
      <c r="C452" s="17"/>
      <c r="D452" s="17"/>
      <c r="E452" s="444"/>
      <c r="F452" s="17"/>
      <c r="G452" s="17"/>
      <c r="H452" s="17"/>
      <c r="I452" s="17"/>
      <c r="J452" s="17" t="s">
        <v>705</v>
      </c>
      <c r="K452" s="17"/>
      <c r="L452" s="17"/>
      <c r="AC452" s="1257"/>
    </row>
    <row r="453">
      <c r="B453" s="17"/>
      <c r="C453" s="17"/>
      <c r="D453" s="17"/>
      <c r="E453" s="444"/>
      <c r="F453" s="17"/>
      <c r="G453" s="17"/>
      <c r="H453" s="17"/>
      <c r="I453" s="17"/>
      <c r="J453" s="17" t="s">
        <v>705</v>
      </c>
      <c r="K453" s="17"/>
      <c r="L453" s="17"/>
      <c r="AC453" s="1257"/>
    </row>
    <row r="454">
      <c r="B454" s="17"/>
      <c r="C454" s="17"/>
      <c r="D454" s="17"/>
      <c r="E454" s="444"/>
      <c r="F454" s="17"/>
      <c r="G454" s="17"/>
      <c r="H454" s="17"/>
      <c r="I454" s="17"/>
      <c r="J454" s="17" t="s">
        <v>705</v>
      </c>
      <c r="K454" s="17"/>
      <c r="L454" s="17"/>
      <c r="AC454" s="1257"/>
    </row>
    <row r="455">
      <c r="B455" s="17"/>
      <c r="C455" s="17"/>
      <c r="D455" s="17"/>
      <c r="E455" s="444"/>
      <c r="F455" s="17"/>
      <c r="G455" s="17"/>
      <c r="H455" s="17"/>
      <c r="I455" s="17"/>
      <c r="J455" s="17" t="s">
        <v>705</v>
      </c>
      <c r="K455" s="17"/>
      <c r="L455" s="17"/>
      <c r="AC455" s="1257"/>
    </row>
    <row r="456">
      <c r="B456" s="17"/>
      <c r="C456" s="17"/>
      <c r="D456" s="17"/>
      <c r="E456" s="444"/>
      <c r="F456" s="17"/>
      <c r="G456" s="17"/>
      <c r="H456" s="17"/>
      <c r="I456" s="17"/>
      <c r="J456" s="17" t="s">
        <v>705</v>
      </c>
      <c r="K456" s="17"/>
      <c r="L456" s="17"/>
      <c r="AC456" s="1257"/>
    </row>
    <row r="457">
      <c r="B457" s="17"/>
      <c r="C457" s="17"/>
      <c r="D457" s="17"/>
      <c r="E457" s="444"/>
      <c r="F457" s="17"/>
      <c r="G457" s="17"/>
      <c r="H457" s="17"/>
      <c r="I457" s="17"/>
      <c r="J457" s="17" t="s">
        <v>705</v>
      </c>
      <c r="K457" s="17"/>
      <c r="L457" s="17"/>
      <c r="AC457" s="1257"/>
    </row>
    <row r="458">
      <c r="B458" s="17"/>
      <c r="C458" s="17"/>
      <c r="D458" s="17"/>
      <c r="E458" s="444"/>
      <c r="F458" s="17"/>
      <c r="G458" s="17"/>
      <c r="H458" s="17"/>
      <c r="I458" s="17"/>
      <c r="J458" s="17" t="s">
        <v>705</v>
      </c>
      <c r="K458" s="17"/>
      <c r="L458" s="17"/>
      <c r="AC458" s="1257"/>
    </row>
    <row r="459">
      <c r="B459" s="17"/>
      <c r="C459" s="17"/>
      <c r="D459" s="17"/>
      <c r="E459" s="444"/>
      <c r="F459" s="17"/>
      <c r="G459" s="17"/>
      <c r="H459" s="17"/>
      <c r="I459" s="17"/>
      <c r="J459" s="17" t="s">
        <v>705</v>
      </c>
      <c r="K459" s="17"/>
      <c r="L459" s="17"/>
      <c r="AC459" s="1257"/>
    </row>
    <row r="460">
      <c r="B460" s="17"/>
      <c r="C460" s="17"/>
      <c r="D460" s="17"/>
      <c r="E460" s="444"/>
      <c r="F460" s="17"/>
      <c r="G460" s="17"/>
      <c r="H460" s="17"/>
      <c r="I460" s="17"/>
      <c r="J460" s="17" t="s">
        <v>705</v>
      </c>
      <c r="K460" s="17"/>
      <c r="L460" s="17"/>
      <c r="AC460" s="1257"/>
    </row>
    <row r="461">
      <c r="B461" s="17"/>
      <c r="C461" s="17"/>
      <c r="D461" s="17"/>
      <c r="E461" s="444"/>
      <c r="F461" s="17"/>
      <c r="G461" s="17"/>
      <c r="H461" s="17"/>
      <c r="I461" s="17"/>
      <c r="J461" s="17" t="s">
        <v>705</v>
      </c>
      <c r="K461" s="17"/>
      <c r="L461" s="17"/>
      <c r="AC461" s="1257"/>
    </row>
    <row r="462">
      <c r="B462" s="17"/>
      <c r="C462" s="17"/>
      <c r="D462" s="17"/>
      <c r="E462" s="444"/>
      <c r="F462" s="17"/>
      <c r="G462" s="17"/>
      <c r="H462" s="17"/>
      <c r="I462" s="17"/>
      <c r="J462" s="17" t="s">
        <v>705</v>
      </c>
      <c r="K462" s="17"/>
      <c r="L462" s="17"/>
      <c r="AC462" s="1257"/>
    </row>
    <row r="463">
      <c r="B463" s="17"/>
      <c r="C463" s="17"/>
      <c r="D463" s="17"/>
      <c r="E463" s="444"/>
      <c r="F463" s="17"/>
      <c r="G463" s="17"/>
      <c r="H463" s="17"/>
      <c r="I463" s="17"/>
      <c r="J463" s="17" t="s">
        <v>705</v>
      </c>
      <c r="K463" s="17"/>
      <c r="L463" s="17"/>
      <c r="AC463" s="1257"/>
    </row>
    <row r="464">
      <c r="B464" s="17"/>
      <c r="C464" s="17"/>
      <c r="D464" s="17"/>
      <c r="E464" s="444"/>
      <c r="F464" s="17"/>
      <c r="G464" s="17"/>
      <c r="H464" s="17"/>
      <c r="I464" s="17"/>
      <c r="J464" s="17" t="s">
        <v>705</v>
      </c>
      <c r="K464" s="17"/>
      <c r="L464" s="17"/>
      <c r="AC464" s="1257"/>
    </row>
    <row r="465">
      <c r="B465" s="17"/>
      <c r="C465" s="17"/>
      <c r="D465" s="17"/>
      <c r="E465" s="444"/>
      <c r="F465" s="17"/>
      <c r="G465" s="17"/>
      <c r="H465" s="17"/>
      <c r="I465" s="17"/>
      <c r="J465" s="17" t="s">
        <v>705</v>
      </c>
      <c r="K465" s="17"/>
      <c r="L465" s="17"/>
      <c r="AC465" s="1257"/>
    </row>
    <row r="466">
      <c r="B466" s="17"/>
      <c r="C466" s="17"/>
      <c r="D466" s="17"/>
      <c r="E466" s="444"/>
      <c r="F466" s="17"/>
      <c r="G466" s="17"/>
      <c r="H466" s="17"/>
      <c r="I466" s="17"/>
      <c r="J466" s="17" t="s">
        <v>705</v>
      </c>
      <c r="K466" s="17"/>
      <c r="L466" s="17"/>
      <c r="AC466" s="1257"/>
    </row>
    <row r="467">
      <c r="B467" s="17"/>
      <c r="C467" s="17"/>
      <c r="D467" s="17"/>
      <c r="E467" s="444"/>
      <c r="F467" s="17"/>
      <c r="G467" s="17"/>
      <c r="H467" s="17"/>
      <c r="I467" s="17"/>
      <c r="J467" s="17" t="s">
        <v>705</v>
      </c>
      <c r="K467" s="17"/>
      <c r="L467" s="17"/>
      <c r="AC467" s="1257"/>
    </row>
    <row r="468">
      <c r="B468" s="17"/>
      <c r="C468" s="17"/>
      <c r="D468" s="17"/>
      <c r="E468" s="444"/>
      <c r="F468" s="17"/>
      <c r="G468" s="17"/>
      <c r="H468" s="17"/>
      <c r="I468" s="17"/>
      <c r="J468" s="17" t="s">
        <v>705</v>
      </c>
      <c r="K468" s="17"/>
      <c r="L468" s="17"/>
      <c r="AC468" s="1257"/>
    </row>
    <row r="469">
      <c r="B469" s="17"/>
      <c r="C469" s="17"/>
      <c r="D469" s="17"/>
      <c r="E469" s="444"/>
      <c r="F469" s="17"/>
      <c r="G469" s="17"/>
      <c r="H469" s="17"/>
      <c r="I469" s="17"/>
      <c r="J469" s="17" t="s">
        <v>705</v>
      </c>
      <c r="K469" s="17"/>
      <c r="L469" s="17"/>
      <c r="AC469" s="1257"/>
    </row>
    <row r="470">
      <c r="B470" s="17"/>
      <c r="C470" s="17"/>
      <c r="D470" s="17"/>
      <c r="E470" s="444"/>
      <c r="F470" s="17"/>
      <c r="G470" s="17"/>
      <c r="H470" s="17"/>
      <c r="I470" s="17"/>
      <c r="J470" s="17" t="s">
        <v>705</v>
      </c>
      <c r="K470" s="17"/>
      <c r="L470" s="17"/>
      <c r="AC470" s="1257"/>
    </row>
    <row r="471">
      <c r="B471" s="17"/>
      <c r="C471" s="17"/>
      <c r="D471" s="17"/>
      <c r="E471" s="444"/>
      <c r="F471" s="17"/>
      <c r="G471" s="17"/>
      <c r="H471" s="17"/>
      <c r="I471" s="17"/>
      <c r="J471" s="17" t="s">
        <v>705</v>
      </c>
      <c r="K471" s="17"/>
      <c r="L471" s="17"/>
      <c r="AC471" s="1257"/>
    </row>
    <row r="472">
      <c r="B472" s="17"/>
      <c r="C472" s="17"/>
      <c r="D472" s="17"/>
      <c r="E472" s="444"/>
      <c r="F472" s="17"/>
      <c r="G472" s="17"/>
      <c r="H472" s="17"/>
      <c r="I472" s="17"/>
      <c r="J472" s="17" t="s">
        <v>705</v>
      </c>
      <c r="K472" s="17"/>
      <c r="L472" s="17"/>
      <c r="AC472" s="1257"/>
    </row>
    <row r="473">
      <c r="B473" s="17"/>
      <c r="C473" s="17"/>
      <c r="D473" s="17"/>
      <c r="E473" s="444"/>
      <c r="F473" s="17"/>
      <c r="G473" s="17"/>
      <c r="H473" s="17"/>
      <c r="I473" s="17"/>
      <c r="J473" s="17" t="s">
        <v>705</v>
      </c>
      <c r="K473" s="17"/>
      <c r="L473" s="17"/>
      <c r="AC473" s="1257"/>
    </row>
    <row r="474">
      <c r="B474" s="17"/>
      <c r="C474" s="17"/>
      <c r="D474" s="17"/>
      <c r="E474" s="444"/>
      <c r="F474" s="17"/>
      <c r="G474" s="17"/>
      <c r="H474" s="17"/>
      <c r="I474" s="17"/>
      <c r="J474" s="17" t="s">
        <v>705</v>
      </c>
      <c r="K474" s="17"/>
      <c r="L474" s="17"/>
      <c r="AC474" s="1257"/>
    </row>
    <row r="475">
      <c r="B475" s="17"/>
      <c r="C475" s="17"/>
      <c r="D475" s="17"/>
      <c r="E475" s="444"/>
      <c r="F475" s="17"/>
      <c r="G475" s="17"/>
      <c r="H475" s="17"/>
      <c r="I475" s="17"/>
      <c r="J475" s="17" t="s">
        <v>705</v>
      </c>
      <c r="K475" s="17"/>
      <c r="L475" s="17"/>
      <c r="AC475" s="1257"/>
    </row>
    <row r="476">
      <c r="B476" s="17"/>
      <c r="C476" s="17"/>
      <c r="D476" s="17"/>
      <c r="E476" s="444"/>
      <c r="F476" s="17"/>
      <c r="G476" s="17"/>
      <c r="H476" s="17"/>
      <c r="I476" s="17"/>
      <c r="J476" s="17" t="s">
        <v>705</v>
      </c>
      <c r="K476" s="17"/>
      <c r="L476" s="17"/>
      <c r="AC476" s="1257"/>
    </row>
    <row r="477">
      <c r="B477" s="17"/>
      <c r="C477" s="17"/>
      <c r="D477" s="17"/>
      <c r="E477" s="444"/>
      <c r="F477" s="17"/>
      <c r="G477" s="17"/>
      <c r="H477" s="17"/>
      <c r="I477" s="17"/>
      <c r="J477" s="17" t="s">
        <v>705</v>
      </c>
      <c r="K477" s="17"/>
      <c r="L477" s="17"/>
      <c r="AC477" s="1257"/>
    </row>
    <row r="478">
      <c r="B478" s="17"/>
      <c r="C478" s="17"/>
      <c r="D478" s="17"/>
      <c r="E478" s="444"/>
      <c r="F478" s="17"/>
      <c r="G478" s="17"/>
      <c r="H478" s="17"/>
      <c r="I478" s="17"/>
      <c r="J478" s="17" t="s">
        <v>705</v>
      </c>
      <c r="K478" s="17"/>
      <c r="L478" s="17"/>
      <c r="AC478" s="1257"/>
    </row>
    <row r="479">
      <c r="B479" s="17"/>
      <c r="C479" s="17"/>
      <c r="D479" s="17"/>
      <c r="E479" s="444"/>
      <c r="F479" s="17"/>
      <c r="G479" s="17"/>
      <c r="H479" s="17"/>
      <c r="I479" s="17"/>
      <c r="J479" s="17" t="s">
        <v>705</v>
      </c>
      <c r="K479" s="17"/>
      <c r="L479" s="17"/>
      <c r="AC479" s="1257"/>
    </row>
    <row r="480">
      <c r="B480" s="17"/>
      <c r="C480" s="17"/>
      <c r="D480" s="17"/>
      <c r="E480" s="444"/>
      <c r="F480" s="17"/>
      <c r="G480" s="17"/>
      <c r="H480" s="17"/>
      <c r="I480" s="17"/>
      <c r="J480" s="17" t="s">
        <v>705</v>
      </c>
      <c r="K480" s="17"/>
      <c r="L480" s="17"/>
      <c r="AC480" s="1257"/>
    </row>
    <row r="481">
      <c r="B481" s="17"/>
      <c r="C481" s="17"/>
      <c r="D481" s="17"/>
      <c r="E481" s="444"/>
      <c r="F481" s="17"/>
      <c r="G481" s="17"/>
      <c r="H481" s="17"/>
      <c r="I481" s="17"/>
      <c r="J481" s="17" t="s">
        <v>705</v>
      </c>
      <c r="K481" s="17"/>
      <c r="L481" s="17"/>
      <c r="AC481" s="1257"/>
    </row>
    <row r="482">
      <c r="B482" s="17"/>
      <c r="C482" s="17"/>
      <c r="D482" s="17"/>
      <c r="E482" s="444"/>
      <c r="F482" s="17"/>
      <c r="G482" s="17"/>
      <c r="H482" s="17"/>
      <c r="I482" s="17"/>
      <c r="J482" s="17" t="s">
        <v>705</v>
      </c>
      <c r="K482" s="17"/>
      <c r="L482" s="17"/>
      <c r="AC482" s="1257"/>
    </row>
    <row r="483">
      <c r="B483" s="17"/>
      <c r="C483" s="17"/>
      <c r="D483" s="17"/>
      <c r="E483" s="444"/>
      <c r="F483" s="17"/>
      <c r="G483" s="17"/>
      <c r="H483" s="17"/>
      <c r="I483" s="17"/>
      <c r="J483" s="17" t="s">
        <v>705</v>
      </c>
      <c r="K483" s="17"/>
      <c r="L483" s="17"/>
      <c r="AC483" s="1257"/>
    </row>
    <row r="484">
      <c r="B484" s="17"/>
      <c r="C484" s="17"/>
      <c r="D484" s="17"/>
      <c r="E484" s="444"/>
      <c r="F484" s="17"/>
      <c r="G484" s="17"/>
      <c r="H484" s="17"/>
      <c r="I484" s="17"/>
      <c r="J484" s="17" t="s">
        <v>705</v>
      </c>
      <c r="K484" s="17"/>
      <c r="L484" s="17"/>
      <c r="AC484" s="1257"/>
    </row>
    <row r="485">
      <c r="B485" s="17"/>
      <c r="C485" s="17"/>
      <c r="D485" s="17"/>
      <c r="E485" s="444"/>
      <c r="F485" s="17"/>
      <c r="G485" s="17"/>
      <c r="H485" s="17"/>
      <c r="I485" s="17"/>
      <c r="J485" s="17" t="s">
        <v>705</v>
      </c>
      <c r="K485" s="17"/>
      <c r="L485" s="17"/>
      <c r="AC485" s="1257"/>
    </row>
    <row r="486">
      <c r="B486" s="17"/>
      <c r="C486" s="17"/>
      <c r="D486" s="17"/>
      <c r="E486" s="444"/>
      <c r="F486" s="17"/>
      <c r="G486" s="17"/>
      <c r="H486" s="17"/>
      <c r="I486" s="17"/>
      <c r="J486" s="17" t="s">
        <v>705</v>
      </c>
      <c r="K486" s="17"/>
      <c r="L486" s="17"/>
      <c r="AC486" s="1257"/>
    </row>
    <row r="487">
      <c r="B487" s="17"/>
      <c r="C487" s="17"/>
      <c r="D487" s="17"/>
      <c r="E487" s="444"/>
      <c r="F487" s="17"/>
      <c r="G487" s="17"/>
      <c r="H487" s="17"/>
      <c r="I487" s="17"/>
      <c r="J487" s="17" t="s">
        <v>705</v>
      </c>
      <c r="K487" s="17"/>
      <c r="L487" s="17"/>
      <c r="AC487" s="1257"/>
    </row>
    <row r="488">
      <c r="B488" s="17"/>
      <c r="C488" s="17"/>
      <c r="D488" s="17"/>
      <c r="E488" s="444"/>
      <c r="F488" s="17"/>
      <c r="G488" s="17"/>
      <c r="H488" s="17"/>
      <c r="I488" s="17"/>
      <c r="J488" s="17" t="s">
        <v>705</v>
      </c>
      <c r="K488" s="17"/>
      <c r="L488" s="17"/>
      <c r="AC488" s="1257"/>
    </row>
    <row r="489">
      <c r="B489" s="17"/>
      <c r="C489" s="17"/>
      <c r="D489" s="17"/>
      <c r="E489" s="444"/>
      <c r="F489" s="17"/>
      <c r="G489" s="17"/>
      <c r="H489" s="17"/>
      <c r="I489" s="17"/>
      <c r="J489" s="17" t="s">
        <v>705</v>
      </c>
      <c r="K489" s="17"/>
      <c r="L489" s="17"/>
      <c r="AC489" s="1257"/>
    </row>
    <row r="490">
      <c r="B490" s="17"/>
      <c r="C490" s="17"/>
      <c r="D490" s="17"/>
      <c r="E490" s="444"/>
      <c r="F490" s="17"/>
      <c r="G490" s="17"/>
      <c r="H490" s="17"/>
      <c r="I490" s="17"/>
      <c r="J490" s="17" t="s">
        <v>705</v>
      </c>
      <c r="K490" s="17"/>
      <c r="L490" s="17"/>
      <c r="AC490" s="1257"/>
    </row>
    <row r="491">
      <c r="B491" s="17"/>
      <c r="C491" s="17"/>
      <c r="D491" s="17"/>
      <c r="E491" s="444"/>
      <c r="F491" s="17"/>
      <c r="G491" s="17"/>
      <c r="H491" s="17"/>
      <c r="I491" s="17"/>
      <c r="J491" s="17" t="s">
        <v>705</v>
      </c>
      <c r="K491" s="17"/>
      <c r="L491" s="17"/>
      <c r="AC491" s="1257"/>
    </row>
    <row r="492">
      <c r="B492" s="17"/>
      <c r="C492" s="17"/>
      <c r="D492" s="17"/>
      <c r="E492" s="444"/>
      <c r="F492" s="17"/>
      <c r="G492" s="17"/>
      <c r="H492" s="17"/>
      <c r="I492" s="17"/>
      <c r="J492" s="17" t="s">
        <v>705</v>
      </c>
      <c r="K492" s="17"/>
      <c r="L492" s="17"/>
      <c r="AC492" s="1257"/>
    </row>
    <row r="493">
      <c r="B493" s="17"/>
      <c r="C493" s="17"/>
      <c r="D493" s="17"/>
      <c r="E493" s="444"/>
      <c r="F493" s="17"/>
      <c r="G493" s="17"/>
      <c r="H493" s="17"/>
      <c r="I493" s="17"/>
      <c r="J493" s="17" t="s">
        <v>705</v>
      </c>
      <c r="K493" s="17"/>
      <c r="L493" s="17"/>
      <c r="AC493" s="1257"/>
    </row>
    <row r="494">
      <c r="B494" s="17"/>
      <c r="C494" s="17"/>
      <c r="D494" s="17"/>
      <c r="E494" s="444"/>
      <c r="F494" s="17"/>
      <c r="G494" s="17"/>
      <c r="H494" s="17"/>
      <c r="I494" s="17"/>
      <c r="J494" s="17" t="s">
        <v>705</v>
      </c>
      <c r="K494" s="17"/>
      <c r="L494" s="17"/>
      <c r="AC494" s="1257"/>
    </row>
    <row r="495">
      <c r="B495" s="17"/>
      <c r="C495" s="17"/>
      <c r="D495" s="17"/>
      <c r="E495" s="444"/>
      <c r="F495" s="17"/>
      <c r="G495" s="17"/>
      <c r="H495" s="17"/>
      <c r="I495" s="17"/>
      <c r="J495" s="17" t="s">
        <v>705</v>
      </c>
      <c r="K495" s="17"/>
      <c r="L495" s="17"/>
      <c r="AC495" s="1257"/>
    </row>
    <row r="496">
      <c r="B496" s="17"/>
      <c r="C496" s="17"/>
      <c r="D496" s="17"/>
      <c r="E496" s="444"/>
      <c r="F496" s="17"/>
      <c r="G496" s="17"/>
      <c r="H496" s="17"/>
      <c r="I496" s="17"/>
      <c r="J496" s="17" t="s">
        <v>705</v>
      </c>
      <c r="K496" s="17"/>
      <c r="L496" s="17"/>
      <c r="AC496" s="1257"/>
    </row>
    <row r="497">
      <c r="B497" s="17"/>
      <c r="C497" s="17"/>
      <c r="D497" s="17"/>
      <c r="E497" s="444"/>
      <c r="F497" s="17"/>
      <c r="G497" s="17"/>
      <c r="H497" s="17"/>
      <c r="I497" s="17"/>
      <c r="J497" s="17" t="s">
        <v>705</v>
      </c>
      <c r="K497" s="17"/>
      <c r="L497" s="17"/>
      <c r="AC497" s="1257"/>
    </row>
    <row r="498">
      <c r="B498" s="17"/>
      <c r="C498" s="17"/>
      <c r="D498" s="17"/>
      <c r="E498" s="444"/>
      <c r="F498" s="17"/>
      <c r="G498" s="17"/>
      <c r="H498" s="17"/>
      <c r="I498" s="17"/>
      <c r="J498" s="17" t="s">
        <v>705</v>
      </c>
      <c r="K498" s="17"/>
      <c r="L498" s="17"/>
      <c r="AC498" s="1257"/>
    </row>
    <row r="499">
      <c r="B499" s="17"/>
      <c r="C499" s="17"/>
      <c r="D499" s="17"/>
      <c r="E499" s="444"/>
      <c r="F499" s="17"/>
      <c r="G499" s="17"/>
      <c r="H499" s="17"/>
      <c r="I499" s="17"/>
      <c r="J499" s="17" t="s">
        <v>705</v>
      </c>
      <c r="K499" s="17"/>
      <c r="L499" s="17"/>
      <c r="AC499" s="1257"/>
    </row>
    <row r="500">
      <c r="B500" s="17"/>
      <c r="C500" s="17"/>
      <c r="D500" s="17"/>
      <c r="E500" s="444"/>
      <c r="F500" s="17"/>
      <c r="G500" s="17"/>
      <c r="H500" s="17"/>
      <c r="I500" s="17"/>
      <c r="J500" s="17" t="s">
        <v>705</v>
      </c>
      <c r="K500" s="17"/>
      <c r="L500" s="17"/>
      <c r="AC500" s="1257"/>
    </row>
    <row r="501">
      <c r="B501" s="17"/>
      <c r="C501" s="17"/>
      <c r="D501" s="17"/>
      <c r="E501" s="444"/>
      <c r="F501" s="17"/>
      <c r="G501" s="17"/>
      <c r="H501" s="17"/>
      <c r="I501" s="17"/>
      <c r="J501" s="17" t="s">
        <v>705</v>
      </c>
      <c r="K501" s="17"/>
      <c r="L501" s="17"/>
      <c r="AC501" s="1257"/>
    </row>
    <row r="502">
      <c r="B502" s="17"/>
      <c r="C502" s="17"/>
      <c r="D502" s="17"/>
      <c r="E502" s="444"/>
      <c r="F502" s="17"/>
      <c r="G502" s="17"/>
      <c r="H502" s="17"/>
      <c r="I502" s="17"/>
      <c r="J502" s="17" t="s">
        <v>705</v>
      </c>
      <c r="K502" s="17"/>
      <c r="L502" s="17"/>
      <c r="AC502" s="1257"/>
    </row>
    <row r="503">
      <c r="B503" s="17"/>
      <c r="C503" s="17"/>
      <c r="D503" s="17"/>
      <c r="E503" s="444"/>
      <c r="F503" s="17"/>
      <c r="G503" s="17"/>
      <c r="H503" s="17"/>
      <c r="I503" s="17"/>
      <c r="J503" s="17" t="s">
        <v>705</v>
      </c>
      <c r="K503" s="17"/>
      <c r="L503" s="17"/>
      <c r="AC503" s="1257"/>
    </row>
    <row r="504">
      <c r="B504" s="17"/>
      <c r="C504" s="17"/>
      <c r="D504" s="17"/>
      <c r="E504" s="444"/>
      <c r="F504" s="17"/>
      <c r="G504" s="17"/>
      <c r="H504" s="17"/>
      <c r="I504" s="17"/>
      <c r="J504" s="17" t="s">
        <v>705</v>
      </c>
      <c r="K504" s="17"/>
      <c r="L504" s="17"/>
      <c r="AC504" s="1257"/>
    </row>
    <row r="505">
      <c r="B505" s="17"/>
      <c r="C505" s="17"/>
      <c r="D505" s="17"/>
      <c r="E505" s="444"/>
      <c r="F505" s="17"/>
      <c r="G505" s="17"/>
      <c r="H505" s="17"/>
      <c r="I505" s="17"/>
      <c r="J505" s="17" t="s">
        <v>705</v>
      </c>
      <c r="K505" s="17"/>
      <c r="L505" s="17"/>
      <c r="AC505" s="1257"/>
    </row>
    <row r="506">
      <c r="B506" s="17"/>
      <c r="C506" s="17"/>
      <c r="D506" s="17"/>
      <c r="E506" s="444"/>
      <c r="F506" s="17"/>
      <c r="G506" s="17"/>
      <c r="H506" s="17"/>
      <c r="I506" s="17"/>
      <c r="J506" s="17" t="s">
        <v>705</v>
      </c>
      <c r="K506" s="17"/>
      <c r="L506" s="17"/>
      <c r="AC506" s="1257"/>
    </row>
    <row r="507">
      <c r="B507" s="17"/>
      <c r="C507" s="17"/>
      <c r="D507" s="17"/>
      <c r="E507" s="444"/>
      <c r="F507" s="17"/>
      <c r="G507" s="17"/>
      <c r="H507" s="17"/>
      <c r="I507" s="17"/>
      <c r="J507" s="17" t="s">
        <v>705</v>
      </c>
      <c r="K507" s="17"/>
      <c r="L507" s="17"/>
      <c r="AC507" s="1257"/>
    </row>
    <row r="508">
      <c r="B508" s="17"/>
      <c r="C508" s="17"/>
      <c r="D508" s="17"/>
      <c r="E508" s="444"/>
      <c r="F508" s="17"/>
      <c r="G508" s="17"/>
      <c r="H508" s="17"/>
      <c r="I508" s="17"/>
      <c r="J508" s="17" t="s">
        <v>705</v>
      </c>
      <c r="K508" s="17"/>
      <c r="L508" s="17"/>
      <c r="AC508" s="1257"/>
    </row>
    <row r="509">
      <c r="B509" s="17"/>
      <c r="C509" s="17"/>
      <c r="D509" s="17"/>
      <c r="E509" s="444"/>
      <c r="F509" s="17"/>
      <c r="G509" s="17"/>
      <c r="H509" s="17"/>
      <c r="I509" s="17"/>
      <c r="J509" s="17" t="s">
        <v>705</v>
      </c>
      <c r="K509" s="17"/>
      <c r="L509" s="17"/>
      <c r="AC509" s="1257"/>
    </row>
    <row r="510">
      <c r="B510" s="17"/>
      <c r="C510" s="17"/>
      <c r="D510" s="17"/>
      <c r="E510" s="444"/>
      <c r="F510" s="17"/>
      <c r="G510" s="17"/>
      <c r="H510" s="17"/>
      <c r="I510" s="17"/>
      <c r="J510" s="17" t="s">
        <v>705</v>
      </c>
      <c r="K510" s="17"/>
      <c r="L510" s="17"/>
      <c r="AC510" s="1257"/>
    </row>
    <row r="511">
      <c r="B511" s="17"/>
      <c r="C511" s="17"/>
      <c r="D511" s="17"/>
      <c r="E511" s="444"/>
      <c r="F511" s="17"/>
      <c r="G511" s="17"/>
      <c r="H511" s="17"/>
      <c r="I511" s="17"/>
      <c r="J511" s="17" t="s">
        <v>705</v>
      </c>
      <c r="K511" s="17"/>
      <c r="L511" s="17"/>
      <c r="AC511" s="1257"/>
    </row>
    <row r="512">
      <c r="B512" s="17"/>
      <c r="C512" s="17"/>
      <c r="D512" s="17"/>
      <c r="E512" s="444"/>
      <c r="F512" s="17"/>
      <c r="G512" s="17"/>
      <c r="H512" s="17"/>
      <c r="I512" s="17"/>
      <c r="J512" s="17" t="s">
        <v>705</v>
      </c>
      <c r="K512" s="17"/>
      <c r="L512" s="17"/>
      <c r="AC512" s="1257"/>
    </row>
    <row r="513">
      <c r="B513" s="17"/>
      <c r="C513" s="17"/>
      <c r="D513" s="17"/>
      <c r="E513" s="444"/>
      <c r="F513" s="17"/>
      <c r="G513" s="17"/>
      <c r="H513" s="17"/>
      <c r="I513" s="17"/>
      <c r="J513" s="17" t="s">
        <v>705</v>
      </c>
      <c r="K513" s="17"/>
      <c r="L513" s="17"/>
      <c r="AC513" s="1257"/>
    </row>
    <row r="514">
      <c r="B514" s="17"/>
      <c r="C514" s="17"/>
      <c r="D514" s="17"/>
      <c r="E514" s="444"/>
      <c r="F514" s="17"/>
      <c r="G514" s="17"/>
      <c r="H514" s="17"/>
      <c r="I514" s="17"/>
      <c r="J514" s="17" t="s">
        <v>705</v>
      </c>
      <c r="K514" s="17"/>
      <c r="L514" s="17"/>
      <c r="AC514" s="1257"/>
    </row>
    <row r="515">
      <c r="B515" s="17"/>
      <c r="C515" s="17"/>
      <c r="D515" s="17"/>
      <c r="E515" s="444"/>
      <c r="F515" s="17"/>
      <c r="G515" s="17"/>
      <c r="H515" s="17"/>
      <c r="I515" s="17"/>
      <c r="J515" s="17" t="s">
        <v>705</v>
      </c>
      <c r="K515" s="17"/>
      <c r="L515" s="17"/>
      <c r="AC515" s="1257"/>
    </row>
    <row r="516">
      <c r="B516" s="17"/>
      <c r="C516" s="17"/>
      <c r="D516" s="17"/>
      <c r="E516" s="444"/>
      <c r="F516" s="17"/>
      <c r="G516" s="17"/>
      <c r="H516" s="17"/>
      <c r="I516" s="17"/>
      <c r="J516" s="17" t="s">
        <v>705</v>
      </c>
      <c r="K516" s="17"/>
      <c r="L516" s="17"/>
      <c r="AC516" s="1257"/>
    </row>
    <row r="517">
      <c r="B517" s="17"/>
      <c r="C517" s="17"/>
      <c r="D517" s="17"/>
      <c r="E517" s="444"/>
      <c r="F517" s="17"/>
      <c r="G517" s="17"/>
      <c r="H517" s="17"/>
      <c r="I517" s="17"/>
      <c r="J517" s="17" t="s">
        <v>705</v>
      </c>
      <c r="K517" s="17"/>
      <c r="L517" s="17"/>
      <c r="AC517" s="1257"/>
    </row>
    <row r="518">
      <c r="B518" s="17"/>
      <c r="C518" s="17"/>
      <c r="D518" s="17"/>
      <c r="E518" s="444"/>
      <c r="F518" s="17"/>
      <c r="G518" s="17"/>
      <c r="H518" s="17"/>
      <c r="I518" s="17"/>
      <c r="J518" s="17" t="s">
        <v>705</v>
      </c>
      <c r="K518" s="17"/>
      <c r="L518" s="17"/>
      <c r="AC518" s="1257"/>
    </row>
    <row r="519">
      <c r="B519" s="17"/>
      <c r="C519" s="17"/>
      <c r="D519" s="17"/>
      <c r="E519" s="444"/>
      <c r="F519" s="17"/>
      <c r="G519" s="17"/>
      <c r="H519" s="17"/>
      <c r="I519" s="17"/>
      <c r="J519" s="17" t="s">
        <v>705</v>
      </c>
      <c r="K519" s="17"/>
      <c r="L519" s="17"/>
      <c r="AC519" s="1257"/>
    </row>
    <row r="520">
      <c r="B520" s="17"/>
      <c r="C520" s="17"/>
      <c r="D520" s="17"/>
      <c r="E520" s="444"/>
      <c r="F520" s="17"/>
      <c r="G520" s="17"/>
      <c r="H520" s="17"/>
      <c r="I520" s="17"/>
      <c r="J520" s="17" t="s">
        <v>705</v>
      </c>
      <c r="K520" s="17"/>
      <c r="L520" s="17"/>
      <c r="AC520" s="1257"/>
    </row>
    <row r="521">
      <c r="B521" s="17"/>
      <c r="C521" s="17"/>
      <c r="D521" s="17"/>
      <c r="E521" s="444"/>
      <c r="F521" s="17"/>
      <c r="G521" s="17"/>
      <c r="H521" s="17"/>
      <c r="I521" s="17"/>
      <c r="J521" s="17" t="s">
        <v>705</v>
      </c>
      <c r="K521" s="17"/>
      <c r="L521" s="17"/>
      <c r="AC521" s="1257"/>
    </row>
    <row r="522">
      <c r="B522" s="17"/>
      <c r="C522" s="17"/>
      <c r="D522" s="17"/>
      <c r="E522" s="444"/>
      <c r="F522" s="17"/>
      <c r="G522" s="17"/>
      <c r="H522" s="17"/>
      <c r="I522" s="17"/>
      <c r="J522" s="17" t="s">
        <v>705</v>
      </c>
      <c r="K522" s="17"/>
      <c r="L522" s="17"/>
      <c r="AC522" s="1257"/>
    </row>
    <row r="523">
      <c r="B523" s="17"/>
      <c r="C523" s="17"/>
      <c r="D523" s="17"/>
      <c r="E523" s="444"/>
      <c r="F523" s="17"/>
      <c r="G523" s="17"/>
      <c r="H523" s="17"/>
      <c r="I523" s="17"/>
      <c r="J523" s="17" t="s">
        <v>705</v>
      </c>
      <c r="K523" s="17"/>
      <c r="L523" s="17"/>
      <c r="AC523" s="1257"/>
    </row>
    <row r="524">
      <c r="B524" s="17"/>
      <c r="C524" s="17"/>
      <c r="D524" s="17"/>
      <c r="E524" s="444"/>
      <c r="F524" s="17"/>
      <c r="G524" s="17"/>
      <c r="H524" s="17"/>
      <c r="I524" s="17"/>
      <c r="J524" s="17" t="s">
        <v>705</v>
      </c>
      <c r="K524" s="17"/>
      <c r="L524" s="17"/>
      <c r="AC524" s="1257"/>
    </row>
    <row r="525">
      <c r="B525" s="17"/>
      <c r="C525" s="17"/>
      <c r="D525" s="17"/>
      <c r="E525" s="444"/>
      <c r="F525" s="17"/>
      <c r="G525" s="17"/>
      <c r="H525" s="17"/>
      <c r="I525" s="17"/>
      <c r="J525" s="17" t="s">
        <v>705</v>
      </c>
      <c r="K525" s="17"/>
      <c r="L525" s="17"/>
      <c r="AC525" s="1257"/>
    </row>
    <row r="526">
      <c r="B526" s="17"/>
      <c r="C526" s="17"/>
      <c r="D526" s="17"/>
      <c r="E526" s="444"/>
      <c r="F526" s="17"/>
      <c r="G526" s="17"/>
      <c r="H526" s="17"/>
      <c r="I526" s="17"/>
      <c r="J526" s="17" t="s">
        <v>705</v>
      </c>
      <c r="K526" s="17"/>
      <c r="L526" s="17"/>
      <c r="AC526" s="1257"/>
    </row>
    <row r="527">
      <c r="B527" s="17"/>
      <c r="C527" s="17"/>
      <c r="D527" s="17"/>
      <c r="E527" s="444"/>
      <c r="F527" s="17"/>
      <c r="G527" s="17"/>
      <c r="H527" s="17"/>
      <c r="I527" s="17"/>
      <c r="J527" s="17" t="s">
        <v>705</v>
      </c>
      <c r="K527" s="17"/>
      <c r="L527" s="17"/>
      <c r="AC527" s="1257"/>
    </row>
    <row r="528">
      <c r="B528" s="17"/>
      <c r="C528" s="17"/>
      <c r="D528" s="17"/>
      <c r="E528" s="444"/>
      <c r="F528" s="17"/>
      <c r="G528" s="17"/>
      <c r="H528" s="17"/>
      <c r="I528" s="17"/>
      <c r="J528" s="17" t="s">
        <v>705</v>
      </c>
      <c r="K528" s="17"/>
      <c r="L528" s="17"/>
      <c r="AC528" s="1257"/>
    </row>
    <row r="529">
      <c r="B529" s="17"/>
      <c r="C529" s="17"/>
      <c r="D529" s="17"/>
      <c r="E529" s="444"/>
      <c r="F529" s="17"/>
      <c r="G529" s="17"/>
      <c r="H529" s="17"/>
      <c r="I529" s="17"/>
      <c r="J529" s="17" t="s">
        <v>705</v>
      </c>
      <c r="K529" s="17"/>
      <c r="L529" s="17"/>
      <c r="AC529" s="1257"/>
    </row>
    <row r="530">
      <c r="B530" s="17"/>
      <c r="C530" s="17"/>
      <c r="D530" s="17"/>
      <c r="E530" s="444"/>
      <c r="F530" s="17"/>
      <c r="G530" s="17"/>
      <c r="H530" s="17"/>
      <c r="I530" s="17"/>
      <c r="J530" s="17" t="s">
        <v>705</v>
      </c>
      <c r="K530" s="17"/>
      <c r="L530" s="17"/>
      <c r="AC530" s="1257"/>
    </row>
    <row r="531">
      <c r="B531" s="17"/>
      <c r="C531" s="17"/>
      <c r="D531" s="17"/>
      <c r="E531" s="444"/>
      <c r="F531" s="17"/>
      <c r="G531" s="17"/>
      <c r="H531" s="17"/>
      <c r="I531" s="17"/>
      <c r="J531" s="17" t="s">
        <v>705</v>
      </c>
      <c r="K531" s="17"/>
      <c r="L531" s="17"/>
      <c r="AC531" s="1257"/>
    </row>
    <row r="532">
      <c r="B532" s="17"/>
      <c r="C532" s="17"/>
      <c r="D532" s="17"/>
      <c r="E532" s="444"/>
      <c r="F532" s="17"/>
      <c r="G532" s="17"/>
      <c r="H532" s="17"/>
      <c r="I532" s="17"/>
      <c r="J532" s="17" t="s">
        <v>705</v>
      </c>
      <c r="K532" s="17"/>
      <c r="L532" s="17"/>
      <c r="AC532" s="1257"/>
    </row>
    <row r="533">
      <c r="B533" s="17"/>
      <c r="C533" s="17"/>
      <c r="D533" s="17"/>
      <c r="E533" s="444"/>
      <c r="F533" s="17"/>
      <c r="G533" s="17"/>
      <c r="H533" s="17"/>
      <c r="I533" s="17"/>
      <c r="J533" s="17" t="s">
        <v>705</v>
      </c>
      <c r="K533" s="17"/>
      <c r="L533" s="17"/>
      <c r="AC533" s="1257"/>
    </row>
    <row r="534">
      <c r="B534" s="17"/>
      <c r="C534" s="17"/>
      <c r="D534" s="17"/>
      <c r="E534" s="444"/>
      <c r="F534" s="17"/>
      <c r="G534" s="17"/>
      <c r="H534" s="17"/>
      <c r="I534" s="17"/>
      <c r="J534" s="17" t="s">
        <v>705</v>
      </c>
      <c r="K534" s="17"/>
      <c r="L534" s="17"/>
      <c r="AC534" s="1257"/>
    </row>
    <row r="535">
      <c r="B535" s="17"/>
      <c r="C535" s="17"/>
      <c r="D535" s="17"/>
      <c r="E535" s="444"/>
      <c r="F535" s="17"/>
      <c r="G535" s="17"/>
      <c r="H535" s="17"/>
      <c r="I535" s="17"/>
      <c r="J535" s="17" t="s">
        <v>705</v>
      </c>
      <c r="K535" s="17"/>
      <c r="L535" s="17"/>
      <c r="AC535" s="1257"/>
    </row>
    <row r="536">
      <c r="B536" s="17"/>
      <c r="C536" s="17"/>
      <c r="D536" s="17"/>
      <c r="E536" s="444"/>
      <c r="F536" s="17"/>
      <c r="G536" s="17"/>
      <c r="H536" s="17"/>
      <c r="I536" s="17"/>
      <c r="J536" s="17" t="s">
        <v>705</v>
      </c>
      <c r="K536" s="17"/>
      <c r="L536" s="17"/>
      <c r="AC536" s="1257"/>
    </row>
    <row r="537">
      <c r="B537" s="17"/>
      <c r="C537" s="17"/>
      <c r="D537" s="17"/>
      <c r="E537" s="444"/>
      <c r="F537" s="17"/>
      <c r="G537" s="17"/>
      <c r="H537" s="17"/>
      <c r="I537" s="17"/>
      <c r="J537" s="17" t="s">
        <v>705</v>
      </c>
      <c r="K537" s="17"/>
      <c r="L537" s="17"/>
      <c r="AC537" s="1257"/>
    </row>
    <row r="538">
      <c r="B538" s="17"/>
      <c r="C538" s="17"/>
      <c r="D538" s="17"/>
      <c r="E538" s="444"/>
      <c r="F538" s="17"/>
      <c r="G538" s="17"/>
      <c r="H538" s="17"/>
      <c r="I538" s="17"/>
      <c r="J538" s="17" t="s">
        <v>705</v>
      </c>
      <c r="K538" s="17"/>
      <c r="L538" s="17"/>
      <c r="AC538" s="1257"/>
    </row>
    <row r="539">
      <c r="B539" s="17"/>
      <c r="C539" s="17"/>
      <c r="D539" s="17"/>
      <c r="E539" s="444"/>
      <c r="F539" s="17"/>
      <c r="G539" s="17"/>
      <c r="H539" s="17"/>
      <c r="I539" s="17"/>
      <c r="J539" s="17" t="s">
        <v>705</v>
      </c>
      <c r="K539" s="17"/>
      <c r="L539" s="17"/>
      <c r="AC539" s="1257"/>
    </row>
    <row r="540">
      <c r="B540" s="17"/>
      <c r="C540" s="17"/>
      <c r="D540" s="17"/>
      <c r="E540" s="444"/>
      <c r="F540" s="17"/>
      <c r="G540" s="17"/>
      <c r="H540" s="17"/>
      <c r="I540" s="17"/>
      <c r="J540" s="17" t="s">
        <v>705</v>
      </c>
      <c r="K540" s="17"/>
      <c r="L540" s="17"/>
      <c r="AC540" s="1257"/>
    </row>
    <row r="541">
      <c r="B541" s="17"/>
      <c r="C541" s="17"/>
      <c r="D541" s="17"/>
      <c r="E541" s="444"/>
      <c r="F541" s="17"/>
      <c r="G541" s="17"/>
      <c r="H541" s="17"/>
      <c r="I541" s="17"/>
      <c r="J541" s="17" t="s">
        <v>705</v>
      </c>
      <c r="K541" s="17"/>
      <c r="L541" s="17"/>
      <c r="AC541" s="1257"/>
    </row>
    <row r="542">
      <c r="B542" s="17"/>
      <c r="C542" s="17"/>
      <c r="D542" s="17"/>
      <c r="E542" s="444"/>
      <c r="F542" s="17"/>
      <c r="G542" s="17"/>
      <c r="H542" s="17"/>
      <c r="I542" s="17"/>
      <c r="J542" s="17" t="s">
        <v>705</v>
      </c>
      <c r="K542" s="17"/>
      <c r="L542" s="17"/>
      <c r="AC542" s="1257"/>
    </row>
    <row r="543">
      <c r="B543" s="17"/>
      <c r="C543" s="17"/>
      <c r="D543" s="17"/>
      <c r="E543" s="444"/>
      <c r="F543" s="17"/>
      <c r="G543" s="17"/>
      <c r="H543" s="17"/>
      <c r="I543" s="17"/>
      <c r="J543" s="17" t="s">
        <v>705</v>
      </c>
      <c r="K543" s="17"/>
      <c r="L543" s="17"/>
      <c r="AC543" s="1257"/>
    </row>
    <row r="544">
      <c r="B544" s="17"/>
      <c r="C544" s="17"/>
      <c r="D544" s="17"/>
      <c r="E544" s="444"/>
      <c r="F544" s="17"/>
      <c r="G544" s="17"/>
      <c r="H544" s="17"/>
      <c r="I544" s="17"/>
      <c r="J544" s="17" t="s">
        <v>705</v>
      </c>
      <c r="K544" s="17"/>
      <c r="L544" s="17"/>
      <c r="AC544" s="1257"/>
    </row>
    <row r="545">
      <c r="B545" s="17"/>
      <c r="C545" s="17"/>
      <c r="D545" s="17"/>
      <c r="E545" s="444"/>
      <c r="F545" s="17"/>
      <c r="G545" s="17"/>
      <c r="H545" s="17"/>
      <c r="I545" s="17"/>
      <c r="J545" s="17" t="s">
        <v>705</v>
      </c>
      <c r="K545" s="17"/>
      <c r="L545" s="17"/>
      <c r="AC545" s="1257"/>
    </row>
    <row r="546">
      <c r="B546" s="17"/>
      <c r="C546" s="17"/>
      <c r="D546" s="17"/>
      <c r="E546" s="444"/>
      <c r="F546" s="17"/>
      <c r="G546" s="17"/>
      <c r="H546" s="17"/>
      <c r="I546" s="17"/>
      <c r="J546" s="17" t="s">
        <v>705</v>
      </c>
      <c r="K546" s="17"/>
      <c r="L546" s="17"/>
      <c r="AC546" s="1257"/>
    </row>
    <row r="547">
      <c r="B547" s="17"/>
      <c r="C547" s="17"/>
      <c r="D547" s="17"/>
      <c r="E547" s="444"/>
      <c r="F547" s="17"/>
      <c r="G547" s="17"/>
      <c r="H547" s="17"/>
      <c r="I547" s="17"/>
      <c r="J547" s="17" t="s">
        <v>705</v>
      </c>
      <c r="K547" s="17"/>
      <c r="L547" s="17"/>
      <c r="AC547" s="1257"/>
    </row>
    <row r="548">
      <c r="B548" s="17"/>
      <c r="C548" s="17"/>
      <c r="D548" s="17"/>
      <c r="E548" s="444"/>
      <c r="F548" s="17"/>
      <c r="G548" s="17"/>
      <c r="H548" s="17"/>
      <c r="I548" s="17"/>
      <c r="J548" s="17" t="s">
        <v>705</v>
      </c>
      <c r="K548" s="17"/>
      <c r="L548" s="17"/>
      <c r="AC548" s="1257"/>
    </row>
    <row r="549">
      <c r="B549" s="17"/>
      <c r="C549" s="17"/>
      <c r="D549" s="17"/>
      <c r="E549" s="444"/>
      <c r="F549" s="17"/>
      <c r="G549" s="17"/>
      <c r="H549" s="17"/>
      <c r="I549" s="17"/>
      <c r="J549" s="17" t="s">
        <v>705</v>
      </c>
      <c r="K549" s="17"/>
      <c r="L549" s="17"/>
      <c r="AC549" s="1257"/>
    </row>
    <row r="550">
      <c r="B550" s="17"/>
      <c r="C550" s="17"/>
      <c r="D550" s="17"/>
      <c r="E550" s="444"/>
      <c r="F550" s="17"/>
      <c r="G550" s="17"/>
      <c r="H550" s="17"/>
      <c r="I550" s="17"/>
      <c r="J550" s="17" t="s">
        <v>705</v>
      </c>
      <c r="K550" s="17"/>
      <c r="L550" s="17"/>
      <c r="AC550" s="1257"/>
    </row>
    <row r="551">
      <c r="B551" s="17"/>
      <c r="C551" s="17"/>
      <c r="D551" s="17"/>
      <c r="E551" s="444"/>
      <c r="F551" s="17"/>
      <c r="G551" s="17"/>
      <c r="H551" s="17"/>
      <c r="I551" s="17"/>
      <c r="J551" s="17" t="s">
        <v>705</v>
      </c>
      <c r="K551" s="17"/>
      <c r="L551" s="17"/>
      <c r="AC551" s="1257"/>
    </row>
    <row r="552">
      <c r="B552" s="17"/>
      <c r="C552" s="17"/>
      <c r="D552" s="17"/>
      <c r="E552" s="444"/>
      <c r="F552" s="17"/>
      <c r="G552" s="17"/>
      <c r="H552" s="17"/>
      <c r="I552" s="17"/>
      <c r="J552" s="17" t="s">
        <v>705</v>
      </c>
      <c r="K552" s="17"/>
      <c r="L552" s="17"/>
      <c r="AC552" s="1257"/>
    </row>
    <row r="553">
      <c r="B553" s="17"/>
      <c r="C553" s="17"/>
      <c r="D553" s="17"/>
      <c r="E553" s="444"/>
      <c r="F553" s="17"/>
      <c r="G553" s="17"/>
      <c r="H553" s="17"/>
      <c r="I553" s="17"/>
      <c r="J553" s="17" t="s">
        <v>705</v>
      </c>
      <c r="K553" s="17"/>
      <c r="L553" s="17"/>
      <c r="AC553" s="1257"/>
    </row>
    <row r="554">
      <c r="B554" s="17"/>
      <c r="C554" s="17"/>
      <c r="D554" s="17"/>
      <c r="E554" s="444"/>
      <c r="F554" s="17"/>
      <c r="G554" s="17"/>
      <c r="H554" s="17"/>
      <c r="I554" s="17"/>
      <c r="J554" s="17" t="s">
        <v>705</v>
      </c>
      <c r="K554" s="17"/>
      <c r="L554" s="17"/>
      <c r="AC554" s="1257"/>
    </row>
    <row r="555">
      <c r="B555" s="17"/>
      <c r="C555" s="17"/>
      <c r="D555" s="17"/>
      <c r="E555" s="444"/>
      <c r="F555" s="17"/>
      <c r="G555" s="17"/>
      <c r="H555" s="17"/>
      <c r="I555" s="17"/>
      <c r="J555" s="17" t="s">
        <v>705</v>
      </c>
      <c r="K555" s="17"/>
      <c r="L555" s="17"/>
      <c r="AC555" s="1257"/>
    </row>
    <row r="556">
      <c r="B556" s="17"/>
      <c r="C556" s="17"/>
      <c r="D556" s="17"/>
      <c r="E556" s="444"/>
      <c r="F556" s="17"/>
      <c r="G556" s="17"/>
      <c r="H556" s="17"/>
      <c r="I556" s="17"/>
      <c r="J556" s="17" t="s">
        <v>705</v>
      </c>
      <c r="K556" s="17"/>
      <c r="L556" s="17"/>
      <c r="AC556" s="1257"/>
    </row>
    <row r="557">
      <c r="B557" s="17"/>
      <c r="C557" s="17"/>
      <c r="D557" s="17"/>
      <c r="E557" s="444"/>
      <c r="F557" s="17"/>
      <c r="G557" s="17"/>
      <c r="H557" s="17"/>
      <c r="I557" s="17"/>
      <c r="J557" s="17" t="s">
        <v>705</v>
      </c>
      <c r="K557" s="17"/>
      <c r="L557" s="17"/>
      <c r="AC557" s="1257"/>
    </row>
    <row r="558">
      <c r="B558" s="17"/>
      <c r="C558" s="17"/>
      <c r="D558" s="17"/>
      <c r="E558" s="444"/>
      <c r="F558" s="17"/>
      <c r="G558" s="17"/>
      <c r="H558" s="17"/>
      <c r="I558" s="17"/>
      <c r="J558" s="17" t="s">
        <v>705</v>
      </c>
      <c r="K558" s="17"/>
      <c r="L558" s="17"/>
      <c r="AC558" s="1257"/>
    </row>
    <row r="559">
      <c r="B559" s="17"/>
      <c r="C559" s="17"/>
      <c r="D559" s="17"/>
      <c r="E559" s="444"/>
      <c r="F559" s="17"/>
      <c r="G559" s="17"/>
      <c r="H559" s="17"/>
      <c r="I559" s="17"/>
      <c r="J559" s="17" t="s">
        <v>705</v>
      </c>
      <c r="K559" s="17"/>
      <c r="L559" s="17"/>
      <c r="AC559" s="1257"/>
    </row>
    <row r="560">
      <c r="B560" s="17"/>
      <c r="C560" s="17"/>
      <c r="D560" s="17"/>
      <c r="E560" s="444"/>
      <c r="F560" s="17"/>
      <c r="G560" s="17"/>
      <c r="H560" s="17"/>
      <c r="I560" s="17"/>
      <c r="J560" s="17" t="s">
        <v>705</v>
      </c>
      <c r="K560" s="17"/>
      <c r="L560" s="17"/>
      <c r="AC560" s="1257"/>
    </row>
    <row r="561">
      <c r="B561" s="17"/>
      <c r="C561" s="17"/>
      <c r="D561" s="17"/>
      <c r="E561" s="444"/>
      <c r="F561" s="17"/>
      <c r="G561" s="17"/>
      <c r="H561" s="17"/>
      <c r="I561" s="17"/>
      <c r="J561" s="17" t="s">
        <v>705</v>
      </c>
      <c r="K561" s="17"/>
      <c r="L561" s="17"/>
      <c r="AC561" s="1257"/>
    </row>
    <row r="562">
      <c r="B562" s="17"/>
      <c r="C562" s="17"/>
      <c r="D562" s="17"/>
      <c r="E562" s="444"/>
      <c r="F562" s="17"/>
      <c r="G562" s="17"/>
      <c r="H562" s="17"/>
      <c r="I562" s="17"/>
      <c r="J562" s="17" t="s">
        <v>705</v>
      </c>
      <c r="K562" s="17"/>
      <c r="L562" s="17"/>
      <c r="AC562" s="1257"/>
    </row>
    <row r="563">
      <c r="B563" s="17"/>
      <c r="C563" s="17"/>
      <c r="D563" s="17"/>
      <c r="E563" s="444"/>
      <c r="F563" s="17"/>
      <c r="G563" s="17"/>
      <c r="H563" s="17"/>
      <c r="I563" s="17"/>
      <c r="J563" s="17" t="s">
        <v>705</v>
      </c>
      <c r="K563" s="17"/>
      <c r="L563" s="17"/>
      <c r="AC563" s="1257"/>
    </row>
    <row r="564">
      <c r="B564" s="17"/>
      <c r="C564" s="17"/>
      <c r="D564" s="17"/>
      <c r="E564" s="444"/>
      <c r="F564" s="17"/>
      <c r="G564" s="17"/>
      <c r="H564" s="17"/>
      <c r="I564" s="17"/>
      <c r="J564" s="17" t="s">
        <v>705</v>
      </c>
      <c r="K564" s="17"/>
      <c r="L564" s="17"/>
      <c r="AC564" s="1257"/>
    </row>
    <row r="565">
      <c r="B565" s="17"/>
      <c r="C565" s="17"/>
      <c r="D565" s="17"/>
      <c r="E565" s="444"/>
      <c r="F565" s="17"/>
      <c r="G565" s="17"/>
      <c r="H565" s="17"/>
      <c r="I565" s="17"/>
      <c r="J565" s="17" t="s">
        <v>705</v>
      </c>
      <c r="K565" s="17"/>
      <c r="L565" s="17"/>
      <c r="AC565" s="1257"/>
    </row>
    <row r="566">
      <c r="B566" s="17"/>
      <c r="C566" s="17"/>
      <c r="D566" s="17"/>
      <c r="E566" s="444"/>
      <c r="F566" s="17"/>
      <c r="G566" s="17"/>
      <c r="H566" s="17"/>
      <c r="I566" s="17"/>
      <c r="J566" s="17" t="s">
        <v>705</v>
      </c>
      <c r="K566" s="17"/>
      <c r="L566" s="17"/>
      <c r="AC566" s="1257"/>
    </row>
    <row r="567">
      <c r="B567" s="17"/>
      <c r="C567" s="17"/>
      <c r="D567" s="17"/>
      <c r="E567" s="444"/>
      <c r="F567" s="17"/>
      <c r="G567" s="17"/>
      <c r="H567" s="17"/>
      <c r="I567" s="17"/>
      <c r="J567" s="17" t="s">
        <v>705</v>
      </c>
      <c r="K567" s="17"/>
      <c r="L567" s="17"/>
      <c r="AC567" s="1257"/>
    </row>
    <row r="568">
      <c r="B568" s="17"/>
      <c r="C568" s="17"/>
      <c r="D568" s="17"/>
      <c r="E568" s="444"/>
      <c r="F568" s="17"/>
      <c r="G568" s="17"/>
      <c r="H568" s="17"/>
      <c r="I568" s="17"/>
      <c r="J568" s="17" t="s">
        <v>705</v>
      </c>
      <c r="K568" s="17"/>
      <c r="L568" s="17"/>
      <c r="AC568" s="1257"/>
    </row>
    <row r="569">
      <c r="B569" s="17"/>
      <c r="C569" s="17"/>
      <c r="D569" s="17"/>
      <c r="E569" s="444"/>
      <c r="F569" s="17"/>
      <c r="G569" s="17"/>
      <c r="H569" s="17"/>
      <c r="I569" s="17"/>
      <c r="J569" s="17" t="s">
        <v>705</v>
      </c>
      <c r="K569" s="17"/>
      <c r="L569" s="17"/>
      <c r="AC569" s="1257"/>
    </row>
    <row r="570">
      <c r="B570" s="17"/>
      <c r="C570" s="17"/>
      <c r="D570" s="17"/>
      <c r="E570" s="444"/>
      <c r="F570" s="17"/>
      <c r="G570" s="17"/>
      <c r="H570" s="17"/>
      <c r="I570" s="17"/>
      <c r="J570" s="17" t="s">
        <v>705</v>
      </c>
      <c r="K570" s="17"/>
      <c r="L570" s="17"/>
      <c r="AC570" s="1257"/>
    </row>
    <row r="571">
      <c r="B571" s="17"/>
      <c r="C571" s="17"/>
      <c r="D571" s="17"/>
      <c r="E571" s="444"/>
      <c r="F571" s="17"/>
      <c r="G571" s="17"/>
      <c r="H571" s="17"/>
      <c r="I571" s="17"/>
      <c r="J571" s="17" t="s">
        <v>705</v>
      </c>
      <c r="K571" s="17"/>
      <c r="L571" s="17"/>
      <c r="AC571" s="1257"/>
    </row>
    <row r="572">
      <c r="B572" s="17"/>
      <c r="C572" s="17"/>
      <c r="D572" s="17"/>
      <c r="E572" s="444"/>
      <c r="F572" s="17"/>
      <c r="G572" s="17"/>
      <c r="H572" s="17"/>
      <c r="I572" s="17"/>
      <c r="J572" s="17" t="s">
        <v>705</v>
      </c>
      <c r="K572" s="17"/>
      <c r="L572" s="17"/>
      <c r="AC572" s="1257"/>
    </row>
    <row r="573">
      <c r="B573" s="17"/>
      <c r="C573" s="17"/>
      <c r="D573" s="17"/>
      <c r="E573" s="444"/>
      <c r="F573" s="17"/>
      <c r="G573" s="17"/>
      <c r="H573" s="17"/>
      <c r="I573" s="17"/>
      <c r="J573" s="17" t="s">
        <v>705</v>
      </c>
      <c r="K573" s="17"/>
      <c r="L573" s="17"/>
      <c r="AC573" s="1257"/>
    </row>
    <row r="574">
      <c r="B574" s="17"/>
      <c r="C574" s="17"/>
      <c r="D574" s="17"/>
      <c r="E574" s="444"/>
      <c r="F574" s="17"/>
      <c r="G574" s="17"/>
      <c r="H574" s="17"/>
      <c r="I574" s="17"/>
      <c r="J574" s="17" t="s">
        <v>705</v>
      </c>
      <c r="K574" s="17"/>
      <c r="L574" s="17"/>
      <c r="AC574" s="1257"/>
    </row>
    <row r="575">
      <c r="B575" s="17"/>
      <c r="C575" s="17"/>
      <c r="D575" s="17"/>
      <c r="E575" s="444"/>
      <c r="F575" s="17"/>
      <c r="G575" s="17"/>
      <c r="H575" s="17"/>
      <c r="I575" s="17"/>
      <c r="J575" s="17" t="s">
        <v>705</v>
      </c>
      <c r="K575" s="17"/>
      <c r="L575" s="17"/>
      <c r="AC575" s="1257"/>
    </row>
    <row r="576">
      <c r="B576" s="17"/>
      <c r="C576" s="17"/>
      <c r="D576" s="17"/>
      <c r="E576" s="444"/>
      <c r="F576" s="17"/>
      <c r="G576" s="17"/>
      <c r="H576" s="17"/>
      <c r="I576" s="17"/>
      <c r="J576" s="17" t="s">
        <v>705</v>
      </c>
      <c r="K576" s="17"/>
      <c r="L576" s="17"/>
      <c r="AC576" s="1257"/>
    </row>
    <row r="577">
      <c r="B577" s="17"/>
      <c r="C577" s="17"/>
      <c r="D577" s="17"/>
      <c r="E577" s="444"/>
      <c r="F577" s="17"/>
      <c r="G577" s="17"/>
      <c r="H577" s="17"/>
      <c r="I577" s="17"/>
      <c r="J577" s="17" t="s">
        <v>705</v>
      </c>
      <c r="K577" s="17"/>
      <c r="L577" s="17"/>
      <c r="AC577" s="1257"/>
    </row>
    <row r="578">
      <c r="B578" s="17"/>
      <c r="C578" s="17"/>
      <c r="D578" s="17"/>
      <c r="E578" s="444"/>
      <c r="F578" s="17"/>
      <c r="G578" s="17"/>
      <c r="H578" s="17"/>
      <c r="I578" s="17"/>
      <c r="J578" s="17" t="s">
        <v>705</v>
      </c>
      <c r="K578" s="17"/>
      <c r="L578" s="17"/>
      <c r="AC578" s="1257"/>
    </row>
    <row r="579">
      <c r="B579" s="17"/>
      <c r="C579" s="17"/>
      <c r="D579" s="17"/>
      <c r="E579" s="444"/>
      <c r="F579" s="17"/>
      <c r="G579" s="17"/>
      <c r="H579" s="17"/>
      <c r="I579" s="17"/>
      <c r="J579" s="17" t="s">
        <v>705</v>
      </c>
      <c r="K579" s="17"/>
      <c r="L579" s="17"/>
      <c r="AC579" s="1257"/>
    </row>
    <row r="580">
      <c r="B580" s="17"/>
      <c r="C580" s="17"/>
      <c r="D580" s="17"/>
      <c r="E580" s="444"/>
      <c r="F580" s="17"/>
      <c r="G580" s="17"/>
      <c r="H580" s="17"/>
      <c r="I580" s="17"/>
      <c r="J580" s="17" t="s">
        <v>705</v>
      </c>
      <c r="K580" s="17"/>
      <c r="L580" s="17"/>
      <c r="AC580" s="1257"/>
    </row>
    <row r="581">
      <c r="B581" s="17"/>
      <c r="C581" s="17"/>
      <c r="D581" s="17"/>
      <c r="E581" s="444"/>
      <c r="F581" s="17"/>
      <c r="G581" s="17"/>
      <c r="H581" s="17"/>
      <c r="I581" s="17"/>
      <c r="J581" s="17" t="s">
        <v>705</v>
      </c>
      <c r="K581" s="17"/>
      <c r="L581" s="17"/>
      <c r="AC581" s="1257"/>
    </row>
    <row r="582">
      <c r="B582" s="17"/>
      <c r="C582" s="17"/>
      <c r="D582" s="17"/>
      <c r="E582" s="444"/>
      <c r="F582" s="17"/>
      <c r="G582" s="17"/>
      <c r="H582" s="17"/>
      <c r="I582" s="17"/>
      <c r="J582" s="17" t="s">
        <v>705</v>
      </c>
      <c r="K582" s="17"/>
      <c r="L582" s="17"/>
      <c r="AC582" s="1257"/>
    </row>
    <row r="583">
      <c r="B583" s="17"/>
      <c r="C583" s="17"/>
      <c r="D583" s="17"/>
      <c r="E583" s="444"/>
      <c r="F583" s="17"/>
      <c r="G583" s="17"/>
      <c r="H583" s="17"/>
      <c r="I583" s="17"/>
      <c r="J583" s="17" t="s">
        <v>705</v>
      </c>
      <c r="K583" s="17"/>
      <c r="L583" s="17"/>
      <c r="AC583" s="1257"/>
    </row>
    <row r="584">
      <c r="B584" s="17"/>
      <c r="C584" s="17"/>
      <c r="D584" s="17"/>
      <c r="E584" s="444"/>
      <c r="F584" s="17"/>
      <c r="G584" s="17"/>
      <c r="H584" s="17"/>
      <c r="I584" s="17"/>
      <c r="J584" s="17" t="s">
        <v>705</v>
      </c>
      <c r="K584" s="17"/>
      <c r="L584" s="17"/>
      <c r="AC584" s="1257"/>
    </row>
    <row r="585">
      <c r="B585" s="17"/>
      <c r="C585" s="17"/>
      <c r="D585" s="17"/>
      <c r="E585" s="444"/>
      <c r="F585" s="17"/>
      <c r="G585" s="17"/>
      <c r="H585" s="17"/>
      <c r="I585" s="17"/>
      <c r="J585" s="17" t="s">
        <v>705</v>
      </c>
      <c r="K585" s="17"/>
      <c r="L585" s="17"/>
      <c r="AC585" s="1257"/>
    </row>
    <row r="586">
      <c r="B586" s="17"/>
      <c r="C586" s="17"/>
      <c r="D586" s="17"/>
      <c r="E586" s="444"/>
      <c r="F586" s="17"/>
      <c r="G586" s="17"/>
      <c r="H586" s="17"/>
      <c r="I586" s="17"/>
      <c r="J586" s="17" t="s">
        <v>705</v>
      </c>
      <c r="K586" s="17"/>
      <c r="L586" s="17"/>
      <c r="AC586" s="1257"/>
    </row>
    <row r="587">
      <c r="B587" s="17"/>
      <c r="C587" s="17"/>
      <c r="D587" s="17"/>
      <c r="E587" s="444"/>
      <c r="F587" s="17"/>
      <c r="G587" s="17"/>
      <c r="H587" s="17"/>
      <c r="I587" s="17"/>
      <c r="J587" s="17" t="s">
        <v>705</v>
      </c>
      <c r="K587" s="17"/>
      <c r="L587" s="17"/>
      <c r="AC587" s="1257"/>
    </row>
    <row r="588">
      <c r="B588" s="17"/>
      <c r="C588" s="17"/>
      <c r="D588" s="17"/>
      <c r="E588" s="444"/>
      <c r="F588" s="17"/>
      <c r="G588" s="17"/>
      <c r="H588" s="17"/>
      <c r="I588" s="17"/>
      <c r="J588" s="17" t="s">
        <v>705</v>
      </c>
      <c r="K588" s="17"/>
      <c r="L588" s="17"/>
      <c r="AC588" s="1257"/>
    </row>
    <row r="589">
      <c r="B589" s="17"/>
      <c r="C589" s="17"/>
      <c r="D589" s="17"/>
      <c r="E589" s="444"/>
      <c r="F589" s="17"/>
      <c r="G589" s="17"/>
      <c r="H589" s="17"/>
      <c r="I589" s="17"/>
      <c r="J589" s="17" t="s">
        <v>705</v>
      </c>
      <c r="K589" s="17"/>
      <c r="L589" s="17"/>
      <c r="AC589" s="1257"/>
    </row>
    <row r="590">
      <c r="B590" s="17"/>
      <c r="C590" s="17"/>
      <c r="D590" s="17"/>
      <c r="E590" s="444"/>
      <c r="F590" s="17"/>
      <c r="G590" s="17"/>
      <c r="H590" s="17"/>
      <c r="I590" s="17"/>
      <c r="J590" s="17" t="s">
        <v>705</v>
      </c>
      <c r="K590" s="17"/>
      <c r="L590" s="17"/>
      <c r="AC590" s="1257"/>
    </row>
    <row r="591">
      <c r="B591" s="17"/>
      <c r="C591" s="17"/>
      <c r="D591" s="17"/>
      <c r="E591" s="444"/>
      <c r="F591" s="17"/>
      <c r="G591" s="17"/>
      <c r="H591" s="17"/>
      <c r="I591" s="17"/>
      <c r="J591" s="17" t="s">
        <v>705</v>
      </c>
      <c r="K591" s="17"/>
      <c r="L591" s="17"/>
      <c r="AC591" s="1257"/>
    </row>
    <row r="592">
      <c r="B592" s="17"/>
      <c r="C592" s="17"/>
      <c r="D592" s="17"/>
      <c r="E592" s="444"/>
      <c r="F592" s="17"/>
      <c r="G592" s="17"/>
      <c r="H592" s="17"/>
      <c r="I592" s="17"/>
      <c r="J592" s="17" t="s">
        <v>705</v>
      </c>
      <c r="K592" s="17"/>
      <c r="L592" s="17"/>
      <c r="AC592" s="1257"/>
    </row>
    <row r="593">
      <c r="B593" s="17"/>
      <c r="C593" s="17"/>
      <c r="D593" s="17"/>
      <c r="E593" s="444"/>
      <c r="F593" s="17"/>
      <c r="G593" s="17"/>
      <c r="H593" s="17"/>
      <c r="I593" s="17"/>
      <c r="J593" s="17" t="s">
        <v>705</v>
      </c>
      <c r="K593" s="17"/>
      <c r="L593" s="17"/>
      <c r="AC593" s="1257"/>
    </row>
    <row r="594">
      <c r="B594" s="17"/>
      <c r="C594" s="17"/>
      <c r="D594" s="17"/>
      <c r="E594" s="444"/>
      <c r="F594" s="17"/>
      <c r="G594" s="17"/>
      <c r="H594" s="17"/>
      <c r="I594" s="17"/>
      <c r="J594" s="17" t="s">
        <v>705</v>
      </c>
      <c r="K594" s="17"/>
      <c r="L594" s="17"/>
      <c r="AC594" s="1257"/>
    </row>
    <row r="595">
      <c r="B595" s="17"/>
      <c r="C595" s="17"/>
      <c r="D595" s="17"/>
      <c r="E595" s="444"/>
      <c r="F595" s="17"/>
      <c r="G595" s="17"/>
      <c r="H595" s="17"/>
      <c r="I595" s="17"/>
      <c r="J595" s="17" t="s">
        <v>705</v>
      </c>
      <c r="K595" s="17"/>
      <c r="L595" s="17"/>
      <c r="AC595" s="1257"/>
    </row>
    <row r="596">
      <c r="B596" s="17"/>
      <c r="C596" s="17"/>
      <c r="D596" s="17"/>
      <c r="E596" s="444"/>
      <c r="F596" s="17"/>
      <c r="G596" s="17"/>
      <c r="H596" s="17"/>
      <c r="I596" s="17"/>
      <c r="J596" s="17" t="s">
        <v>705</v>
      </c>
      <c r="K596" s="17"/>
      <c r="L596" s="17"/>
      <c r="AC596" s="1257"/>
    </row>
    <row r="597">
      <c r="B597" s="17"/>
      <c r="C597" s="17"/>
      <c r="D597" s="17"/>
      <c r="E597" s="444"/>
      <c r="F597" s="17"/>
      <c r="G597" s="17"/>
      <c r="H597" s="17"/>
      <c r="I597" s="17"/>
      <c r="J597" s="17" t="s">
        <v>705</v>
      </c>
      <c r="K597" s="17"/>
      <c r="L597" s="17"/>
      <c r="AC597" s="1257"/>
    </row>
    <row r="598">
      <c r="B598" s="17"/>
      <c r="C598" s="17"/>
      <c r="D598" s="17"/>
      <c r="E598" s="444"/>
      <c r="F598" s="17"/>
      <c r="G598" s="17"/>
      <c r="H598" s="17"/>
      <c r="I598" s="17"/>
      <c r="J598" s="17" t="s">
        <v>705</v>
      </c>
      <c r="K598" s="17"/>
      <c r="L598" s="17"/>
      <c r="AC598" s="1257"/>
    </row>
    <row r="599">
      <c r="B599" s="17"/>
      <c r="C599" s="17"/>
      <c r="D599" s="17"/>
      <c r="E599" s="444"/>
      <c r="F599" s="17"/>
      <c r="G599" s="17"/>
      <c r="H599" s="17"/>
      <c r="I599" s="17"/>
      <c r="J599" s="17" t="s">
        <v>705</v>
      </c>
      <c r="K599" s="17"/>
      <c r="L599" s="17"/>
      <c r="AC599" s="1257"/>
    </row>
    <row r="600">
      <c r="B600" s="17"/>
      <c r="C600" s="17"/>
      <c r="D600" s="17"/>
      <c r="E600" s="444"/>
      <c r="F600" s="17"/>
      <c r="G600" s="17"/>
      <c r="H600" s="17"/>
      <c r="I600" s="17"/>
      <c r="J600" s="17" t="s">
        <v>705</v>
      </c>
      <c r="K600" s="17"/>
      <c r="L600" s="17"/>
      <c r="AC600" s="1257"/>
    </row>
    <row r="601">
      <c r="B601" s="17"/>
      <c r="C601" s="17"/>
      <c r="D601" s="17"/>
      <c r="E601" s="444"/>
      <c r="F601" s="17"/>
      <c r="G601" s="17"/>
      <c r="H601" s="17"/>
      <c r="I601" s="17"/>
      <c r="J601" s="17" t="s">
        <v>705</v>
      </c>
      <c r="K601" s="17"/>
      <c r="L601" s="17"/>
      <c r="AC601" s="1257"/>
    </row>
    <row r="602">
      <c r="B602" s="17"/>
      <c r="C602" s="17"/>
      <c r="D602" s="17"/>
      <c r="E602" s="444"/>
      <c r="F602" s="17"/>
      <c r="G602" s="17"/>
      <c r="H602" s="17"/>
      <c r="I602" s="17"/>
      <c r="J602" s="17" t="s">
        <v>705</v>
      </c>
      <c r="K602" s="17"/>
      <c r="L602" s="17"/>
      <c r="AC602" s="1257"/>
    </row>
    <row r="603">
      <c r="B603" s="17"/>
      <c r="C603" s="17"/>
      <c r="D603" s="17"/>
      <c r="E603" s="444"/>
      <c r="F603" s="17"/>
      <c r="G603" s="17"/>
      <c r="H603" s="17"/>
      <c r="I603" s="17"/>
      <c r="J603" s="17" t="s">
        <v>705</v>
      </c>
      <c r="K603" s="17"/>
      <c r="L603" s="17"/>
      <c r="AC603" s="1257"/>
    </row>
    <row r="604">
      <c r="B604" s="17"/>
      <c r="C604" s="17"/>
      <c r="D604" s="17"/>
      <c r="E604" s="444"/>
      <c r="F604" s="17"/>
      <c r="G604" s="17"/>
      <c r="H604" s="17"/>
      <c r="I604" s="17"/>
      <c r="J604" s="17" t="s">
        <v>705</v>
      </c>
      <c r="K604" s="17"/>
      <c r="L604" s="17"/>
      <c r="AC604" s="1257"/>
    </row>
    <row r="605">
      <c r="B605" s="17"/>
      <c r="C605" s="17"/>
      <c r="D605" s="17"/>
      <c r="E605" s="444"/>
      <c r="F605" s="17"/>
      <c r="G605" s="17"/>
      <c r="H605" s="17"/>
      <c r="I605" s="17"/>
      <c r="J605" s="17" t="s">
        <v>705</v>
      </c>
      <c r="K605" s="17"/>
      <c r="L605" s="17"/>
      <c r="AC605" s="1257"/>
    </row>
    <row r="606">
      <c r="B606" s="17"/>
      <c r="C606" s="17"/>
      <c r="D606" s="17"/>
      <c r="E606" s="444"/>
      <c r="F606" s="17"/>
      <c r="G606" s="17"/>
      <c r="H606" s="17"/>
      <c r="I606" s="17"/>
      <c r="J606" s="17" t="s">
        <v>705</v>
      </c>
      <c r="K606" s="17"/>
      <c r="L606" s="17"/>
      <c r="AC606" s="1257"/>
    </row>
    <row r="607">
      <c r="B607" s="17"/>
      <c r="C607" s="17"/>
      <c r="D607" s="17"/>
      <c r="E607" s="444"/>
      <c r="F607" s="17"/>
      <c r="G607" s="17"/>
      <c r="H607" s="17"/>
      <c r="I607" s="17"/>
      <c r="J607" s="17" t="s">
        <v>705</v>
      </c>
      <c r="K607" s="17"/>
      <c r="L607" s="17"/>
      <c r="AC607" s="1257"/>
    </row>
    <row r="608">
      <c r="B608" s="17"/>
      <c r="C608" s="17"/>
      <c r="D608" s="17"/>
      <c r="E608" s="444"/>
      <c r="F608" s="17"/>
      <c r="G608" s="17"/>
      <c r="H608" s="17"/>
      <c r="I608" s="17"/>
      <c r="J608" s="17" t="s">
        <v>705</v>
      </c>
      <c r="K608" s="17"/>
      <c r="L608" s="17"/>
      <c r="AC608" s="1257"/>
    </row>
    <row r="609">
      <c r="B609" s="17"/>
      <c r="C609" s="17"/>
      <c r="D609" s="17"/>
      <c r="E609" s="444"/>
      <c r="F609" s="17"/>
      <c r="G609" s="17"/>
      <c r="H609" s="17"/>
      <c r="I609" s="17"/>
      <c r="J609" s="17" t="s">
        <v>705</v>
      </c>
      <c r="K609" s="17"/>
      <c r="L609" s="17"/>
      <c r="AC609" s="1257"/>
    </row>
    <row r="610">
      <c r="B610" s="17"/>
      <c r="C610" s="17"/>
      <c r="D610" s="17"/>
      <c r="E610" s="444"/>
      <c r="F610" s="17"/>
      <c r="G610" s="17"/>
      <c r="H610" s="17"/>
      <c r="I610" s="17"/>
      <c r="J610" s="17" t="s">
        <v>705</v>
      </c>
      <c r="K610" s="17"/>
      <c r="L610" s="17"/>
      <c r="AC610" s="1257"/>
    </row>
    <row r="611">
      <c r="B611" s="17"/>
      <c r="C611" s="17"/>
      <c r="D611" s="17"/>
      <c r="E611" s="444"/>
      <c r="F611" s="17"/>
      <c r="G611" s="17"/>
      <c r="H611" s="17"/>
      <c r="I611" s="17"/>
      <c r="J611" s="17" t="s">
        <v>705</v>
      </c>
      <c r="K611" s="17"/>
      <c r="L611" s="17"/>
      <c r="AC611" s="1257"/>
    </row>
    <row r="612">
      <c r="B612" s="17"/>
      <c r="C612" s="17"/>
      <c r="D612" s="17"/>
      <c r="E612" s="444"/>
      <c r="F612" s="17"/>
      <c r="G612" s="17"/>
      <c r="H612" s="17"/>
      <c r="I612" s="17"/>
      <c r="J612" s="17" t="s">
        <v>705</v>
      </c>
      <c r="K612" s="17"/>
      <c r="L612" s="17"/>
      <c r="AC612" s="1257"/>
    </row>
    <row r="613">
      <c r="B613" s="17"/>
      <c r="C613" s="17"/>
      <c r="D613" s="17"/>
      <c r="E613" s="444"/>
      <c r="F613" s="17"/>
      <c r="G613" s="17"/>
      <c r="H613" s="17"/>
      <c r="I613" s="17"/>
      <c r="J613" s="17" t="s">
        <v>705</v>
      </c>
      <c r="K613" s="17"/>
      <c r="L613" s="17"/>
      <c r="AC613" s="1257"/>
    </row>
    <row r="614">
      <c r="B614" s="17"/>
      <c r="C614" s="17"/>
      <c r="D614" s="17"/>
      <c r="E614" s="444"/>
      <c r="F614" s="17"/>
      <c r="G614" s="17"/>
      <c r="H614" s="17"/>
      <c r="I614" s="17"/>
      <c r="J614" s="17" t="s">
        <v>705</v>
      </c>
      <c r="K614" s="17"/>
      <c r="L614" s="17"/>
      <c r="AC614" s="1257"/>
    </row>
    <row r="615">
      <c r="B615" s="17"/>
      <c r="C615" s="17"/>
      <c r="D615" s="17"/>
      <c r="E615" s="444"/>
      <c r="F615" s="17"/>
      <c r="G615" s="17"/>
      <c r="H615" s="17"/>
      <c r="I615" s="17"/>
      <c r="J615" s="17" t="s">
        <v>705</v>
      </c>
      <c r="K615" s="17"/>
      <c r="L615" s="17"/>
      <c r="AC615" s="1257"/>
    </row>
    <row r="616">
      <c r="B616" s="17"/>
      <c r="C616" s="17"/>
      <c r="D616" s="17"/>
      <c r="E616" s="444"/>
      <c r="F616" s="17"/>
      <c r="G616" s="17"/>
      <c r="H616" s="17"/>
      <c r="I616" s="17"/>
      <c r="J616" s="17" t="s">
        <v>705</v>
      </c>
      <c r="K616" s="17"/>
      <c r="L616" s="17"/>
      <c r="AC616" s="1257"/>
    </row>
    <row r="617">
      <c r="B617" s="17"/>
      <c r="C617" s="17"/>
      <c r="D617" s="17"/>
      <c r="E617" s="444"/>
      <c r="F617" s="17"/>
      <c r="G617" s="17"/>
      <c r="H617" s="17"/>
      <c r="I617" s="17"/>
      <c r="J617" s="17" t="s">
        <v>705</v>
      </c>
      <c r="K617" s="17"/>
      <c r="L617" s="17"/>
      <c r="AC617" s="1257"/>
    </row>
    <row r="618">
      <c r="B618" s="17"/>
      <c r="C618" s="17"/>
      <c r="D618" s="17"/>
      <c r="E618" s="444"/>
      <c r="F618" s="17"/>
      <c r="G618" s="17"/>
      <c r="H618" s="17"/>
      <c r="I618" s="17"/>
      <c r="J618" s="17" t="s">
        <v>705</v>
      </c>
      <c r="K618" s="17"/>
      <c r="L618" s="17"/>
      <c r="AC618" s="1257"/>
    </row>
    <row r="619">
      <c r="B619" s="17"/>
      <c r="C619" s="17"/>
      <c r="D619" s="17"/>
      <c r="E619" s="444"/>
      <c r="F619" s="17"/>
      <c r="G619" s="17"/>
      <c r="H619" s="17"/>
      <c r="I619" s="17"/>
      <c r="J619" s="17" t="s">
        <v>705</v>
      </c>
      <c r="K619" s="17"/>
      <c r="L619" s="17"/>
      <c r="AC619" s="1257"/>
    </row>
    <row r="620">
      <c r="B620" s="17"/>
      <c r="C620" s="17"/>
      <c r="D620" s="17"/>
      <c r="E620" s="444"/>
      <c r="F620" s="17"/>
      <c r="G620" s="17"/>
      <c r="H620" s="17"/>
      <c r="I620" s="17"/>
      <c r="J620" s="17" t="s">
        <v>705</v>
      </c>
      <c r="K620" s="17"/>
      <c r="L620" s="17"/>
      <c r="AC620" s="1257"/>
    </row>
    <row r="621">
      <c r="B621" s="17"/>
      <c r="C621" s="17"/>
      <c r="D621" s="17"/>
      <c r="E621" s="444"/>
      <c r="F621" s="17"/>
      <c r="G621" s="17"/>
      <c r="H621" s="17"/>
      <c r="I621" s="17"/>
      <c r="J621" s="17" t="s">
        <v>705</v>
      </c>
      <c r="K621" s="17"/>
      <c r="L621" s="17"/>
      <c r="AC621" s="1257"/>
    </row>
    <row r="622">
      <c r="B622" s="17"/>
      <c r="C622" s="17"/>
      <c r="D622" s="17"/>
      <c r="E622" s="444"/>
      <c r="F622" s="17"/>
      <c r="G622" s="17"/>
      <c r="H622" s="17"/>
      <c r="I622" s="17"/>
      <c r="J622" s="17" t="s">
        <v>705</v>
      </c>
      <c r="K622" s="17"/>
      <c r="L622" s="17"/>
      <c r="AC622" s="1257"/>
    </row>
    <row r="623">
      <c r="B623" s="17"/>
      <c r="C623" s="17"/>
      <c r="D623" s="17"/>
      <c r="E623" s="444"/>
      <c r="F623" s="17"/>
      <c r="G623" s="17"/>
      <c r="H623" s="17"/>
      <c r="I623" s="17"/>
      <c r="J623" s="17" t="s">
        <v>705</v>
      </c>
      <c r="K623" s="17"/>
      <c r="L623" s="17"/>
      <c r="AC623" s="1257"/>
    </row>
    <row r="624">
      <c r="B624" s="17"/>
      <c r="C624" s="17"/>
      <c r="D624" s="17"/>
      <c r="E624" s="444"/>
      <c r="F624" s="17"/>
      <c r="G624" s="17"/>
      <c r="H624" s="17"/>
      <c r="I624" s="17"/>
      <c r="J624" s="17" t="s">
        <v>705</v>
      </c>
      <c r="K624" s="17"/>
      <c r="L624" s="17"/>
      <c r="AC624" s="1257"/>
    </row>
    <row r="625">
      <c r="B625" s="17"/>
      <c r="C625" s="17"/>
      <c r="D625" s="17"/>
      <c r="E625" s="444"/>
      <c r="F625" s="17"/>
      <c r="G625" s="17"/>
      <c r="H625" s="17"/>
      <c r="I625" s="17"/>
      <c r="J625" s="17" t="s">
        <v>705</v>
      </c>
      <c r="K625" s="17"/>
      <c r="L625" s="17"/>
      <c r="AC625" s="1257"/>
    </row>
    <row r="626">
      <c r="B626" s="17"/>
      <c r="C626" s="17"/>
      <c r="D626" s="17"/>
      <c r="E626" s="444"/>
      <c r="F626" s="17"/>
      <c r="G626" s="17"/>
      <c r="H626" s="17"/>
      <c r="I626" s="17"/>
      <c r="J626" s="17" t="s">
        <v>705</v>
      </c>
      <c r="K626" s="17"/>
      <c r="L626" s="17"/>
      <c r="AC626" s="1257"/>
    </row>
    <row r="627">
      <c r="B627" s="17"/>
      <c r="C627" s="17"/>
      <c r="D627" s="17"/>
      <c r="E627" s="444"/>
      <c r="F627" s="17"/>
      <c r="G627" s="17"/>
      <c r="H627" s="17"/>
      <c r="I627" s="17"/>
      <c r="J627" s="17" t="s">
        <v>705</v>
      </c>
      <c r="K627" s="17"/>
      <c r="L627" s="17"/>
      <c r="AC627" s="1257"/>
    </row>
    <row r="628">
      <c r="B628" s="17"/>
      <c r="C628" s="17"/>
      <c r="D628" s="17"/>
      <c r="E628" s="444"/>
      <c r="F628" s="17"/>
      <c r="G628" s="17"/>
      <c r="H628" s="17"/>
      <c r="I628" s="17"/>
      <c r="J628" s="17" t="s">
        <v>705</v>
      </c>
      <c r="K628" s="17"/>
      <c r="L628" s="17"/>
      <c r="AC628" s="1257"/>
    </row>
    <row r="629">
      <c r="B629" s="17"/>
      <c r="C629" s="17"/>
      <c r="D629" s="17"/>
      <c r="E629" s="444"/>
      <c r="F629" s="17"/>
      <c r="G629" s="17"/>
      <c r="H629" s="17"/>
      <c r="I629" s="17"/>
      <c r="J629" s="17" t="s">
        <v>705</v>
      </c>
      <c r="K629" s="17"/>
      <c r="L629" s="17"/>
      <c r="AC629" s="1257"/>
    </row>
    <row r="630">
      <c r="B630" s="17"/>
      <c r="C630" s="17"/>
      <c r="D630" s="17"/>
      <c r="E630" s="444"/>
      <c r="F630" s="17"/>
      <c r="G630" s="17"/>
      <c r="H630" s="17"/>
      <c r="I630" s="17"/>
      <c r="J630" s="17" t="s">
        <v>705</v>
      </c>
      <c r="K630" s="17"/>
      <c r="L630" s="17"/>
      <c r="AC630" s="1257"/>
    </row>
    <row r="631">
      <c r="B631" s="17"/>
      <c r="C631" s="17"/>
      <c r="D631" s="17"/>
      <c r="E631" s="444"/>
      <c r="F631" s="17"/>
      <c r="G631" s="17"/>
      <c r="H631" s="17"/>
      <c r="I631" s="17"/>
      <c r="J631" s="17" t="s">
        <v>705</v>
      </c>
      <c r="K631" s="17"/>
      <c r="L631" s="17"/>
      <c r="AC631" s="1257"/>
    </row>
    <row r="632">
      <c r="B632" s="17"/>
      <c r="C632" s="17"/>
      <c r="D632" s="17"/>
      <c r="E632" s="444"/>
      <c r="F632" s="17"/>
      <c r="G632" s="17"/>
      <c r="H632" s="17"/>
      <c r="I632" s="17"/>
      <c r="J632" s="17" t="s">
        <v>705</v>
      </c>
      <c r="K632" s="17"/>
      <c r="L632" s="17"/>
      <c r="AC632" s="1257"/>
    </row>
    <row r="633">
      <c r="B633" s="17"/>
      <c r="C633" s="17"/>
      <c r="D633" s="17"/>
      <c r="E633" s="444"/>
      <c r="F633" s="17"/>
      <c r="G633" s="17"/>
      <c r="H633" s="17"/>
      <c r="I633" s="17"/>
      <c r="J633" s="17" t="s">
        <v>705</v>
      </c>
      <c r="K633" s="17"/>
      <c r="L633" s="17"/>
      <c r="AC633" s="1257"/>
    </row>
    <row r="634">
      <c r="B634" s="17"/>
      <c r="C634" s="17"/>
      <c r="D634" s="17"/>
      <c r="E634" s="444"/>
      <c r="F634" s="17"/>
      <c r="G634" s="17"/>
      <c r="H634" s="17"/>
      <c r="I634" s="17"/>
      <c r="J634" s="17" t="s">
        <v>705</v>
      </c>
      <c r="K634" s="17"/>
      <c r="L634" s="17"/>
      <c r="AC634" s="1257"/>
    </row>
    <row r="635">
      <c r="B635" s="17"/>
      <c r="C635" s="17"/>
      <c r="D635" s="17"/>
      <c r="E635" s="444"/>
      <c r="F635" s="17"/>
      <c r="G635" s="17"/>
      <c r="H635" s="17"/>
      <c r="I635" s="17"/>
      <c r="J635" s="17" t="s">
        <v>705</v>
      </c>
      <c r="K635" s="17"/>
      <c r="L635" s="17"/>
      <c r="AC635" s="1257"/>
    </row>
    <row r="636">
      <c r="B636" s="17"/>
      <c r="C636" s="17"/>
      <c r="D636" s="17"/>
      <c r="E636" s="444"/>
      <c r="F636" s="17"/>
      <c r="G636" s="17"/>
      <c r="H636" s="17"/>
      <c r="I636" s="17"/>
      <c r="J636" s="17" t="s">
        <v>705</v>
      </c>
      <c r="K636" s="17"/>
      <c r="L636" s="17"/>
      <c r="AC636" s="1257"/>
    </row>
    <row r="637">
      <c r="B637" s="17"/>
      <c r="C637" s="17"/>
      <c r="D637" s="17"/>
      <c r="E637" s="444"/>
      <c r="F637" s="17"/>
      <c r="G637" s="17"/>
      <c r="H637" s="17"/>
      <c r="I637" s="17"/>
      <c r="J637" s="17" t="s">
        <v>705</v>
      </c>
      <c r="K637" s="17"/>
      <c r="L637" s="17"/>
      <c r="AC637" s="1257"/>
    </row>
    <row r="638">
      <c r="B638" s="17"/>
      <c r="C638" s="17"/>
      <c r="D638" s="17"/>
      <c r="E638" s="444"/>
      <c r="F638" s="17"/>
      <c r="G638" s="17"/>
      <c r="H638" s="17"/>
      <c r="I638" s="17"/>
      <c r="J638" s="17" t="s">
        <v>705</v>
      </c>
      <c r="K638" s="17"/>
      <c r="L638" s="17"/>
      <c r="AC638" s="1257"/>
    </row>
    <row r="639">
      <c r="B639" s="17"/>
      <c r="C639" s="17"/>
      <c r="D639" s="17"/>
      <c r="E639" s="444"/>
      <c r="F639" s="17"/>
      <c r="G639" s="17"/>
      <c r="H639" s="17"/>
      <c r="I639" s="17"/>
      <c r="J639" s="17" t="s">
        <v>705</v>
      </c>
      <c r="K639" s="17"/>
      <c r="L639" s="17"/>
      <c r="AC639" s="1257"/>
    </row>
    <row r="640">
      <c r="B640" s="17"/>
      <c r="C640" s="17"/>
      <c r="D640" s="17"/>
      <c r="E640" s="444"/>
      <c r="F640" s="17"/>
      <c r="G640" s="17"/>
      <c r="H640" s="17"/>
      <c r="I640" s="17"/>
      <c r="J640" s="17" t="s">
        <v>705</v>
      </c>
      <c r="K640" s="17"/>
      <c r="L640" s="17"/>
      <c r="AC640" s="1257"/>
    </row>
    <row r="641">
      <c r="B641" s="17"/>
      <c r="C641" s="17"/>
      <c r="D641" s="17"/>
      <c r="E641" s="444"/>
      <c r="F641" s="17"/>
      <c r="G641" s="17"/>
      <c r="H641" s="17"/>
      <c r="I641" s="17"/>
      <c r="J641" s="17" t="s">
        <v>705</v>
      </c>
      <c r="K641" s="17"/>
      <c r="L641" s="17"/>
      <c r="AC641" s="1257"/>
    </row>
    <row r="642">
      <c r="B642" s="17"/>
      <c r="C642" s="17"/>
      <c r="D642" s="17"/>
      <c r="E642" s="444"/>
      <c r="F642" s="17"/>
      <c r="G642" s="17"/>
      <c r="H642" s="17"/>
      <c r="I642" s="17"/>
      <c r="J642" s="17" t="s">
        <v>705</v>
      </c>
      <c r="K642" s="17"/>
      <c r="L642" s="17"/>
      <c r="AC642" s="1257"/>
    </row>
    <row r="643">
      <c r="B643" s="17"/>
      <c r="C643" s="17"/>
      <c r="D643" s="17"/>
      <c r="E643" s="444"/>
      <c r="F643" s="17"/>
      <c r="G643" s="17"/>
      <c r="H643" s="17"/>
      <c r="I643" s="17"/>
      <c r="J643" s="17" t="s">
        <v>705</v>
      </c>
      <c r="K643" s="17"/>
      <c r="L643" s="17"/>
      <c r="AC643" s="1257"/>
    </row>
    <row r="644">
      <c r="B644" s="17"/>
      <c r="C644" s="17"/>
      <c r="D644" s="17"/>
      <c r="E644" s="444"/>
      <c r="F644" s="17"/>
      <c r="G644" s="17"/>
      <c r="H644" s="17"/>
      <c r="I644" s="17"/>
      <c r="J644" s="17" t="s">
        <v>705</v>
      </c>
      <c r="K644" s="17"/>
      <c r="L644" s="17"/>
      <c r="AC644" s="1257"/>
    </row>
    <row r="645">
      <c r="B645" s="17"/>
      <c r="C645" s="17"/>
      <c r="D645" s="17"/>
      <c r="E645" s="444"/>
      <c r="F645" s="17"/>
      <c r="G645" s="17"/>
      <c r="H645" s="17"/>
      <c r="I645" s="17"/>
      <c r="J645" s="17" t="s">
        <v>705</v>
      </c>
      <c r="K645" s="17"/>
      <c r="L645" s="17"/>
      <c r="AC645" s="1257"/>
    </row>
    <row r="646">
      <c r="B646" s="17"/>
      <c r="C646" s="17"/>
      <c r="D646" s="17"/>
      <c r="E646" s="444"/>
      <c r="F646" s="17"/>
      <c r="G646" s="17"/>
      <c r="H646" s="17"/>
      <c r="I646" s="17"/>
      <c r="J646" s="17" t="s">
        <v>705</v>
      </c>
      <c r="K646" s="17"/>
      <c r="L646" s="17"/>
      <c r="AC646" s="1257"/>
    </row>
    <row r="647">
      <c r="B647" s="17"/>
      <c r="C647" s="17"/>
      <c r="D647" s="17"/>
      <c r="E647" s="444"/>
      <c r="F647" s="17"/>
      <c r="G647" s="17"/>
      <c r="H647" s="17"/>
      <c r="I647" s="17"/>
      <c r="J647" s="17" t="s">
        <v>705</v>
      </c>
      <c r="K647" s="17"/>
      <c r="L647" s="17"/>
      <c r="AC647" s="1257"/>
    </row>
    <row r="648">
      <c r="B648" s="17"/>
      <c r="C648" s="17"/>
      <c r="D648" s="17"/>
      <c r="E648" s="444"/>
      <c r="F648" s="17"/>
      <c r="G648" s="17"/>
      <c r="H648" s="17"/>
      <c r="I648" s="17"/>
      <c r="J648" s="17" t="s">
        <v>705</v>
      </c>
      <c r="K648" s="17"/>
      <c r="L648" s="17"/>
      <c r="AC648" s="1257"/>
    </row>
    <row r="649">
      <c r="B649" s="17"/>
      <c r="C649" s="17"/>
      <c r="D649" s="17"/>
      <c r="E649" s="444"/>
      <c r="F649" s="17"/>
      <c r="G649" s="17"/>
      <c r="H649" s="17"/>
      <c r="I649" s="17"/>
      <c r="J649" s="17" t="s">
        <v>705</v>
      </c>
      <c r="K649" s="17"/>
      <c r="L649" s="17"/>
      <c r="AC649" s="1257"/>
    </row>
    <row r="650">
      <c r="B650" s="17"/>
      <c r="C650" s="17"/>
      <c r="D650" s="17"/>
      <c r="E650" s="444"/>
      <c r="F650" s="17"/>
      <c r="G650" s="17"/>
      <c r="H650" s="17"/>
      <c r="I650" s="17"/>
      <c r="J650" s="17" t="s">
        <v>705</v>
      </c>
      <c r="K650" s="17"/>
      <c r="L650" s="17"/>
      <c r="AC650" s="1257"/>
    </row>
    <row r="651">
      <c r="B651" s="17"/>
      <c r="C651" s="17"/>
      <c r="D651" s="17"/>
      <c r="E651" s="444"/>
      <c r="F651" s="17"/>
      <c r="G651" s="17"/>
      <c r="H651" s="17"/>
      <c r="I651" s="17"/>
      <c r="J651" s="17" t="s">
        <v>705</v>
      </c>
      <c r="K651" s="17"/>
      <c r="L651" s="17"/>
      <c r="AC651" s="1257"/>
    </row>
    <row r="652">
      <c r="B652" s="17"/>
      <c r="C652" s="17"/>
      <c r="D652" s="17"/>
      <c r="E652" s="444"/>
      <c r="F652" s="17"/>
      <c r="G652" s="17"/>
      <c r="H652" s="17"/>
      <c r="I652" s="17"/>
      <c r="J652" s="17" t="s">
        <v>705</v>
      </c>
      <c r="K652" s="17"/>
      <c r="L652" s="17"/>
      <c r="AC652" s="1257"/>
    </row>
    <row r="653">
      <c r="B653" s="17"/>
      <c r="C653" s="17"/>
      <c r="D653" s="17"/>
      <c r="E653" s="444"/>
      <c r="F653" s="17"/>
      <c r="G653" s="17"/>
      <c r="H653" s="17"/>
      <c r="I653" s="17"/>
      <c r="J653" s="17" t="s">
        <v>705</v>
      </c>
      <c r="K653" s="17"/>
      <c r="L653" s="17"/>
      <c r="AC653" s="1257"/>
    </row>
    <row r="654">
      <c r="B654" s="17"/>
      <c r="C654" s="17"/>
      <c r="D654" s="17"/>
      <c r="E654" s="444"/>
      <c r="F654" s="17"/>
      <c r="G654" s="17"/>
      <c r="H654" s="17"/>
      <c r="I654" s="17"/>
      <c r="J654" s="17" t="s">
        <v>705</v>
      </c>
      <c r="K654" s="17"/>
      <c r="L654" s="17"/>
      <c r="AC654" s="1257"/>
    </row>
    <row r="655">
      <c r="B655" s="17"/>
      <c r="C655" s="17"/>
      <c r="D655" s="17"/>
      <c r="E655" s="444"/>
      <c r="F655" s="17"/>
      <c r="G655" s="17"/>
      <c r="H655" s="17"/>
      <c r="I655" s="17"/>
      <c r="J655" s="17" t="s">
        <v>705</v>
      </c>
      <c r="K655" s="17"/>
      <c r="L655" s="17"/>
      <c r="AC655" s="1257"/>
    </row>
    <row r="656">
      <c r="B656" s="17"/>
      <c r="C656" s="17"/>
      <c r="D656" s="17"/>
      <c r="E656" s="444"/>
      <c r="F656" s="17"/>
      <c r="G656" s="17"/>
      <c r="H656" s="17"/>
      <c r="I656" s="17"/>
      <c r="J656" s="17" t="s">
        <v>705</v>
      </c>
      <c r="K656" s="17"/>
      <c r="L656" s="17"/>
      <c r="AC656" s="1257"/>
    </row>
    <row r="657">
      <c r="B657" s="17"/>
      <c r="C657" s="17"/>
      <c r="D657" s="17"/>
      <c r="E657" s="444"/>
      <c r="F657" s="17"/>
      <c r="G657" s="17"/>
      <c r="H657" s="17"/>
      <c r="I657" s="17"/>
      <c r="J657" s="17" t="s">
        <v>705</v>
      </c>
      <c r="K657" s="17"/>
      <c r="L657" s="17"/>
      <c r="AC657" s="1257"/>
    </row>
    <row r="658">
      <c r="B658" s="17"/>
      <c r="C658" s="17"/>
      <c r="D658" s="17"/>
      <c r="E658" s="444"/>
      <c r="F658" s="17"/>
      <c r="G658" s="17"/>
      <c r="H658" s="17"/>
      <c r="I658" s="17"/>
      <c r="J658" s="17" t="s">
        <v>705</v>
      </c>
      <c r="K658" s="17"/>
      <c r="L658" s="17"/>
      <c r="AC658" s="1257"/>
    </row>
    <row r="659">
      <c r="B659" s="17"/>
      <c r="C659" s="17"/>
      <c r="D659" s="17"/>
      <c r="E659" s="444"/>
      <c r="F659" s="17"/>
      <c r="G659" s="17"/>
      <c r="H659" s="17"/>
      <c r="I659" s="17"/>
      <c r="J659" s="17" t="s">
        <v>705</v>
      </c>
      <c r="K659" s="17"/>
      <c r="L659" s="17"/>
      <c r="AC659" s="1257"/>
    </row>
    <row r="660">
      <c r="B660" s="17"/>
      <c r="C660" s="17"/>
      <c r="D660" s="17"/>
      <c r="E660" s="444"/>
      <c r="F660" s="17"/>
      <c r="G660" s="17"/>
      <c r="H660" s="17"/>
      <c r="I660" s="17"/>
      <c r="J660" s="17" t="s">
        <v>705</v>
      </c>
      <c r="K660" s="17"/>
      <c r="L660" s="17"/>
      <c r="AC660" s="1257"/>
    </row>
    <row r="661">
      <c r="B661" s="17"/>
      <c r="C661" s="17"/>
      <c r="D661" s="17"/>
      <c r="E661" s="444"/>
      <c r="F661" s="17"/>
      <c r="G661" s="17"/>
      <c r="H661" s="17"/>
      <c r="I661" s="17"/>
      <c r="J661" s="17" t="s">
        <v>705</v>
      </c>
      <c r="K661" s="17"/>
      <c r="L661" s="17"/>
      <c r="AC661" s="1257"/>
    </row>
    <row r="662">
      <c r="B662" s="17"/>
      <c r="C662" s="17"/>
      <c r="D662" s="17"/>
      <c r="E662" s="444"/>
      <c r="F662" s="17"/>
      <c r="G662" s="17"/>
      <c r="H662" s="17"/>
      <c r="I662" s="17"/>
      <c r="J662" s="17" t="s">
        <v>705</v>
      </c>
      <c r="K662" s="17"/>
      <c r="L662" s="17"/>
      <c r="AC662" s="1257"/>
    </row>
    <row r="663">
      <c r="B663" s="17"/>
      <c r="C663" s="17"/>
      <c r="D663" s="17"/>
      <c r="E663" s="444"/>
      <c r="F663" s="17"/>
      <c r="G663" s="17"/>
      <c r="H663" s="17"/>
      <c r="I663" s="17"/>
      <c r="J663" s="17" t="s">
        <v>705</v>
      </c>
      <c r="K663" s="17"/>
      <c r="L663" s="17"/>
      <c r="AC663" s="1257"/>
    </row>
    <row r="664">
      <c r="B664" s="17"/>
      <c r="C664" s="17"/>
      <c r="D664" s="17"/>
      <c r="E664" s="444"/>
      <c r="F664" s="17"/>
      <c r="G664" s="17"/>
      <c r="H664" s="17"/>
      <c r="I664" s="17"/>
      <c r="J664" s="17" t="s">
        <v>705</v>
      </c>
      <c r="K664" s="17"/>
      <c r="L664" s="17"/>
      <c r="AC664" s="1257"/>
    </row>
    <row r="665">
      <c r="B665" s="17"/>
      <c r="C665" s="17"/>
      <c r="D665" s="17"/>
      <c r="E665" s="444"/>
      <c r="F665" s="17"/>
      <c r="G665" s="17"/>
      <c r="H665" s="17"/>
      <c r="I665" s="17"/>
      <c r="J665" s="17" t="s">
        <v>705</v>
      </c>
      <c r="K665" s="17"/>
      <c r="L665" s="17"/>
      <c r="AC665" s="1257"/>
    </row>
    <row r="666">
      <c r="B666" s="17"/>
      <c r="C666" s="17"/>
      <c r="D666" s="17"/>
      <c r="E666" s="444"/>
      <c r="F666" s="17"/>
      <c r="G666" s="17"/>
      <c r="H666" s="17"/>
      <c r="I666" s="17"/>
      <c r="J666" s="17" t="s">
        <v>705</v>
      </c>
      <c r="K666" s="17"/>
      <c r="L666" s="17"/>
      <c r="AC666" s="1257"/>
    </row>
    <row r="667">
      <c r="B667" s="17"/>
      <c r="C667" s="17"/>
      <c r="D667" s="17"/>
      <c r="E667" s="444"/>
      <c r="F667" s="17"/>
      <c r="G667" s="17"/>
      <c r="H667" s="17"/>
      <c r="I667" s="17"/>
      <c r="J667" s="17" t="s">
        <v>705</v>
      </c>
      <c r="K667" s="17"/>
      <c r="L667" s="17"/>
      <c r="AC667" s="1257"/>
    </row>
    <row r="668">
      <c r="B668" s="17"/>
      <c r="C668" s="17"/>
      <c r="D668" s="17"/>
      <c r="E668" s="444"/>
      <c r="F668" s="17"/>
      <c r="G668" s="17"/>
      <c r="H668" s="17"/>
      <c r="I668" s="17"/>
      <c r="J668" s="17" t="s">
        <v>705</v>
      </c>
      <c r="K668" s="17"/>
      <c r="L668" s="17"/>
      <c r="AC668" s="1257"/>
    </row>
    <row r="669">
      <c r="B669" s="17"/>
      <c r="C669" s="17"/>
      <c r="D669" s="17"/>
      <c r="E669" s="444"/>
      <c r="F669" s="17"/>
      <c r="G669" s="17"/>
      <c r="H669" s="17"/>
      <c r="I669" s="17"/>
      <c r="J669" s="17" t="s">
        <v>705</v>
      </c>
      <c r="K669" s="17"/>
      <c r="L669" s="17"/>
      <c r="AC669" s="1257"/>
    </row>
    <row r="670">
      <c r="B670" s="17"/>
      <c r="C670" s="17"/>
      <c r="D670" s="17"/>
      <c r="E670" s="444"/>
      <c r="F670" s="17"/>
      <c r="G670" s="17"/>
      <c r="H670" s="17"/>
      <c r="I670" s="17"/>
      <c r="J670" s="17" t="s">
        <v>705</v>
      </c>
      <c r="K670" s="17"/>
      <c r="L670" s="17"/>
      <c r="AC670" s="1257"/>
    </row>
    <row r="671">
      <c r="B671" s="17"/>
      <c r="C671" s="17"/>
      <c r="D671" s="17"/>
      <c r="E671" s="444"/>
      <c r="F671" s="17"/>
      <c r="G671" s="17"/>
      <c r="H671" s="17"/>
      <c r="I671" s="17"/>
      <c r="J671" s="17" t="s">
        <v>705</v>
      </c>
      <c r="K671" s="17"/>
      <c r="L671" s="17"/>
      <c r="AC671" s="1257"/>
    </row>
    <row r="672">
      <c r="B672" s="17"/>
      <c r="C672" s="17"/>
      <c r="D672" s="17"/>
      <c r="E672" s="444"/>
      <c r="F672" s="17"/>
      <c r="G672" s="17"/>
      <c r="H672" s="17"/>
      <c r="I672" s="17"/>
      <c r="J672" s="17" t="s">
        <v>705</v>
      </c>
      <c r="K672" s="17"/>
      <c r="L672" s="17"/>
      <c r="AC672" s="1257"/>
    </row>
    <row r="673">
      <c r="B673" s="17"/>
      <c r="C673" s="17"/>
      <c r="D673" s="17"/>
      <c r="E673" s="444"/>
      <c r="F673" s="17"/>
      <c r="G673" s="17"/>
      <c r="H673" s="17"/>
      <c r="I673" s="17"/>
      <c r="J673" s="17" t="s">
        <v>705</v>
      </c>
      <c r="K673" s="17"/>
      <c r="L673" s="17"/>
      <c r="AC673" s="1257"/>
    </row>
    <row r="674">
      <c r="B674" s="17"/>
      <c r="C674" s="17"/>
      <c r="D674" s="17"/>
      <c r="E674" s="444"/>
      <c r="F674" s="17"/>
      <c r="G674" s="17"/>
      <c r="H674" s="17"/>
      <c r="I674" s="17"/>
      <c r="J674" s="17" t="s">
        <v>705</v>
      </c>
      <c r="K674" s="17"/>
      <c r="L674" s="17"/>
      <c r="AC674" s="1257"/>
    </row>
    <row r="675">
      <c r="B675" s="17"/>
      <c r="C675" s="17"/>
      <c r="D675" s="17"/>
      <c r="E675" s="444"/>
      <c r="F675" s="17"/>
      <c r="G675" s="17"/>
      <c r="H675" s="17"/>
      <c r="I675" s="17"/>
      <c r="J675" s="17" t="s">
        <v>705</v>
      </c>
      <c r="K675" s="17"/>
      <c r="L675" s="17"/>
      <c r="AC675" s="1257"/>
    </row>
    <row r="676">
      <c r="B676" s="17"/>
      <c r="C676" s="17"/>
      <c r="D676" s="17"/>
      <c r="E676" s="444"/>
      <c r="F676" s="17"/>
      <c r="G676" s="17"/>
      <c r="H676" s="17"/>
      <c r="I676" s="17"/>
      <c r="J676" s="17" t="s">
        <v>705</v>
      </c>
      <c r="K676" s="17"/>
      <c r="L676" s="17"/>
      <c r="AC676" s="1257"/>
    </row>
    <row r="677">
      <c r="B677" s="17"/>
      <c r="C677" s="17"/>
      <c r="D677" s="17"/>
      <c r="E677" s="444"/>
      <c r="F677" s="17"/>
      <c r="G677" s="17"/>
      <c r="H677" s="17"/>
      <c r="I677" s="17"/>
      <c r="J677" s="17" t="s">
        <v>705</v>
      </c>
      <c r="K677" s="17"/>
      <c r="L677" s="17"/>
      <c r="AC677" s="1257"/>
    </row>
    <row r="678">
      <c r="B678" s="17"/>
      <c r="C678" s="17"/>
      <c r="D678" s="17"/>
      <c r="E678" s="444"/>
      <c r="F678" s="17"/>
      <c r="G678" s="17"/>
      <c r="H678" s="17"/>
      <c r="I678" s="17"/>
      <c r="J678" s="17" t="s">
        <v>705</v>
      </c>
      <c r="K678" s="17"/>
      <c r="L678" s="17"/>
      <c r="AC678" s="1257"/>
    </row>
    <row r="679">
      <c r="B679" s="17"/>
      <c r="C679" s="17"/>
      <c r="D679" s="17"/>
      <c r="E679" s="444"/>
      <c r="F679" s="17"/>
      <c r="G679" s="17"/>
      <c r="H679" s="17"/>
      <c r="I679" s="17"/>
      <c r="J679" s="17" t="s">
        <v>705</v>
      </c>
      <c r="K679" s="17"/>
      <c r="L679" s="17"/>
      <c r="AC679" s="1257"/>
    </row>
    <row r="680">
      <c r="B680" s="17"/>
      <c r="C680" s="17"/>
      <c r="D680" s="17"/>
      <c r="E680" s="444"/>
      <c r="F680" s="17"/>
      <c r="G680" s="17"/>
      <c r="H680" s="17"/>
      <c r="I680" s="17"/>
      <c r="J680" s="17" t="s">
        <v>705</v>
      </c>
      <c r="K680" s="17"/>
      <c r="L680" s="17"/>
      <c r="AC680" s="1257"/>
    </row>
    <row r="681">
      <c r="B681" s="17"/>
      <c r="C681" s="17"/>
      <c r="D681" s="17"/>
      <c r="E681" s="444"/>
      <c r="F681" s="17"/>
      <c r="G681" s="17"/>
      <c r="H681" s="17"/>
      <c r="I681" s="17"/>
      <c r="J681" s="17" t="s">
        <v>705</v>
      </c>
      <c r="K681" s="17"/>
      <c r="L681" s="17"/>
      <c r="AC681" s="1257"/>
    </row>
    <row r="682">
      <c r="B682" s="17"/>
      <c r="C682" s="17"/>
      <c r="D682" s="17"/>
      <c r="E682" s="444"/>
      <c r="F682" s="17"/>
      <c r="G682" s="17"/>
      <c r="H682" s="17"/>
      <c r="I682" s="17"/>
      <c r="J682" s="17" t="s">
        <v>705</v>
      </c>
      <c r="K682" s="17"/>
      <c r="L682" s="17"/>
      <c r="AC682" s="1257"/>
    </row>
    <row r="683">
      <c r="B683" s="17"/>
      <c r="C683" s="17"/>
      <c r="D683" s="17"/>
      <c r="E683" s="444"/>
      <c r="F683" s="17"/>
      <c r="G683" s="17"/>
      <c r="H683" s="17"/>
      <c r="I683" s="17"/>
      <c r="J683" s="17" t="s">
        <v>705</v>
      </c>
      <c r="K683" s="17"/>
      <c r="L683" s="17"/>
      <c r="AC683" s="1257"/>
    </row>
    <row r="684">
      <c r="B684" s="17"/>
      <c r="C684" s="17"/>
      <c r="D684" s="17"/>
      <c r="E684" s="444"/>
      <c r="F684" s="17"/>
      <c r="G684" s="17"/>
      <c r="H684" s="17"/>
      <c r="I684" s="17"/>
      <c r="J684" s="17" t="s">
        <v>705</v>
      </c>
      <c r="K684" s="17"/>
      <c r="L684" s="17"/>
      <c r="AC684" s="1257"/>
    </row>
    <row r="685">
      <c r="B685" s="17"/>
      <c r="C685" s="17"/>
      <c r="D685" s="17"/>
      <c r="E685" s="444"/>
      <c r="F685" s="17"/>
      <c r="G685" s="17"/>
      <c r="H685" s="17"/>
      <c r="I685" s="17"/>
      <c r="J685" s="17" t="s">
        <v>705</v>
      </c>
      <c r="K685" s="17"/>
      <c r="L685" s="17"/>
      <c r="AC685" s="1257"/>
    </row>
    <row r="686">
      <c r="B686" s="17"/>
      <c r="C686" s="17"/>
      <c r="D686" s="17"/>
      <c r="E686" s="444"/>
      <c r="F686" s="17"/>
      <c r="G686" s="17"/>
      <c r="H686" s="17"/>
      <c r="I686" s="17"/>
      <c r="J686" s="17" t="s">
        <v>705</v>
      </c>
      <c r="K686" s="17"/>
      <c r="L686" s="17"/>
      <c r="AC686" s="1257"/>
    </row>
    <row r="687">
      <c r="B687" s="17"/>
      <c r="C687" s="17"/>
      <c r="D687" s="17"/>
      <c r="E687" s="444"/>
      <c r="F687" s="17"/>
      <c r="G687" s="17"/>
      <c r="H687" s="17"/>
      <c r="I687" s="17"/>
      <c r="J687" s="17" t="s">
        <v>705</v>
      </c>
      <c r="K687" s="17"/>
      <c r="L687" s="17"/>
      <c r="AC687" s="1257"/>
    </row>
    <row r="688">
      <c r="B688" s="17"/>
      <c r="C688" s="17"/>
      <c r="D688" s="17"/>
      <c r="E688" s="444"/>
      <c r="F688" s="17"/>
      <c r="G688" s="17"/>
      <c r="H688" s="17"/>
      <c r="I688" s="17"/>
      <c r="J688" s="17" t="s">
        <v>705</v>
      </c>
      <c r="K688" s="17"/>
      <c r="L688" s="17"/>
      <c r="AC688" s="1257"/>
    </row>
    <row r="689">
      <c r="B689" s="17"/>
      <c r="C689" s="17"/>
      <c r="D689" s="17"/>
      <c r="E689" s="444"/>
      <c r="F689" s="17"/>
      <c r="G689" s="17"/>
      <c r="H689" s="17"/>
      <c r="I689" s="17"/>
      <c r="J689" s="17" t="s">
        <v>705</v>
      </c>
      <c r="K689" s="17"/>
      <c r="L689" s="17"/>
      <c r="AC689" s="1257"/>
    </row>
    <row r="690">
      <c r="B690" s="17"/>
      <c r="C690" s="17"/>
      <c r="D690" s="17"/>
      <c r="E690" s="444"/>
      <c r="F690" s="17"/>
      <c r="G690" s="17"/>
      <c r="H690" s="17"/>
      <c r="I690" s="17"/>
      <c r="J690" s="17" t="s">
        <v>705</v>
      </c>
      <c r="K690" s="17"/>
      <c r="L690" s="17"/>
      <c r="AC690" s="1257"/>
    </row>
    <row r="691">
      <c r="B691" s="17"/>
      <c r="C691" s="17"/>
      <c r="D691" s="17"/>
      <c r="E691" s="444"/>
      <c r="F691" s="17"/>
      <c r="G691" s="17"/>
      <c r="H691" s="17"/>
      <c r="I691" s="17"/>
      <c r="J691" s="17" t="s">
        <v>705</v>
      </c>
      <c r="K691" s="17"/>
      <c r="L691" s="17"/>
      <c r="AC691" s="1257"/>
    </row>
    <row r="692">
      <c r="B692" s="17"/>
      <c r="C692" s="17"/>
      <c r="D692" s="17"/>
      <c r="E692" s="444"/>
      <c r="F692" s="17"/>
      <c r="G692" s="17"/>
      <c r="H692" s="17"/>
      <c r="I692" s="17"/>
      <c r="J692" s="17" t="s">
        <v>705</v>
      </c>
      <c r="K692" s="17"/>
      <c r="L692" s="17"/>
      <c r="AC692" s="1257"/>
    </row>
    <row r="693">
      <c r="B693" s="17"/>
      <c r="C693" s="17"/>
      <c r="D693" s="17"/>
      <c r="E693" s="444"/>
      <c r="F693" s="17"/>
      <c r="G693" s="17"/>
      <c r="H693" s="17"/>
      <c r="I693" s="17"/>
      <c r="J693" s="17" t="s">
        <v>705</v>
      </c>
      <c r="K693" s="17"/>
      <c r="L693" s="17"/>
      <c r="AC693" s="1257"/>
    </row>
    <row r="694">
      <c r="B694" s="17"/>
      <c r="C694" s="17"/>
      <c r="D694" s="17"/>
      <c r="E694" s="444"/>
      <c r="F694" s="17"/>
      <c r="G694" s="17"/>
      <c r="H694" s="17"/>
      <c r="I694" s="17"/>
      <c r="J694" s="17" t="s">
        <v>705</v>
      </c>
      <c r="K694" s="17"/>
      <c r="L694" s="17"/>
      <c r="AC694" s="1257"/>
    </row>
    <row r="695">
      <c r="B695" s="17"/>
      <c r="C695" s="17"/>
      <c r="D695" s="17"/>
      <c r="E695" s="444"/>
      <c r="F695" s="17"/>
      <c r="G695" s="17"/>
      <c r="H695" s="17"/>
      <c r="I695" s="17"/>
      <c r="J695" s="17" t="s">
        <v>705</v>
      </c>
      <c r="K695" s="17"/>
      <c r="L695" s="17"/>
      <c r="AC695" s="1257"/>
    </row>
    <row r="696">
      <c r="B696" s="17"/>
      <c r="C696" s="17"/>
      <c r="D696" s="17"/>
      <c r="E696" s="444"/>
      <c r="F696" s="17"/>
      <c r="G696" s="17"/>
      <c r="H696" s="17"/>
      <c r="I696" s="17"/>
      <c r="J696" s="17" t="s">
        <v>705</v>
      </c>
      <c r="K696" s="17"/>
      <c r="L696" s="17"/>
      <c r="AC696" s="1257"/>
    </row>
    <row r="697">
      <c r="B697" s="17"/>
      <c r="C697" s="17"/>
      <c r="D697" s="17"/>
      <c r="E697" s="444"/>
      <c r="F697" s="17"/>
      <c r="G697" s="17"/>
      <c r="H697" s="17"/>
      <c r="I697" s="17"/>
      <c r="J697" s="17" t="s">
        <v>705</v>
      </c>
      <c r="K697" s="17"/>
      <c r="L697" s="17"/>
      <c r="AC697" s="1257"/>
    </row>
    <row r="698">
      <c r="B698" s="17"/>
      <c r="C698" s="17"/>
      <c r="D698" s="17"/>
      <c r="E698" s="444"/>
      <c r="F698" s="17"/>
      <c r="G698" s="17"/>
      <c r="H698" s="17"/>
      <c r="I698" s="17"/>
      <c r="J698" s="17" t="s">
        <v>705</v>
      </c>
      <c r="K698" s="17"/>
      <c r="L698" s="17"/>
      <c r="AC698" s="1257"/>
    </row>
    <row r="699">
      <c r="B699" s="17"/>
      <c r="C699" s="17"/>
      <c r="D699" s="17"/>
      <c r="E699" s="444"/>
      <c r="F699" s="17"/>
      <c r="G699" s="17"/>
      <c r="H699" s="17"/>
      <c r="I699" s="17"/>
      <c r="J699" s="17" t="s">
        <v>705</v>
      </c>
      <c r="K699" s="17"/>
      <c r="L699" s="17"/>
      <c r="AC699" s="1257"/>
    </row>
    <row r="700">
      <c r="B700" s="17"/>
      <c r="C700" s="17"/>
      <c r="D700" s="17"/>
      <c r="E700" s="444"/>
      <c r="F700" s="17"/>
      <c r="G700" s="17"/>
      <c r="H700" s="17"/>
      <c r="I700" s="17"/>
      <c r="J700" s="17" t="s">
        <v>705</v>
      </c>
      <c r="K700" s="17"/>
      <c r="L700" s="17"/>
      <c r="AC700" s="1257"/>
    </row>
    <row r="701">
      <c r="B701" s="17"/>
      <c r="C701" s="17"/>
      <c r="D701" s="17"/>
      <c r="E701" s="444"/>
      <c r="F701" s="17"/>
      <c r="G701" s="17"/>
      <c r="H701" s="17"/>
      <c r="I701" s="17"/>
      <c r="J701" s="17" t="s">
        <v>705</v>
      </c>
      <c r="K701" s="17"/>
      <c r="L701" s="17"/>
      <c r="AC701" s="1257"/>
    </row>
    <row r="702">
      <c r="B702" s="17"/>
      <c r="C702" s="17"/>
      <c r="D702" s="17"/>
      <c r="E702" s="444"/>
      <c r="F702" s="17"/>
      <c r="G702" s="17"/>
      <c r="H702" s="17"/>
      <c r="I702" s="17"/>
      <c r="J702" s="17" t="s">
        <v>705</v>
      </c>
      <c r="K702" s="17"/>
      <c r="L702" s="17"/>
      <c r="AC702" s="1257"/>
    </row>
    <row r="703">
      <c r="B703" s="17"/>
      <c r="C703" s="17"/>
      <c r="D703" s="17"/>
      <c r="E703" s="444"/>
      <c r="F703" s="17"/>
      <c r="G703" s="17"/>
      <c r="H703" s="17"/>
      <c r="I703" s="17"/>
      <c r="J703" s="17" t="s">
        <v>705</v>
      </c>
      <c r="K703" s="17"/>
      <c r="L703" s="17"/>
      <c r="AC703" s="1257"/>
    </row>
    <row r="704">
      <c r="B704" s="17"/>
      <c r="C704" s="17"/>
      <c r="D704" s="17"/>
      <c r="E704" s="444"/>
      <c r="F704" s="17"/>
      <c r="G704" s="17"/>
      <c r="H704" s="17"/>
      <c r="I704" s="17"/>
      <c r="J704" s="17" t="s">
        <v>705</v>
      </c>
      <c r="K704" s="17"/>
      <c r="L704" s="17"/>
      <c r="AC704" s="1257"/>
    </row>
    <row r="705">
      <c r="B705" s="17"/>
      <c r="C705" s="17"/>
      <c r="D705" s="17"/>
      <c r="E705" s="444"/>
      <c r="F705" s="17"/>
      <c r="G705" s="17"/>
      <c r="H705" s="17"/>
      <c r="I705" s="17"/>
      <c r="J705" s="17" t="s">
        <v>705</v>
      </c>
      <c r="K705" s="17"/>
      <c r="L705" s="17"/>
      <c r="AC705" s="1257"/>
    </row>
    <row r="706">
      <c r="B706" s="17"/>
      <c r="C706" s="17"/>
      <c r="D706" s="17"/>
      <c r="E706" s="444"/>
      <c r="F706" s="17"/>
      <c r="G706" s="17"/>
      <c r="H706" s="17"/>
      <c r="I706" s="17"/>
      <c r="J706" s="17" t="s">
        <v>705</v>
      </c>
      <c r="K706" s="17"/>
      <c r="L706" s="17"/>
      <c r="AC706" s="1257"/>
    </row>
    <row r="707">
      <c r="B707" s="17"/>
      <c r="C707" s="17"/>
      <c r="D707" s="17"/>
      <c r="E707" s="444"/>
      <c r="F707" s="17"/>
      <c r="G707" s="17"/>
      <c r="H707" s="17"/>
      <c r="I707" s="17"/>
      <c r="J707" s="17" t="s">
        <v>705</v>
      </c>
      <c r="K707" s="17"/>
      <c r="L707" s="17"/>
      <c r="AC707" s="1257"/>
    </row>
    <row r="708">
      <c r="B708" s="17"/>
      <c r="C708" s="17"/>
      <c r="D708" s="17"/>
      <c r="E708" s="444"/>
      <c r="F708" s="17"/>
      <c r="G708" s="17"/>
      <c r="H708" s="17"/>
      <c r="I708" s="17"/>
      <c r="J708" s="17" t="s">
        <v>705</v>
      </c>
      <c r="K708" s="17"/>
      <c r="L708" s="17"/>
      <c r="AC708" s="1257"/>
    </row>
    <row r="709">
      <c r="B709" s="17"/>
      <c r="C709" s="17"/>
      <c r="D709" s="17"/>
      <c r="E709" s="444"/>
      <c r="F709" s="17"/>
      <c r="G709" s="17"/>
      <c r="H709" s="17"/>
      <c r="I709" s="17"/>
      <c r="J709" s="17" t="s">
        <v>705</v>
      </c>
      <c r="K709" s="17"/>
      <c r="L709" s="17"/>
      <c r="AC709" s="1257"/>
    </row>
    <row r="710">
      <c r="B710" s="17"/>
      <c r="C710" s="17"/>
      <c r="D710" s="17"/>
      <c r="E710" s="444"/>
      <c r="F710" s="17"/>
      <c r="G710" s="17"/>
      <c r="H710" s="17"/>
      <c r="I710" s="17"/>
      <c r="J710" s="17" t="s">
        <v>705</v>
      </c>
      <c r="K710" s="17"/>
      <c r="L710" s="17"/>
      <c r="AC710" s="1257"/>
    </row>
    <row r="711">
      <c r="B711" s="17"/>
      <c r="C711" s="17"/>
      <c r="D711" s="17"/>
      <c r="E711" s="444"/>
      <c r="F711" s="17"/>
      <c r="G711" s="17"/>
      <c r="H711" s="17"/>
      <c r="I711" s="17"/>
      <c r="J711" s="17" t="s">
        <v>705</v>
      </c>
      <c r="K711" s="17"/>
      <c r="L711" s="17"/>
      <c r="AC711" s="1257"/>
    </row>
    <row r="712">
      <c r="B712" s="17"/>
      <c r="C712" s="17"/>
      <c r="D712" s="17"/>
      <c r="E712" s="444"/>
      <c r="F712" s="17"/>
      <c r="G712" s="17"/>
      <c r="H712" s="17"/>
      <c r="I712" s="17"/>
      <c r="J712" s="17" t="s">
        <v>705</v>
      </c>
      <c r="K712" s="17"/>
      <c r="L712" s="17"/>
      <c r="AC712" s="1257"/>
    </row>
    <row r="713">
      <c r="B713" s="17"/>
      <c r="C713" s="17"/>
      <c r="D713" s="17"/>
      <c r="E713" s="444"/>
      <c r="F713" s="17"/>
      <c r="G713" s="17"/>
      <c r="H713" s="17"/>
      <c r="I713" s="17"/>
      <c r="J713" s="17" t="s">
        <v>705</v>
      </c>
      <c r="K713" s="17"/>
      <c r="L713" s="17"/>
      <c r="AC713" s="1257"/>
    </row>
    <row r="714">
      <c r="B714" s="17"/>
      <c r="C714" s="17"/>
      <c r="D714" s="17"/>
      <c r="E714" s="444"/>
      <c r="F714" s="17"/>
      <c r="G714" s="17"/>
      <c r="H714" s="17"/>
      <c r="I714" s="17"/>
      <c r="J714" s="17" t="s">
        <v>705</v>
      </c>
      <c r="K714" s="17"/>
      <c r="L714" s="17"/>
      <c r="AC714" s="1257"/>
    </row>
    <row r="715">
      <c r="B715" s="17"/>
      <c r="C715" s="17"/>
      <c r="D715" s="17"/>
      <c r="E715" s="444"/>
      <c r="F715" s="17"/>
      <c r="G715" s="17"/>
      <c r="H715" s="17"/>
      <c r="I715" s="17"/>
      <c r="J715" s="17" t="s">
        <v>705</v>
      </c>
      <c r="K715" s="17"/>
      <c r="L715" s="17"/>
      <c r="AC715" s="1257"/>
    </row>
    <row r="716">
      <c r="B716" s="17"/>
      <c r="C716" s="17"/>
      <c r="D716" s="17"/>
      <c r="E716" s="444"/>
      <c r="F716" s="17"/>
      <c r="G716" s="17"/>
      <c r="H716" s="17"/>
      <c r="I716" s="17"/>
      <c r="J716" s="17" t="s">
        <v>705</v>
      </c>
      <c r="K716" s="17"/>
      <c r="L716" s="17"/>
      <c r="AC716" s="1257"/>
    </row>
    <row r="717">
      <c r="B717" s="17"/>
      <c r="C717" s="17"/>
      <c r="D717" s="17"/>
      <c r="E717" s="444"/>
      <c r="F717" s="17"/>
      <c r="G717" s="17"/>
      <c r="H717" s="17"/>
      <c r="I717" s="17"/>
      <c r="J717" s="17" t="s">
        <v>705</v>
      </c>
      <c r="K717" s="17"/>
      <c r="L717" s="17"/>
      <c r="AC717" s="1257"/>
    </row>
    <row r="718">
      <c r="B718" s="17"/>
      <c r="C718" s="17"/>
      <c r="D718" s="17"/>
      <c r="E718" s="444"/>
      <c r="F718" s="17"/>
      <c r="G718" s="17"/>
      <c r="H718" s="17"/>
      <c r="I718" s="17"/>
      <c r="J718" s="17" t="s">
        <v>705</v>
      </c>
      <c r="K718" s="17"/>
      <c r="L718" s="17"/>
      <c r="AC718" s="1257"/>
    </row>
    <row r="719">
      <c r="B719" s="17"/>
      <c r="C719" s="17"/>
      <c r="D719" s="17"/>
      <c r="E719" s="444"/>
      <c r="F719" s="17"/>
      <c r="G719" s="17"/>
      <c r="H719" s="17"/>
      <c r="I719" s="17"/>
      <c r="J719" s="17" t="s">
        <v>705</v>
      </c>
      <c r="K719" s="17"/>
      <c r="L719" s="17"/>
      <c r="AC719" s="1257"/>
    </row>
    <row r="720">
      <c r="B720" s="17"/>
      <c r="C720" s="17"/>
      <c r="D720" s="17"/>
      <c r="E720" s="444"/>
      <c r="F720" s="17"/>
      <c r="G720" s="17"/>
      <c r="H720" s="17"/>
      <c r="I720" s="17"/>
      <c r="J720" s="17" t="s">
        <v>705</v>
      </c>
      <c r="K720" s="17"/>
      <c r="L720" s="17"/>
      <c r="AC720" s="1257"/>
    </row>
    <row r="721">
      <c r="B721" s="17"/>
      <c r="C721" s="17"/>
      <c r="D721" s="17"/>
      <c r="E721" s="444"/>
      <c r="F721" s="17"/>
      <c r="G721" s="17"/>
      <c r="H721" s="17"/>
      <c r="I721" s="17"/>
      <c r="J721" s="17" t="s">
        <v>705</v>
      </c>
      <c r="K721" s="17"/>
      <c r="L721" s="17"/>
      <c r="AC721" s="1257"/>
    </row>
    <row r="722">
      <c r="B722" s="17"/>
      <c r="C722" s="17"/>
      <c r="D722" s="17"/>
      <c r="E722" s="444"/>
      <c r="F722" s="17"/>
      <c r="G722" s="17"/>
      <c r="H722" s="17"/>
      <c r="I722" s="17"/>
      <c r="J722" s="17" t="s">
        <v>705</v>
      </c>
      <c r="K722" s="17"/>
      <c r="L722" s="17"/>
      <c r="AC722" s="1257"/>
    </row>
    <row r="723">
      <c r="B723" s="17"/>
      <c r="C723" s="17"/>
      <c r="D723" s="17"/>
      <c r="E723" s="444"/>
      <c r="F723" s="17"/>
      <c r="G723" s="17"/>
      <c r="H723" s="17"/>
      <c r="I723" s="17"/>
      <c r="J723" s="17" t="s">
        <v>705</v>
      </c>
      <c r="K723" s="17"/>
      <c r="L723" s="17"/>
      <c r="AC723" s="1257"/>
    </row>
    <row r="724">
      <c r="B724" s="17"/>
      <c r="C724" s="17"/>
      <c r="D724" s="17"/>
      <c r="E724" s="444"/>
      <c r="F724" s="17"/>
      <c r="G724" s="17"/>
      <c r="H724" s="17"/>
      <c r="I724" s="17"/>
      <c r="J724" s="17" t="s">
        <v>705</v>
      </c>
      <c r="K724" s="17"/>
      <c r="L724" s="17"/>
      <c r="AC724" s="1257"/>
    </row>
    <row r="725">
      <c r="B725" s="17"/>
      <c r="C725" s="17"/>
      <c r="D725" s="17"/>
      <c r="E725" s="444"/>
      <c r="F725" s="17"/>
      <c r="G725" s="17"/>
      <c r="H725" s="17"/>
      <c r="I725" s="17"/>
      <c r="J725" s="17" t="s">
        <v>705</v>
      </c>
      <c r="K725" s="17"/>
      <c r="L725" s="17"/>
      <c r="AC725" s="1257"/>
    </row>
    <row r="726">
      <c r="B726" s="17"/>
      <c r="C726" s="17"/>
      <c r="D726" s="17"/>
      <c r="E726" s="444"/>
      <c r="F726" s="17"/>
      <c r="G726" s="17"/>
      <c r="H726" s="17"/>
      <c r="I726" s="17"/>
      <c r="J726" s="17" t="s">
        <v>705</v>
      </c>
      <c r="K726" s="17"/>
      <c r="L726" s="17"/>
      <c r="AC726" s="1257"/>
    </row>
    <row r="727">
      <c r="B727" s="17"/>
      <c r="C727" s="17"/>
      <c r="D727" s="17"/>
      <c r="E727" s="444"/>
      <c r="F727" s="17"/>
      <c r="G727" s="17"/>
      <c r="H727" s="17"/>
      <c r="I727" s="17"/>
      <c r="J727" s="17" t="s">
        <v>705</v>
      </c>
      <c r="K727" s="17"/>
      <c r="L727" s="17"/>
      <c r="AC727" s="1257"/>
    </row>
    <row r="728">
      <c r="B728" s="17"/>
      <c r="C728" s="17"/>
      <c r="D728" s="17"/>
      <c r="E728" s="444"/>
      <c r="F728" s="17"/>
      <c r="G728" s="17"/>
      <c r="H728" s="17"/>
      <c r="I728" s="17"/>
      <c r="J728" s="17" t="s">
        <v>705</v>
      </c>
      <c r="K728" s="17"/>
      <c r="L728" s="17"/>
      <c r="AC728" s="1257"/>
    </row>
    <row r="729">
      <c r="B729" s="17"/>
      <c r="C729" s="17"/>
      <c r="D729" s="17"/>
      <c r="E729" s="444"/>
      <c r="F729" s="17"/>
      <c r="G729" s="17"/>
      <c r="H729" s="17"/>
      <c r="I729" s="17"/>
      <c r="J729" s="17" t="s">
        <v>705</v>
      </c>
      <c r="K729" s="17"/>
      <c r="L729" s="17"/>
      <c r="AC729" s="1257"/>
    </row>
    <row r="730">
      <c r="B730" s="17"/>
      <c r="C730" s="17"/>
      <c r="D730" s="17"/>
      <c r="E730" s="444"/>
      <c r="F730" s="17"/>
      <c r="G730" s="17"/>
      <c r="H730" s="17"/>
      <c r="I730" s="17"/>
      <c r="J730" s="17" t="s">
        <v>705</v>
      </c>
      <c r="K730" s="17"/>
      <c r="L730" s="17"/>
      <c r="AC730" s="1257"/>
    </row>
    <row r="731">
      <c r="B731" s="17"/>
      <c r="C731" s="17"/>
      <c r="D731" s="17"/>
      <c r="E731" s="444"/>
      <c r="F731" s="17"/>
      <c r="G731" s="17"/>
      <c r="H731" s="17"/>
      <c r="I731" s="17"/>
      <c r="J731" s="17" t="s">
        <v>705</v>
      </c>
      <c r="K731" s="17"/>
      <c r="L731" s="17"/>
      <c r="AC731" s="1257"/>
    </row>
    <row r="732">
      <c r="B732" s="17"/>
      <c r="C732" s="17"/>
      <c r="D732" s="17"/>
      <c r="E732" s="444"/>
      <c r="F732" s="17"/>
      <c r="G732" s="17"/>
      <c r="H732" s="17"/>
      <c r="I732" s="17"/>
      <c r="J732" s="17" t="s">
        <v>705</v>
      </c>
      <c r="K732" s="17"/>
      <c r="L732" s="17"/>
      <c r="AC732" s="1257"/>
    </row>
    <row r="733">
      <c r="B733" s="17"/>
      <c r="C733" s="17"/>
      <c r="D733" s="17"/>
      <c r="E733" s="444"/>
      <c r="F733" s="17"/>
      <c r="G733" s="17"/>
      <c r="H733" s="17"/>
      <c r="I733" s="17"/>
      <c r="J733" s="17" t="s">
        <v>705</v>
      </c>
      <c r="K733" s="17"/>
      <c r="L733" s="17"/>
      <c r="AC733" s="1257"/>
    </row>
    <row r="734">
      <c r="B734" s="17"/>
      <c r="C734" s="17"/>
      <c r="D734" s="17"/>
      <c r="E734" s="444"/>
      <c r="F734" s="17"/>
      <c r="G734" s="17"/>
      <c r="H734" s="17"/>
      <c r="I734" s="17"/>
      <c r="J734" s="17" t="s">
        <v>705</v>
      </c>
      <c r="K734" s="17"/>
      <c r="L734" s="17"/>
      <c r="AC734" s="1257"/>
    </row>
    <row r="735">
      <c r="B735" s="17"/>
      <c r="C735" s="17"/>
      <c r="D735" s="17"/>
      <c r="E735" s="444"/>
      <c r="F735" s="17"/>
      <c r="G735" s="17"/>
      <c r="H735" s="17"/>
      <c r="I735" s="17"/>
      <c r="J735" s="17" t="s">
        <v>705</v>
      </c>
      <c r="K735" s="17"/>
      <c r="L735" s="17"/>
      <c r="AC735" s="1257"/>
    </row>
    <row r="736">
      <c r="B736" s="17"/>
      <c r="C736" s="17"/>
      <c r="D736" s="17"/>
      <c r="E736" s="444"/>
      <c r="F736" s="17"/>
      <c r="G736" s="17"/>
      <c r="H736" s="17"/>
      <c r="I736" s="17"/>
      <c r="J736" s="17" t="s">
        <v>705</v>
      </c>
      <c r="K736" s="17"/>
      <c r="L736" s="17"/>
      <c r="AC736" s="1257"/>
    </row>
    <row r="737">
      <c r="B737" s="17"/>
      <c r="C737" s="17"/>
      <c r="D737" s="17"/>
      <c r="E737" s="444"/>
      <c r="F737" s="17"/>
      <c r="G737" s="17"/>
      <c r="H737" s="17"/>
      <c r="I737" s="17"/>
      <c r="J737" s="17" t="s">
        <v>705</v>
      </c>
      <c r="K737" s="17"/>
      <c r="L737" s="17"/>
      <c r="AC737" s="1257"/>
    </row>
    <row r="738">
      <c r="B738" s="17"/>
      <c r="C738" s="17"/>
      <c r="D738" s="17"/>
      <c r="E738" s="444"/>
      <c r="F738" s="17"/>
      <c r="G738" s="17"/>
      <c r="H738" s="17"/>
      <c r="I738" s="17"/>
      <c r="J738" s="17" t="s">
        <v>705</v>
      </c>
      <c r="K738" s="17"/>
      <c r="L738" s="17"/>
      <c r="AC738" s="1257"/>
    </row>
    <row r="739">
      <c r="B739" s="17"/>
      <c r="C739" s="17"/>
      <c r="D739" s="17"/>
      <c r="E739" s="444"/>
      <c r="F739" s="17"/>
      <c r="G739" s="17"/>
      <c r="H739" s="17"/>
      <c r="I739" s="17"/>
      <c r="J739" s="17" t="s">
        <v>705</v>
      </c>
      <c r="K739" s="17"/>
      <c r="L739" s="17"/>
      <c r="AC739" s="1257"/>
    </row>
    <row r="740">
      <c r="B740" s="17"/>
      <c r="C740" s="17"/>
      <c r="D740" s="17"/>
      <c r="E740" s="444"/>
      <c r="F740" s="17"/>
      <c r="G740" s="17"/>
      <c r="H740" s="17"/>
      <c r="I740" s="17"/>
      <c r="J740" s="17" t="s">
        <v>705</v>
      </c>
      <c r="K740" s="17"/>
      <c r="L740" s="17"/>
      <c r="AC740" s="1257"/>
    </row>
    <row r="741">
      <c r="B741" s="17"/>
      <c r="C741" s="17"/>
      <c r="D741" s="17"/>
      <c r="E741" s="444"/>
      <c r="F741" s="17"/>
      <c r="G741" s="17"/>
      <c r="H741" s="17"/>
      <c r="I741" s="17"/>
      <c r="J741" s="17" t="s">
        <v>705</v>
      </c>
      <c r="K741" s="17"/>
      <c r="L741" s="17"/>
      <c r="AC741" s="1257"/>
    </row>
    <row r="742">
      <c r="B742" s="17"/>
      <c r="C742" s="17"/>
      <c r="D742" s="17"/>
      <c r="E742" s="444"/>
      <c r="F742" s="17"/>
      <c r="G742" s="17"/>
      <c r="H742" s="17"/>
      <c r="I742" s="17"/>
      <c r="J742" s="17" t="s">
        <v>705</v>
      </c>
      <c r="K742" s="17"/>
      <c r="L742" s="17"/>
      <c r="AC742" s="1257"/>
    </row>
    <row r="743">
      <c r="B743" s="17"/>
      <c r="C743" s="17"/>
      <c r="D743" s="17"/>
      <c r="E743" s="444"/>
      <c r="F743" s="17"/>
      <c r="G743" s="17"/>
      <c r="H743" s="17"/>
      <c r="I743" s="17"/>
      <c r="J743" s="17" t="s">
        <v>705</v>
      </c>
      <c r="K743" s="17"/>
      <c r="L743" s="17"/>
      <c r="AC743" s="1257"/>
    </row>
    <row r="744">
      <c r="B744" s="17"/>
      <c r="C744" s="17"/>
      <c r="D744" s="17"/>
      <c r="E744" s="444"/>
      <c r="F744" s="17"/>
      <c r="G744" s="17"/>
      <c r="H744" s="17"/>
      <c r="I744" s="17"/>
      <c r="J744" s="17" t="s">
        <v>705</v>
      </c>
      <c r="K744" s="17"/>
      <c r="L744" s="17"/>
      <c r="AC744" s="1257"/>
    </row>
    <row r="745">
      <c r="B745" s="17"/>
      <c r="C745" s="17"/>
      <c r="D745" s="17"/>
      <c r="E745" s="444"/>
      <c r="F745" s="17"/>
      <c r="G745" s="17"/>
      <c r="H745" s="17"/>
      <c r="I745" s="17"/>
      <c r="J745" s="17" t="s">
        <v>705</v>
      </c>
      <c r="K745" s="17"/>
      <c r="L745" s="17"/>
      <c r="AC745" s="1257"/>
    </row>
    <row r="746">
      <c r="B746" s="17"/>
      <c r="C746" s="17"/>
      <c r="D746" s="17"/>
      <c r="E746" s="444"/>
      <c r="F746" s="17"/>
      <c r="G746" s="17"/>
      <c r="H746" s="17"/>
      <c r="I746" s="17"/>
      <c r="J746" s="17" t="s">
        <v>705</v>
      </c>
      <c r="K746" s="17"/>
      <c r="L746" s="17"/>
      <c r="AC746" s="1257"/>
    </row>
    <row r="747">
      <c r="B747" s="17"/>
      <c r="C747" s="17"/>
      <c r="D747" s="17"/>
      <c r="E747" s="444"/>
      <c r="F747" s="17"/>
      <c r="G747" s="17"/>
      <c r="H747" s="17"/>
      <c r="I747" s="17"/>
      <c r="J747" s="17" t="s">
        <v>705</v>
      </c>
      <c r="K747" s="17"/>
      <c r="L747" s="17"/>
      <c r="AC747" s="1257"/>
    </row>
    <row r="748">
      <c r="B748" s="17"/>
      <c r="C748" s="17"/>
      <c r="D748" s="17"/>
      <c r="E748" s="444"/>
      <c r="F748" s="17"/>
      <c r="G748" s="17"/>
      <c r="H748" s="17"/>
      <c r="I748" s="17"/>
      <c r="J748" s="17" t="s">
        <v>705</v>
      </c>
      <c r="K748" s="17"/>
      <c r="L748" s="17"/>
      <c r="AC748" s="1257"/>
    </row>
    <row r="749">
      <c r="B749" s="17"/>
      <c r="C749" s="17"/>
      <c r="D749" s="17"/>
      <c r="E749" s="444"/>
      <c r="F749" s="17"/>
      <c r="G749" s="17"/>
      <c r="H749" s="17"/>
      <c r="I749" s="17"/>
      <c r="J749" s="17" t="s">
        <v>705</v>
      </c>
      <c r="K749" s="17"/>
      <c r="L749" s="17"/>
      <c r="AC749" s="1257"/>
    </row>
    <row r="750">
      <c r="B750" s="17"/>
      <c r="C750" s="17"/>
      <c r="D750" s="17"/>
      <c r="E750" s="444"/>
      <c r="F750" s="17"/>
      <c r="G750" s="17"/>
      <c r="H750" s="17"/>
      <c r="I750" s="17"/>
      <c r="J750" s="17" t="s">
        <v>705</v>
      </c>
      <c r="K750" s="17"/>
      <c r="L750" s="17"/>
      <c r="AC750" s="1257"/>
    </row>
    <row r="751">
      <c r="B751" s="17"/>
      <c r="C751" s="17"/>
      <c r="D751" s="17"/>
      <c r="E751" s="444"/>
      <c r="F751" s="17"/>
      <c r="G751" s="17"/>
      <c r="H751" s="17"/>
      <c r="I751" s="17"/>
      <c r="J751" s="17" t="s">
        <v>705</v>
      </c>
      <c r="K751" s="17"/>
      <c r="L751" s="17"/>
      <c r="AC751" s="1257"/>
    </row>
    <row r="752">
      <c r="B752" s="17"/>
      <c r="C752" s="17"/>
      <c r="D752" s="17"/>
      <c r="E752" s="444"/>
      <c r="F752" s="17"/>
      <c r="G752" s="17"/>
      <c r="H752" s="17"/>
      <c r="I752" s="17"/>
      <c r="J752" s="17" t="s">
        <v>705</v>
      </c>
      <c r="K752" s="17"/>
      <c r="L752" s="17"/>
      <c r="AC752" s="1257"/>
    </row>
    <row r="753">
      <c r="B753" s="17"/>
      <c r="C753" s="17"/>
      <c r="D753" s="17"/>
      <c r="E753" s="444"/>
      <c r="F753" s="17"/>
      <c r="G753" s="17"/>
      <c r="H753" s="17"/>
      <c r="I753" s="17"/>
      <c r="J753" s="17" t="s">
        <v>705</v>
      </c>
      <c r="K753" s="17"/>
      <c r="L753" s="17"/>
      <c r="AC753" s="1257"/>
    </row>
    <row r="754">
      <c r="B754" s="17"/>
      <c r="C754" s="17"/>
      <c r="D754" s="17"/>
      <c r="E754" s="444"/>
      <c r="F754" s="17"/>
      <c r="G754" s="17"/>
      <c r="H754" s="17"/>
      <c r="I754" s="17"/>
      <c r="J754" s="17" t="s">
        <v>705</v>
      </c>
      <c r="K754" s="17"/>
      <c r="L754" s="17"/>
      <c r="AC754" s="1257"/>
    </row>
    <row r="755">
      <c r="B755" s="17"/>
      <c r="C755" s="17"/>
      <c r="D755" s="17"/>
      <c r="E755" s="444"/>
      <c r="F755" s="17"/>
      <c r="G755" s="17"/>
      <c r="H755" s="17"/>
      <c r="I755" s="17"/>
      <c r="J755" s="17" t="s">
        <v>705</v>
      </c>
      <c r="K755" s="17"/>
      <c r="L755" s="17"/>
      <c r="AC755" s="1257"/>
    </row>
    <row r="756">
      <c r="B756" s="17"/>
      <c r="C756" s="17"/>
      <c r="D756" s="17"/>
      <c r="E756" s="444"/>
      <c r="F756" s="17"/>
      <c r="G756" s="17"/>
      <c r="H756" s="17"/>
      <c r="I756" s="17"/>
      <c r="J756" s="17" t="s">
        <v>705</v>
      </c>
      <c r="K756" s="17"/>
      <c r="L756" s="17"/>
      <c r="AC756" s="1257"/>
    </row>
    <row r="757">
      <c r="B757" s="17"/>
      <c r="C757" s="17"/>
      <c r="D757" s="17"/>
      <c r="E757" s="444"/>
      <c r="F757" s="17"/>
      <c r="G757" s="17"/>
      <c r="H757" s="17"/>
      <c r="I757" s="17"/>
      <c r="J757" s="17" t="s">
        <v>705</v>
      </c>
      <c r="K757" s="17"/>
      <c r="L757" s="17"/>
      <c r="AC757" s="1257"/>
    </row>
    <row r="758">
      <c r="B758" s="17"/>
      <c r="C758" s="17"/>
      <c r="D758" s="17"/>
      <c r="E758" s="444"/>
      <c r="F758" s="17"/>
      <c r="G758" s="17"/>
      <c r="H758" s="17"/>
      <c r="I758" s="17"/>
      <c r="J758" s="17" t="s">
        <v>705</v>
      </c>
      <c r="K758" s="17"/>
      <c r="L758" s="17"/>
      <c r="AC758" s="1257"/>
    </row>
    <row r="759">
      <c r="B759" s="17"/>
      <c r="C759" s="17"/>
      <c r="D759" s="17"/>
      <c r="E759" s="444"/>
      <c r="F759" s="17"/>
      <c r="G759" s="17"/>
      <c r="H759" s="17"/>
      <c r="I759" s="17"/>
      <c r="J759" s="17" t="s">
        <v>705</v>
      </c>
      <c r="K759" s="17"/>
      <c r="L759" s="17"/>
      <c r="AC759" s="1257"/>
    </row>
    <row r="760">
      <c r="B760" s="17"/>
      <c r="C760" s="17"/>
      <c r="D760" s="17"/>
      <c r="E760" s="444"/>
      <c r="F760" s="17"/>
      <c r="G760" s="17"/>
      <c r="H760" s="17"/>
      <c r="I760" s="17"/>
      <c r="J760" s="17" t="s">
        <v>705</v>
      </c>
      <c r="K760" s="17"/>
      <c r="L760" s="17"/>
      <c r="AC760" s="1257"/>
    </row>
    <row r="761">
      <c r="B761" s="17"/>
      <c r="C761" s="17"/>
      <c r="D761" s="17"/>
      <c r="E761" s="444"/>
      <c r="F761" s="17"/>
      <c r="G761" s="17"/>
      <c r="H761" s="17"/>
      <c r="I761" s="17"/>
      <c r="J761" s="17" t="s">
        <v>705</v>
      </c>
      <c r="K761" s="17"/>
      <c r="L761" s="17"/>
      <c r="AC761" s="1257"/>
    </row>
    <row r="762">
      <c r="B762" s="17"/>
      <c r="C762" s="17"/>
      <c r="D762" s="17"/>
      <c r="E762" s="444"/>
      <c r="F762" s="17"/>
      <c r="G762" s="17"/>
      <c r="H762" s="17"/>
      <c r="I762" s="17"/>
      <c r="J762" s="17" t="s">
        <v>705</v>
      </c>
      <c r="K762" s="17"/>
      <c r="L762" s="17"/>
      <c r="AC762" s="1257"/>
    </row>
    <row r="763">
      <c r="B763" s="17"/>
      <c r="C763" s="17"/>
      <c r="D763" s="17"/>
      <c r="E763" s="444"/>
      <c r="F763" s="17"/>
      <c r="G763" s="17"/>
      <c r="H763" s="17"/>
      <c r="I763" s="17"/>
      <c r="J763" s="17" t="s">
        <v>705</v>
      </c>
      <c r="K763" s="17"/>
      <c r="L763" s="17"/>
      <c r="AC763" s="1257"/>
    </row>
    <row r="764">
      <c r="B764" s="17"/>
      <c r="C764" s="17"/>
      <c r="D764" s="17"/>
      <c r="E764" s="444"/>
      <c r="F764" s="17"/>
      <c r="G764" s="17"/>
      <c r="H764" s="17"/>
      <c r="I764" s="17"/>
      <c r="J764" s="17" t="s">
        <v>705</v>
      </c>
      <c r="K764" s="17"/>
      <c r="L764" s="17"/>
      <c r="AC764" s="1257"/>
    </row>
    <row r="765">
      <c r="B765" s="17"/>
      <c r="C765" s="17"/>
      <c r="D765" s="17"/>
      <c r="E765" s="444"/>
      <c r="F765" s="17"/>
      <c r="G765" s="17"/>
      <c r="H765" s="17"/>
      <c r="I765" s="17"/>
      <c r="J765" s="17" t="s">
        <v>705</v>
      </c>
      <c r="K765" s="17"/>
      <c r="L765" s="17"/>
      <c r="AC765" s="1257"/>
    </row>
    <row r="766">
      <c r="B766" s="17"/>
      <c r="C766" s="17"/>
      <c r="D766" s="17"/>
      <c r="E766" s="444"/>
      <c r="F766" s="17"/>
      <c r="G766" s="17"/>
      <c r="H766" s="17"/>
      <c r="I766" s="17"/>
      <c r="J766" s="17" t="s">
        <v>705</v>
      </c>
      <c r="K766" s="17"/>
      <c r="L766" s="17"/>
      <c r="AC766" s="1257"/>
    </row>
    <row r="767">
      <c r="B767" s="17"/>
      <c r="C767" s="17"/>
      <c r="D767" s="17"/>
      <c r="E767" s="444"/>
      <c r="F767" s="17"/>
      <c r="G767" s="17"/>
      <c r="H767" s="17"/>
      <c r="I767" s="17"/>
      <c r="J767" s="17" t="s">
        <v>705</v>
      </c>
      <c r="K767" s="17"/>
      <c r="L767" s="17"/>
      <c r="AC767" s="1257"/>
    </row>
    <row r="768">
      <c r="B768" s="17"/>
      <c r="C768" s="17"/>
      <c r="D768" s="17"/>
      <c r="E768" s="444"/>
      <c r="F768" s="17"/>
      <c r="G768" s="17"/>
      <c r="H768" s="17"/>
      <c r="I768" s="17"/>
      <c r="J768" s="17" t="s">
        <v>705</v>
      </c>
      <c r="K768" s="17"/>
      <c r="L768" s="17"/>
      <c r="AC768" s="1257"/>
    </row>
    <row r="769">
      <c r="B769" s="17"/>
      <c r="C769" s="17"/>
      <c r="D769" s="17"/>
      <c r="E769" s="444"/>
      <c r="F769" s="17"/>
      <c r="G769" s="17"/>
      <c r="H769" s="17"/>
      <c r="I769" s="17"/>
      <c r="J769" s="17" t="s">
        <v>705</v>
      </c>
      <c r="K769" s="17"/>
      <c r="L769" s="17"/>
      <c r="AC769" s="1257"/>
    </row>
    <row r="770">
      <c r="B770" s="17"/>
      <c r="C770" s="17"/>
      <c r="D770" s="17"/>
      <c r="E770" s="444"/>
      <c r="F770" s="17"/>
      <c r="G770" s="17"/>
      <c r="H770" s="17"/>
      <c r="I770" s="17"/>
      <c r="J770" s="17" t="s">
        <v>705</v>
      </c>
      <c r="K770" s="17"/>
      <c r="L770" s="17"/>
      <c r="AC770" s="1257"/>
    </row>
    <row r="771">
      <c r="B771" s="17"/>
      <c r="C771" s="17"/>
      <c r="D771" s="17"/>
      <c r="E771" s="444"/>
      <c r="F771" s="17"/>
      <c r="G771" s="17"/>
      <c r="H771" s="17"/>
      <c r="I771" s="17"/>
      <c r="J771" s="17" t="s">
        <v>705</v>
      </c>
      <c r="K771" s="17"/>
      <c r="L771" s="17"/>
      <c r="AC771" s="1257"/>
    </row>
    <row r="772">
      <c r="B772" s="17"/>
      <c r="C772" s="17"/>
      <c r="D772" s="17"/>
      <c r="E772" s="444"/>
      <c r="F772" s="17"/>
      <c r="G772" s="17"/>
      <c r="H772" s="17"/>
      <c r="I772" s="17"/>
      <c r="J772" s="17" t="s">
        <v>705</v>
      </c>
      <c r="K772" s="17"/>
      <c r="L772" s="17"/>
      <c r="AC772" s="1257"/>
    </row>
    <row r="773">
      <c r="B773" s="17"/>
      <c r="C773" s="17"/>
      <c r="D773" s="17"/>
      <c r="E773" s="444"/>
      <c r="F773" s="17"/>
      <c r="G773" s="17"/>
      <c r="H773" s="17"/>
      <c r="I773" s="17"/>
      <c r="J773" s="17" t="s">
        <v>705</v>
      </c>
      <c r="K773" s="17"/>
      <c r="L773" s="17"/>
      <c r="AC773" s="1257"/>
    </row>
    <row r="774">
      <c r="B774" s="17"/>
      <c r="C774" s="17"/>
      <c r="D774" s="17"/>
      <c r="E774" s="444"/>
      <c r="F774" s="17"/>
      <c r="G774" s="17"/>
      <c r="H774" s="17"/>
      <c r="I774" s="17"/>
      <c r="J774" s="17" t="s">
        <v>705</v>
      </c>
      <c r="K774" s="17"/>
      <c r="L774" s="17"/>
      <c r="AC774" s="1257"/>
    </row>
    <row r="775">
      <c r="B775" s="17"/>
      <c r="C775" s="17"/>
      <c r="D775" s="17"/>
      <c r="E775" s="444"/>
      <c r="F775" s="17"/>
      <c r="G775" s="17"/>
      <c r="H775" s="17"/>
      <c r="I775" s="17"/>
      <c r="J775" s="17" t="s">
        <v>705</v>
      </c>
      <c r="K775" s="17"/>
      <c r="L775" s="17"/>
      <c r="AC775" s="1257"/>
    </row>
    <row r="776">
      <c r="B776" s="17"/>
      <c r="C776" s="17"/>
      <c r="D776" s="17"/>
      <c r="E776" s="444"/>
      <c r="F776" s="17"/>
      <c r="G776" s="17"/>
      <c r="H776" s="17"/>
      <c r="I776" s="17"/>
      <c r="J776" s="17" t="s">
        <v>705</v>
      </c>
      <c r="K776" s="17"/>
      <c r="L776" s="17"/>
      <c r="AC776" s="1257"/>
    </row>
    <row r="777">
      <c r="B777" s="17"/>
      <c r="C777" s="17"/>
      <c r="D777" s="17"/>
      <c r="E777" s="444"/>
      <c r="F777" s="17"/>
      <c r="G777" s="17"/>
      <c r="H777" s="17"/>
      <c r="I777" s="17"/>
      <c r="J777" s="17" t="s">
        <v>705</v>
      </c>
      <c r="K777" s="17"/>
      <c r="L777" s="17"/>
      <c r="AC777" s="1257"/>
    </row>
    <row r="778">
      <c r="B778" s="17"/>
      <c r="C778" s="17"/>
      <c r="D778" s="17"/>
      <c r="E778" s="444"/>
      <c r="F778" s="17"/>
      <c r="G778" s="17"/>
      <c r="H778" s="17"/>
      <c r="I778" s="17"/>
      <c r="J778" s="17" t="s">
        <v>705</v>
      </c>
      <c r="K778" s="17"/>
      <c r="L778" s="17"/>
      <c r="AC778" s="1257"/>
    </row>
    <row r="779">
      <c r="B779" s="17"/>
      <c r="C779" s="17"/>
      <c r="D779" s="17"/>
      <c r="E779" s="444"/>
      <c r="F779" s="17"/>
      <c r="G779" s="17"/>
      <c r="H779" s="17"/>
      <c r="I779" s="17"/>
      <c r="J779" s="17" t="s">
        <v>705</v>
      </c>
      <c r="K779" s="17"/>
      <c r="L779" s="17"/>
      <c r="AC779" s="1257"/>
    </row>
    <row r="780">
      <c r="B780" s="17"/>
      <c r="C780" s="17"/>
      <c r="D780" s="17"/>
      <c r="E780" s="444"/>
      <c r="F780" s="17"/>
      <c r="G780" s="17"/>
      <c r="H780" s="17"/>
      <c r="I780" s="17"/>
      <c r="J780" s="17" t="s">
        <v>705</v>
      </c>
      <c r="K780" s="17"/>
      <c r="L780" s="17"/>
      <c r="AC780" s="1257"/>
    </row>
    <row r="781">
      <c r="B781" s="17"/>
      <c r="C781" s="17"/>
      <c r="D781" s="17"/>
      <c r="E781" s="444"/>
      <c r="F781" s="17"/>
      <c r="G781" s="17"/>
      <c r="H781" s="17"/>
      <c r="I781" s="17"/>
      <c r="J781" s="17" t="s">
        <v>705</v>
      </c>
      <c r="K781" s="17"/>
      <c r="L781" s="17"/>
      <c r="AC781" s="1257"/>
    </row>
    <row r="782">
      <c r="B782" s="17"/>
      <c r="C782" s="17"/>
      <c r="D782" s="17"/>
      <c r="E782" s="444"/>
      <c r="F782" s="17"/>
      <c r="G782" s="17"/>
      <c r="H782" s="17"/>
      <c r="I782" s="17"/>
      <c r="J782" s="17" t="s">
        <v>705</v>
      </c>
      <c r="K782" s="17"/>
      <c r="L782" s="17"/>
      <c r="AC782" s="1257"/>
    </row>
    <row r="783">
      <c r="B783" s="17"/>
      <c r="C783" s="17"/>
      <c r="D783" s="17"/>
      <c r="E783" s="444"/>
      <c r="F783" s="17"/>
      <c r="G783" s="17"/>
      <c r="H783" s="17"/>
      <c r="I783" s="17"/>
      <c r="J783" s="17" t="s">
        <v>705</v>
      </c>
      <c r="K783" s="17"/>
      <c r="L783" s="17"/>
      <c r="AC783" s="1257"/>
    </row>
    <row r="784">
      <c r="B784" s="17"/>
      <c r="C784" s="17"/>
      <c r="D784" s="17"/>
      <c r="E784" s="444"/>
      <c r="F784" s="17"/>
      <c r="G784" s="17"/>
      <c r="H784" s="17"/>
      <c r="I784" s="17"/>
      <c r="J784" s="17" t="s">
        <v>705</v>
      </c>
      <c r="K784" s="17"/>
      <c r="L784" s="17"/>
      <c r="AC784" s="1257"/>
    </row>
    <row r="785">
      <c r="B785" s="17"/>
      <c r="C785" s="17"/>
      <c r="D785" s="17"/>
      <c r="E785" s="444"/>
      <c r="F785" s="17"/>
      <c r="G785" s="17"/>
      <c r="H785" s="17"/>
      <c r="I785" s="17"/>
      <c r="J785" s="17" t="s">
        <v>705</v>
      </c>
      <c r="K785" s="17"/>
      <c r="L785" s="17"/>
      <c r="AC785" s="1257"/>
    </row>
    <row r="786">
      <c r="B786" s="17"/>
      <c r="C786" s="17"/>
      <c r="D786" s="17"/>
      <c r="E786" s="444"/>
      <c r="F786" s="17"/>
      <c r="G786" s="17"/>
      <c r="H786" s="17"/>
      <c r="I786" s="17"/>
      <c r="J786" s="17" t="s">
        <v>705</v>
      </c>
      <c r="K786" s="17"/>
      <c r="L786" s="17"/>
      <c r="AC786" s="1257"/>
    </row>
    <row r="787">
      <c r="B787" s="17"/>
      <c r="C787" s="17"/>
      <c r="D787" s="17"/>
      <c r="E787" s="444"/>
      <c r="F787" s="17"/>
      <c r="G787" s="17"/>
      <c r="H787" s="17"/>
      <c r="I787" s="17"/>
      <c r="J787" s="17" t="s">
        <v>705</v>
      </c>
      <c r="K787" s="17"/>
      <c r="L787" s="17"/>
      <c r="AC787" s="1257"/>
    </row>
    <row r="788">
      <c r="B788" s="17"/>
      <c r="C788" s="17"/>
      <c r="D788" s="17"/>
      <c r="E788" s="444"/>
      <c r="F788" s="17"/>
      <c r="G788" s="17"/>
      <c r="H788" s="17"/>
      <c r="I788" s="17"/>
      <c r="J788" s="17" t="s">
        <v>705</v>
      </c>
      <c r="K788" s="17"/>
      <c r="L788" s="17"/>
      <c r="AC788" s="1257"/>
    </row>
    <row r="789">
      <c r="B789" s="17"/>
      <c r="C789" s="17"/>
      <c r="D789" s="17"/>
      <c r="E789" s="444"/>
      <c r="F789" s="17"/>
      <c r="G789" s="17"/>
      <c r="H789" s="17"/>
      <c r="I789" s="17"/>
      <c r="J789" s="17" t="s">
        <v>705</v>
      </c>
      <c r="K789" s="17"/>
      <c r="L789" s="17"/>
      <c r="AC789" s="1257"/>
    </row>
    <row r="790">
      <c r="B790" s="17"/>
      <c r="C790" s="17"/>
      <c r="D790" s="17"/>
      <c r="E790" s="444"/>
      <c r="F790" s="17"/>
      <c r="G790" s="17"/>
      <c r="H790" s="17"/>
      <c r="I790" s="17"/>
      <c r="J790" s="17" t="s">
        <v>705</v>
      </c>
      <c r="K790" s="17"/>
      <c r="L790" s="17"/>
      <c r="AC790" s="1257"/>
    </row>
    <row r="791">
      <c r="B791" s="17"/>
      <c r="C791" s="17"/>
      <c r="D791" s="17"/>
      <c r="E791" s="444"/>
      <c r="F791" s="17"/>
      <c r="G791" s="17"/>
      <c r="H791" s="17"/>
      <c r="I791" s="17"/>
      <c r="J791" s="17" t="s">
        <v>705</v>
      </c>
      <c r="K791" s="17"/>
      <c r="L791" s="17"/>
      <c r="AC791" s="1257"/>
    </row>
    <row r="792">
      <c r="B792" s="17"/>
      <c r="C792" s="17"/>
      <c r="D792" s="17"/>
      <c r="E792" s="444"/>
      <c r="F792" s="17"/>
      <c r="G792" s="17"/>
      <c r="H792" s="17"/>
      <c r="I792" s="17"/>
      <c r="J792" s="17" t="s">
        <v>705</v>
      </c>
      <c r="K792" s="17"/>
      <c r="L792" s="17"/>
      <c r="AC792" s="1257"/>
    </row>
    <row r="793">
      <c r="B793" s="17"/>
      <c r="C793" s="17"/>
      <c r="D793" s="17"/>
      <c r="E793" s="444"/>
      <c r="F793" s="17"/>
      <c r="G793" s="17"/>
      <c r="H793" s="17"/>
      <c r="I793" s="17"/>
      <c r="J793" s="17" t="s">
        <v>705</v>
      </c>
      <c r="K793" s="17"/>
      <c r="L793" s="17"/>
      <c r="AC793" s="1257"/>
    </row>
    <row r="794">
      <c r="B794" s="17"/>
      <c r="C794" s="17"/>
      <c r="D794" s="17"/>
      <c r="E794" s="444"/>
      <c r="F794" s="17"/>
      <c r="G794" s="17"/>
      <c r="H794" s="17"/>
      <c r="I794" s="17"/>
      <c r="J794" s="17" t="s">
        <v>705</v>
      </c>
      <c r="K794" s="17"/>
      <c r="L794" s="17"/>
      <c r="AC794" s="1257"/>
    </row>
    <row r="795">
      <c r="B795" s="17"/>
      <c r="C795" s="17"/>
      <c r="D795" s="17"/>
      <c r="E795" s="444"/>
      <c r="F795" s="17"/>
      <c r="G795" s="17"/>
      <c r="H795" s="17"/>
      <c r="I795" s="17"/>
      <c r="J795" s="17" t="s">
        <v>705</v>
      </c>
      <c r="K795" s="17"/>
      <c r="L795" s="17"/>
      <c r="AC795" s="1257"/>
    </row>
    <row r="796">
      <c r="B796" s="17"/>
      <c r="C796" s="17"/>
      <c r="D796" s="17"/>
      <c r="E796" s="444"/>
      <c r="F796" s="17"/>
      <c r="G796" s="17"/>
      <c r="H796" s="17"/>
      <c r="I796" s="17"/>
      <c r="J796" s="17" t="s">
        <v>705</v>
      </c>
      <c r="K796" s="17"/>
      <c r="L796" s="17"/>
      <c r="AC796" s="1257"/>
    </row>
    <row r="797">
      <c r="B797" s="17"/>
      <c r="C797" s="17"/>
      <c r="D797" s="17"/>
      <c r="E797" s="444"/>
      <c r="F797" s="17"/>
      <c r="G797" s="17"/>
      <c r="H797" s="17"/>
      <c r="I797" s="17"/>
      <c r="J797" s="17" t="s">
        <v>705</v>
      </c>
      <c r="K797" s="17"/>
      <c r="L797" s="17"/>
      <c r="AC797" s="1257"/>
    </row>
    <row r="798">
      <c r="B798" s="17"/>
      <c r="C798" s="17"/>
      <c r="D798" s="17"/>
      <c r="E798" s="444"/>
      <c r="F798" s="17"/>
      <c r="G798" s="17"/>
      <c r="H798" s="17"/>
      <c r="I798" s="17"/>
      <c r="J798" s="17" t="s">
        <v>705</v>
      </c>
      <c r="K798" s="17"/>
      <c r="L798" s="17"/>
      <c r="AC798" s="1257"/>
    </row>
    <row r="799">
      <c r="B799" s="17"/>
      <c r="C799" s="17"/>
      <c r="D799" s="17"/>
      <c r="E799" s="444"/>
      <c r="F799" s="17"/>
      <c r="G799" s="17"/>
      <c r="H799" s="17"/>
      <c r="I799" s="17"/>
      <c r="J799" s="17" t="s">
        <v>705</v>
      </c>
      <c r="K799" s="17"/>
      <c r="L799" s="17"/>
      <c r="AC799" s="1257"/>
    </row>
    <row r="800">
      <c r="B800" s="17"/>
      <c r="C800" s="17"/>
      <c r="D800" s="17"/>
      <c r="E800" s="444"/>
      <c r="F800" s="17"/>
      <c r="G800" s="17"/>
      <c r="H800" s="17"/>
      <c r="I800" s="17"/>
      <c r="J800" s="17" t="s">
        <v>705</v>
      </c>
      <c r="K800" s="17"/>
      <c r="L800" s="17"/>
      <c r="AC800" s="1257"/>
    </row>
    <row r="801">
      <c r="B801" s="17"/>
      <c r="C801" s="17"/>
      <c r="D801" s="17"/>
      <c r="E801" s="444"/>
      <c r="F801" s="17"/>
      <c r="G801" s="17"/>
      <c r="H801" s="17"/>
      <c r="I801" s="17"/>
      <c r="J801" s="17" t="s">
        <v>705</v>
      </c>
      <c r="K801" s="17"/>
      <c r="L801" s="17"/>
      <c r="AC801" s="1257"/>
    </row>
    <row r="802">
      <c r="B802" s="17"/>
      <c r="C802" s="17"/>
      <c r="D802" s="17"/>
      <c r="E802" s="444"/>
      <c r="F802" s="17"/>
      <c r="G802" s="17"/>
      <c r="H802" s="17"/>
      <c r="I802" s="17"/>
      <c r="J802" s="17" t="s">
        <v>705</v>
      </c>
      <c r="K802" s="17"/>
      <c r="L802" s="17"/>
      <c r="AC802" s="1257"/>
    </row>
    <row r="803">
      <c r="B803" s="17"/>
      <c r="C803" s="17"/>
      <c r="D803" s="17"/>
      <c r="E803" s="444"/>
      <c r="F803" s="17"/>
      <c r="G803" s="17"/>
      <c r="H803" s="17"/>
      <c r="I803" s="17"/>
      <c r="J803" s="17" t="s">
        <v>705</v>
      </c>
      <c r="K803" s="17"/>
      <c r="L803" s="17"/>
      <c r="AC803" s="1257"/>
    </row>
    <row r="804">
      <c r="B804" s="17"/>
      <c r="C804" s="17"/>
      <c r="D804" s="17"/>
      <c r="E804" s="444"/>
      <c r="F804" s="17"/>
      <c r="G804" s="17"/>
      <c r="H804" s="17"/>
      <c r="I804" s="17"/>
      <c r="J804" s="17" t="s">
        <v>705</v>
      </c>
      <c r="K804" s="17"/>
      <c r="L804" s="17"/>
      <c r="AC804" s="1257"/>
    </row>
    <row r="805">
      <c r="B805" s="17"/>
      <c r="C805" s="17"/>
      <c r="D805" s="17"/>
      <c r="E805" s="444"/>
      <c r="F805" s="17"/>
      <c r="G805" s="17"/>
      <c r="H805" s="17"/>
      <c r="I805" s="17"/>
      <c r="J805" s="17" t="s">
        <v>705</v>
      </c>
      <c r="K805" s="17"/>
      <c r="L805" s="17"/>
      <c r="AC805" s="1257"/>
    </row>
    <row r="806">
      <c r="B806" s="17"/>
      <c r="C806" s="17"/>
      <c r="D806" s="17"/>
      <c r="E806" s="444"/>
      <c r="F806" s="17"/>
      <c r="G806" s="17"/>
      <c r="H806" s="17"/>
      <c r="I806" s="17"/>
      <c r="J806" s="17" t="s">
        <v>705</v>
      </c>
      <c r="K806" s="17"/>
      <c r="L806" s="17"/>
      <c r="AC806" s="1257"/>
    </row>
    <row r="807">
      <c r="B807" s="17"/>
      <c r="C807" s="17"/>
      <c r="D807" s="17"/>
      <c r="E807" s="444"/>
      <c r="F807" s="17"/>
      <c r="G807" s="17"/>
      <c r="H807" s="17"/>
      <c r="I807" s="17"/>
      <c r="J807" s="17" t="s">
        <v>705</v>
      </c>
      <c r="K807" s="17"/>
      <c r="L807" s="17"/>
      <c r="AC807" s="1257"/>
    </row>
    <row r="808">
      <c r="B808" s="17"/>
      <c r="C808" s="17"/>
      <c r="D808" s="17"/>
      <c r="E808" s="444"/>
      <c r="F808" s="17"/>
      <c r="G808" s="17"/>
      <c r="H808" s="17"/>
      <c r="I808" s="17"/>
      <c r="J808" s="17" t="s">
        <v>705</v>
      </c>
      <c r="K808" s="17"/>
      <c r="L808" s="17"/>
      <c r="AC808" s="1257"/>
    </row>
    <row r="809">
      <c r="B809" s="17"/>
      <c r="C809" s="17"/>
      <c r="D809" s="17"/>
      <c r="E809" s="444"/>
      <c r="F809" s="17"/>
      <c r="G809" s="17"/>
      <c r="H809" s="17"/>
      <c r="I809" s="17"/>
      <c r="J809" s="17" t="s">
        <v>705</v>
      </c>
      <c r="K809" s="17"/>
      <c r="L809" s="17"/>
      <c r="AC809" s="1257"/>
    </row>
    <row r="810">
      <c r="B810" s="17"/>
      <c r="C810" s="17"/>
      <c r="D810" s="17"/>
      <c r="E810" s="444"/>
      <c r="F810" s="17"/>
      <c r="G810" s="17"/>
      <c r="H810" s="17"/>
      <c r="I810" s="17"/>
      <c r="J810" s="17" t="s">
        <v>705</v>
      </c>
      <c r="K810" s="17"/>
      <c r="L810" s="17"/>
      <c r="AC810" s="1257"/>
    </row>
    <row r="811">
      <c r="B811" s="17"/>
      <c r="C811" s="17"/>
      <c r="D811" s="17"/>
      <c r="E811" s="444"/>
      <c r="F811" s="17"/>
      <c r="G811" s="17"/>
      <c r="H811" s="17"/>
      <c r="I811" s="17"/>
      <c r="J811" s="17" t="s">
        <v>705</v>
      </c>
      <c r="K811" s="17"/>
      <c r="L811" s="17"/>
      <c r="AC811" s="1257"/>
    </row>
    <row r="812">
      <c r="B812" s="17"/>
      <c r="C812" s="17"/>
      <c r="D812" s="17"/>
      <c r="E812" s="444"/>
      <c r="F812" s="17"/>
      <c r="G812" s="17"/>
      <c r="H812" s="17"/>
      <c r="I812" s="17"/>
      <c r="J812" s="17" t="s">
        <v>705</v>
      </c>
      <c r="K812" s="17"/>
      <c r="L812" s="17"/>
      <c r="AC812" s="1257"/>
    </row>
    <row r="813">
      <c r="B813" s="17"/>
      <c r="C813" s="17"/>
      <c r="D813" s="17"/>
      <c r="E813" s="444"/>
      <c r="F813" s="17"/>
      <c r="G813" s="17"/>
      <c r="H813" s="17"/>
      <c r="I813" s="17"/>
      <c r="J813" s="17" t="s">
        <v>705</v>
      </c>
      <c r="K813" s="17"/>
      <c r="L813" s="17"/>
      <c r="AC813" s="1257"/>
    </row>
    <row r="814">
      <c r="B814" s="17"/>
      <c r="C814" s="17"/>
      <c r="D814" s="17"/>
      <c r="E814" s="444"/>
      <c r="F814" s="17"/>
      <c r="G814" s="17"/>
      <c r="H814" s="17"/>
      <c r="I814" s="17"/>
      <c r="J814" s="17" t="s">
        <v>705</v>
      </c>
      <c r="K814" s="17"/>
      <c r="L814" s="17"/>
      <c r="AC814" s="1257"/>
    </row>
    <row r="815">
      <c r="B815" s="17"/>
      <c r="C815" s="17"/>
      <c r="D815" s="17"/>
      <c r="E815" s="444"/>
      <c r="F815" s="17"/>
      <c r="G815" s="17"/>
      <c r="H815" s="17"/>
      <c r="I815" s="17"/>
      <c r="J815" s="17" t="s">
        <v>705</v>
      </c>
      <c r="K815" s="17"/>
      <c r="L815" s="17"/>
      <c r="AC815" s="1257"/>
    </row>
    <row r="816">
      <c r="B816" s="17"/>
      <c r="C816" s="17"/>
      <c r="D816" s="17"/>
      <c r="E816" s="444"/>
      <c r="F816" s="17"/>
      <c r="G816" s="17"/>
      <c r="H816" s="17"/>
      <c r="I816" s="17"/>
      <c r="J816" s="17" t="s">
        <v>705</v>
      </c>
      <c r="K816" s="17"/>
      <c r="L816" s="17"/>
      <c r="AC816" s="1257"/>
    </row>
    <row r="817">
      <c r="B817" s="17"/>
      <c r="C817" s="17"/>
      <c r="D817" s="17"/>
      <c r="E817" s="444"/>
      <c r="F817" s="17"/>
      <c r="G817" s="17"/>
      <c r="H817" s="17"/>
      <c r="I817" s="17"/>
      <c r="J817" s="17" t="s">
        <v>705</v>
      </c>
      <c r="K817" s="17"/>
      <c r="L817" s="17"/>
      <c r="AC817" s="1257"/>
    </row>
    <row r="818">
      <c r="B818" s="17"/>
      <c r="C818" s="17"/>
      <c r="D818" s="17"/>
      <c r="E818" s="444"/>
      <c r="F818" s="17"/>
      <c r="G818" s="17"/>
      <c r="H818" s="17"/>
      <c r="I818" s="17"/>
      <c r="J818" s="17" t="s">
        <v>705</v>
      </c>
      <c r="K818" s="17"/>
      <c r="L818" s="17"/>
      <c r="AC818" s="1257"/>
    </row>
    <row r="819">
      <c r="B819" s="17"/>
      <c r="C819" s="17"/>
      <c r="D819" s="17"/>
      <c r="E819" s="444"/>
      <c r="F819" s="17"/>
      <c r="G819" s="17"/>
      <c r="H819" s="17"/>
      <c r="I819" s="17"/>
      <c r="J819" s="17" t="s">
        <v>705</v>
      </c>
      <c r="K819" s="17"/>
      <c r="L819" s="17"/>
      <c r="AC819" s="1257"/>
    </row>
    <row r="820">
      <c r="B820" s="17"/>
      <c r="C820" s="17"/>
      <c r="D820" s="17"/>
      <c r="E820" s="444"/>
      <c r="F820" s="17"/>
      <c r="G820" s="17"/>
      <c r="H820" s="17"/>
      <c r="I820" s="17"/>
      <c r="J820" s="17" t="s">
        <v>705</v>
      </c>
      <c r="K820" s="17"/>
      <c r="L820" s="17"/>
      <c r="AC820" s="1257"/>
    </row>
    <row r="821">
      <c r="B821" s="17"/>
      <c r="C821" s="17"/>
      <c r="D821" s="17"/>
      <c r="E821" s="444"/>
      <c r="F821" s="17"/>
      <c r="G821" s="17"/>
      <c r="H821" s="17"/>
      <c r="I821" s="17"/>
      <c r="J821" s="17" t="s">
        <v>705</v>
      </c>
      <c r="K821" s="17"/>
      <c r="L821" s="17"/>
      <c r="AC821" s="1257"/>
    </row>
    <row r="822">
      <c r="B822" s="17"/>
      <c r="C822" s="17"/>
      <c r="D822" s="17"/>
      <c r="E822" s="444"/>
      <c r="F822" s="17"/>
      <c r="G822" s="17"/>
      <c r="H822" s="17"/>
      <c r="I822" s="17"/>
      <c r="J822" s="17" t="s">
        <v>705</v>
      </c>
      <c r="K822" s="17"/>
      <c r="L822" s="17"/>
      <c r="AC822" s="1257"/>
    </row>
    <row r="823">
      <c r="B823" s="17"/>
      <c r="C823" s="17"/>
      <c r="D823" s="17"/>
      <c r="E823" s="444"/>
      <c r="F823" s="17"/>
      <c r="G823" s="17"/>
      <c r="H823" s="17"/>
      <c r="I823" s="17"/>
      <c r="J823" s="17" t="s">
        <v>705</v>
      </c>
      <c r="K823" s="17"/>
      <c r="L823" s="17"/>
      <c r="AC823" s="1257"/>
    </row>
    <row r="824">
      <c r="B824" s="17"/>
      <c r="C824" s="17"/>
      <c r="D824" s="17"/>
      <c r="E824" s="444"/>
      <c r="F824" s="17"/>
      <c r="G824" s="17"/>
      <c r="H824" s="17"/>
      <c r="I824" s="17"/>
      <c r="J824" s="17" t="s">
        <v>705</v>
      </c>
      <c r="K824" s="17"/>
      <c r="L824" s="17"/>
      <c r="AC824" s="1257"/>
    </row>
    <row r="825">
      <c r="B825" s="17"/>
      <c r="C825" s="17"/>
      <c r="D825" s="17"/>
      <c r="E825" s="444"/>
      <c r="F825" s="17"/>
      <c r="G825" s="17"/>
      <c r="H825" s="17"/>
      <c r="I825" s="17"/>
      <c r="J825" s="17" t="s">
        <v>705</v>
      </c>
      <c r="K825" s="17"/>
      <c r="L825" s="17"/>
      <c r="AC825" s="1257"/>
    </row>
    <row r="826">
      <c r="B826" s="17"/>
      <c r="C826" s="17"/>
      <c r="D826" s="17"/>
      <c r="E826" s="444"/>
      <c r="F826" s="17"/>
      <c r="G826" s="17"/>
      <c r="H826" s="17"/>
      <c r="I826" s="17"/>
      <c r="J826" s="17" t="s">
        <v>705</v>
      </c>
      <c r="K826" s="17"/>
      <c r="L826" s="17"/>
      <c r="AC826" s="1257"/>
    </row>
    <row r="827">
      <c r="B827" s="17"/>
      <c r="C827" s="17"/>
      <c r="D827" s="17"/>
      <c r="E827" s="444"/>
      <c r="F827" s="17"/>
      <c r="G827" s="17"/>
      <c r="H827" s="17"/>
      <c r="I827" s="17"/>
      <c r="J827" s="17" t="s">
        <v>705</v>
      </c>
      <c r="K827" s="17"/>
      <c r="L827" s="17"/>
      <c r="AC827" s="1257"/>
    </row>
    <row r="828">
      <c r="B828" s="17"/>
      <c r="C828" s="17"/>
      <c r="D828" s="17"/>
      <c r="E828" s="444"/>
      <c r="F828" s="17"/>
      <c r="G828" s="17"/>
      <c r="H828" s="17"/>
      <c r="I828" s="17"/>
      <c r="J828" s="17" t="s">
        <v>705</v>
      </c>
      <c r="K828" s="17"/>
      <c r="L828" s="17"/>
      <c r="AC828" s="1257"/>
    </row>
    <row r="829">
      <c r="B829" s="17"/>
      <c r="C829" s="17"/>
      <c r="D829" s="17"/>
      <c r="E829" s="444"/>
      <c r="F829" s="17"/>
      <c r="G829" s="17"/>
      <c r="H829" s="17"/>
      <c r="I829" s="17"/>
      <c r="J829" s="17" t="s">
        <v>705</v>
      </c>
      <c r="K829" s="17"/>
      <c r="L829" s="17"/>
      <c r="AC829" s="1257"/>
    </row>
    <row r="830">
      <c r="B830" s="17"/>
      <c r="C830" s="17"/>
      <c r="D830" s="17"/>
      <c r="E830" s="444"/>
      <c r="F830" s="17"/>
      <c r="G830" s="17"/>
      <c r="H830" s="17"/>
      <c r="I830" s="17"/>
      <c r="J830" s="17" t="s">
        <v>705</v>
      </c>
      <c r="K830" s="17"/>
      <c r="L830" s="17"/>
      <c r="AC830" s="1257"/>
    </row>
    <row r="831">
      <c r="B831" s="17"/>
      <c r="C831" s="17"/>
      <c r="D831" s="17"/>
      <c r="E831" s="444"/>
      <c r="F831" s="17"/>
      <c r="G831" s="17"/>
      <c r="H831" s="17"/>
      <c r="I831" s="17"/>
      <c r="J831" s="17" t="s">
        <v>705</v>
      </c>
      <c r="K831" s="17"/>
      <c r="L831" s="17"/>
      <c r="AC831" s="1257"/>
    </row>
    <row r="832">
      <c r="B832" s="17"/>
      <c r="C832" s="17"/>
      <c r="D832" s="17"/>
      <c r="E832" s="444"/>
      <c r="F832" s="17"/>
      <c r="G832" s="17"/>
      <c r="H832" s="17"/>
      <c r="I832" s="17"/>
      <c r="J832" s="17" t="s">
        <v>705</v>
      </c>
      <c r="K832" s="17"/>
      <c r="L832" s="17"/>
      <c r="AC832" s="1257"/>
    </row>
    <row r="833">
      <c r="B833" s="17"/>
      <c r="C833" s="17"/>
      <c r="D833" s="17"/>
      <c r="E833" s="444"/>
      <c r="F833" s="17"/>
      <c r="G833" s="17"/>
      <c r="H833" s="17"/>
      <c r="I833" s="17"/>
      <c r="J833" s="17" t="s">
        <v>705</v>
      </c>
      <c r="K833" s="17"/>
      <c r="L833" s="17"/>
      <c r="AC833" s="1257"/>
    </row>
    <row r="834">
      <c r="B834" s="17"/>
      <c r="C834" s="17"/>
      <c r="D834" s="17"/>
      <c r="E834" s="444"/>
      <c r="F834" s="17"/>
      <c r="G834" s="17"/>
      <c r="H834" s="17"/>
      <c r="I834" s="17"/>
      <c r="J834" s="17" t="s">
        <v>705</v>
      </c>
      <c r="K834" s="17"/>
      <c r="L834" s="17"/>
      <c r="AC834" s="1257"/>
    </row>
    <row r="835">
      <c r="B835" s="17"/>
      <c r="C835" s="17"/>
      <c r="D835" s="17"/>
      <c r="E835" s="444"/>
      <c r="F835" s="17"/>
      <c r="G835" s="17"/>
      <c r="H835" s="17"/>
      <c r="I835" s="17"/>
      <c r="J835" s="17" t="s">
        <v>705</v>
      </c>
      <c r="K835" s="17"/>
      <c r="L835" s="17"/>
      <c r="AC835" s="1257"/>
    </row>
    <row r="836">
      <c r="B836" s="17"/>
      <c r="C836" s="17"/>
      <c r="D836" s="17"/>
      <c r="E836" s="444"/>
      <c r="F836" s="17"/>
      <c r="G836" s="17"/>
      <c r="H836" s="17"/>
      <c r="I836" s="17"/>
      <c r="J836" s="17" t="s">
        <v>705</v>
      </c>
      <c r="K836" s="17"/>
      <c r="L836" s="17"/>
      <c r="AC836" s="1257"/>
    </row>
    <row r="837">
      <c r="B837" s="17"/>
      <c r="C837" s="17"/>
      <c r="D837" s="17"/>
      <c r="E837" s="444"/>
      <c r="F837" s="17"/>
      <c r="G837" s="17"/>
      <c r="H837" s="17"/>
      <c r="I837" s="17"/>
      <c r="J837" s="17" t="s">
        <v>705</v>
      </c>
      <c r="K837" s="17"/>
      <c r="L837" s="17"/>
      <c r="AC837" s="1257"/>
    </row>
    <row r="838">
      <c r="B838" s="17"/>
      <c r="C838" s="17"/>
      <c r="D838" s="17"/>
      <c r="E838" s="444"/>
      <c r="F838" s="17"/>
      <c r="G838" s="17"/>
      <c r="H838" s="17"/>
      <c r="I838" s="17"/>
      <c r="J838" s="17" t="s">
        <v>705</v>
      </c>
      <c r="K838" s="17"/>
      <c r="L838" s="17"/>
      <c r="AC838" s="1257"/>
    </row>
    <row r="839">
      <c r="B839" s="17"/>
      <c r="C839" s="17"/>
      <c r="D839" s="17"/>
      <c r="E839" s="444"/>
      <c r="F839" s="17"/>
      <c r="G839" s="17"/>
      <c r="H839" s="17"/>
      <c r="I839" s="17"/>
      <c r="J839" s="17" t="s">
        <v>705</v>
      </c>
      <c r="K839" s="17"/>
      <c r="L839" s="17"/>
      <c r="AC839" s="1257"/>
    </row>
    <row r="840">
      <c r="B840" s="17"/>
      <c r="C840" s="17"/>
      <c r="D840" s="17"/>
      <c r="E840" s="444"/>
      <c r="F840" s="17"/>
      <c r="G840" s="17"/>
      <c r="H840" s="17"/>
      <c r="I840" s="17"/>
      <c r="J840" s="17" t="s">
        <v>705</v>
      </c>
      <c r="K840" s="17"/>
      <c r="L840" s="17"/>
      <c r="AC840" s="1257"/>
    </row>
    <row r="841">
      <c r="B841" s="17"/>
      <c r="C841" s="17"/>
      <c r="D841" s="17"/>
      <c r="E841" s="444"/>
      <c r="F841" s="17"/>
      <c r="G841" s="17"/>
      <c r="H841" s="17"/>
      <c r="I841" s="17"/>
      <c r="J841" s="17" t="s">
        <v>705</v>
      </c>
      <c r="K841" s="17"/>
      <c r="L841" s="17"/>
      <c r="AC841" s="1257"/>
    </row>
    <row r="842">
      <c r="B842" s="17"/>
      <c r="C842" s="17"/>
      <c r="D842" s="17"/>
      <c r="E842" s="444"/>
      <c r="F842" s="17"/>
      <c r="G842" s="17"/>
      <c r="H842" s="17"/>
      <c r="I842" s="17"/>
      <c r="J842" s="17" t="s">
        <v>705</v>
      </c>
      <c r="K842" s="17"/>
      <c r="L842" s="17"/>
      <c r="AC842" s="1257"/>
    </row>
    <row r="843">
      <c r="B843" s="17"/>
      <c r="C843" s="17"/>
      <c r="D843" s="17"/>
      <c r="E843" s="444"/>
      <c r="F843" s="17"/>
      <c r="G843" s="17"/>
      <c r="H843" s="17"/>
      <c r="I843" s="17"/>
      <c r="J843" s="17" t="s">
        <v>705</v>
      </c>
      <c r="K843" s="17"/>
      <c r="L843" s="17"/>
      <c r="AC843" s="1257"/>
    </row>
    <row r="844">
      <c r="B844" s="17"/>
      <c r="C844" s="17"/>
      <c r="D844" s="17"/>
      <c r="E844" s="444"/>
      <c r="F844" s="17"/>
      <c r="G844" s="17"/>
      <c r="H844" s="17"/>
      <c r="I844" s="17"/>
      <c r="J844" s="17" t="s">
        <v>705</v>
      </c>
      <c r="K844" s="17"/>
      <c r="L844" s="17"/>
      <c r="AC844" s="1257"/>
    </row>
    <row r="845">
      <c r="B845" s="17"/>
      <c r="C845" s="17"/>
      <c r="D845" s="17"/>
      <c r="E845" s="444"/>
      <c r="F845" s="17"/>
      <c r="G845" s="17"/>
      <c r="H845" s="17"/>
      <c r="I845" s="17"/>
      <c r="J845" s="17" t="s">
        <v>705</v>
      </c>
      <c r="K845" s="17"/>
      <c r="L845" s="17"/>
      <c r="AC845" s="1257"/>
    </row>
    <row r="846">
      <c r="B846" s="17"/>
      <c r="C846" s="17"/>
      <c r="D846" s="17"/>
      <c r="E846" s="444"/>
      <c r="F846" s="17"/>
      <c r="G846" s="17"/>
      <c r="H846" s="17"/>
      <c r="I846" s="17"/>
      <c r="J846" s="17" t="s">
        <v>705</v>
      </c>
      <c r="K846" s="17"/>
      <c r="L846" s="17"/>
      <c r="AC846" s="1257"/>
    </row>
    <row r="847">
      <c r="B847" s="17"/>
      <c r="C847" s="17"/>
      <c r="D847" s="17"/>
      <c r="E847" s="444"/>
      <c r="F847" s="17"/>
      <c r="G847" s="17"/>
      <c r="H847" s="17"/>
      <c r="I847" s="17"/>
      <c r="J847" s="17" t="s">
        <v>705</v>
      </c>
      <c r="K847" s="17"/>
      <c r="L847" s="17"/>
      <c r="AC847" s="1257"/>
    </row>
    <row r="848">
      <c r="B848" s="17"/>
      <c r="C848" s="17"/>
      <c r="D848" s="17"/>
      <c r="E848" s="444"/>
      <c r="F848" s="17"/>
      <c r="G848" s="17"/>
      <c r="H848" s="17"/>
      <c r="I848" s="17"/>
      <c r="J848" s="17" t="s">
        <v>705</v>
      </c>
      <c r="K848" s="17"/>
      <c r="L848" s="17"/>
      <c r="AC848" s="1257"/>
    </row>
    <row r="849">
      <c r="B849" s="17"/>
      <c r="C849" s="17"/>
      <c r="D849" s="17"/>
      <c r="E849" s="444"/>
      <c r="F849" s="17"/>
      <c r="G849" s="17"/>
      <c r="H849" s="17"/>
      <c r="I849" s="17"/>
      <c r="J849" s="17" t="s">
        <v>705</v>
      </c>
      <c r="K849" s="17"/>
      <c r="L849" s="17"/>
      <c r="AC849" s="1257"/>
    </row>
    <row r="850">
      <c r="B850" s="17"/>
      <c r="C850" s="17"/>
      <c r="D850" s="17"/>
      <c r="E850" s="444"/>
      <c r="F850" s="17"/>
      <c r="G850" s="17"/>
      <c r="H850" s="17"/>
      <c r="I850" s="17"/>
      <c r="J850" s="17" t="s">
        <v>705</v>
      </c>
      <c r="K850" s="17"/>
      <c r="L850" s="17"/>
      <c r="AC850" s="1257"/>
    </row>
    <row r="851">
      <c r="B851" s="17"/>
      <c r="C851" s="17"/>
      <c r="D851" s="17"/>
      <c r="E851" s="444"/>
      <c r="F851" s="17"/>
      <c r="G851" s="17"/>
      <c r="H851" s="17"/>
      <c r="I851" s="17"/>
      <c r="J851" s="17" t="s">
        <v>705</v>
      </c>
      <c r="K851" s="17"/>
      <c r="L851" s="17"/>
      <c r="AC851" s="1257"/>
    </row>
    <row r="852">
      <c r="B852" s="17"/>
      <c r="C852" s="17"/>
      <c r="D852" s="17"/>
      <c r="E852" s="444"/>
      <c r="F852" s="17"/>
      <c r="G852" s="17"/>
      <c r="H852" s="17"/>
      <c r="I852" s="17"/>
      <c r="J852" s="17" t="s">
        <v>705</v>
      </c>
      <c r="K852" s="17"/>
      <c r="L852" s="17"/>
      <c r="AC852" s="1257"/>
    </row>
    <row r="853">
      <c r="B853" s="17"/>
      <c r="C853" s="17"/>
      <c r="D853" s="17"/>
      <c r="E853" s="444"/>
      <c r="F853" s="17"/>
      <c r="G853" s="17"/>
      <c r="H853" s="17"/>
      <c r="I853" s="17"/>
      <c r="J853" s="17" t="s">
        <v>705</v>
      </c>
      <c r="K853" s="17"/>
      <c r="L853" s="17"/>
      <c r="AC853" s="1257"/>
    </row>
    <row r="854">
      <c r="B854" s="17"/>
      <c r="C854" s="17"/>
      <c r="D854" s="17"/>
      <c r="E854" s="444"/>
      <c r="F854" s="17"/>
      <c r="G854" s="17"/>
      <c r="H854" s="17"/>
      <c r="I854" s="17"/>
      <c r="J854" s="17" t="s">
        <v>705</v>
      </c>
      <c r="K854" s="17"/>
      <c r="L854" s="17"/>
      <c r="AC854" s="1257"/>
    </row>
    <row r="855">
      <c r="B855" s="17"/>
      <c r="C855" s="17"/>
      <c r="D855" s="17"/>
      <c r="E855" s="444"/>
      <c r="F855" s="17"/>
      <c r="G855" s="17"/>
      <c r="H855" s="17"/>
      <c r="I855" s="17"/>
      <c r="J855" s="17" t="s">
        <v>705</v>
      </c>
      <c r="K855" s="17"/>
      <c r="L855" s="17"/>
      <c r="AC855" s="1257"/>
    </row>
    <row r="856">
      <c r="B856" s="17"/>
      <c r="C856" s="17"/>
      <c r="D856" s="17"/>
      <c r="E856" s="444"/>
      <c r="F856" s="17"/>
      <c r="G856" s="17"/>
      <c r="H856" s="17"/>
      <c r="I856" s="17"/>
      <c r="J856" s="17" t="s">
        <v>705</v>
      </c>
      <c r="K856" s="17"/>
      <c r="L856" s="17"/>
      <c r="AC856" s="1257"/>
    </row>
    <row r="857">
      <c r="B857" s="17"/>
      <c r="C857" s="17"/>
      <c r="D857" s="17"/>
      <c r="E857" s="444"/>
      <c r="F857" s="17"/>
      <c r="G857" s="17"/>
      <c r="H857" s="17"/>
      <c r="I857" s="17"/>
      <c r="J857" s="17" t="s">
        <v>705</v>
      </c>
      <c r="K857" s="17"/>
      <c r="L857" s="17"/>
      <c r="AC857" s="1257"/>
    </row>
    <row r="858">
      <c r="B858" s="17"/>
      <c r="C858" s="17"/>
      <c r="D858" s="17"/>
      <c r="E858" s="444"/>
      <c r="F858" s="17"/>
      <c r="G858" s="17"/>
      <c r="H858" s="17"/>
      <c r="I858" s="17"/>
      <c r="J858" s="17" t="s">
        <v>705</v>
      </c>
      <c r="K858" s="17"/>
      <c r="L858" s="17"/>
      <c r="AC858" s="1257"/>
    </row>
    <row r="859">
      <c r="B859" s="17"/>
      <c r="C859" s="17"/>
      <c r="D859" s="17"/>
      <c r="E859" s="444"/>
      <c r="F859" s="17"/>
      <c r="G859" s="17"/>
      <c r="H859" s="17"/>
      <c r="I859" s="17"/>
      <c r="J859" s="17" t="s">
        <v>705</v>
      </c>
      <c r="K859" s="17"/>
      <c r="L859" s="17"/>
      <c r="AC859" s="1257"/>
    </row>
    <row r="860">
      <c r="B860" s="17"/>
      <c r="C860" s="17"/>
      <c r="D860" s="17"/>
      <c r="E860" s="444"/>
      <c r="F860" s="17"/>
      <c r="G860" s="17"/>
      <c r="H860" s="17"/>
      <c r="I860" s="17"/>
      <c r="J860" s="17" t="s">
        <v>705</v>
      </c>
      <c r="K860" s="17"/>
      <c r="L860" s="17"/>
      <c r="AC860" s="1257"/>
    </row>
    <row r="861">
      <c r="B861" s="17"/>
      <c r="C861" s="17"/>
      <c r="D861" s="17"/>
      <c r="E861" s="444"/>
      <c r="F861" s="17"/>
      <c r="G861" s="17"/>
      <c r="H861" s="17"/>
      <c r="I861" s="17"/>
      <c r="J861" s="17" t="s">
        <v>705</v>
      </c>
      <c r="K861" s="17"/>
      <c r="L861" s="17"/>
      <c r="AC861" s="1257"/>
    </row>
    <row r="862">
      <c r="B862" s="17"/>
      <c r="C862" s="17"/>
      <c r="D862" s="17"/>
      <c r="E862" s="444"/>
      <c r="F862" s="17"/>
      <c r="G862" s="17"/>
      <c r="H862" s="17"/>
      <c r="I862" s="17"/>
      <c r="J862" s="17" t="s">
        <v>705</v>
      </c>
      <c r="K862" s="17"/>
      <c r="L862" s="17"/>
      <c r="AC862" s="1257"/>
    </row>
    <row r="863">
      <c r="B863" s="17"/>
      <c r="C863" s="17"/>
      <c r="D863" s="17"/>
      <c r="E863" s="444"/>
      <c r="F863" s="17"/>
      <c r="G863" s="17"/>
      <c r="H863" s="17"/>
      <c r="I863" s="17"/>
      <c r="J863" s="17" t="s">
        <v>705</v>
      </c>
      <c r="K863" s="17"/>
      <c r="L863" s="17"/>
      <c r="AC863" s="1257"/>
    </row>
    <row r="864">
      <c r="B864" s="17"/>
      <c r="C864" s="17"/>
      <c r="D864" s="17"/>
      <c r="E864" s="444"/>
      <c r="F864" s="17"/>
      <c r="G864" s="17"/>
      <c r="H864" s="17"/>
      <c r="I864" s="17"/>
      <c r="J864" s="17" t="s">
        <v>705</v>
      </c>
      <c r="K864" s="17"/>
      <c r="L864" s="17"/>
      <c r="AC864" s="1257"/>
    </row>
    <row r="865">
      <c r="B865" s="17"/>
      <c r="C865" s="17"/>
      <c r="D865" s="17"/>
      <c r="E865" s="444"/>
      <c r="F865" s="17"/>
      <c r="G865" s="17"/>
      <c r="H865" s="17"/>
      <c r="I865" s="17"/>
      <c r="J865" s="17" t="s">
        <v>705</v>
      </c>
      <c r="K865" s="17"/>
      <c r="L865" s="17"/>
      <c r="AC865" s="1257"/>
    </row>
    <row r="866">
      <c r="B866" s="17"/>
      <c r="C866" s="17"/>
      <c r="D866" s="17"/>
      <c r="E866" s="444"/>
      <c r="F866" s="17"/>
      <c r="G866" s="17"/>
      <c r="H866" s="17"/>
      <c r="I866" s="17"/>
      <c r="J866" s="17" t="s">
        <v>705</v>
      </c>
      <c r="K866" s="17"/>
      <c r="L866" s="17"/>
      <c r="AC866" s="1257"/>
    </row>
    <row r="867">
      <c r="B867" s="17"/>
      <c r="C867" s="17"/>
      <c r="D867" s="17"/>
      <c r="E867" s="444"/>
      <c r="F867" s="17"/>
      <c r="G867" s="17"/>
      <c r="H867" s="17"/>
      <c r="I867" s="17"/>
      <c r="J867" s="17" t="s">
        <v>705</v>
      </c>
      <c r="K867" s="17"/>
      <c r="L867" s="17"/>
      <c r="AC867" s="1257"/>
    </row>
    <row r="868">
      <c r="B868" s="17"/>
      <c r="C868" s="17"/>
      <c r="D868" s="17"/>
      <c r="E868" s="444"/>
      <c r="F868" s="17"/>
      <c r="G868" s="17"/>
      <c r="H868" s="17"/>
      <c r="I868" s="17"/>
      <c r="J868" s="17" t="s">
        <v>705</v>
      </c>
      <c r="K868" s="17"/>
      <c r="L868" s="17"/>
      <c r="AC868" s="1257"/>
    </row>
    <row r="869">
      <c r="B869" s="17"/>
      <c r="C869" s="17"/>
      <c r="D869" s="17"/>
      <c r="E869" s="444"/>
      <c r="F869" s="17"/>
      <c r="G869" s="17"/>
      <c r="H869" s="17"/>
      <c r="I869" s="17"/>
      <c r="J869" s="17" t="s">
        <v>705</v>
      </c>
      <c r="K869" s="17"/>
      <c r="L869" s="17"/>
      <c r="AC869" s="1257"/>
    </row>
    <row r="870">
      <c r="B870" s="17"/>
      <c r="C870" s="17"/>
      <c r="D870" s="17"/>
      <c r="E870" s="444"/>
      <c r="F870" s="17"/>
      <c r="G870" s="17"/>
      <c r="H870" s="17"/>
      <c r="I870" s="17"/>
      <c r="J870" s="17" t="s">
        <v>705</v>
      </c>
      <c r="K870" s="17"/>
      <c r="L870" s="17"/>
      <c r="AC870" s="1257"/>
    </row>
    <row r="871">
      <c r="B871" s="17"/>
      <c r="C871" s="17"/>
      <c r="D871" s="17"/>
      <c r="E871" s="444"/>
      <c r="F871" s="17"/>
      <c r="G871" s="17"/>
      <c r="H871" s="17"/>
      <c r="I871" s="17"/>
      <c r="J871" s="17" t="s">
        <v>705</v>
      </c>
      <c r="K871" s="17"/>
      <c r="L871" s="17"/>
      <c r="AC871" s="1257"/>
    </row>
    <row r="872">
      <c r="B872" s="17"/>
      <c r="C872" s="17"/>
      <c r="D872" s="17"/>
      <c r="E872" s="444"/>
      <c r="F872" s="17"/>
      <c r="G872" s="17"/>
      <c r="H872" s="17"/>
      <c r="I872" s="17"/>
      <c r="J872" s="17" t="s">
        <v>705</v>
      </c>
      <c r="K872" s="17"/>
      <c r="L872" s="17"/>
      <c r="AC872" s="1257"/>
    </row>
    <row r="873">
      <c r="B873" s="17"/>
      <c r="C873" s="17"/>
      <c r="D873" s="17"/>
      <c r="E873" s="444"/>
      <c r="F873" s="17"/>
      <c r="G873" s="17"/>
      <c r="H873" s="17"/>
      <c r="I873" s="17"/>
      <c r="J873" s="17" t="s">
        <v>705</v>
      </c>
      <c r="K873" s="17"/>
      <c r="L873" s="17"/>
      <c r="AC873" s="1257"/>
    </row>
    <row r="874">
      <c r="B874" s="17"/>
      <c r="C874" s="17"/>
      <c r="D874" s="17"/>
      <c r="E874" s="444"/>
      <c r="F874" s="17"/>
      <c r="G874" s="17"/>
      <c r="H874" s="17"/>
      <c r="I874" s="17"/>
      <c r="J874" s="17" t="s">
        <v>705</v>
      </c>
      <c r="K874" s="17"/>
      <c r="L874" s="17"/>
      <c r="AC874" s="1257"/>
    </row>
    <row r="875">
      <c r="B875" s="17"/>
      <c r="C875" s="17"/>
      <c r="D875" s="17"/>
      <c r="E875" s="444"/>
      <c r="F875" s="17"/>
      <c r="G875" s="17"/>
      <c r="H875" s="17"/>
      <c r="I875" s="17"/>
      <c r="J875" s="17" t="s">
        <v>705</v>
      </c>
      <c r="K875" s="17"/>
      <c r="L875" s="17"/>
      <c r="AC875" s="1257"/>
    </row>
    <row r="876">
      <c r="B876" s="17"/>
      <c r="C876" s="17"/>
      <c r="D876" s="17"/>
      <c r="E876" s="444"/>
      <c r="F876" s="17"/>
      <c r="G876" s="17"/>
      <c r="H876" s="17"/>
      <c r="I876" s="17"/>
      <c r="J876" s="17" t="s">
        <v>705</v>
      </c>
      <c r="K876" s="17"/>
      <c r="L876" s="17"/>
      <c r="AC876" s="1257"/>
    </row>
    <row r="877">
      <c r="B877" s="17"/>
      <c r="C877" s="17"/>
      <c r="D877" s="17"/>
      <c r="E877" s="444"/>
      <c r="F877" s="17"/>
      <c r="G877" s="17"/>
      <c r="H877" s="17"/>
      <c r="I877" s="17"/>
      <c r="J877" s="17" t="s">
        <v>705</v>
      </c>
      <c r="K877" s="17"/>
      <c r="L877" s="17"/>
      <c r="AC877" s="1257"/>
    </row>
    <row r="878">
      <c r="B878" s="17"/>
      <c r="C878" s="17"/>
      <c r="D878" s="17"/>
      <c r="E878" s="444"/>
      <c r="F878" s="17"/>
      <c r="G878" s="17"/>
      <c r="H878" s="17"/>
      <c r="I878" s="17"/>
      <c r="J878" s="17" t="s">
        <v>705</v>
      </c>
      <c r="K878" s="17"/>
      <c r="L878" s="17"/>
      <c r="AC878" s="1257"/>
    </row>
    <row r="879">
      <c r="B879" s="17"/>
      <c r="C879" s="17"/>
      <c r="D879" s="17"/>
      <c r="E879" s="444"/>
      <c r="F879" s="17"/>
      <c r="G879" s="17"/>
      <c r="H879" s="17"/>
      <c r="I879" s="17"/>
      <c r="J879" s="17" t="s">
        <v>705</v>
      </c>
      <c r="K879" s="17"/>
      <c r="L879" s="17"/>
      <c r="AC879" s="1257"/>
    </row>
    <row r="880">
      <c r="B880" s="17"/>
      <c r="C880" s="17"/>
      <c r="D880" s="17"/>
      <c r="E880" s="444"/>
      <c r="F880" s="17"/>
      <c r="G880" s="17"/>
      <c r="H880" s="17"/>
      <c r="I880" s="17"/>
      <c r="J880" s="17" t="s">
        <v>705</v>
      </c>
      <c r="K880" s="17"/>
      <c r="L880" s="17"/>
      <c r="AC880" s="1257"/>
    </row>
    <row r="881">
      <c r="B881" s="17"/>
      <c r="C881" s="17"/>
      <c r="D881" s="17"/>
      <c r="E881" s="444"/>
      <c r="F881" s="17"/>
      <c r="G881" s="17"/>
      <c r="H881" s="17"/>
      <c r="I881" s="17"/>
      <c r="J881" s="17" t="s">
        <v>705</v>
      </c>
      <c r="K881" s="17"/>
      <c r="L881" s="17"/>
      <c r="AC881" s="1257"/>
    </row>
    <row r="882">
      <c r="B882" s="17"/>
      <c r="C882" s="17"/>
      <c r="D882" s="17"/>
      <c r="E882" s="444"/>
      <c r="F882" s="17"/>
      <c r="G882" s="17"/>
      <c r="H882" s="17"/>
      <c r="I882" s="17"/>
      <c r="J882" s="17" t="s">
        <v>705</v>
      </c>
      <c r="K882" s="17"/>
      <c r="L882" s="17"/>
      <c r="AC882" s="1257"/>
    </row>
    <row r="883">
      <c r="B883" s="17"/>
      <c r="C883" s="17"/>
      <c r="D883" s="17"/>
      <c r="E883" s="444"/>
      <c r="F883" s="17"/>
      <c r="G883" s="17"/>
      <c r="H883" s="17"/>
      <c r="I883" s="17"/>
      <c r="J883" s="17" t="s">
        <v>705</v>
      </c>
      <c r="K883" s="17"/>
      <c r="L883" s="17"/>
      <c r="AC883" s="1257"/>
    </row>
    <row r="884">
      <c r="B884" s="17"/>
      <c r="C884" s="17"/>
      <c r="D884" s="17"/>
      <c r="E884" s="444"/>
      <c r="F884" s="17"/>
      <c r="G884" s="17"/>
      <c r="H884" s="17"/>
      <c r="I884" s="17"/>
      <c r="J884" s="17" t="s">
        <v>705</v>
      </c>
      <c r="K884" s="17"/>
      <c r="L884" s="17"/>
      <c r="AC884" s="1257"/>
    </row>
    <row r="885">
      <c r="B885" s="17"/>
      <c r="C885" s="17"/>
      <c r="D885" s="17"/>
      <c r="E885" s="444"/>
      <c r="F885" s="17"/>
      <c r="G885" s="17"/>
      <c r="H885" s="17"/>
      <c r="I885" s="17"/>
      <c r="J885" s="17" t="s">
        <v>705</v>
      </c>
      <c r="K885" s="17"/>
      <c r="L885" s="17"/>
      <c r="AC885" s="1257"/>
    </row>
    <row r="886">
      <c r="B886" s="17"/>
      <c r="C886" s="17"/>
      <c r="D886" s="17"/>
      <c r="E886" s="444"/>
      <c r="F886" s="17"/>
      <c r="G886" s="17"/>
      <c r="H886" s="17"/>
      <c r="I886" s="17"/>
      <c r="J886" s="17" t="s">
        <v>705</v>
      </c>
      <c r="K886" s="17"/>
      <c r="L886" s="17"/>
      <c r="AC886" s="1257"/>
    </row>
    <row r="887">
      <c r="B887" s="17"/>
      <c r="C887" s="17"/>
      <c r="D887" s="17"/>
      <c r="E887" s="444"/>
      <c r="F887" s="17"/>
      <c r="G887" s="17"/>
      <c r="H887" s="17"/>
      <c r="I887" s="17"/>
      <c r="J887" s="17" t="s">
        <v>705</v>
      </c>
      <c r="K887" s="17"/>
      <c r="L887" s="17"/>
      <c r="AC887" s="1257"/>
    </row>
    <row r="888">
      <c r="B888" s="17"/>
      <c r="C888" s="17"/>
      <c r="D888" s="17"/>
      <c r="E888" s="444"/>
      <c r="F888" s="17"/>
      <c r="G888" s="17"/>
      <c r="H888" s="17"/>
      <c r="I888" s="17"/>
      <c r="J888" s="17" t="s">
        <v>705</v>
      </c>
      <c r="K888" s="17"/>
      <c r="L888" s="17"/>
      <c r="AC888" s="1257"/>
    </row>
    <row r="889">
      <c r="B889" s="17"/>
      <c r="C889" s="17"/>
      <c r="D889" s="17"/>
      <c r="E889" s="444"/>
      <c r="F889" s="17"/>
      <c r="G889" s="17"/>
      <c r="H889" s="17"/>
      <c r="I889" s="17"/>
      <c r="J889" s="17" t="s">
        <v>705</v>
      </c>
      <c r="K889" s="17"/>
      <c r="L889" s="17"/>
      <c r="AC889" s="1257"/>
    </row>
    <row r="890">
      <c r="B890" s="17"/>
      <c r="C890" s="17"/>
      <c r="D890" s="17"/>
      <c r="E890" s="444"/>
      <c r="F890" s="17"/>
      <c r="G890" s="17"/>
      <c r="H890" s="17"/>
      <c r="I890" s="17"/>
      <c r="J890" s="17" t="s">
        <v>705</v>
      </c>
      <c r="K890" s="17"/>
      <c r="L890" s="17"/>
      <c r="AC890" s="1257"/>
    </row>
    <row r="891">
      <c r="B891" s="17"/>
      <c r="C891" s="17"/>
      <c r="D891" s="17"/>
      <c r="E891" s="444"/>
      <c r="F891" s="17"/>
      <c r="G891" s="17"/>
      <c r="H891" s="17"/>
      <c r="I891" s="17"/>
      <c r="J891" s="17" t="s">
        <v>705</v>
      </c>
      <c r="K891" s="17"/>
      <c r="L891" s="17"/>
      <c r="AC891" s="1257"/>
    </row>
    <row r="892">
      <c r="B892" s="17"/>
      <c r="C892" s="17"/>
      <c r="D892" s="17"/>
      <c r="E892" s="444"/>
      <c r="F892" s="17"/>
      <c r="G892" s="17"/>
      <c r="H892" s="17"/>
      <c r="I892" s="17"/>
      <c r="J892" s="17" t="s">
        <v>705</v>
      </c>
      <c r="K892" s="17"/>
      <c r="L892" s="17"/>
      <c r="AC892" s="1257"/>
    </row>
    <row r="893">
      <c r="B893" s="17"/>
      <c r="C893" s="17"/>
      <c r="D893" s="17"/>
      <c r="E893" s="444"/>
      <c r="F893" s="17"/>
      <c r="G893" s="17"/>
      <c r="H893" s="17"/>
      <c r="I893" s="17"/>
      <c r="J893" s="17" t="s">
        <v>705</v>
      </c>
      <c r="K893" s="17"/>
      <c r="L893" s="17"/>
      <c r="AC893" s="1257"/>
    </row>
    <row r="894">
      <c r="B894" s="17"/>
      <c r="C894" s="17"/>
      <c r="D894" s="17"/>
      <c r="E894" s="444"/>
      <c r="F894" s="17"/>
      <c r="G894" s="17"/>
      <c r="H894" s="17"/>
      <c r="I894" s="17"/>
      <c r="J894" s="17" t="s">
        <v>705</v>
      </c>
      <c r="K894" s="17"/>
      <c r="L894" s="17"/>
      <c r="AC894" s="1257"/>
    </row>
    <row r="895">
      <c r="B895" s="17"/>
      <c r="C895" s="17"/>
      <c r="D895" s="17"/>
      <c r="E895" s="444"/>
      <c r="F895" s="17"/>
      <c r="G895" s="17"/>
      <c r="H895" s="17"/>
      <c r="I895" s="17"/>
      <c r="J895" s="17" t="s">
        <v>705</v>
      </c>
      <c r="K895" s="17"/>
      <c r="L895" s="17"/>
      <c r="AC895" s="1257"/>
    </row>
    <row r="896">
      <c r="B896" s="17"/>
      <c r="C896" s="17"/>
      <c r="D896" s="17"/>
      <c r="E896" s="444"/>
      <c r="F896" s="17"/>
      <c r="G896" s="17"/>
      <c r="H896" s="17"/>
      <c r="I896" s="17"/>
      <c r="J896" s="17" t="s">
        <v>705</v>
      </c>
      <c r="K896" s="17"/>
      <c r="L896" s="17"/>
      <c r="AC896" s="1257"/>
    </row>
    <row r="897">
      <c r="B897" s="17"/>
      <c r="C897" s="17"/>
      <c r="D897" s="17"/>
      <c r="E897" s="444"/>
      <c r="F897" s="17"/>
      <c r="G897" s="17"/>
      <c r="H897" s="17"/>
      <c r="I897" s="17"/>
      <c r="J897" s="17" t="s">
        <v>705</v>
      </c>
      <c r="K897" s="17"/>
      <c r="L897" s="17"/>
      <c r="AC897" s="1257"/>
    </row>
    <row r="898">
      <c r="B898" s="17"/>
      <c r="C898" s="17"/>
      <c r="D898" s="17"/>
      <c r="E898" s="444"/>
      <c r="F898" s="17"/>
      <c r="G898" s="17"/>
      <c r="H898" s="17"/>
      <c r="I898" s="17"/>
      <c r="J898" s="17" t="s">
        <v>705</v>
      </c>
      <c r="K898" s="17"/>
      <c r="L898" s="17"/>
      <c r="AC898" s="1257"/>
    </row>
    <row r="899">
      <c r="B899" s="17"/>
      <c r="C899" s="17"/>
      <c r="D899" s="17"/>
      <c r="E899" s="444"/>
      <c r="F899" s="17"/>
      <c r="G899" s="17"/>
      <c r="H899" s="17"/>
      <c r="I899" s="17"/>
      <c r="J899" s="17" t="s">
        <v>705</v>
      </c>
      <c r="K899" s="17"/>
      <c r="L899" s="17"/>
      <c r="AC899" s="1257"/>
    </row>
    <row r="900">
      <c r="B900" s="17"/>
      <c r="C900" s="17"/>
      <c r="D900" s="17"/>
      <c r="E900" s="444"/>
      <c r="F900" s="17"/>
      <c r="G900" s="17"/>
      <c r="H900" s="17"/>
      <c r="I900" s="17"/>
      <c r="J900" s="17" t="s">
        <v>705</v>
      </c>
      <c r="K900" s="17"/>
      <c r="L900" s="17"/>
      <c r="AC900" s="1257"/>
    </row>
    <row r="901">
      <c r="B901" s="17"/>
      <c r="C901" s="17"/>
      <c r="D901" s="17"/>
      <c r="E901" s="444"/>
      <c r="F901" s="17"/>
      <c r="G901" s="17"/>
      <c r="H901" s="17"/>
      <c r="I901" s="17"/>
      <c r="J901" s="17" t="s">
        <v>705</v>
      </c>
      <c r="K901" s="17"/>
      <c r="L901" s="17"/>
      <c r="AC901" s="1257"/>
    </row>
    <row r="902">
      <c r="B902" s="17"/>
      <c r="C902" s="17"/>
      <c r="D902" s="17"/>
      <c r="E902" s="444"/>
      <c r="F902" s="17"/>
      <c r="G902" s="17"/>
      <c r="H902" s="17"/>
      <c r="I902" s="17"/>
      <c r="J902" s="17" t="s">
        <v>705</v>
      </c>
      <c r="K902" s="17"/>
      <c r="L902" s="17"/>
      <c r="AC902" s="1257"/>
    </row>
    <row r="903">
      <c r="B903" s="17"/>
      <c r="C903" s="17"/>
      <c r="D903" s="17"/>
      <c r="E903" s="444"/>
      <c r="F903" s="17"/>
      <c r="G903" s="17"/>
      <c r="H903" s="17"/>
      <c r="I903" s="17"/>
      <c r="J903" s="17" t="s">
        <v>705</v>
      </c>
      <c r="K903" s="17"/>
      <c r="L903" s="17"/>
      <c r="AC903" s="1257"/>
    </row>
    <row r="904">
      <c r="B904" s="17"/>
      <c r="C904" s="17"/>
      <c r="D904" s="17"/>
      <c r="E904" s="444"/>
      <c r="F904" s="17"/>
      <c r="G904" s="17"/>
      <c r="H904" s="17"/>
      <c r="I904" s="17"/>
      <c r="J904" s="17" t="s">
        <v>705</v>
      </c>
      <c r="K904" s="17"/>
      <c r="L904" s="17"/>
      <c r="AC904" s="1257"/>
    </row>
    <row r="905">
      <c r="B905" s="17"/>
      <c r="C905" s="17"/>
      <c r="D905" s="17"/>
      <c r="E905" s="444"/>
      <c r="F905" s="17"/>
      <c r="G905" s="17"/>
      <c r="H905" s="17"/>
      <c r="I905" s="17"/>
      <c r="J905" s="17" t="s">
        <v>705</v>
      </c>
      <c r="K905" s="17"/>
      <c r="L905" s="17"/>
      <c r="AC905" s="1257"/>
    </row>
    <row r="906">
      <c r="B906" s="17"/>
      <c r="C906" s="17"/>
      <c r="D906" s="17"/>
      <c r="E906" s="444"/>
      <c r="F906" s="17"/>
      <c r="G906" s="17"/>
      <c r="H906" s="17"/>
      <c r="I906" s="17"/>
      <c r="J906" s="17" t="s">
        <v>705</v>
      </c>
      <c r="K906" s="17"/>
      <c r="L906" s="17"/>
      <c r="AC906" s="1257"/>
    </row>
    <row r="907">
      <c r="B907" s="17"/>
      <c r="C907" s="17"/>
      <c r="D907" s="17"/>
      <c r="E907" s="444"/>
      <c r="F907" s="17"/>
      <c r="G907" s="17"/>
      <c r="H907" s="17"/>
      <c r="I907" s="17"/>
      <c r="J907" s="17" t="s">
        <v>705</v>
      </c>
      <c r="K907" s="17"/>
      <c r="L907" s="17"/>
      <c r="AC907" s="1257"/>
    </row>
    <row r="908">
      <c r="B908" s="17"/>
      <c r="C908" s="17"/>
      <c r="D908" s="17"/>
      <c r="E908" s="444"/>
      <c r="F908" s="17"/>
      <c r="G908" s="17"/>
      <c r="H908" s="17"/>
      <c r="I908" s="17"/>
      <c r="J908" s="17" t="s">
        <v>705</v>
      </c>
      <c r="K908" s="17"/>
      <c r="L908" s="17"/>
      <c r="AC908" s="1257"/>
    </row>
    <row r="909">
      <c r="B909" s="17"/>
      <c r="C909" s="17"/>
      <c r="D909" s="17"/>
      <c r="E909" s="444"/>
      <c r="F909" s="17"/>
      <c r="G909" s="17"/>
      <c r="H909" s="17"/>
      <c r="I909" s="17"/>
      <c r="J909" s="17" t="s">
        <v>705</v>
      </c>
      <c r="K909" s="17"/>
      <c r="L909" s="17"/>
      <c r="AC909" s="1257"/>
    </row>
    <row r="910">
      <c r="B910" s="17"/>
      <c r="C910" s="17"/>
      <c r="D910" s="17"/>
      <c r="E910" s="444"/>
      <c r="F910" s="17"/>
      <c r="G910" s="17"/>
      <c r="H910" s="17"/>
      <c r="I910" s="17"/>
      <c r="J910" s="17" t="s">
        <v>705</v>
      </c>
      <c r="K910" s="17"/>
      <c r="L910" s="17"/>
      <c r="AC910" s="1257"/>
    </row>
    <row r="911">
      <c r="B911" s="17"/>
      <c r="C911" s="17"/>
      <c r="D911" s="17"/>
      <c r="E911" s="444"/>
      <c r="F911" s="17"/>
      <c r="G911" s="17"/>
      <c r="H911" s="17"/>
      <c r="I911" s="17"/>
      <c r="J911" s="17" t="s">
        <v>705</v>
      </c>
      <c r="K911" s="17"/>
      <c r="L911" s="17"/>
      <c r="AC911" s="1257"/>
    </row>
    <row r="912">
      <c r="B912" s="17"/>
      <c r="C912" s="17"/>
      <c r="D912" s="17"/>
      <c r="E912" s="444"/>
      <c r="F912" s="17"/>
      <c r="G912" s="17"/>
      <c r="H912" s="17"/>
      <c r="I912" s="17"/>
      <c r="J912" s="17" t="s">
        <v>705</v>
      </c>
      <c r="K912" s="17"/>
      <c r="L912" s="17"/>
      <c r="AC912" s="1257"/>
    </row>
    <row r="913">
      <c r="B913" s="17"/>
      <c r="C913" s="17"/>
      <c r="D913" s="17"/>
      <c r="E913" s="444"/>
      <c r="F913" s="17"/>
      <c r="G913" s="17"/>
      <c r="H913" s="17"/>
      <c r="I913" s="17"/>
      <c r="J913" s="17" t="s">
        <v>705</v>
      </c>
      <c r="K913" s="17"/>
      <c r="L913" s="17"/>
      <c r="AC913" s="1257"/>
    </row>
    <row r="914">
      <c r="B914" s="17"/>
      <c r="C914" s="17"/>
      <c r="D914" s="17"/>
      <c r="E914" s="444"/>
      <c r="F914" s="17"/>
      <c r="G914" s="17"/>
      <c r="H914" s="17"/>
      <c r="I914" s="17"/>
      <c r="J914" s="17" t="s">
        <v>705</v>
      </c>
      <c r="K914" s="17"/>
      <c r="L914" s="17"/>
      <c r="AC914" s="1257"/>
    </row>
    <row r="915">
      <c r="B915" s="17"/>
      <c r="C915" s="17"/>
      <c r="D915" s="17"/>
      <c r="E915" s="444"/>
      <c r="F915" s="17"/>
      <c r="G915" s="17"/>
      <c r="H915" s="17"/>
      <c r="I915" s="17"/>
      <c r="J915" s="17" t="s">
        <v>705</v>
      </c>
      <c r="K915" s="17"/>
      <c r="L915" s="17"/>
      <c r="AC915" s="1257"/>
    </row>
    <row r="916">
      <c r="B916" s="17"/>
      <c r="C916" s="17"/>
      <c r="D916" s="17"/>
      <c r="E916" s="444"/>
      <c r="F916" s="17"/>
      <c r="G916" s="17"/>
      <c r="H916" s="17"/>
      <c r="I916" s="17"/>
      <c r="J916" s="17" t="s">
        <v>705</v>
      </c>
      <c r="K916" s="17"/>
      <c r="L916" s="17"/>
      <c r="AC916" s="1257"/>
    </row>
    <row r="917">
      <c r="B917" s="17"/>
      <c r="C917" s="17"/>
      <c r="D917" s="17"/>
      <c r="E917" s="444"/>
      <c r="F917" s="17"/>
      <c r="G917" s="17"/>
      <c r="H917" s="17"/>
      <c r="I917" s="17"/>
      <c r="J917" s="17" t="s">
        <v>705</v>
      </c>
      <c r="K917" s="17"/>
      <c r="L917" s="17"/>
      <c r="AC917" s="1257"/>
    </row>
    <row r="918">
      <c r="B918" s="17"/>
      <c r="C918" s="17"/>
      <c r="D918" s="17"/>
      <c r="E918" s="444"/>
      <c r="F918" s="17"/>
      <c r="G918" s="17"/>
      <c r="H918" s="17"/>
      <c r="I918" s="17"/>
      <c r="J918" s="17" t="s">
        <v>705</v>
      </c>
      <c r="K918" s="17"/>
      <c r="L918" s="17"/>
      <c r="AC918" s="1257"/>
    </row>
    <row r="919">
      <c r="B919" s="17"/>
      <c r="C919" s="17"/>
      <c r="D919" s="17"/>
      <c r="E919" s="444"/>
      <c r="F919" s="17"/>
      <c r="G919" s="17"/>
      <c r="H919" s="17"/>
      <c r="I919" s="17"/>
      <c r="J919" s="17" t="s">
        <v>705</v>
      </c>
      <c r="K919" s="17"/>
      <c r="L919" s="17"/>
      <c r="AC919" s="1257"/>
    </row>
    <row r="920">
      <c r="B920" s="17"/>
      <c r="C920" s="17"/>
      <c r="D920" s="17"/>
      <c r="E920" s="444"/>
      <c r="F920" s="17"/>
      <c r="G920" s="17"/>
      <c r="H920" s="17"/>
      <c r="I920" s="17"/>
      <c r="J920" s="17" t="s">
        <v>705</v>
      </c>
      <c r="K920" s="17"/>
      <c r="L920" s="17"/>
      <c r="AC920" s="1257"/>
    </row>
    <row r="921">
      <c r="B921" s="17"/>
      <c r="C921" s="17"/>
      <c r="D921" s="17"/>
      <c r="E921" s="444"/>
      <c r="F921" s="17"/>
      <c r="G921" s="17"/>
      <c r="H921" s="17"/>
      <c r="I921" s="17"/>
      <c r="J921" s="17" t="s">
        <v>705</v>
      </c>
      <c r="K921" s="17"/>
      <c r="L921" s="17"/>
      <c r="AC921" s="1257"/>
    </row>
    <row r="922">
      <c r="B922" s="17"/>
      <c r="C922" s="17"/>
      <c r="D922" s="17"/>
      <c r="E922" s="444"/>
      <c r="F922" s="17"/>
      <c r="G922" s="17"/>
      <c r="H922" s="17"/>
      <c r="I922" s="17"/>
      <c r="J922" s="17" t="s">
        <v>705</v>
      </c>
      <c r="K922" s="17"/>
      <c r="L922" s="17"/>
      <c r="AC922" s="1257"/>
    </row>
    <row r="923">
      <c r="B923" s="17"/>
      <c r="C923" s="17"/>
      <c r="D923" s="17"/>
      <c r="E923" s="444"/>
      <c r="F923" s="17"/>
      <c r="G923" s="17"/>
      <c r="H923" s="17"/>
      <c r="I923" s="17"/>
      <c r="J923" s="17" t="s">
        <v>705</v>
      </c>
      <c r="K923" s="17"/>
      <c r="L923" s="17"/>
      <c r="AC923" s="1257"/>
    </row>
    <row r="924">
      <c r="B924" s="17"/>
      <c r="C924" s="17"/>
      <c r="D924" s="17"/>
      <c r="E924" s="444"/>
      <c r="F924" s="17"/>
      <c r="G924" s="17"/>
      <c r="H924" s="17"/>
      <c r="I924" s="17"/>
      <c r="J924" s="17" t="s">
        <v>705</v>
      </c>
      <c r="K924" s="17"/>
      <c r="L924" s="17"/>
      <c r="AC924" s="1257"/>
    </row>
    <row r="925">
      <c r="B925" s="17"/>
      <c r="C925" s="17"/>
      <c r="D925" s="17"/>
      <c r="E925" s="444"/>
      <c r="F925" s="17"/>
      <c r="G925" s="17"/>
      <c r="H925" s="17"/>
      <c r="I925" s="17"/>
      <c r="J925" s="17" t="s">
        <v>705</v>
      </c>
      <c r="K925" s="17"/>
      <c r="L925" s="17"/>
      <c r="AC925" s="1257"/>
    </row>
    <row r="926">
      <c r="B926" s="17"/>
      <c r="C926" s="17"/>
      <c r="D926" s="17"/>
      <c r="E926" s="444"/>
      <c r="F926" s="17"/>
      <c r="G926" s="17"/>
      <c r="H926" s="17"/>
      <c r="I926" s="17"/>
      <c r="J926" s="17" t="s">
        <v>705</v>
      </c>
      <c r="K926" s="17"/>
      <c r="L926" s="17"/>
      <c r="AC926" s="1257"/>
    </row>
    <row r="927">
      <c r="B927" s="17"/>
      <c r="C927" s="17"/>
      <c r="D927" s="17"/>
      <c r="E927" s="444"/>
      <c r="F927" s="17"/>
      <c r="G927" s="17"/>
      <c r="H927" s="17"/>
      <c r="I927" s="17"/>
      <c r="J927" s="17" t="s">
        <v>705</v>
      </c>
      <c r="K927" s="17"/>
      <c r="L927" s="17"/>
      <c r="AC927" s="1257"/>
    </row>
    <row r="928">
      <c r="B928" s="17"/>
      <c r="C928" s="17"/>
      <c r="D928" s="17"/>
      <c r="E928" s="444"/>
      <c r="F928" s="17"/>
      <c r="G928" s="17"/>
      <c r="H928" s="17"/>
      <c r="I928" s="17"/>
      <c r="J928" s="17" t="s">
        <v>705</v>
      </c>
      <c r="K928" s="17"/>
      <c r="L928" s="17"/>
      <c r="AC928" s="1257"/>
    </row>
    <row r="929">
      <c r="B929" s="17"/>
      <c r="C929" s="17"/>
      <c r="D929" s="17"/>
      <c r="E929" s="444"/>
      <c r="F929" s="17"/>
      <c r="G929" s="17"/>
      <c r="H929" s="17"/>
      <c r="I929" s="17"/>
      <c r="J929" s="17" t="s">
        <v>705</v>
      </c>
      <c r="K929" s="17"/>
      <c r="L929" s="17"/>
      <c r="AC929" s="1257"/>
    </row>
    <row r="930">
      <c r="B930" s="17"/>
      <c r="C930" s="17"/>
      <c r="D930" s="17"/>
      <c r="E930" s="444"/>
      <c r="F930" s="17"/>
      <c r="G930" s="17"/>
      <c r="H930" s="17"/>
      <c r="I930" s="17"/>
      <c r="J930" s="17" t="s">
        <v>705</v>
      </c>
      <c r="K930" s="17"/>
      <c r="L930" s="17"/>
      <c r="AC930" s="1257"/>
    </row>
    <row r="931">
      <c r="B931" s="17"/>
      <c r="C931" s="17"/>
      <c r="D931" s="17"/>
      <c r="E931" s="444"/>
      <c r="F931" s="17"/>
      <c r="G931" s="17"/>
      <c r="H931" s="17"/>
      <c r="I931" s="17"/>
      <c r="J931" s="17" t="s">
        <v>705</v>
      </c>
      <c r="K931" s="17"/>
      <c r="L931" s="17"/>
      <c r="AC931" s="1257"/>
    </row>
    <row r="932">
      <c r="B932" s="17"/>
      <c r="C932" s="17"/>
      <c r="D932" s="17"/>
      <c r="E932" s="444"/>
      <c r="F932" s="17"/>
      <c r="G932" s="17"/>
      <c r="H932" s="17"/>
      <c r="I932" s="17"/>
      <c r="J932" s="17" t="s">
        <v>705</v>
      </c>
      <c r="K932" s="17"/>
      <c r="L932" s="17"/>
      <c r="AC932" s="1257"/>
    </row>
    <row r="933">
      <c r="B933" s="17"/>
      <c r="C933" s="17"/>
      <c r="D933" s="17"/>
      <c r="E933" s="444"/>
      <c r="F933" s="17"/>
      <c r="G933" s="17"/>
      <c r="H933" s="17"/>
      <c r="I933" s="17"/>
      <c r="J933" s="17" t="s">
        <v>705</v>
      </c>
      <c r="K933" s="17"/>
      <c r="L933" s="17"/>
      <c r="AC933" s="1257"/>
    </row>
    <row r="934">
      <c r="B934" s="17"/>
      <c r="C934" s="17"/>
      <c r="D934" s="17"/>
      <c r="E934" s="444"/>
      <c r="F934" s="17"/>
      <c r="G934" s="17"/>
      <c r="H934" s="17"/>
      <c r="I934" s="17"/>
      <c r="J934" s="17" t="s">
        <v>705</v>
      </c>
      <c r="K934" s="17"/>
      <c r="L934" s="17"/>
      <c r="AC934" s="1257"/>
    </row>
    <row r="935">
      <c r="B935" s="17"/>
      <c r="C935" s="17"/>
      <c r="D935" s="17"/>
      <c r="E935" s="444"/>
      <c r="F935" s="17"/>
      <c r="G935" s="17"/>
      <c r="H935" s="17"/>
      <c r="I935" s="17"/>
      <c r="J935" s="17" t="s">
        <v>705</v>
      </c>
      <c r="K935" s="17"/>
      <c r="L935" s="17"/>
      <c r="AC935" s="1257"/>
    </row>
    <row r="936">
      <c r="B936" s="17"/>
      <c r="C936" s="17"/>
      <c r="D936" s="17"/>
      <c r="E936" s="444"/>
      <c r="F936" s="17"/>
      <c r="G936" s="17"/>
      <c r="H936" s="17"/>
      <c r="I936" s="17"/>
      <c r="J936" s="17" t="s">
        <v>705</v>
      </c>
      <c r="K936" s="17"/>
      <c r="L936" s="17"/>
      <c r="AC936" s="1257"/>
    </row>
    <row r="937">
      <c r="B937" s="17"/>
      <c r="C937" s="17"/>
      <c r="D937" s="17"/>
      <c r="E937" s="444"/>
      <c r="F937" s="17"/>
      <c r="G937" s="17"/>
      <c r="H937" s="17"/>
      <c r="I937" s="17"/>
      <c r="J937" s="17" t="s">
        <v>705</v>
      </c>
      <c r="K937" s="17"/>
      <c r="L937" s="17"/>
      <c r="AC937" s="1257"/>
    </row>
    <row r="938">
      <c r="B938" s="17"/>
      <c r="C938" s="17"/>
      <c r="D938" s="17"/>
      <c r="E938" s="444"/>
      <c r="F938" s="17"/>
      <c r="G938" s="17"/>
      <c r="H938" s="17"/>
      <c r="I938" s="17"/>
      <c r="J938" s="17" t="s">
        <v>705</v>
      </c>
      <c r="K938" s="17"/>
      <c r="L938" s="17"/>
      <c r="AC938" s="1257"/>
    </row>
    <row r="939">
      <c r="B939" s="17"/>
      <c r="C939" s="17"/>
      <c r="D939" s="17"/>
      <c r="E939" s="444"/>
      <c r="F939" s="17"/>
      <c r="G939" s="17"/>
      <c r="H939" s="17"/>
      <c r="I939" s="17"/>
      <c r="J939" s="17" t="s">
        <v>705</v>
      </c>
      <c r="K939" s="17"/>
      <c r="L939" s="17"/>
      <c r="AC939" s="1257"/>
    </row>
    <row r="940">
      <c r="B940" s="17"/>
      <c r="C940" s="17"/>
      <c r="D940" s="17"/>
      <c r="E940" s="444"/>
      <c r="F940" s="17"/>
      <c r="G940" s="17"/>
      <c r="H940" s="17"/>
      <c r="I940" s="17"/>
      <c r="J940" s="17" t="s">
        <v>705</v>
      </c>
      <c r="K940" s="17"/>
      <c r="L940" s="17"/>
      <c r="AC940" s="1257"/>
    </row>
    <row r="941">
      <c r="B941" s="17"/>
      <c r="C941" s="17"/>
      <c r="D941" s="17"/>
      <c r="E941" s="444"/>
      <c r="F941" s="17"/>
      <c r="G941" s="17"/>
      <c r="H941" s="17"/>
      <c r="I941" s="17"/>
      <c r="J941" s="17" t="s">
        <v>705</v>
      </c>
      <c r="K941" s="17"/>
      <c r="L941" s="17"/>
      <c r="AC941" s="1257"/>
    </row>
    <row r="942">
      <c r="B942" s="17"/>
      <c r="C942" s="17"/>
      <c r="D942" s="17"/>
      <c r="E942" s="444"/>
      <c r="F942" s="17"/>
      <c r="G942" s="17"/>
      <c r="H942" s="17"/>
      <c r="I942" s="17"/>
      <c r="J942" s="17" t="s">
        <v>705</v>
      </c>
      <c r="K942" s="17"/>
      <c r="L942" s="17"/>
      <c r="AC942" s="1257"/>
    </row>
    <row r="943">
      <c r="B943" s="17"/>
      <c r="C943" s="17"/>
      <c r="D943" s="17"/>
      <c r="E943" s="444"/>
      <c r="F943" s="17"/>
      <c r="G943" s="17"/>
      <c r="H943" s="17"/>
      <c r="I943" s="17"/>
      <c r="J943" s="17" t="s">
        <v>705</v>
      </c>
      <c r="K943" s="17"/>
      <c r="L943" s="17"/>
      <c r="AC943" s="1257"/>
    </row>
    <row r="944">
      <c r="B944" s="17"/>
      <c r="C944" s="17"/>
      <c r="D944" s="17"/>
      <c r="E944" s="444"/>
      <c r="F944" s="17"/>
      <c r="G944" s="17"/>
      <c r="H944" s="17"/>
      <c r="I944" s="17"/>
      <c r="J944" s="17" t="s">
        <v>705</v>
      </c>
      <c r="K944" s="17"/>
      <c r="L944" s="17"/>
      <c r="AC944" s="1257"/>
    </row>
    <row r="945">
      <c r="B945" s="17"/>
      <c r="C945" s="17"/>
      <c r="D945" s="17"/>
      <c r="E945" s="444"/>
      <c r="F945" s="17"/>
      <c r="G945" s="17"/>
      <c r="H945" s="17"/>
      <c r="I945" s="17"/>
      <c r="J945" s="17" t="s">
        <v>705</v>
      </c>
      <c r="K945" s="17"/>
      <c r="L945" s="17"/>
      <c r="AC945" s="1257"/>
    </row>
    <row r="946">
      <c r="B946" s="17"/>
      <c r="C946" s="17"/>
      <c r="D946" s="17"/>
      <c r="E946" s="444"/>
      <c r="F946" s="17"/>
      <c r="G946" s="17"/>
      <c r="H946" s="17"/>
      <c r="I946" s="17"/>
      <c r="J946" s="17" t="s">
        <v>705</v>
      </c>
      <c r="K946" s="17"/>
      <c r="L946" s="17"/>
      <c r="AC946" s="1257"/>
    </row>
    <row r="947">
      <c r="B947" s="17"/>
      <c r="C947" s="17"/>
      <c r="D947" s="17"/>
      <c r="E947" s="444"/>
      <c r="F947" s="17"/>
      <c r="G947" s="17"/>
      <c r="H947" s="17"/>
      <c r="I947" s="17"/>
      <c r="J947" s="17" t="s">
        <v>705</v>
      </c>
      <c r="K947" s="17"/>
      <c r="L947" s="17"/>
      <c r="AC947" s="1257"/>
    </row>
    <row r="948">
      <c r="B948" s="17"/>
      <c r="C948" s="17"/>
      <c r="D948" s="17"/>
      <c r="E948" s="444"/>
      <c r="F948" s="17"/>
      <c r="G948" s="17"/>
      <c r="H948" s="17"/>
      <c r="I948" s="17"/>
      <c r="J948" s="17" t="s">
        <v>705</v>
      </c>
      <c r="K948" s="17"/>
      <c r="L948" s="17"/>
      <c r="AC948" s="1257"/>
    </row>
    <row r="949">
      <c r="B949" s="17"/>
      <c r="C949" s="17"/>
      <c r="D949" s="17"/>
      <c r="E949" s="444"/>
      <c r="F949" s="17"/>
      <c r="G949" s="17"/>
      <c r="H949" s="17"/>
      <c r="I949" s="17"/>
      <c r="J949" s="17" t="s">
        <v>705</v>
      </c>
      <c r="K949" s="17"/>
      <c r="L949" s="17"/>
      <c r="AC949" s="1257"/>
    </row>
    <row r="950">
      <c r="B950" s="17"/>
      <c r="C950" s="17"/>
      <c r="D950" s="17"/>
      <c r="E950" s="444"/>
      <c r="F950" s="17"/>
      <c r="G950" s="17"/>
      <c r="H950" s="17"/>
      <c r="I950" s="17"/>
      <c r="J950" s="17" t="s">
        <v>705</v>
      </c>
      <c r="K950" s="17"/>
      <c r="L950" s="17"/>
      <c r="AC950" s="1257"/>
    </row>
    <row r="951">
      <c r="B951" s="17"/>
      <c r="C951" s="17"/>
      <c r="D951" s="17"/>
      <c r="E951" s="444"/>
      <c r="F951" s="17"/>
      <c r="G951" s="17"/>
      <c r="H951" s="17"/>
      <c r="I951" s="17"/>
      <c r="J951" s="17" t="s">
        <v>705</v>
      </c>
      <c r="K951" s="17"/>
      <c r="L951" s="17"/>
      <c r="AC951" s="1257"/>
    </row>
    <row r="952">
      <c r="B952" s="17"/>
      <c r="C952" s="17"/>
      <c r="D952" s="17"/>
      <c r="E952" s="444"/>
      <c r="F952" s="17"/>
      <c r="G952" s="17"/>
      <c r="H952" s="17"/>
      <c r="I952" s="17"/>
      <c r="J952" s="17" t="s">
        <v>705</v>
      </c>
      <c r="K952" s="17"/>
      <c r="L952" s="17"/>
      <c r="AC952" s="1257"/>
    </row>
    <row r="953">
      <c r="B953" s="17"/>
      <c r="C953" s="17"/>
      <c r="D953" s="17"/>
      <c r="E953" s="444"/>
      <c r="F953" s="17"/>
      <c r="G953" s="17"/>
      <c r="H953" s="17"/>
      <c r="I953" s="17"/>
      <c r="J953" s="17" t="s">
        <v>705</v>
      </c>
      <c r="K953" s="17"/>
      <c r="L953" s="17"/>
      <c r="AC953" s="1257"/>
    </row>
    <row r="954">
      <c r="B954" s="17"/>
      <c r="C954" s="17"/>
      <c r="D954" s="17"/>
      <c r="E954" s="444"/>
      <c r="F954" s="17"/>
      <c r="G954" s="17"/>
      <c r="H954" s="17"/>
      <c r="I954" s="17"/>
      <c r="J954" s="17" t="s">
        <v>705</v>
      </c>
      <c r="K954" s="17"/>
      <c r="L954" s="17"/>
      <c r="AC954" s="1257"/>
    </row>
    <row r="955">
      <c r="B955" s="17"/>
      <c r="C955" s="17"/>
      <c r="D955" s="17"/>
      <c r="E955" s="444"/>
      <c r="F955" s="17"/>
      <c r="G955" s="17"/>
      <c r="H955" s="17"/>
      <c r="I955" s="17"/>
      <c r="J955" s="17" t="s">
        <v>705</v>
      </c>
      <c r="K955" s="17"/>
      <c r="L955" s="17"/>
      <c r="AC955" s="1257"/>
    </row>
    <row r="956">
      <c r="B956" s="17"/>
      <c r="C956" s="17"/>
      <c r="D956" s="17"/>
      <c r="E956" s="444"/>
      <c r="F956" s="17"/>
      <c r="G956" s="17"/>
      <c r="H956" s="17"/>
      <c r="I956" s="17"/>
      <c r="J956" s="17" t="s">
        <v>705</v>
      </c>
      <c r="K956" s="17"/>
      <c r="L956" s="17"/>
      <c r="AC956" s="1257"/>
    </row>
    <row r="957">
      <c r="B957" s="17"/>
      <c r="C957" s="17"/>
      <c r="D957" s="17"/>
      <c r="E957" s="444"/>
      <c r="F957" s="17"/>
      <c r="G957" s="17"/>
      <c r="H957" s="17"/>
      <c r="I957" s="17"/>
      <c r="J957" s="17" t="s">
        <v>705</v>
      </c>
      <c r="K957" s="17"/>
      <c r="L957" s="17"/>
      <c r="AC957" s="1257"/>
    </row>
    <row r="958">
      <c r="B958" s="17"/>
      <c r="C958" s="17"/>
      <c r="D958" s="17"/>
      <c r="E958" s="444"/>
      <c r="F958" s="17"/>
      <c r="G958" s="17"/>
      <c r="H958" s="17"/>
      <c r="I958" s="17"/>
      <c r="J958" s="17" t="s">
        <v>705</v>
      </c>
      <c r="K958" s="17"/>
      <c r="L958" s="17"/>
      <c r="AC958" s="1257"/>
    </row>
    <row r="959">
      <c r="B959" s="17"/>
      <c r="C959" s="17"/>
      <c r="D959" s="17"/>
      <c r="E959" s="444"/>
      <c r="F959" s="17"/>
      <c r="G959" s="17"/>
      <c r="H959" s="17"/>
      <c r="I959" s="17"/>
      <c r="J959" s="17" t="s">
        <v>705</v>
      </c>
      <c r="K959" s="17"/>
      <c r="L959" s="17"/>
      <c r="AC959" s="1257"/>
    </row>
    <row r="960">
      <c r="B960" s="17"/>
      <c r="C960" s="17"/>
      <c r="D960" s="17"/>
      <c r="E960" s="444"/>
      <c r="F960" s="17"/>
      <c r="G960" s="17"/>
      <c r="H960" s="17"/>
      <c r="I960" s="17"/>
      <c r="J960" s="17" t="s">
        <v>705</v>
      </c>
      <c r="K960" s="17"/>
      <c r="L960" s="17"/>
      <c r="AC960" s="1257"/>
    </row>
    <row r="961">
      <c r="B961" s="17"/>
      <c r="C961" s="17"/>
      <c r="D961" s="17"/>
      <c r="E961" s="444"/>
      <c r="F961" s="17"/>
      <c r="G961" s="17"/>
      <c r="H961" s="17"/>
      <c r="I961" s="17"/>
      <c r="J961" s="17" t="s">
        <v>705</v>
      </c>
      <c r="K961" s="17"/>
      <c r="L961" s="17"/>
      <c r="AC961" s="1257"/>
    </row>
    <row r="962">
      <c r="B962" s="17"/>
      <c r="C962" s="17"/>
      <c r="D962" s="17"/>
      <c r="E962" s="444"/>
      <c r="F962" s="17"/>
      <c r="G962" s="17"/>
      <c r="H962" s="17"/>
      <c r="I962" s="17"/>
      <c r="J962" s="17" t="s">
        <v>705</v>
      </c>
      <c r="K962" s="17"/>
      <c r="L962" s="17"/>
      <c r="AC962" s="1257"/>
    </row>
    <row r="963">
      <c r="B963" s="17"/>
      <c r="C963" s="17"/>
      <c r="D963" s="17"/>
      <c r="E963" s="444"/>
      <c r="F963" s="17"/>
      <c r="G963" s="17"/>
      <c r="H963" s="17"/>
      <c r="I963" s="17"/>
      <c r="J963" s="17" t="s">
        <v>705</v>
      </c>
      <c r="K963" s="17"/>
      <c r="L963" s="17"/>
      <c r="AC963" s="1257"/>
    </row>
    <row r="964">
      <c r="B964" s="17"/>
      <c r="C964" s="17"/>
      <c r="D964" s="17"/>
      <c r="E964" s="444"/>
      <c r="F964" s="17"/>
      <c r="G964" s="17"/>
      <c r="H964" s="17"/>
      <c r="I964" s="17"/>
      <c r="J964" s="17" t="s">
        <v>705</v>
      </c>
      <c r="K964" s="17"/>
      <c r="L964" s="17"/>
      <c r="AC964" s="1257"/>
    </row>
    <row r="965">
      <c r="B965" s="17"/>
      <c r="C965" s="17"/>
      <c r="D965" s="17"/>
      <c r="E965" s="444"/>
      <c r="F965" s="17"/>
      <c r="G965" s="17"/>
      <c r="H965" s="17"/>
      <c r="I965" s="17"/>
      <c r="J965" s="17" t="s">
        <v>705</v>
      </c>
      <c r="K965" s="17"/>
      <c r="L965" s="17"/>
      <c r="AC965" s="1257"/>
    </row>
    <row r="966">
      <c r="B966" s="17"/>
      <c r="C966" s="17"/>
      <c r="D966" s="17"/>
      <c r="E966" s="444"/>
      <c r="F966" s="17"/>
      <c r="G966" s="17"/>
      <c r="H966" s="17"/>
      <c r="I966" s="17"/>
      <c r="J966" s="17" t="s">
        <v>705</v>
      </c>
      <c r="K966" s="17"/>
      <c r="L966" s="17"/>
      <c r="AC966" s="1257"/>
    </row>
    <row r="967">
      <c r="B967" s="17"/>
      <c r="C967" s="17"/>
      <c r="D967" s="17"/>
      <c r="E967" s="444"/>
      <c r="F967" s="17"/>
      <c r="G967" s="17"/>
      <c r="H967" s="17"/>
      <c r="I967" s="17"/>
      <c r="J967" s="17" t="s">
        <v>705</v>
      </c>
      <c r="K967" s="17"/>
      <c r="L967" s="17"/>
      <c r="AC967" s="1257"/>
    </row>
    <row r="968">
      <c r="B968" s="17"/>
      <c r="C968" s="17"/>
      <c r="D968" s="17"/>
      <c r="E968" s="444"/>
      <c r="F968" s="17"/>
      <c r="G968" s="17"/>
      <c r="H968" s="17"/>
      <c r="I968" s="17"/>
      <c r="J968" s="17" t="s">
        <v>705</v>
      </c>
      <c r="K968" s="17"/>
      <c r="L968" s="17"/>
      <c r="AC968" s="1257"/>
    </row>
    <row r="969">
      <c r="B969" s="17"/>
      <c r="C969" s="17"/>
      <c r="D969" s="17"/>
      <c r="E969" s="444"/>
      <c r="F969" s="17"/>
      <c r="G969" s="17"/>
      <c r="H969" s="17"/>
      <c r="I969" s="17"/>
      <c r="J969" s="17" t="s">
        <v>705</v>
      </c>
      <c r="K969" s="17"/>
      <c r="L969" s="17"/>
      <c r="AC969" s="1257"/>
    </row>
    <row r="970">
      <c r="B970" s="17"/>
      <c r="C970" s="17"/>
      <c r="D970" s="17"/>
      <c r="E970" s="444"/>
      <c r="F970" s="17"/>
      <c r="G970" s="17"/>
      <c r="H970" s="17"/>
      <c r="I970" s="17"/>
      <c r="J970" s="17" t="s">
        <v>705</v>
      </c>
      <c r="K970" s="17"/>
      <c r="L970" s="17"/>
      <c r="AC970" s="1257"/>
    </row>
    <row r="971">
      <c r="B971" s="17"/>
      <c r="C971" s="17"/>
      <c r="D971" s="17"/>
      <c r="E971" s="444"/>
      <c r="F971" s="17"/>
      <c r="G971" s="17"/>
      <c r="H971" s="17"/>
      <c r="I971" s="17"/>
      <c r="J971" s="17" t="s">
        <v>705</v>
      </c>
      <c r="K971" s="17"/>
      <c r="L971" s="17"/>
      <c r="AC971" s="1257"/>
    </row>
    <row r="972">
      <c r="B972" s="17"/>
      <c r="C972" s="17"/>
      <c r="D972" s="17"/>
      <c r="E972" s="444"/>
      <c r="F972" s="17"/>
      <c r="G972" s="17"/>
      <c r="H972" s="17"/>
      <c r="I972" s="17"/>
      <c r="J972" s="17" t="s">
        <v>705</v>
      </c>
      <c r="K972" s="17"/>
      <c r="L972" s="17"/>
      <c r="AC972" s="1257"/>
    </row>
    <row r="973">
      <c r="B973" s="17"/>
      <c r="C973" s="17"/>
      <c r="D973" s="17"/>
      <c r="E973" s="444"/>
      <c r="F973" s="17"/>
      <c r="G973" s="17"/>
      <c r="H973" s="17"/>
      <c r="I973" s="17"/>
      <c r="J973" s="17" t="s">
        <v>705</v>
      </c>
      <c r="K973" s="17"/>
      <c r="L973" s="17"/>
      <c r="AC973" s="1257"/>
    </row>
    <row r="974">
      <c r="B974" s="17"/>
      <c r="C974" s="17"/>
      <c r="D974" s="17"/>
      <c r="E974" s="444"/>
      <c r="F974" s="17"/>
      <c r="G974" s="17"/>
      <c r="H974" s="17"/>
      <c r="I974" s="17"/>
      <c r="J974" s="17" t="s">
        <v>705</v>
      </c>
      <c r="K974" s="17"/>
      <c r="L974" s="17"/>
      <c r="AC974" s="1257"/>
    </row>
    <row r="975">
      <c r="B975" s="17"/>
      <c r="C975" s="17"/>
      <c r="D975" s="17"/>
      <c r="E975" s="444"/>
      <c r="F975" s="17"/>
      <c r="G975" s="17"/>
      <c r="H975" s="17"/>
      <c r="I975" s="17"/>
      <c r="J975" s="17" t="s">
        <v>705</v>
      </c>
      <c r="K975" s="17"/>
      <c r="L975" s="17"/>
      <c r="AC975" s="1257"/>
    </row>
    <row r="976">
      <c r="B976" s="17"/>
      <c r="C976" s="17"/>
      <c r="D976" s="17"/>
      <c r="E976" s="444"/>
      <c r="F976" s="17"/>
      <c r="G976" s="17"/>
      <c r="H976" s="17"/>
      <c r="I976" s="17"/>
      <c r="J976" s="17" t="s">
        <v>705</v>
      </c>
      <c r="K976" s="17"/>
      <c r="L976" s="17"/>
      <c r="AC976" s="1257"/>
    </row>
    <row r="977">
      <c r="B977" s="17"/>
      <c r="C977" s="17"/>
      <c r="D977" s="17"/>
      <c r="E977" s="444"/>
      <c r="F977" s="17"/>
      <c r="G977" s="17"/>
      <c r="H977" s="17"/>
      <c r="I977" s="17"/>
      <c r="J977" s="17" t="s">
        <v>705</v>
      </c>
      <c r="K977" s="17"/>
      <c r="L977" s="17"/>
      <c r="AC977" s="1257"/>
    </row>
    <row r="978">
      <c r="B978" s="17"/>
      <c r="C978" s="17"/>
      <c r="D978" s="17"/>
      <c r="E978" s="444"/>
      <c r="F978" s="17"/>
      <c r="G978" s="17"/>
      <c r="H978" s="17"/>
      <c r="I978" s="17"/>
      <c r="J978" s="17" t="s">
        <v>705</v>
      </c>
      <c r="K978" s="17"/>
      <c r="L978" s="17"/>
      <c r="AC978" s="1257"/>
    </row>
    <row r="979">
      <c r="B979" s="17"/>
      <c r="C979" s="17"/>
      <c r="D979" s="17"/>
      <c r="E979" s="444"/>
      <c r="F979" s="17"/>
      <c r="G979" s="17"/>
      <c r="H979" s="17"/>
      <c r="I979" s="17"/>
      <c r="J979" s="17" t="s">
        <v>705</v>
      </c>
      <c r="K979" s="17"/>
      <c r="L979" s="17"/>
      <c r="AC979" s="1257"/>
    </row>
    <row r="980">
      <c r="B980" s="17"/>
      <c r="C980" s="17"/>
      <c r="D980" s="17"/>
      <c r="E980" s="444"/>
      <c r="F980" s="17"/>
      <c r="G980" s="17"/>
      <c r="H980" s="17"/>
      <c r="I980" s="17"/>
      <c r="J980" s="17" t="s">
        <v>705</v>
      </c>
      <c r="K980" s="17"/>
      <c r="L980" s="17"/>
      <c r="AC980" s="1257"/>
    </row>
    <row r="981">
      <c r="B981" s="17"/>
      <c r="C981" s="17"/>
      <c r="D981" s="17"/>
      <c r="E981" s="444"/>
      <c r="F981" s="17"/>
      <c r="G981" s="17"/>
      <c r="H981" s="17"/>
      <c r="I981" s="17"/>
      <c r="J981" s="17" t="s">
        <v>705</v>
      </c>
      <c r="K981" s="17"/>
      <c r="L981" s="17"/>
      <c r="AC981" s="1257"/>
    </row>
    <row r="982">
      <c r="B982" s="17"/>
      <c r="C982" s="17"/>
      <c r="D982" s="17"/>
      <c r="E982" s="444"/>
      <c r="F982" s="17"/>
      <c r="G982" s="17"/>
      <c r="H982" s="17"/>
      <c r="I982" s="17"/>
      <c r="J982" s="17" t="s">
        <v>705</v>
      </c>
      <c r="K982" s="17"/>
      <c r="L982" s="17"/>
      <c r="AC982" s="1257"/>
    </row>
    <row r="983">
      <c r="B983" s="17"/>
      <c r="C983" s="17"/>
      <c r="D983" s="17"/>
      <c r="E983" s="444"/>
      <c r="F983" s="17"/>
      <c r="G983" s="17"/>
      <c r="H983" s="17"/>
      <c r="I983" s="17"/>
      <c r="J983" s="17" t="s">
        <v>705</v>
      </c>
      <c r="K983" s="17"/>
      <c r="L983" s="17"/>
      <c r="AC983" s="1257"/>
    </row>
    <row r="984">
      <c r="B984" s="17"/>
      <c r="C984" s="17"/>
      <c r="D984" s="17"/>
      <c r="E984" s="444"/>
      <c r="F984" s="17"/>
      <c r="G984" s="17"/>
      <c r="H984" s="17"/>
      <c r="I984" s="17"/>
      <c r="J984" s="17" t="s">
        <v>705</v>
      </c>
      <c r="K984" s="17"/>
      <c r="L984" s="17"/>
      <c r="AC984" s="1257"/>
    </row>
    <row r="985">
      <c r="B985" s="17"/>
      <c r="C985" s="17"/>
      <c r="D985" s="17"/>
      <c r="E985" s="444"/>
      <c r="F985" s="17"/>
      <c r="G985" s="17"/>
      <c r="H985" s="17"/>
      <c r="I985" s="17"/>
      <c r="J985" s="17" t="s">
        <v>705</v>
      </c>
      <c r="K985" s="17"/>
      <c r="L985" s="17"/>
      <c r="AC985" s="1257"/>
    </row>
    <row r="986">
      <c r="B986" s="17"/>
      <c r="C986" s="17"/>
      <c r="D986" s="17"/>
      <c r="E986" s="444"/>
      <c r="F986" s="17"/>
      <c r="G986" s="17"/>
      <c r="H986" s="17"/>
      <c r="I986" s="17"/>
      <c r="J986" s="17" t="s">
        <v>705</v>
      </c>
      <c r="K986" s="17"/>
      <c r="L986" s="17"/>
      <c r="AC986" s="1257"/>
    </row>
    <row r="987">
      <c r="B987" s="17"/>
      <c r="C987" s="17"/>
      <c r="D987" s="17"/>
      <c r="E987" s="444"/>
      <c r="F987" s="17"/>
      <c r="G987" s="17"/>
      <c r="H987" s="17"/>
      <c r="I987" s="17"/>
      <c r="J987" s="17" t="s">
        <v>705</v>
      </c>
      <c r="K987" s="17"/>
      <c r="L987" s="17"/>
      <c r="AC987" s="1257"/>
    </row>
    <row r="988">
      <c r="B988" s="17"/>
      <c r="C988" s="17"/>
      <c r="D988" s="17"/>
      <c r="E988" s="444"/>
      <c r="F988" s="17"/>
      <c r="G988" s="17"/>
      <c r="H988" s="17"/>
      <c r="I988" s="17"/>
      <c r="J988" s="17" t="s">
        <v>705</v>
      </c>
      <c r="K988" s="17"/>
      <c r="L988" s="17"/>
      <c r="AC988" s="1257"/>
    </row>
    <row r="989">
      <c r="B989" s="17"/>
      <c r="C989" s="17"/>
      <c r="D989" s="17"/>
      <c r="E989" s="444"/>
      <c r="F989" s="17"/>
      <c r="G989" s="17"/>
      <c r="H989" s="17"/>
      <c r="I989" s="17"/>
      <c r="J989" s="17" t="s">
        <v>705</v>
      </c>
      <c r="K989" s="17"/>
      <c r="L989" s="17"/>
      <c r="AC989" s="1257"/>
    </row>
    <row r="990">
      <c r="B990" s="17"/>
      <c r="C990" s="17"/>
      <c r="D990" s="17"/>
      <c r="E990" s="444"/>
      <c r="F990" s="17"/>
      <c r="G990" s="17"/>
      <c r="H990" s="17"/>
      <c r="I990" s="17"/>
      <c r="J990" s="17" t="s">
        <v>705</v>
      </c>
      <c r="K990" s="17"/>
      <c r="L990" s="17"/>
      <c r="AC990" s="1257"/>
    </row>
    <row r="991">
      <c r="B991" s="17"/>
      <c r="C991" s="17"/>
      <c r="D991" s="17"/>
      <c r="E991" s="444"/>
      <c r="F991" s="17"/>
      <c r="G991" s="17"/>
      <c r="H991" s="17"/>
      <c r="I991" s="17"/>
      <c r="J991" s="17" t="s">
        <v>705</v>
      </c>
      <c r="K991" s="17"/>
      <c r="L991" s="17"/>
      <c r="AC991" s="1257"/>
    </row>
    <row r="992">
      <c r="B992" s="17"/>
      <c r="C992" s="17"/>
      <c r="D992" s="17"/>
      <c r="E992" s="444"/>
      <c r="F992" s="17"/>
      <c r="G992" s="17"/>
      <c r="H992" s="17"/>
      <c r="I992" s="17"/>
      <c r="J992" s="17" t="s">
        <v>705</v>
      </c>
      <c r="K992" s="17"/>
      <c r="L992" s="17"/>
      <c r="AC992" s="1257"/>
    </row>
    <row r="993">
      <c r="B993" s="17"/>
      <c r="C993" s="17"/>
      <c r="D993" s="17"/>
      <c r="E993" s="444"/>
      <c r="F993" s="17"/>
      <c r="G993" s="17"/>
      <c r="H993" s="17"/>
      <c r="I993" s="17"/>
      <c r="J993" s="17" t="s">
        <v>705</v>
      </c>
      <c r="K993" s="17"/>
      <c r="L993" s="17"/>
      <c r="AC993" s="1257"/>
    </row>
    <row r="994">
      <c r="B994" s="17"/>
      <c r="C994" s="17"/>
      <c r="D994" s="17"/>
      <c r="E994" s="444"/>
      <c r="F994" s="17"/>
      <c r="G994" s="17"/>
      <c r="H994" s="17"/>
      <c r="I994" s="17"/>
      <c r="J994" s="17" t="s">
        <v>705</v>
      </c>
      <c r="K994" s="17"/>
      <c r="L994" s="17"/>
      <c r="AC994" s="1257"/>
    </row>
    <row r="995">
      <c r="B995" s="17"/>
      <c r="C995" s="17"/>
      <c r="D995" s="17"/>
      <c r="E995" s="444"/>
      <c r="F995" s="17"/>
      <c r="G995" s="17"/>
      <c r="H995" s="17"/>
      <c r="I995" s="17"/>
      <c r="J995" s="17" t="s">
        <v>705</v>
      </c>
      <c r="K995" s="17"/>
      <c r="L995" s="17"/>
      <c r="AC995" s="1257"/>
    </row>
    <row r="996">
      <c r="B996" s="17"/>
      <c r="C996" s="17"/>
      <c r="D996" s="17"/>
      <c r="E996" s="444"/>
      <c r="F996" s="17"/>
      <c r="G996" s="17"/>
      <c r="H996" s="17"/>
      <c r="I996" s="17"/>
      <c r="J996" s="17" t="s">
        <v>705</v>
      </c>
      <c r="K996" s="17"/>
      <c r="L996" s="17"/>
      <c r="AC996" s="1257"/>
    </row>
    <row r="997">
      <c r="B997" s="17"/>
      <c r="C997" s="17"/>
      <c r="D997" s="17"/>
      <c r="E997" s="444"/>
      <c r="F997" s="17"/>
      <c r="G997" s="17"/>
      <c r="H997" s="17"/>
      <c r="I997" s="17"/>
      <c r="J997" s="17" t="s">
        <v>705</v>
      </c>
      <c r="K997" s="17"/>
      <c r="L997" s="17"/>
      <c r="AC997" s="1257"/>
    </row>
    <row r="998">
      <c r="B998" s="17"/>
      <c r="C998" s="17"/>
      <c r="D998" s="17"/>
      <c r="E998" s="444"/>
      <c r="F998" s="17"/>
      <c r="G998" s="17"/>
      <c r="H998" s="17"/>
      <c r="I998" s="17"/>
      <c r="J998" s="17" t="s">
        <v>705</v>
      </c>
      <c r="K998" s="17"/>
      <c r="L998" s="17"/>
      <c r="AC998" s="1257"/>
    </row>
    <row r="999">
      <c r="B999" s="17"/>
      <c r="C999" s="17"/>
      <c r="D999" s="17"/>
      <c r="E999" s="444"/>
      <c r="F999" s="17"/>
      <c r="G999" s="17"/>
      <c r="H999" s="17"/>
      <c r="I999" s="17"/>
      <c r="J999" s="17" t="s">
        <v>705</v>
      </c>
      <c r="K999" s="17"/>
      <c r="L999" s="17"/>
      <c r="AC999" s="1257"/>
    </row>
    <row r="1000">
      <c r="B1000" s="17"/>
      <c r="C1000" s="17"/>
      <c r="D1000" s="17"/>
      <c r="E1000" s="444"/>
      <c r="F1000" s="17"/>
      <c r="G1000" s="17"/>
      <c r="H1000" s="17"/>
      <c r="I1000" s="17"/>
      <c r="J1000" s="17" t="s">
        <v>705</v>
      </c>
      <c r="K1000" s="17"/>
      <c r="L1000" s="17"/>
      <c r="AC1000" s="1257"/>
    </row>
    <row r="1001">
      <c r="B1001" s="17"/>
      <c r="C1001" s="17"/>
      <c r="D1001" s="17"/>
      <c r="E1001" s="444"/>
      <c r="F1001" s="17"/>
      <c r="G1001" s="17"/>
      <c r="H1001" s="17"/>
      <c r="I1001" s="17"/>
      <c r="J1001" s="17" t="s">
        <v>705</v>
      </c>
      <c r="K1001" s="17"/>
      <c r="L1001" s="17"/>
      <c r="AC1001" s="1257"/>
    </row>
    <row r="1002">
      <c r="B1002" s="17"/>
      <c r="C1002" s="17"/>
      <c r="D1002" s="17"/>
      <c r="E1002" s="444"/>
      <c r="F1002" s="17"/>
      <c r="G1002" s="17"/>
      <c r="H1002" s="17"/>
      <c r="I1002" s="17"/>
      <c r="J1002" s="17" t="s">
        <v>705</v>
      </c>
      <c r="K1002" s="17"/>
      <c r="L1002" s="17"/>
      <c r="AC1002" s="1257"/>
    </row>
    <row r="1003">
      <c r="B1003" s="17"/>
      <c r="C1003" s="17"/>
      <c r="D1003" s="17"/>
      <c r="E1003" s="444"/>
      <c r="F1003" s="17"/>
      <c r="G1003" s="17"/>
      <c r="H1003" s="17"/>
      <c r="I1003" s="17"/>
      <c r="J1003" s="17" t="s">
        <v>705</v>
      </c>
      <c r="K1003" s="17"/>
      <c r="L1003" s="17"/>
      <c r="AC1003" s="1257"/>
    </row>
    <row r="1004">
      <c r="B1004" s="17"/>
      <c r="C1004" s="17"/>
      <c r="D1004" s="17"/>
      <c r="E1004" s="444"/>
      <c r="F1004" s="17"/>
      <c r="G1004" s="17"/>
      <c r="H1004" s="17"/>
      <c r="I1004" s="17"/>
      <c r="J1004" s="17" t="s">
        <v>705</v>
      </c>
      <c r="K1004" s="17"/>
      <c r="L1004" s="17"/>
      <c r="AC1004" s="1257"/>
    </row>
    <row r="1005">
      <c r="B1005" s="17"/>
      <c r="C1005" s="17"/>
      <c r="D1005" s="17"/>
      <c r="E1005" s="444"/>
      <c r="F1005" s="17"/>
      <c r="G1005" s="17"/>
      <c r="H1005" s="17"/>
      <c r="I1005" s="17"/>
      <c r="J1005" s="17" t="s">
        <v>705</v>
      </c>
      <c r="K1005" s="17"/>
      <c r="L1005" s="17"/>
      <c r="AC1005" s="1257"/>
    </row>
    <row r="1006">
      <c r="B1006" s="17"/>
      <c r="C1006" s="17"/>
      <c r="D1006" s="17"/>
      <c r="E1006" s="444"/>
      <c r="F1006" s="17"/>
      <c r="G1006" s="17"/>
      <c r="H1006" s="17"/>
      <c r="I1006" s="17"/>
      <c r="J1006" s="17" t="s">
        <v>705</v>
      </c>
      <c r="K1006" s="17"/>
      <c r="L1006" s="17"/>
      <c r="AC1006" s="1257"/>
    </row>
    <row r="1007">
      <c r="B1007" s="17"/>
      <c r="C1007" s="17"/>
      <c r="D1007" s="17"/>
      <c r="E1007" s="444"/>
      <c r="F1007" s="17"/>
      <c r="G1007" s="17"/>
      <c r="H1007" s="17"/>
      <c r="I1007" s="17"/>
      <c r="J1007" s="17" t="s">
        <v>705</v>
      </c>
      <c r="K1007" s="17"/>
      <c r="L1007" s="17"/>
      <c r="AC1007" s="1257"/>
    </row>
    <row r="1008">
      <c r="B1008" s="17"/>
      <c r="C1008" s="17"/>
      <c r="D1008" s="17"/>
      <c r="E1008" s="444"/>
      <c r="F1008" s="17"/>
      <c r="G1008" s="17"/>
      <c r="H1008" s="17"/>
      <c r="I1008" s="17"/>
      <c r="J1008" s="17" t="s">
        <v>705</v>
      </c>
      <c r="K1008" s="17"/>
      <c r="L1008" s="17"/>
      <c r="AC1008" s="1257"/>
    </row>
    <row r="1009">
      <c r="B1009" s="17"/>
      <c r="C1009" s="17"/>
      <c r="D1009" s="17"/>
      <c r="E1009" s="444"/>
      <c r="F1009" s="17"/>
      <c r="G1009" s="17"/>
      <c r="H1009" s="17"/>
      <c r="I1009" s="17"/>
      <c r="J1009" s="17" t="s">
        <v>705</v>
      </c>
      <c r="K1009" s="17"/>
      <c r="L1009" s="17"/>
      <c r="AC1009" s="1257"/>
    </row>
    <row r="1010">
      <c r="B1010" s="17"/>
      <c r="C1010" s="17"/>
      <c r="D1010" s="17"/>
      <c r="E1010" s="444"/>
      <c r="F1010" s="17"/>
      <c r="G1010" s="17"/>
      <c r="H1010" s="17"/>
      <c r="I1010" s="17"/>
      <c r="J1010" s="17" t="s">
        <v>705</v>
      </c>
      <c r="K1010" s="17"/>
      <c r="L1010" s="17"/>
      <c r="AC1010" s="1257"/>
    </row>
    <row r="1011">
      <c r="B1011" s="17"/>
      <c r="C1011" s="17"/>
      <c r="D1011" s="17"/>
      <c r="E1011" s="444"/>
      <c r="F1011" s="17"/>
      <c r="G1011" s="17"/>
      <c r="H1011" s="17"/>
      <c r="I1011" s="17"/>
      <c r="J1011" s="17" t="s">
        <v>705</v>
      </c>
      <c r="K1011" s="17"/>
      <c r="L1011" s="17"/>
      <c r="AC1011" s="1257"/>
    </row>
    <row r="1012">
      <c r="B1012" s="17"/>
      <c r="C1012" s="17"/>
      <c r="D1012" s="17"/>
      <c r="E1012" s="444"/>
      <c r="F1012" s="17"/>
      <c r="G1012" s="17"/>
      <c r="H1012" s="17"/>
      <c r="I1012" s="17"/>
      <c r="J1012" s="17" t="s">
        <v>705</v>
      </c>
      <c r="K1012" s="17"/>
      <c r="L1012" s="17"/>
      <c r="AC1012" s="1257"/>
    </row>
    <row r="1013">
      <c r="B1013" s="17"/>
      <c r="C1013" s="17"/>
      <c r="D1013" s="17"/>
      <c r="E1013" s="444"/>
      <c r="F1013" s="17"/>
      <c r="G1013" s="17"/>
      <c r="H1013" s="17"/>
      <c r="I1013" s="17"/>
      <c r="J1013" s="17" t="s">
        <v>705</v>
      </c>
      <c r="K1013" s="17"/>
      <c r="L1013" s="17"/>
      <c r="AC1013" s="1257"/>
    </row>
    <row r="1014">
      <c r="B1014" s="17"/>
      <c r="C1014" s="17"/>
      <c r="D1014" s="17"/>
      <c r="E1014" s="444"/>
      <c r="F1014" s="17"/>
      <c r="G1014" s="17"/>
      <c r="H1014" s="17"/>
      <c r="I1014" s="17"/>
      <c r="J1014" s="17" t="s">
        <v>705</v>
      </c>
      <c r="K1014" s="17"/>
      <c r="L1014" s="17"/>
      <c r="AC1014" s="1257"/>
    </row>
    <row r="1015">
      <c r="B1015" s="17"/>
      <c r="C1015" s="17"/>
      <c r="D1015" s="17"/>
      <c r="E1015" s="444"/>
      <c r="F1015" s="17"/>
      <c r="G1015" s="17"/>
      <c r="H1015" s="17"/>
      <c r="I1015" s="17"/>
      <c r="J1015" s="17" t="s">
        <v>705</v>
      </c>
      <c r="K1015" s="17"/>
      <c r="L1015" s="17"/>
      <c r="AC1015" s="1257"/>
    </row>
    <row r="1016">
      <c r="B1016" s="17"/>
      <c r="C1016" s="17"/>
      <c r="D1016" s="17"/>
      <c r="E1016" s="444"/>
      <c r="F1016" s="17"/>
      <c r="G1016" s="17"/>
      <c r="H1016" s="17"/>
      <c r="I1016" s="17"/>
      <c r="J1016" s="17" t="s">
        <v>705</v>
      </c>
      <c r="K1016" s="17"/>
      <c r="L1016" s="17"/>
      <c r="AC1016" s="1257"/>
    </row>
    <row r="1017">
      <c r="B1017" s="17"/>
      <c r="C1017" s="17"/>
      <c r="D1017" s="17"/>
      <c r="E1017" s="444"/>
      <c r="F1017" s="17"/>
      <c r="G1017" s="17"/>
      <c r="H1017" s="17"/>
      <c r="I1017" s="17"/>
      <c r="J1017" s="17" t="s">
        <v>705</v>
      </c>
      <c r="K1017" s="17"/>
      <c r="L1017" s="17"/>
      <c r="AC1017" s="1257"/>
    </row>
    <row r="1018">
      <c r="B1018" s="17"/>
      <c r="C1018" s="17"/>
      <c r="D1018" s="17"/>
      <c r="E1018" s="444"/>
      <c r="F1018" s="17"/>
      <c r="G1018" s="17"/>
      <c r="H1018" s="17"/>
      <c r="I1018" s="17"/>
      <c r="J1018" s="17" t="s">
        <v>705</v>
      </c>
      <c r="K1018" s="17"/>
      <c r="L1018" s="17"/>
      <c r="AC1018" s="1257"/>
    </row>
    <row r="1019">
      <c r="B1019" s="17"/>
      <c r="C1019" s="17"/>
      <c r="D1019" s="17"/>
      <c r="E1019" s="444"/>
      <c r="F1019" s="17"/>
      <c r="G1019" s="17"/>
      <c r="H1019" s="17"/>
      <c r="I1019" s="17"/>
      <c r="J1019" s="17" t="s">
        <v>705</v>
      </c>
      <c r="K1019" s="17"/>
      <c r="L1019" s="17"/>
      <c r="AC1019" s="1257"/>
    </row>
    <row r="1020">
      <c r="B1020" s="17"/>
      <c r="C1020" s="17"/>
      <c r="D1020" s="17"/>
      <c r="E1020" s="444"/>
      <c r="F1020" s="17"/>
      <c r="G1020" s="17"/>
      <c r="H1020" s="17"/>
      <c r="I1020" s="17"/>
      <c r="J1020" s="17" t="s">
        <v>705</v>
      </c>
      <c r="K1020" s="17"/>
      <c r="L1020" s="17"/>
      <c r="AC1020" s="1257"/>
    </row>
    <row r="1021">
      <c r="B1021" s="17"/>
      <c r="C1021" s="17"/>
      <c r="D1021" s="17"/>
      <c r="E1021" s="444"/>
      <c r="F1021" s="17"/>
      <c r="G1021" s="17"/>
      <c r="H1021" s="17"/>
      <c r="I1021" s="17"/>
      <c r="J1021" s="17" t="s">
        <v>705</v>
      </c>
      <c r="K1021" s="17"/>
      <c r="L1021" s="17"/>
      <c r="AC1021" s="1257"/>
    </row>
    <row r="1022">
      <c r="B1022" s="17"/>
      <c r="C1022" s="17"/>
      <c r="D1022" s="17"/>
      <c r="E1022" s="444"/>
      <c r="F1022" s="17"/>
      <c r="G1022" s="17"/>
      <c r="H1022" s="17"/>
      <c r="I1022" s="17"/>
      <c r="J1022" s="17" t="s">
        <v>705</v>
      </c>
      <c r="K1022" s="17"/>
      <c r="L1022" s="17"/>
      <c r="AC1022" s="1257"/>
    </row>
    <row r="1023">
      <c r="B1023" s="17"/>
      <c r="C1023" s="17"/>
      <c r="D1023" s="17"/>
      <c r="E1023" s="444"/>
      <c r="F1023" s="17"/>
      <c r="G1023" s="17"/>
      <c r="H1023" s="17"/>
      <c r="I1023" s="17"/>
      <c r="J1023" s="17" t="s">
        <v>705</v>
      </c>
      <c r="K1023" s="17"/>
      <c r="L1023" s="17"/>
      <c r="AC1023" s="1257"/>
    </row>
    <row r="1024">
      <c r="B1024" s="17"/>
      <c r="C1024" s="17"/>
      <c r="D1024" s="17"/>
      <c r="E1024" s="444"/>
      <c r="F1024" s="17"/>
      <c r="G1024" s="17"/>
      <c r="H1024" s="17"/>
      <c r="I1024" s="17"/>
      <c r="J1024" s="17" t="s">
        <v>705</v>
      </c>
      <c r="K1024" s="17"/>
      <c r="L1024" s="17"/>
      <c r="AC1024" s="1257"/>
    </row>
    <row r="1025">
      <c r="B1025" s="17"/>
      <c r="C1025" s="17"/>
      <c r="D1025" s="17"/>
      <c r="E1025" s="444"/>
      <c r="F1025" s="17"/>
      <c r="G1025" s="17"/>
      <c r="H1025" s="17"/>
      <c r="I1025" s="17"/>
      <c r="J1025" s="17" t="s">
        <v>705</v>
      </c>
      <c r="K1025" s="17"/>
      <c r="L1025" s="17"/>
      <c r="AC1025" s="1257"/>
    </row>
    <row r="1026">
      <c r="B1026" s="17"/>
      <c r="C1026" s="17"/>
      <c r="D1026" s="17"/>
      <c r="E1026" s="444"/>
      <c r="F1026" s="17"/>
      <c r="G1026" s="17"/>
      <c r="H1026" s="17"/>
      <c r="I1026" s="17"/>
      <c r="J1026" s="17" t="s">
        <v>705</v>
      </c>
      <c r="K1026" s="17"/>
      <c r="L1026" s="17"/>
      <c r="AC1026" s="1257"/>
    </row>
    <row r="1027">
      <c r="B1027" s="17"/>
      <c r="C1027" s="17"/>
      <c r="D1027" s="17"/>
      <c r="E1027" s="444"/>
      <c r="F1027" s="17"/>
      <c r="G1027" s="17"/>
      <c r="H1027" s="17"/>
      <c r="I1027" s="17"/>
      <c r="J1027" s="17" t="s">
        <v>705</v>
      </c>
      <c r="K1027" s="17"/>
      <c r="L1027" s="17"/>
      <c r="AC1027" s="1257"/>
    </row>
    <row r="1028">
      <c r="B1028" s="17"/>
      <c r="C1028" s="17"/>
      <c r="D1028" s="17"/>
      <c r="E1028" s="444"/>
      <c r="F1028" s="17"/>
      <c r="G1028" s="17"/>
      <c r="H1028" s="17"/>
      <c r="I1028" s="17"/>
      <c r="J1028" s="17" t="s">
        <v>705</v>
      </c>
      <c r="K1028" s="17"/>
      <c r="L1028" s="17"/>
      <c r="AC1028" s="1257"/>
    </row>
    <row r="1029">
      <c r="B1029" s="17"/>
      <c r="C1029" s="17"/>
      <c r="D1029" s="17"/>
      <c r="E1029" s="444"/>
      <c r="F1029" s="17"/>
      <c r="G1029" s="17"/>
      <c r="H1029" s="17"/>
      <c r="I1029" s="17"/>
      <c r="J1029" s="17" t="s">
        <v>705</v>
      </c>
      <c r="K1029" s="17"/>
      <c r="L1029" s="17"/>
      <c r="AC1029" s="1257"/>
    </row>
    <row r="1030">
      <c r="B1030" s="17"/>
      <c r="C1030" s="17"/>
      <c r="D1030" s="17"/>
      <c r="E1030" s="444"/>
      <c r="F1030" s="17"/>
      <c r="G1030" s="17"/>
      <c r="H1030" s="17"/>
      <c r="I1030" s="17"/>
      <c r="J1030" s="17" t="s">
        <v>705</v>
      </c>
      <c r="K1030" s="17"/>
      <c r="L1030" s="17"/>
      <c r="AC1030" s="1257"/>
    </row>
    <row r="1031">
      <c r="B1031" s="17"/>
      <c r="C1031" s="17"/>
      <c r="D1031" s="17"/>
      <c r="E1031" s="444"/>
      <c r="F1031" s="17"/>
      <c r="G1031" s="17"/>
      <c r="H1031" s="17"/>
      <c r="I1031" s="17"/>
      <c r="J1031" s="17" t="s">
        <v>705</v>
      </c>
      <c r="K1031" s="17"/>
      <c r="L1031" s="17"/>
      <c r="AC1031" s="1257"/>
    </row>
    <row r="1032">
      <c r="B1032" s="17"/>
      <c r="C1032" s="17"/>
      <c r="D1032" s="17"/>
      <c r="E1032" s="444"/>
      <c r="F1032" s="17"/>
      <c r="G1032" s="17"/>
      <c r="H1032" s="17"/>
      <c r="I1032" s="17"/>
      <c r="J1032" s="17" t="s">
        <v>705</v>
      </c>
      <c r="K1032" s="17"/>
      <c r="L1032" s="17"/>
      <c r="AC1032" s="1257"/>
    </row>
    <row r="1033">
      <c r="B1033" s="17"/>
      <c r="C1033" s="17"/>
      <c r="D1033" s="17"/>
      <c r="E1033" s="444"/>
      <c r="F1033" s="17"/>
      <c r="G1033" s="17"/>
      <c r="H1033" s="17"/>
      <c r="I1033" s="17"/>
      <c r="J1033" s="17" t="s">
        <v>705</v>
      </c>
      <c r="K1033" s="17"/>
      <c r="L1033" s="17"/>
      <c r="AC1033" s="1257"/>
    </row>
    <row r="1034">
      <c r="B1034" s="17"/>
      <c r="C1034" s="17"/>
      <c r="D1034" s="17"/>
      <c r="E1034" s="444"/>
      <c r="F1034" s="17"/>
      <c r="G1034" s="17"/>
      <c r="H1034" s="17"/>
      <c r="I1034" s="17"/>
      <c r="J1034" s="17" t="s">
        <v>705</v>
      </c>
      <c r="K1034" s="17"/>
      <c r="L1034" s="17"/>
      <c r="AC1034" s="1257"/>
    </row>
    <row r="1035">
      <c r="B1035" s="17"/>
      <c r="C1035" s="17"/>
      <c r="D1035" s="17"/>
      <c r="E1035" s="444"/>
      <c r="F1035" s="17"/>
      <c r="G1035" s="17"/>
      <c r="H1035" s="17"/>
      <c r="I1035" s="17"/>
      <c r="J1035" s="17" t="s">
        <v>705</v>
      </c>
      <c r="K1035" s="17"/>
      <c r="L1035" s="17"/>
      <c r="AC1035" s="1257"/>
    </row>
    <row r="1036">
      <c r="B1036" s="17"/>
      <c r="C1036" s="17"/>
      <c r="D1036" s="17"/>
      <c r="E1036" s="444"/>
      <c r="F1036" s="17"/>
      <c r="G1036" s="17"/>
      <c r="H1036" s="17"/>
      <c r="I1036" s="17"/>
      <c r="J1036" s="17" t="s">
        <v>705</v>
      </c>
      <c r="K1036" s="17"/>
      <c r="L1036" s="17"/>
      <c r="AC1036" s="1257"/>
    </row>
    <row r="1037">
      <c r="B1037" s="17"/>
      <c r="C1037" s="17"/>
      <c r="D1037" s="17"/>
      <c r="E1037" s="444"/>
      <c r="F1037" s="17"/>
      <c r="G1037" s="17"/>
      <c r="H1037" s="17"/>
      <c r="I1037" s="17"/>
      <c r="J1037" s="17" t="s">
        <v>705</v>
      </c>
      <c r="K1037" s="17"/>
      <c r="L1037" s="17"/>
      <c r="AC1037" s="1257"/>
    </row>
    <row r="1038">
      <c r="B1038" s="17"/>
      <c r="C1038" s="17"/>
      <c r="D1038" s="17"/>
      <c r="E1038" s="444"/>
      <c r="F1038" s="17"/>
      <c r="G1038" s="17"/>
      <c r="H1038" s="17"/>
      <c r="I1038" s="17"/>
      <c r="J1038" s="17" t="s">
        <v>705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