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<sst xmlns="http://schemas.openxmlformats.org/spreadsheetml/2006/main" count="8321" uniqueCount="1216">
  <si>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</si>
  <si>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</si>
  <si>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</si>
  <si>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</si>
  <si>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</si>
  <si>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</si>
  <si>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</si>
  <si>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</si>
  <si>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</si>
  <si>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</si>
  <si>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</si>
  <si>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</si>
  <si>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</si>
  <si>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</si>
  <si>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</si>
  <si>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</si>
  <si>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</si>
  <si>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</si>
  <si>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</si>
  <si>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</si>
  <si>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</si>
  <si>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</si>
  <si>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</si>
  <si>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</si>
  <si>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</si>
  <si>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</si>
  <si>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</si>
  <si>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</si>
  <si>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</si>
  <si>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</si>
  <si>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</si>
  <si>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</si>
  <si>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</si>
  <si>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</si>
  <si>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</si>
  <si>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</si>
  <si>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</si>
  <si>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</si>
  <si>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</si>
  <si>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</si>
  <si>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</si>
  <si>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</si>
  <si>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</si>
  <si>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</si>
  <si>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</si>
  <si>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</si>
  <si>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</si>
  <si>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</si>
  <si>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</si>
  <si>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</si>
  <si>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</si>
  <si>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</si>
  <si>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</si>
  <si>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</si>
  <si>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</si>
  <si>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</si>
  <si>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</si>
  <si>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</si>
  <si>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</si>
  <si>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</si>
  <si>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</si>
  <si>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</si>
  <si>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</si>
  <si>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</si>
  <si>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</si>
  <si>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</si>
  <si>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</si>
  <si>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</si>
  <si>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</si>
  <si>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</si>
  <si>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</si>
  <si>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</si>
  <si>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</si>
  <si>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</si>
  <si>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</si>
  <si>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</si>
  <si>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</si>
  <si>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</si>
  <si>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</si>
  <si>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</si>
  <si>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</si>
  <si>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</si>
  <si>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</si>
  <si>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</si>
  <si>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</si>
  <si>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</si>
  <si>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</si>
  <si>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</si>
  <si>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</si>
  <si>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</si>
  <si>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</si>
  <si>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</si>
  <si>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</si>
  <si>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</si>
  <si>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</si>
  <si>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</si>
  <si>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</si>
  <si>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</si>
  <si>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</si>
  <si>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</si>
  <si>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</si>
  <si>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</si>
  <si>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</si>
  <si>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</si>
  <si>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</si>
  <si>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</si>
  <si>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</si>
  <si>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</si>
  <si>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</si>
  <si>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</si>
  <si>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</si>
  <si>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</si>
  <si>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</si>
  <si>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</si>
  <si>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</si>
  <si>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</si>
  <si>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</si>
  <si>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</si>
  <si>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</si>
  <si>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</si>
  <si>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</si>
  <si>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</si>
  <si>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</si>
  <si>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</si>
  <si>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</si>
  <si>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</si>
  <si>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</si>
  <si>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</si>
  <si>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</si>
  <si>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</si>
  <si>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</si>
  <si>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</si>
  <si>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</si>
  <si>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</si>
  <si>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</si>
  <si>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</si>
  <si>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</si>
  <si>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</si>
  <si>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</si>
  <si>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</si>
  <si>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</si>
  <si>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</si>
  <si>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</si>
  <si>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</si>
  <si>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</si>
  <si>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</si>
  <si>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</si>
  <si>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</si>
  <si>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</si>
  <si>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</si>
  <si>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</si>
  <si>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</si>
  <si>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</si>
  <si>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</si>
  <si>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</si>
  <si>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</si>
  <si>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</si>
  <si>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</si>
  <si>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</si>
  <si>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</si>
  <si>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</si>
  <si>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</si>
  <si>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</si>
  <si>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</si>
  <si>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</si>
  <si>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</si>
  <si>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</si>
  <si>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</si>
  <si>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</si>
  <si>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</si>
  <si>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</si>
  <si>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</si>
  <si>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</si>
  <si>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</si>
  <si>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</si>
  <si>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</si>
  <si>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</si>
  <si>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</si>
  <si>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</si>
  <si>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</si>
  <si>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</si>
  <si>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</si>
  <si>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</si>
  <si>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</si>
  <si>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</si>
  <si>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</si>
  <si>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</si>
  <si>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</si>
  <si>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</si>
  <si>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</si>
  <si>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</si>
  <si>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</si>
  <si>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</si>
  <si>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</si>
  <si>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</si>
  <si>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</si>
  <si>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</si>
  <si>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</si>
  <si>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</si>
  <si>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</si>
  <si>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残置発見場所確認中</t>
  </si>
  <si>
    <t>チェックリスト運用を徹底してください</t>
  </si>
  <si>
    <t>12日</t>
  </si>
  <si>
    <t>(日)</t>
  </si>
  <si>
    <t>スリッパ１組セット漏れ</t>
  </si>
  <si>
    <t>チェックリスト運用と、セット漏れに関しては指差し確認が効果あるのでやってみてください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</si>
  <si>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</si>
  <si>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</si>
  <si>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</si>
  <si>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</si>
  <si>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</si>
  <si>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</si>
  <si>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</si>
  <si>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</si>
  <si>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</si>
  <si>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</si>
  <si>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</si>
  <si>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</si>
  <si>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</si>
  <si>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</si>
  <si>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</si>
  <si>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</si>
  <si>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</si>
  <si>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</si>
  <si>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</si>
  <si>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</si>
  <si>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</si>
  <si>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</si>
  <si>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</si>
  <si>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</si>
  <si>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</si>
  <si>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</si>
  <si>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</si>
  <si>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</si>
  <si>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</si>
  <si>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</si>
  <si>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</si>
  <si>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</si>
  <si>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</si>
  <si>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</si>
  <si>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</si>
  <si>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</si>
  <si>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</si>
  <si>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</si>
  <si>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</si>
  <si>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</si>
  <si>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</si>
  <si>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</si>
  <si>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</si>
  <si>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</si>
  <si>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</si>
  <si>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</si>
  <si>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</si>
  <si>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</si>
  <si>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</si>
  <si>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</si>
  <si>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</si>
  <si>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</si>
  <si>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</si>
  <si>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</si>
  <si>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</si>
  <si>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</si>
  <si>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</si>
  <si>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</si>
  <si>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</si>
  <si>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</si>
  <si>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</si>
  <si>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</si>
  <si>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</si>
  <si>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</si>
  <si>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</si>
  <si>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</si>
  <si>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</si>
  <si>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</si>
  <si>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</si>
  <si>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</si>
  <si>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</si>
  <si>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</si>
  <si>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</si>
  <si>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</si>
  <si>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</si>
  <si>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</si>
  <si>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</si>
  <si>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</si>
  <si>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</si>
  <si>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</si>
  <si>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</si>
  <si>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</si>
  <si>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</si>
  <si>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</si>
  <si>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</si>
  <si>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</si>
  <si>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</si>
  <si>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</si>
  <si>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</si>
  <si>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</si>
  <si>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</si>
  <si>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</si>
  <si>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</si>
  <si>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</si>
  <si>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</si>
  <si>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</si>
  <si>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</si>
  <si>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</si>
  <si>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</si>
  <si>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</si>
  <si>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</si>
  <si>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</si>
  <si>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</si>
  <si>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</si>
  <si>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</si>
  <si>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</si>
  <si>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</si>
  <si>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</si>
  <si>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</si>
  <si>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</si>
  <si>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</si>
  <si>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</si>
  <si>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</si>
  <si>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</si>
  <si>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</si>
  <si>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</si>
  <si>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</si>
  <si>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</si>
  <si>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</si>
  <si>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</si>
  <si>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</si>
  <si>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</si>
  <si>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</si>
  <si>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</si>
  <si>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</si>
  <si>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</si>
  <si>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</si>
  <si>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</si>
  <si>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</si>
  <si>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</si>
  <si>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</si>
  <si>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</si>
  <si>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</si>
  <si>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</si>
  <si>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</si>
  <si>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</si>
  <si>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</si>
  <si>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</si>
  <si>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</si>
  <si>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</si>
  <si>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</si>
  <si>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</si>
  <si>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</si>
  <si>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</si>
  <si>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</si>
  <si>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</si>
  <si>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</si>
  <si>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</si>
  <si>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</si>
  <si>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</si>
  <si>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</si>
  <si>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</si>
  <si>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</si>
  <si>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</si>
  <si>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</si>
  <si>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</si>
  <si>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</si>
  <si>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</si>
  <si>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</si>
  <si>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</si>
  <si>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</si>
  <si>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</si>
  <si>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</si>
  <si>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</si>
  <si>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</si>
  <si>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</si>
  <si>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</si>
  <si>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</si>
  <si>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</si>
  <si>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</si>
  <si>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</si>
  <si>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</si>
  <si>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</si>
  <si>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</si>
  <si>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</si>
  <si>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</si>
  <si>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</si>
  <si>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</si>
  <si>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</si>
  <si>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</si>
  <si>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</si>
  <si>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</si>
  <si>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</si>
  <si>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</si>
  <si>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</si>
  <si>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</si>
  <si>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</si>
  <si>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</si>
  <si>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</si>
  <si>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</si>
  <si>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</si>
  <si>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</si>
  <si>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</si>
  <si>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</si>
  <si>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</si>
  <si>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</si>
  <si>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</si>
  <si>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</si>
  <si>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</si>
  <si>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</si>
  <si>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</si>
  <si>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喫煙室清掃</t>
  </si>
  <si>
    <t>シャワーヘッド交換</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</si>
  <si>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</si>
  <si>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</si>
  <si>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</si>
  <si>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</si>
  <si>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</si>
  <si>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</si>
  <si>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</si>
  <si>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</si>
  <si>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</si>
  <si>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</si>
  <si>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</si>
  <si>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</si>
  <si>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</si>
  <si>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</si>
  <si>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</si>
  <si>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</si>
  <si>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</si>
  <si>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</si>
  <si>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</si>
  <si>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</si>
  <si>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</si>
  <si>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</si>
  <si>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</si>
  <si>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</si>
  <si>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</si>
  <si>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</si>
  <si>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</si>
  <si>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</si>
  <si>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</si>
  <si>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</si>
  <si>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</si>
  <si>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</si>
  <si>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</si>
  <si>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</si>
  <si>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</si>
  <si>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</si>
  <si>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</si>
  <si>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</si>
  <si>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</si>
  <si>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</si>
  <si>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</si>
  <si>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</si>
  <si>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</si>
  <si>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</si>
  <si>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</si>
  <si>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</si>
  <si>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</si>
  <si>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</si>
  <si>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</si>
  <si>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</si>
  <si>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</si>
  <si>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</si>
  <si>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</si>
  <si>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</si>
  <si>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</si>
  <si>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</si>
  <si>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</si>
  <si>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</si>
  <si>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</si>
  <si>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</si>
  <si>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</si>
  <si>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</si>
  <si>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</si>
  <si>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</si>
  <si>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</si>
  <si>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</si>
  <si>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</si>
  <si>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チッチョー</t>
  </si>
  <si>
    <t>研</t>
  </si>
  <si>
    <t>宇佐見</t>
  </si>
  <si>
    <t>5.チェッカー</t>
  </si>
  <si>
    <t>公休　土日祝</t>
  </si>
  <si>
    <t>小田原</t>
  </si>
  <si>
    <t>公休　火水金</t>
  </si>
  <si>
    <t>エリー</t>
  </si>
  <si>
    <t>公休　火木金日(日は10:30～可)</t>
  </si>
  <si>
    <t>公休　月</t>
  </si>
  <si>
    <t>ガルセス</t>
  </si>
  <si>
    <t>N</t>
  </si>
  <si>
    <t>公休　月火</t>
  </si>
  <si>
    <t>グレース</t>
  </si>
  <si>
    <t>公休　水木金日</t>
  </si>
  <si>
    <t>メイド数</t>
  </si>
  <si>
    <t>パブリック数</t>
  </si>
  <si>
    <t>合計清掃数</t>
  </si>
  <si>
    <t>6.ー</t>
  </si>
  <si>
    <t>稼働予定</t>
  </si>
  <si>
    <t>手入力</t>
  </si>
  <si>
    <t>早川</t>
  </si>
  <si>
    <t>8.メイド(歩合)</t>
  </si>
  <si>
    <t>大沼</t>
  </si>
  <si>
    <t>公休　水</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</si>
  <si>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</si>
  <si>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</si>
  <si>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</si>
  <si>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</si>
  <si>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</si>
  <si>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</si>
  <si>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</si>
  <si>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</si>
  <si>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</si>
  <si>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</si>
  <si>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</si>
  <si>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</si>
  <si>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</si>
  <si>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</si>
  <si>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</si>
  <si>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</si>
  <si>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</si>
  <si>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</si>
  <si>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</si>
  <si>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</si>
  <si>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</si>
  <si>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</si>
  <si>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</si>
  <si>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</si>
  <si>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</si>
  <si>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</si>
  <si>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</si>
  <si>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</si>
  <si>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</si>
  <si>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</si>
  <si>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</si>
  <si>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</si>
  <si>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</si>
  <si>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</si>
  <si>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</si>
  <si>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</si>
  <si>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</si>
  <si>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</si>
  <si>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</si>
  <si>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</si>
  <si>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</si>
  <si>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</si>
  <si>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</si>
  <si>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</si>
  <si>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</si>
  <si>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</si>
  <si>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</si>
  <si>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</si>
  <si>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</si>
  <si>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</si>
  <si>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</si>
  <si>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</si>
  <si>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</si>
  <si>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</si>
  <si>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</si>
  <si>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ソフィア</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</si>
  <si>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</si>
  <si>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</si>
  <si>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</si>
  <si>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</si>
  <si>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</si>
  <si>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</si>
  <si>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</si>
  <si>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</si>
  <si>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</si>
  <si>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</si>
  <si>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</si>
  <si>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</si>
  <si>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</si>
  <si>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</si>
  <si>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</si>
  <si>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</si>
  <si>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</si>
  <si>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</si>
  <si>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</si>
  <si>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</si>
  <si>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</si>
  <si>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</si>
  <si>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</si>
  <si>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</si>
  <si>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</si>
  <si>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</si>
  <si>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</si>
  <si>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</si>
  <si>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３</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</si>
  <si>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</si>
  <si>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</si>
  <si>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</si>
  <si>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</si>
  <si>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</si>
  <si>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👈15日～20日の日報</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</si>
  <si>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</si>
  <si>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</si>
  <si>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記入者1</t>
  </si>
  <si>
    <t>【共有事項】
【メイド・チェッカー】
【人員】
【その他】</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</si>
  <si>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</si>
  <si>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</si>
  <si>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</si>
  <si>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</si>
  <si>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</si>
  <si>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</si>
  <si>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</si>
  <si>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</si>
  <si>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</si>
  <si>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</si>
  <si>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</si>
  <si>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</si>
  <si>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</si>
  <si>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</si>
  <si>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</si>
  <si>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</si>
  <si>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</si>
  <si>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</si>
  <si>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</si>
  <si>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</si>
  <si>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</si>
  <si>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</si>
  <si>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</si>
  <si>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</si>
  <si>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</si>
  <si>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</si>
  <si>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</si>
  <si>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</si>
  <si>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</si>
  <si>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</si>
  <si>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</si>
  <si>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</si>
  <si>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</si>
  <si>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</si>
  <si>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</si>
  <si>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</si>
  <si>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</si>
  <si>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</si>
  <si>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</si>
  <si>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</si>
  <si>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</si>
  <si>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</si>
  <si>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</si>
  <si>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</si>
  <si>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</si>
  <si>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</si>
  <si>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</si>
  <si>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</si>
  <si>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</si>
  <si>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</si>
  <si>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</si>
  <si>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</si>
  <si>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</si>
  <si>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</si>
  <si>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</si>
  <si>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</si>
  <si>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</si>
  <si>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</si>
  <si>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</si>
  <si>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</si>
  <si>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</si>
  <si>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</si>
  <si>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</si>
  <si>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</si>
  <si>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</si>
  <si>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</si>
  <si>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</si>
  <si>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</si>
  <si>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</si>
  <si>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</si>
  <si>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</si>
  <si>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</si>
  <si>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</si>
  <si>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</si>
  <si>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</si>
  <si>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</si>
  <si>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</si>
  <si>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</si>
  <si>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</si>
  <si>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</si>
  <si>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</si>
  <si>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</si>
  <si>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</si>
  <si>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</si>
  <si>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</si>
  <si>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</si>
  <si>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</si>
  <si>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</si>
  <si>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</si>
  <si>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</si>
  <si>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</si>
  <si>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</si>
  <si>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</si>
  <si>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</si>
  <si>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</si>
  <si>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</si>
  <si>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</si>
  <si>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</si>
  <si>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</si>
  <si>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</si>
  <si>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</si>
  <si>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</si>
  <si>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</si>
  <si>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</si>
  <si>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</si>
  <si>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</si>
  <si>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</si>
  <si>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</si>
  <si>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</si>
  <si>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</si>
  <si>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</si>
  <si>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</si>
  <si>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</si>
  <si>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</si>
  <si>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</si>
  <si>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</si>
  <si>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</si>
  <si>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</si>
  <si>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</si>
  <si>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</si>
  <si>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</si>
  <si>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</si>
  <si>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</si>
  <si>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</si>
  <si>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</si>
  <si>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</si>
  <si>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</si>
  <si>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</si>
  <si>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</si>
  <si>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</si>
  <si>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</si>
  <si>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</si>
  <si>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</si>
  <si>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</si>
  <si>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</si>
  <si>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</si>
  <si>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</si>
  <si>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</si>
  <si>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</si>
  <si>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</si>
  <si>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</si>
  <si>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</si>
  <si>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</si>
  <si>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</si>
  <si>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</si>
  <si>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</si>
  <si>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</si>
  <si>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</si>
  <si>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</si>
  <si>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</si>
  <si>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</si>
  <si>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</si>
  <si>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</si>
  <si>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</si>
  <si>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</si>
  <si>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</si>
  <si>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</si>
  <si>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</si>
  <si>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</si>
  <si>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</si>
  <si>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</si>
  <si>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</si>
  <si>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</si>
  <si>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</si>
  <si>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</si>
  <si>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</si>
  <si>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</si>
  <si>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</si>
  <si>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</si>
  <si>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</si>
  <si>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</si>
  <si>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</si>
  <si>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</si>
  <si>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</si>
  <si>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</si>
  <si>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</si>
  <si>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</si>
  <si>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</si>
  <si>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</si>
  <si>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</si>
  <si>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</si>
  <si>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</si>
  <si>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</si>
  <si>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</si>
  <si>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</si>
  <si>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</si>
  <si>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</si>
  <si>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</si>
  <si>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</si>
  <si>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</si>
  <si>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</si>
  <si>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</si>
  <si>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</si>
  <si>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</si>
  <si>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</si>
  <si>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</si>
  <si>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</si>
  <si>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</si>
  <si>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</si>
  <si>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</si>
  <si>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</si>
  <si>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</si>
  <si>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</si>
  <si>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</si>
  <si>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</si>
  <si>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</si>
  <si>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</si>
  <si>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</si>
  <si>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</si>
  <si>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</si>
  <si>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</si>
  <si>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</si>
  <si>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</si>
  <si>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</si>
  <si>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</si>
  <si>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</si>
  <si>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</si>
  <si>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</si>
  <si>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</si>
  <si>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</si>
  <si>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</si>
  <si>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</si>
  <si>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</si>
  <si>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</si>
  <si>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</si>
  <si>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</si>
  <si>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</si>
  <si>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</si>
  <si>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</si>
  <si>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</si>
  <si>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</si>
  <si>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</si>
  <si>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</si>
  <si>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</si>
  <si>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</si>
  <si>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</si>
  <si>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</si>
  <si>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</si>
  <si>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</si>
  <si>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</si>
  <si>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</si>
  <si>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</si>
  <si>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</si>
  <si>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</si>
  <si>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</si>
  <si>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</si>
  <si>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</si>
  <si>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</si>
  <si>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</si>
  <si>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</si>
  <si>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</si>
  <si>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</si>
  <si>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</si>
  <si>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</si>
  <si>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</si>
  <si>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</si>
  <si>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</si>
  <si>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</si>
  <si>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</si>
  <si>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</si>
  <si>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</si>
  <si>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</si>
  <si>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</si>
  <si>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</si>
  <si>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</si>
  <si>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</si>
  <si>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</si>
  <si>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</si>
  <si>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</si>
  <si>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</si>
  <si>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</si>
  <si>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</si>
  <si>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</si>
  <si>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</si>
  <si>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</si>
  <si>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</si>
  <si>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</si>
  <si>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</si>
  <si>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</si>
  <si>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</si>
  <si>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</si>
  <si>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</si>
  <si>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</si>
  <si>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</si>
  <si>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</si>
  <si>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</si>
  <si>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</si>
  <si>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</si>
  <si>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</si>
  <si>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</si>
  <si>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</si>
  <si>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</si>
  <si>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</si>
  <si>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</si>
  <si>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</si>
  <si>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</si>
  <si>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</si>
  <si>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</si>
  <si>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</si>
  <si>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</si>
  <si>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</si>
  <si>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</si>
  <si>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</si>
  <si>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</si>
  <si>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</si>
  <si>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</si>
  <si>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</si>
  <si>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</si>
  <si>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</si>
  <si>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</si>
  <si>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</si>
  <si>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</si>
  <si>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</si>
  <si>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</si>
  <si>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</si>
  <si>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</si>
  <si>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</si>
  <si>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</si>
  <si>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</si>
  <si>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</si>
  <si>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</si>
  <si>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</si>
  <si>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</si>
  <si>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</si>
  <si>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</si>
  <si>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</si>
  <si>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</si>
  <si>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</si>
  <si>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</si>
  <si>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</si>
  <si>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</si>
  <si>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</si>
  <si>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</si>
  <si>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</si>
  <si>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</si>
  <si>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</si>
  <si>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</si>
  <si>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</si>
  <si>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</si>
  <si>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</si>
  <si>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</si>
  <si>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</si>
  <si>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</si>
  <si>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</si>
  <si>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</si>
  <si>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</si>
  <si>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</si>
  <si>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</si>
  <si>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</si>
  <si>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</si>
  <si>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</si>
  <si>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</si>
  <si>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</si>
  <si>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</si>
  <si>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</si>
  <si>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</si>
  <si>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</si>
  <si>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</si>
  <si>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</si>
  <si>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</si>
  <si>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</si>
  <si>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</si>
  <si>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</si>
  <si>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</si>
  <si>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</si>
  <si>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</si>
  <si>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</si>
  <si>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</si>
  <si>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</si>
  <si>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</si>
  <si>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</si>
  <si>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</si>
  <si>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</si>
  <si>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</si>
  <si>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</si>
  <si>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</si>
  <si>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</si>
  <si>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</si>
  <si>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</si>
  <si>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</si>
  <si>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</si>
  <si>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</si>
  <si>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</si>
  <si>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</si>
  <si>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</si>
  <si>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</si>
  <si>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</si>
  <si>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</si>
  <si>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</si>
  <si>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</si>
  <si>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</si>
  <si>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</si>
  <si>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</si>
  <si>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</si>
  <si>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</si>
  <si>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</si>
  <si>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</si>
  <si>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</si>
  <si>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</si>
  <si>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</si>
  <si>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</si>
  <si>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</si>
  <si>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</si>
  <si>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</si>
  <si>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</si>
  <si>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</si>
  <si>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</si>
  <si>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</si>
  <si>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</si>
  <si>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</si>
  <si>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</si>
  <si>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</si>
  <si>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</si>
  <si>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</si>
  <si>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</si>
  <si>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</si>
  <si>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</si>
  <si>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</si>
  <si>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</si>
  <si>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</si>
  <si>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</si>
  <si>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</si>
  <si>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</si>
  <si>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</si>
  <si>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</si>
  <si>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</si>
  <si>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</si>
  <si>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</si>
  <si>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</si>
  <si>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</si>
  <si>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</si>
  <si>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</si>
  <si>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</si>
  <si>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</si>
  <si>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</si>
  <si>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</si>
  <si>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</si>
  <si>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</si>
  <si>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</si>
  <si>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</si>
  <si>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</si>
  <si>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</si>
  <si>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</si>
  <si>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</si>
  <si>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</si>
  <si>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</si>
  <si>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</si>
  <si>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</si>
  <si>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</si>
  <si>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</si>
  <si>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</si>
  <si>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</si>
  <si>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</si>
  <si>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</si>
  <si>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</si>
  <si>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</si>
  <si>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</si>
  <si>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</si>
  <si>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</si>
  <si>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</si>
  <si>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</si>
  <si>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</si>
  <si>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</si>
  <si>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</si>
  <si>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</si>
  <si>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</si>
  <si>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</si>
  <si>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</si>
  <si>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</si>
  <si>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</si>
  <si>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</si>
  <si>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</si>
  <si>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</si>
  <si>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</si>
  <si>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</si>
  <si>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</si>
  <si>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</si>
  <si>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</si>
  <si>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</si>
  <si>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</si>
  <si>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</si>
  <si>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</si>
  <si>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</si>
  <si>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</si>
  <si>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</si>
  <si>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</si>
  <si>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</si>
  <si>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</si>
  <si>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</si>
  <si>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</si>
  <si>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</si>
  <si>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</si>
  <si>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</si>
  <si>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</si>
  <si>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</si>
  <si>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</si>
  <si>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</si>
  <si>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</si>
  <si>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</si>
  <si>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</si>
  <si>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9日</t>
  </si>
  <si>
    <t>エリ</t>
  </si>
  <si>
    <t>パジャマの設置漏れ</t>
  </si>
  <si>
    <t>R8</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</si>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</sst>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0" fillId="0" fontId="1" numFmtId="0" xfId="0" applyAlignment="1" applyFont="1">
      <alignment horizontal="center" readingOrder="0"/>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readingOrder="0"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21374210"/>
        <c:axId val="285367237"/>
      </c:lineChart>
      <c:catAx>
        <c:axId val="5213742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85367237"/>
      </c:catAx>
      <c:valAx>
        <c:axId val="2853672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137421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7852552"/>
        <c:axId val="518197546"/>
      </c:lineChart>
      <c:catAx>
        <c:axId val="12978525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8197546"/>
      </c:catAx>
      <c:valAx>
        <c:axId val="5181975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785255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54870815"/>
        <c:axId val="145862906"/>
      </c:lineChart>
      <c:catAx>
        <c:axId val="13548708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5862906"/>
      </c:catAx>
      <c:valAx>
        <c:axId val="14586290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5487081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94969700"/>
        <c:axId val="2071751478"/>
      </c:barChart>
      <c:catAx>
        <c:axId val="14949697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71751478"/>
      </c:catAx>
      <c:valAx>
        <c:axId val="20717514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949697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23334844"/>
        <c:axId val="1918179847"/>
      </c:lineChart>
      <c:catAx>
        <c:axId val="16233348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18179847"/>
      </c:catAx>
      <c:valAx>
        <c:axId val="19181798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333484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90873306"/>
        <c:axId val="1066082497"/>
      </c:barChart>
      <c:catAx>
        <c:axId val="69087330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66082497"/>
      </c:catAx>
      <c:valAx>
        <c:axId val="10660824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087330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trip.com" TargetMode="External"/><Relationship Id="rId46" Type="http://schemas.openxmlformats.org/officeDocument/2006/relationships/hyperlink" Target="http://trip.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trip.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trip.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212" Type="http://schemas.openxmlformats.org/officeDocument/2006/relationships/drawing" Target="../drawings/drawing1.xm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114"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206" Type="http://schemas.openxmlformats.org/officeDocument/2006/relationships/hyperlink" Target="http://trip.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trip.com" TargetMode="External"/><Relationship Id="rId209" Type="http://schemas.openxmlformats.org/officeDocument/2006/relationships/hyperlink" Target="http://trip.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5">
        <f>IFERROR(__xludf.DUMMYFUNCTION("""COMPUTED_VALUE"""),9.0)</f>
        <v>9</v>
      </c>
      <c r="E6" s="19">
        <f>IFERROR(__xludf.DUMMYFUNCTION("""COMPUTED_VALUE"""),46128.0)</f>
        <v>46128</v>
      </c>
      <c r="F6" s="5"/>
      <c r="G6"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6" s="21"/>
      <c r="I6" s="20" t="str">
        <f>IFERROR(__xludf.DUMMYFUNCTION("""COMPUTED_VALUE"""),"")</f>
        <v/>
      </c>
      <c r="J6" s="22"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6" s="23" t="str">
        <f>IFERROR(__xludf.DUMMYFUNCTION("""COMPUTED_VALUE"""),"")</f>
        <v/>
      </c>
      <c r="L6" s="24" t="str">
        <f>IFERROR(__xludf.DUMMYFUNCTION("""COMPUTED_VALUE"""),"Serena")</f>
        <v>Serena</v>
      </c>
      <c r="N6" s="24" t="b">
        <f>IFERROR(__xludf.DUMMYFUNCTION("IMPORTRANGE(C3,Q3&amp;R3&amp;T3)"),FALSE)</f>
        <v>0</v>
      </c>
      <c r="O6" s="18" t="str">
        <f>IFERROR(__xludf.DUMMYFUNCTION("""COMPUTED_VALUE"""),"Booking.com")</f>
        <v>Booking.com</v>
      </c>
      <c r="P6" s="24">
        <f>IFERROR(__xludf.DUMMYFUNCTION("""COMPUTED_VALUE"""),9.0)</f>
        <v>9</v>
      </c>
      <c r="Q6" s="25">
        <f>IFERROR(__xludf.DUMMYFUNCTION("""COMPUTED_VALUE"""),46128.0)</f>
        <v>46128</v>
      </c>
      <c r="R6" s="24"/>
      <c r="S6" s="24"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6" s="24"/>
      <c r="U6" s="24" t="str">
        <f>IFERROR(__xludf.DUMMYFUNCTION("""COMPUTED_VALUE"""),"")</f>
        <v/>
      </c>
      <c r="V6" s="24"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6" s="24" t="str">
        <f>IFERROR(__xludf.DUMMYFUNCTION("""COMPUTED_VALUE"""),"")</f>
        <v/>
      </c>
      <c r="X6" s="24" t="str">
        <f>IFERROR(__xludf.DUMMYFUNCTION("""COMPUTED_VALUE"""),"Serena")</f>
        <v>Serena</v>
      </c>
    </row>
    <row r="7">
      <c r="B7" s="17" t="b">
        <f>IFERROR(__xludf.DUMMYFUNCTION("""COMPUTED_VALUE"""),FALSE)</f>
        <v>0</v>
      </c>
      <c r="C7" s="18" t="str">
        <f>IFERROR(__xludf.DUMMYFUNCTION("""COMPUTED_VALUE"""),"Trip.com")</f>
        <v>Trip.com</v>
      </c>
      <c r="D7" s="5">
        <f>IFERROR(__xludf.DUMMYFUNCTION("""COMPUTED_VALUE"""),10.0)</f>
        <v>10</v>
      </c>
      <c r="E7" s="19">
        <f>IFERROR(__xludf.DUMMYFUNCTION("""COMPUTED_VALUE"""),46128.0)</f>
        <v>46128</v>
      </c>
      <c r="F7" s="5" t="str">
        <f>IFERROR(__xludf.DUMMYFUNCTION("""COMPUTED_VALUE"""),"櫃檯人員態度很好，入住前有事先寄信確認的問題，都詳細提供回覆，非常棒。")</f>
        <v>櫃檯人員態度很好，入住前有事先寄信確認的問題，都詳細提供回覆，非常棒。</v>
      </c>
      <c r="G7" s="26"/>
      <c r="H7" s="21"/>
      <c r="I7" s="5"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7" s="5" t="str">
        <f>IFERROR(__xludf.DUMMYFUNCTION("""COMPUTED_VALUE"""),"")</f>
        <v/>
      </c>
      <c r="K7" s="24" t="str">
        <f>IFERROR(__xludf.DUMMYFUNCTION("""COMPUTED_VALUE"""),"")</f>
        <v/>
      </c>
      <c r="L7" s="24" t="str">
        <f>IFERROR(__xludf.DUMMYFUNCTION("""COMPUTED_VALUE"""),"ゲ‍ス‍ト")</f>
        <v>ゲ‍ス‍ト</v>
      </c>
      <c r="N7" s="24" t="b">
        <f>IFERROR(__xludf.DUMMYFUNCTION("""COMPUTED_VALUE"""),FALSE)</f>
        <v>0</v>
      </c>
      <c r="O7" s="18" t="str">
        <f>IFERROR(__xludf.DUMMYFUNCTION("""COMPUTED_VALUE"""),"Trip.com")</f>
        <v>Trip.com</v>
      </c>
      <c r="P7" s="24">
        <f>IFERROR(__xludf.DUMMYFUNCTION("""COMPUTED_VALUE"""),10.0)</f>
        <v>10</v>
      </c>
      <c r="Q7" s="25">
        <f>IFERROR(__xludf.DUMMYFUNCTION("""COMPUTED_VALUE"""),46128.0)</f>
        <v>46128</v>
      </c>
      <c r="R7" s="24" t="str">
        <f>IFERROR(__xludf.DUMMYFUNCTION("""COMPUTED_VALUE"""),"櫃檯人員態度很好，入住前有事先寄信確認的問題，都詳細提供回覆，非常棒。")</f>
        <v>櫃檯人員態度很好，入住前有事先寄信確認的問題，都詳細提供回覆，非常棒。</v>
      </c>
      <c r="S7" s="24"/>
      <c r="T7" s="24"/>
      <c r="U7" s="24"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7" s="24" t="str">
        <f>IFERROR(__xludf.DUMMYFUNCTION("""COMPUTED_VALUE"""),"")</f>
        <v/>
      </c>
      <c r="W7" s="24" t="str">
        <f>IFERROR(__xludf.DUMMYFUNCTION("""COMPUTED_VALUE"""),"")</f>
        <v/>
      </c>
      <c r="X7" s="24" t="str">
        <f>IFERROR(__xludf.DUMMYFUNCTION("""COMPUTED_VALUE"""),"ゲ‍ス‍ト")</f>
        <v>ゲ‍ス‍ト</v>
      </c>
    </row>
    <row r="8">
      <c r="B8" s="17" t="b">
        <f>IFERROR(__xludf.DUMMYFUNCTION("""COMPUTED_VALUE"""),FALSE)</f>
        <v>0</v>
      </c>
      <c r="C8" s="18" t="str">
        <f>IFERROR(__xludf.DUMMYFUNCTION("""COMPUTED_VALUE"""),"Trip.com")</f>
        <v>Trip.com</v>
      </c>
      <c r="D8" s="5">
        <f>IFERROR(__xludf.DUMMYFUNCTION("""COMPUTED_VALUE"""),9.0)</f>
        <v>9</v>
      </c>
      <c r="E8" s="19">
        <f>IFERROR(__xludf.DUMMYFUNCTION("""COMPUTED_VALUE"""),46128.0)</f>
        <v>46128</v>
      </c>
      <c r="F8"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8" s="5"/>
      <c r="H8" s="5"/>
      <c r="I8" s="5"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8" s="5" t="str">
        <f>IFERROR(__xludf.DUMMYFUNCTION("""COMPUTED_VALUE"""),"")</f>
        <v/>
      </c>
      <c r="K8" s="24" t="str">
        <f>IFERROR(__xludf.DUMMYFUNCTION("""COMPUTED_VALUE"""),"")</f>
        <v/>
      </c>
      <c r="L8" s="24" t="str">
        <f>IFERROR(__xludf.DUMMYFUNCTION("""COMPUTED_VALUE"""),"み‍ゆ‍か")</f>
        <v>み‍ゆ‍か</v>
      </c>
      <c r="N8" s="24" t="b">
        <f>IFERROR(__xludf.DUMMYFUNCTION("""COMPUTED_VALUE"""),FALSE)</f>
        <v>0</v>
      </c>
      <c r="O8" s="18" t="str">
        <f>IFERROR(__xludf.DUMMYFUNCTION("""COMPUTED_VALUE"""),"Trip.com")</f>
        <v>Trip.com</v>
      </c>
      <c r="P8" s="24">
        <f>IFERROR(__xludf.DUMMYFUNCTION("""COMPUTED_VALUE"""),9.0)</f>
        <v>9</v>
      </c>
      <c r="Q8" s="25">
        <f>IFERROR(__xludf.DUMMYFUNCTION("""COMPUTED_VALUE"""),46128.0)</f>
        <v>46128</v>
      </c>
      <c r="R8"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8" s="24"/>
      <c r="T8" s="24"/>
      <c r="U8" s="24"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8" s="24" t="str">
        <f>IFERROR(__xludf.DUMMYFUNCTION("""COMPUTED_VALUE"""),"")</f>
        <v/>
      </c>
      <c r="W8" s="24" t="str">
        <f>IFERROR(__xludf.DUMMYFUNCTION("""COMPUTED_VALUE"""),"")</f>
        <v/>
      </c>
      <c r="X8" s="24" t="str">
        <f>IFERROR(__xludf.DUMMYFUNCTION("""COMPUTED_VALUE"""),"み‍ゆ‍か")</f>
        <v>み‍ゆ‍か</v>
      </c>
    </row>
    <row r="9">
      <c r="B9" s="17" t="b">
        <f>IFERROR(__xludf.DUMMYFUNCTION("""COMPUTED_VALUE"""),FALSE)</f>
        <v>0</v>
      </c>
      <c r="C9" s="18" t="str">
        <f>IFERROR(__xludf.DUMMYFUNCTION("""COMPUTED_VALUE"""),"Trip.com")</f>
        <v>Trip.com</v>
      </c>
      <c r="D9" s="5">
        <f>IFERROR(__xludf.DUMMYFUNCTION("""COMPUTED_VALUE"""),10.0)</f>
        <v>10</v>
      </c>
      <c r="E9" s="19">
        <f>IFERROR(__xludf.DUMMYFUNCTION("""COMPUTED_VALUE"""),46127.0)</f>
        <v>46127</v>
      </c>
      <c r="F9" s="5"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9" s="5"/>
      <c r="H9" s="5"/>
      <c r="I9" s="5"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IFERROR(__xludf.DUMMYFUNCTION("""COMPUTED_VALUE"""),10.0)</f>
        <v>10</v>
      </c>
      <c r="Q9" s="25">
        <f>IFERROR(__xludf.DUMMYFUNCTION("""COMPUTED_VALUE"""),46127.0)</f>
        <v>46127</v>
      </c>
      <c r="R9" s="24"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9" s="24"/>
      <c r="T9" s="24"/>
      <c r="U9" s="24" t="str">
        <f>IFERROR(__xludf.DUMMYFUNCTION("""COMPUTED_VALUE"""),"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f>
        <v>ホテルは錦糸町駅から徒歩約5分と非常に便利な場所にあり、周辺には人気の観光スポットやショッピングエリアが数多くあります。ホテルの周辺にはコンビニエンスストアもたくさんあるので、夜にお腹が空いても簡単に食事を買うことができます。客室は広々としていて清潔感も抜群です。次回東京を訪れる際は、ぜひまたこのホテルを利用したいと思います！</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IFERROR(__xludf.DUMMYFUNCTION("""COMPUTED_VALUE"""),"Trip.com")</f>
        <v>Trip.com</v>
      </c>
      <c r="D10" s="5">
        <f>IFERROR(__xludf.DUMMYFUNCTION("""COMPUTED_VALUE"""),6.0)</f>
        <v>6</v>
      </c>
      <c r="E10" s="19">
        <f>IFERROR(__xludf.DUMMYFUNCTION("""COMPUTED_VALUE"""),46127.0)</f>
        <v>46127</v>
      </c>
      <c r="F10" s="5"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10" s="5"/>
      <c r="H10" s="21"/>
      <c r="I10" s="28"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10" s="5" t="str">
        <f>IFERROR(__xludf.DUMMYFUNCTION("""COMPUTED_VALUE"""),"")</f>
        <v/>
      </c>
      <c r="K10" s="24" t="str">
        <f>IFERROR(__xludf.DUMMYFUNCTION("""COMPUTED_VALUE"""),"")</f>
        <v/>
      </c>
      <c r="L10" s="24" t="str">
        <f>IFERROR(__xludf.DUMMYFUNCTION("""COMPUTED_VALUE"""),"P‍u‍r‍p‍l‍e‍b‍l‍e‍s‍s")</f>
        <v>P‍u‍r‍p‍l‍e‍b‍l‍e‍s‍s</v>
      </c>
      <c r="N10" s="24" t="b">
        <f>IFERROR(__xludf.DUMMYFUNCTION("""COMPUTED_VALUE"""),FALSE)</f>
        <v>0</v>
      </c>
      <c r="O10" s="18" t="str">
        <f>IFERROR(__xludf.DUMMYFUNCTION("""COMPUTED_VALUE"""),"Trip.com")</f>
        <v>Trip.com</v>
      </c>
      <c r="P10" s="24">
        <f>IFERROR(__xludf.DUMMYFUNCTION("""COMPUTED_VALUE"""),6.0)</f>
        <v>6</v>
      </c>
      <c r="Q10" s="25">
        <f>IFERROR(__xludf.DUMMYFUNCTION("""COMPUTED_VALUE"""),46127.0)</f>
        <v>46127</v>
      </c>
      <c r="R10" s="24"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10" s="24"/>
      <c r="T10" s="24"/>
      <c r="U10" s="24"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10" s="24" t="str">
        <f>IFERROR(__xludf.DUMMYFUNCTION("""COMPUTED_VALUE"""),"")</f>
        <v/>
      </c>
      <c r="W10" s="24" t="str">
        <f>IFERROR(__xludf.DUMMYFUNCTION("""COMPUTED_VALUE"""),"")</f>
        <v/>
      </c>
      <c r="X10" s="24" t="str">
        <f>IFERROR(__xludf.DUMMYFUNCTION("""COMPUTED_VALUE"""),"P‍u‍r‍p‍l‍e‍b‍l‍e‍s‍s")</f>
        <v>P‍u‍r‍p‍l‍e‍b‍l‍e‍s‍s</v>
      </c>
    </row>
    <row r="11">
      <c r="B11" s="17" t="b">
        <f>IFERROR(__xludf.DUMMYFUNCTION("""COMPUTED_VALUE"""),FALSE)</f>
        <v>0</v>
      </c>
      <c r="C11" s="18" t="str">
        <f>IFERROR(__xludf.DUMMYFUNCTION("""COMPUTED_VALUE"""),"Trip.com")</f>
        <v>Trip.com</v>
      </c>
      <c r="D11" s="5">
        <f>IFERROR(__xludf.DUMMYFUNCTION("""COMPUTED_VALUE"""),9.0)</f>
        <v>9</v>
      </c>
      <c r="E11" s="19">
        <f>IFERROR(__xludf.DUMMYFUNCTION("""COMPUTED_VALUE"""),46126.0)</f>
        <v>46126</v>
      </c>
      <c r="F11" s="5"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11" s="5"/>
      <c r="H11" s="5"/>
      <c r="I11" s="5"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11" s="5" t="str">
        <f>IFERROR(__xludf.DUMMYFUNCTION("""COMPUTED_VALUE"""),"")</f>
        <v/>
      </c>
      <c r="K11" s="24" t="str">
        <f>IFERROR(__xludf.DUMMYFUNCTION("""COMPUTED_VALUE"""),"")</f>
        <v/>
      </c>
      <c r="L11" s="24" t="str">
        <f>IFERROR(__xludf.DUMMYFUNCTION("""COMPUTED_VALUE"""),"O‍n‍o‍_")</f>
        <v>O‍n‍o‍_</v>
      </c>
      <c r="N11" s="24" t="b">
        <f>IFERROR(__xludf.DUMMYFUNCTION("""COMPUTED_VALUE"""),FALSE)</f>
        <v>0</v>
      </c>
      <c r="O11" s="18" t="str">
        <f>IFERROR(__xludf.DUMMYFUNCTION("""COMPUTED_VALUE"""),"Trip.com")</f>
        <v>Trip.com</v>
      </c>
      <c r="P11" s="24">
        <f>IFERROR(__xludf.DUMMYFUNCTION("""COMPUTED_VALUE"""),9.0)</f>
        <v>9</v>
      </c>
      <c r="Q11" s="25">
        <f>IFERROR(__xludf.DUMMYFUNCTION("""COMPUTED_VALUE"""),46126.0)</f>
        <v>46126</v>
      </c>
      <c r="R11" s="24"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11" s="24"/>
      <c r="T11" s="24"/>
      <c r="U11" s="24"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11" s="24" t="str">
        <f>IFERROR(__xludf.DUMMYFUNCTION("""COMPUTED_VALUE"""),"")</f>
        <v/>
      </c>
      <c r="W11" s="24" t="str">
        <f>IFERROR(__xludf.DUMMYFUNCTION("""COMPUTED_VALUE"""),"")</f>
        <v/>
      </c>
      <c r="X11" s="24" t="str">
        <f>IFERROR(__xludf.DUMMYFUNCTION("""COMPUTED_VALUE"""),"O‍n‍o‍_")</f>
        <v>O‍n‍o‍_</v>
      </c>
    </row>
    <row r="12">
      <c r="B12" s="17" t="b">
        <f>IFERROR(__xludf.DUMMYFUNCTION("""COMPUTED_VALUE"""),FALSE)</f>
        <v>0</v>
      </c>
      <c r="C12" s="18" t="str">
        <f>IFERROR(__xludf.DUMMYFUNCTION("""COMPUTED_VALUE"""),"Booking.com")</f>
        <v>Booking.com</v>
      </c>
      <c r="D12" s="5">
        <f>IFERROR(__xludf.DUMMYFUNCTION("""COMPUTED_VALUE"""),8.0)</f>
        <v>8</v>
      </c>
      <c r="E12" s="19">
        <f>IFERROR(__xludf.DUMMYFUNCTION("""COMPUTED_VALUE"""),46125.0)</f>
        <v>46125</v>
      </c>
      <c r="F12" s="5"/>
      <c r="G12" s="5"/>
      <c r="H12" s="5"/>
      <c r="I12" s="5" t="str">
        <f>IFERROR(__xludf.DUMMYFUNCTION("""COMPUTED_VALUE"""),"")</f>
        <v/>
      </c>
      <c r="J12" s="5" t="str">
        <f>IFERROR(__xludf.DUMMYFUNCTION("""COMPUTED_VALUE"""),"")</f>
        <v/>
      </c>
      <c r="K12" s="24" t="str">
        <f>IFERROR(__xludf.DUMMYFUNCTION("""COMPUTED_VALUE"""),"")</f>
        <v/>
      </c>
      <c r="L12" s="24" t="str">
        <f>IFERROR(__xludf.DUMMYFUNCTION("""COMPUTED_VALUE"""),"Miljenko")</f>
        <v>Miljenko</v>
      </c>
      <c r="N12" s="24" t="b">
        <f>IFERROR(__xludf.DUMMYFUNCTION("""COMPUTED_VALUE"""),FALSE)</f>
        <v>0</v>
      </c>
      <c r="O12" s="18" t="str">
        <f>IFERROR(__xludf.DUMMYFUNCTION("""COMPUTED_VALUE"""),"Booking.com")</f>
        <v>Booking.com</v>
      </c>
      <c r="P12" s="24">
        <f>IFERROR(__xludf.DUMMYFUNCTION("""COMPUTED_VALUE"""),8.0)</f>
        <v>8</v>
      </c>
      <c r="Q12" s="25">
        <f>IFERROR(__xludf.DUMMYFUNCTION("""COMPUTED_VALUE"""),46125.0)</f>
        <v>46125</v>
      </c>
      <c r="R12" s="24"/>
      <c r="S12" s="24"/>
      <c r="T12" s="24"/>
      <c r="U12" s="24" t="str">
        <f>IFERROR(__xludf.DUMMYFUNCTION("""COMPUTED_VALUE"""),"")</f>
        <v/>
      </c>
      <c r="V12" s="24" t="str">
        <f>IFERROR(__xludf.DUMMYFUNCTION("""COMPUTED_VALUE"""),"")</f>
        <v/>
      </c>
      <c r="W12" s="24" t="str">
        <f>IFERROR(__xludf.DUMMYFUNCTION("""COMPUTED_VALUE"""),"")</f>
        <v/>
      </c>
      <c r="X12" s="24" t="str">
        <f>IFERROR(__xludf.DUMMYFUNCTION("""COMPUTED_VALUE"""),"Miljenko")</f>
        <v>Miljenko</v>
      </c>
    </row>
    <row r="13">
      <c r="B13" s="17" t="b">
        <f>IFERROR(__xludf.DUMMYFUNCTION("""COMPUTED_VALUE"""),FALSE)</f>
        <v>0</v>
      </c>
      <c r="C13" s="18" t="str">
        <f>IFERROR(__xludf.DUMMYFUNCTION("""COMPUTED_VALUE"""),"Booking.com")</f>
        <v>Booking.com</v>
      </c>
      <c r="D13" s="5">
        <f>IFERROR(__xludf.DUMMYFUNCTION("""COMPUTED_VALUE"""),9.0)</f>
        <v>9</v>
      </c>
      <c r="E13" s="19">
        <f>IFERROR(__xludf.DUMMYFUNCTION("""COMPUTED_VALUE"""),46125.0)</f>
        <v>46125</v>
      </c>
      <c r="F13" s="5"/>
      <c r="G13" s="5"/>
      <c r="H13" s="5"/>
      <c r="I13" s="5" t="str">
        <f>IFERROR(__xludf.DUMMYFUNCTION("""COMPUTED_VALUE"""),"")</f>
        <v/>
      </c>
      <c r="J13" s="29" t="str">
        <f>IFERROR(__xludf.DUMMYFUNCTION("""COMPUTED_VALUE"""),"")</f>
        <v/>
      </c>
      <c r="K13" s="24" t="str">
        <f>IFERROR(__xludf.DUMMYFUNCTION("""COMPUTED_VALUE"""),"")</f>
        <v/>
      </c>
      <c r="L13" s="24" t="str">
        <f>IFERROR(__xludf.DUMMYFUNCTION("""COMPUTED_VALUE"""),"Kouno")</f>
        <v>Kouno</v>
      </c>
      <c r="N13" s="24" t="b">
        <f>IFERROR(__xludf.DUMMYFUNCTION("""COMPUTED_VALUE"""),FALSE)</f>
        <v>0</v>
      </c>
      <c r="O13" s="18" t="str">
        <f>IFERROR(__xludf.DUMMYFUNCTION("""COMPUTED_VALUE"""),"Booking.com")</f>
        <v>Booking.com</v>
      </c>
      <c r="P13" s="24">
        <f>IFERROR(__xludf.DUMMYFUNCTION("""COMPUTED_VALUE"""),9.0)</f>
        <v>9</v>
      </c>
      <c r="Q13" s="25">
        <f>IFERROR(__xludf.DUMMYFUNCTION("""COMPUTED_VALUE"""),46125.0)</f>
        <v>46125</v>
      </c>
      <c r="R13" s="24"/>
      <c r="S13" s="24"/>
      <c r="T13" s="24"/>
      <c r="U13" s="24" t="str">
        <f>IFERROR(__xludf.DUMMYFUNCTION("""COMPUTED_VALUE"""),"")</f>
        <v/>
      </c>
      <c r="V13" s="24" t="str">
        <f>IFERROR(__xludf.DUMMYFUNCTION("""COMPUTED_VALUE"""),"")</f>
        <v/>
      </c>
      <c r="W13" s="24" t="str">
        <f>IFERROR(__xludf.DUMMYFUNCTION("""COMPUTED_VALUE"""),"")</f>
        <v/>
      </c>
      <c r="X13" s="24" t="str">
        <f>IFERROR(__xludf.DUMMYFUNCTION("""COMPUTED_VALUE"""),"Kouno")</f>
        <v>Kouno</v>
      </c>
    </row>
    <row r="14">
      <c r="B14" s="17" t="b">
        <f>IFERROR(__xludf.DUMMYFUNCTION("""COMPUTED_VALUE"""),FALSE)</f>
        <v>0</v>
      </c>
      <c r="C14" s="24" t="str">
        <f>IFERROR(__xludf.DUMMYFUNCTION("""COMPUTED_VALUE"""),"Google")</f>
        <v>Google</v>
      </c>
      <c r="D14" s="5">
        <f>IFERROR(__xludf.DUMMYFUNCTION("""COMPUTED_VALUE"""),5.0)</f>
        <v>5</v>
      </c>
      <c r="E14" s="19">
        <f>IFERROR(__xludf.DUMMYFUNCTION("""COMPUTED_VALUE"""),46125.0)</f>
        <v>46125</v>
      </c>
      <c r="F14" s="5"/>
      <c r="G14" s="5"/>
      <c r="H14" s="5"/>
      <c r="I14" s="5" t="str">
        <f>IFERROR(__xludf.DUMMYFUNCTION("""COMPUTED_VALUE"""),"")</f>
        <v/>
      </c>
      <c r="J14" s="5" t="str">
        <f>IFERROR(__xludf.DUMMYFUNCTION("""COMPUTED_VALUE"""),"")</f>
        <v/>
      </c>
      <c r="K14" s="24" t="str">
        <f>IFERROR(__xludf.DUMMYFUNCTION("""COMPUTED_VALUE"""),"")</f>
        <v/>
      </c>
      <c r="L14" s="24" t="str">
        <f>IFERROR(__xludf.DUMMYFUNCTION("""COMPUTED_VALUE"""),"黃雅玲")</f>
        <v>黃雅玲</v>
      </c>
      <c r="N14" s="24" t="b">
        <f>IFERROR(__xludf.DUMMYFUNCTION("""COMPUTED_VALUE"""),FALSE)</f>
        <v>0</v>
      </c>
      <c r="O14" s="24" t="str">
        <f>IFERROR(__xludf.DUMMYFUNCTION("""COMPUTED_VALUE"""),"Google")</f>
        <v>Google</v>
      </c>
      <c r="P14" s="24">
        <f>IFERROR(__xludf.DUMMYFUNCTION("""COMPUTED_VALUE"""),5.0)</f>
        <v>5</v>
      </c>
      <c r="Q14" s="25">
        <f>IFERROR(__xludf.DUMMYFUNCTION("""COMPUTED_VALUE"""),46125.0)</f>
        <v>46125</v>
      </c>
      <c r="R14" s="24"/>
      <c r="S14" s="24"/>
      <c r="T14" s="24"/>
      <c r="U14" s="24" t="str">
        <f>IFERROR(__xludf.DUMMYFUNCTION("""COMPUTED_VALUE"""),"")</f>
        <v/>
      </c>
      <c r="V14" s="24" t="str">
        <f>IFERROR(__xludf.DUMMYFUNCTION("""COMPUTED_VALUE"""),"")</f>
        <v/>
      </c>
      <c r="W14" s="24" t="str">
        <f>IFERROR(__xludf.DUMMYFUNCTION("""COMPUTED_VALUE"""),"")</f>
        <v/>
      </c>
      <c r="X14" s="24" t="str">
        <f>IFERROR(__xludf.DUMMYFUNCTION("""COMPUTED_VALUE"""),"黃雅玲")</f>
        <v>黃雅玲</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IFERROR(__xludf.DUMMYFUNCTION("""COMPUTED_VALUE"""),46125.0)</f>
        <v>46125</v>
      </c>
      <c r="F15" s="5" t="str">
        <f>IFERROR(__xludf.DUMMYFUNCTION("""COMPUTED_VALUE"""),"酒店服務好，地址方便")</f>
        <v>酒店服務好，地址方便</v>
      </c>
      <c r="G15" s="5"/>
      <c r="H15" s="5"/>
      <c r="I15" s="5" t="str">
        <f>IFERROR(__xludf.DUMMYFUNCTION("""COMPUTED_VALUE"""),"ホテルのサービスは良く、立地も便利だった。")</f>
        <v>ホテルのサービスは良く、立地も便利だった。</v>
      </c>
      <c r="J15" s="5" t="str">
        <f>IFERROR(__xludf.DUMMYFUNCTION("""COMPUTED_VALUE"""),"")</f>
        <v/>
      </c>
      <c r="K15" s="24" t="str">
        <f>IFERROR(__xludf.DUMMYFUNCTION("""COMPUTED_VALUE"""),"")</f>
        <v/>
      </c>
      <c r="L15" s="24" t="str">
        <f>IFERROR(__xludf.DUMMYFUNCTION("""COMPUTED_VALUE"""),"ゲ‍ス‍ト")</f>
        <v>ゲ‍ス‍ト</v>
      </c>
      <c r="N15" s="24" t="b">
        <f>IFERROR(__xludf.DUMMYFUNCTION("""COMPUTED_VALUE"""),FALSE)</f>
        <v>0</v>
      </c>
      <c r="O15" s="18" t="str">
        <f>IFERROR(__xludf.DUMMYFUNCTION("""COMPUTED_VALUE"""),"Trip.com")</f>
        <v>Trip.com</v>
      </c>
      <c r="P15" s="24">
        <f>IFERROR(__xludf.DUMMYFUNCTION("""COMPUTED_VALUE"""),10.0)</f>
        <v>10</v>
      </c>
      <c r="Q15" s="25">
        <f>IFERROR(__xludf.DUMMYFUNCTION("""COMPUTED_VALUE"""),46125.0)</f>
        <v>46125</v>
      </c>
      <c r="R15" s="24" t="str">
        <f>IFERROR(__xludf.DUMMYFUNCTION("""COMPUTED_VALUE"""),"酒店服務好，地址方便")</f>
        <v>酒店服務好，地址方便</v>
      </c>
      <c r="S15" s="24"/>
      <c r="T15" s="24"/>
      <c r="U15" s="24" t="str">
        <f>IFERROR(__xludf.DUMMYFUNCTION("""COMPUTED_VALUE"""),"ホテルのサービスは良く、立地も便利だった。")</f>
        <v>ホテルのサービスは良く、立地も便利だった。</v>
      </c>
      <c r="V15" s="24" t="str">
        <f>IFERROR(__xludf.DUMMYFUNCTION("""COMPUTED_VALUE"""),"")</f>
        <v/>
      </c>
      <c r="W15" s="24" t="str">
        <f>IFERROR(__xludf.DUMMYFUNCTION("""COMPUTED_VALUE"""),"")</f>
        <v/>
      </c>
      <c r="X15" s="24" t="str">
        <f>IFERROR(__xludf.DUMMYFUNCTION("""COMPUTED_VALUE"""),"ゲ‍ス‍ト")</f>
        <v>ゲ‍ス‍ト</v>
      </c>
    </row>
    <row r="16">
      <c r="B16" s="17" t="b">
        <f>IFERROR(__xludf.DUMMYFUNCTION("""COMPUTED_VALUE"""),FALSE)</f>
        <v>0</v>
      </c>
      <c r="C16" s="24" t="str">
        <f>IFERROR(__xludf.DUMMYFUNCTION("""COMPUTED_VALUE"""),"Google")</f>
        <v>Google</v>
      </c>
      <c r="D16" s="5">
        <f>IFERROR(__xludf.DUMMYFUNCTION("""COMPUTED_VALUE"""),5.0)</f>
        <v>5</v>
      </c>
      <c r="E16" s="19">
        <f>IFERROR(__xludf.DUMMYFUNCTION("""COMPUTED_VALUE"""),46125.0)</f>
        <v>46125</v>
      </c>
      <c r="F16" s="5"/>
      <c r="G16" s="5"/>
      <c r="H16" s="5"/>
      <c r="I16" s="5" t="str">
        <f>IFERROR(__xludf.DUMMYFUNCTION("""COMPUTED_VALUE"""),"")</f>
        <v/>
      </c>
      <c r="J16" s="5" t="str">
        <f>IFERROR(__xludf.DUMMYFUNCTION("""COMPUTED_VALUE"""),"")</f>
        <v/>
      </c>
      <c r="K16" s="24" t="str">
        <f>IFERROR(__xludf.DUMMYFUNCTION("""COMPUTED_VALUE"""),"")</f>
        <v/>
      </c>
      <c r="L16" s="24" t="str">
        <f>IFERROR(__xludf.DUMMYFUNCTION("""COMPUTED_VALUE"""),"陳維青")</f>
        <v>陳維青</v>
      </c>
      <c r="N16" s="24" t="b">
        <f>IFERROR(__xludf.DUMMYFUNCTION("""COMPUTED_VALUE"""),FALSE)</f>
        <v>0</v>
      </c>
      <c r="O16" s="24" t="str">
        <f>IFERROR(__xludf.DUMMYFUNCTION("""COMPUTED_VALUE"""),"Google")</f>
        <v>Google</v>
      </c>
      <c r="P16" s="24">
        <f>IFERROR(__xludf.DUMMYFUNCTION("""COMPUTED_VALUE"""),5.0)</f>
        <v>5</v>
      </c>
      <c r="Q16" s="25">
        <f>IFERROR(__xludf.DUMMYFUNCTION("""COMPUTED_VALUE"""),46125.0)</f>
        <v>46125</v>
      </c>
      <c r="R16" s="24"/>
      <c r="S16" s="24"/>
      <c r="T16" s="24"/>
      <c r="U16" s="24" t="str">
        <f>IFERROR(__xludf.DUMMYFUNCTION("""COMPUTED_VALUE"""),"")</f>
        <v/>
      </c>
      <c r="V16" s="24" t="str">
        <f>IFERROR(__xludf.DUMMYFUNCTION("""COMPUTED_VALUE"""),"")</f>
        <v/>
      </c>
      <c r="W16" s="24" t="str">
        <f>IFERROR(__xludf.DUMMYFUNCTION("""COMPUTED_VALUE"""),"")</f>
        <v/>
      </c>
      <c r="X16" s="24" t="str">
        <f>IFERROR(__xludf.DUMMYFUNCTION("""COMPUTED_VALUE"""),"陳維青")</f>
        <v>陳維青</v>
      </c>
    </row>
    <row r="17">
      <c r="B17" s="17" t="b">
        <f>IFERROR(__xludf.DUMMYFUNCTION("""COMPUTED_VALUE"""),FALSE)</f>
        <v>0</v>
      </c>
      <c r="C17" s="18" t="str">
        <f>IFERROR(__xludf.DUMMYFUNCTION("""COMPUTED_VALUE"""),"Trip.com")</f>
        <v>Trip.com</v>
      </c>
      <c r="D17" s="5">
        <f>IFERROR(__xludf.DUMMYFUNCTION("""COMPUTED_VALUE"""),10.0)</f>
        <v>10</v>
      </c>
      <c r="E17" s="19">
        <f>IFERROR(__xludf.DUMMYFUNCTION("""COMPUTED_VALUE"""),46124.0)</f>
        <v>46124</v>
      </c>
      <c r="F17"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17" s="5"/>
      <c r="H17" s="5"/>
      <c r="I17" s="5"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17" s="5" t="str">
        <f>IFERROR(__xludf.DUMMYFUNCTION("""COMPUTED_VALUE"""),"")</f>
        <v/>
      </c>
      <c r="K17" s="24" t="str">
        <f>IFERROR(__xludf.DUMMYFUNCTION("""COMPUTED_VALUE"""),"")</f>
        <v/>
      </c>
      <c r="L17" s="24" t="str">
        <f>IFERROR(__xludf.DUMMYFUNCTION("""COMPUTED_VALUE"""),"ゲ‍ス‍ト")</f>
        <v>ゲ‍ス‍ト</v>
      </c>
      <c r="N17" s="24" t="b">
        <f>IFERROR(__xludf.DUMMYFUNCTION("""COMPUTED_VALUE"""),FALSE)</f>
        <v>0</v>
      </c>
      <c r="O17" s="18" t="str">
        <f>IFERROR(__xludf.DUMMYFUNCTION("""COMPUTED_VALUE"""),"Trip.com")</f>
        <v>Trip.com</v>
      </c>
      <c r="P17" s="24">
        <f>IFERROR(__xludf.DUMMYFUNCTION("""COMPUTED_VALUE"""),10.0)</f>
        <v>10</v>
      </c>
      <c r="Q17" s="25">
        <f>IFERROR(__xludf.DUMMYFUNCTION("""COMPUTED_VALUE"""),46124.0)</f>
        <v>46124</v>
      </c>
      <c r="R17"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17" s="24"/>
      <c r="T17" s="24"/>
      <c r="U17"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17" s="24" t="str">
        <f>IFERROR(__xludf.DUMMYFUNCTION("""COMPUTED_VALUE"""),"")</f>
        <v/>
      </c>
      <c r="W17" s="24" t="str">
        <f>IFERROR(__xludf.DUMMYFUNCTION("""COMPUTED_VALUE"""),"")</f>
        <v/>
      </c>
      <c r="X17" s="24" t="str">
        <f>IFERROR(__xludf.DUMMYFUNCTION("""COMPUTED_VALUE"""),"ゲ‍ス‍ト")</f>
        <v>ゲ‍ス‍ト</v>
      </c>
    </row>
    <row r="18">
      <c r="B18" s="17" t="b">
        <f>IFERROR(__xludf.DUMMYFUNCTION("""COMPUTED_VALUE"""),FALSE)</f>
        <v>0</v>
      </c>
      <c r="C18" s="18" t="str">
        <f>IFERROR(__xludf.DUMMYFUNCTION("""COMPUTED_VALUE"""),"Booking.com")</f>
        <v>Booking.com</v>
      </c>
      <c r="D18" s="5">
        <f>IFERROR(__xludf.DUMMYFUNCTION("""COMPUTED_VALUE"""),10.0)</f>
        <v>10</v>
      </c>
      <c r="E18" s="19">
        <f>IFERROR(__xludf.DUMMYFUNCTION("""COMPUTED_VALUE"""),46124.0)</f>
        <v>46124</v>
      </c>
      <c r="F18" s="5"/>
      <c r="G18" s="5"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18" s="5"/>
      <c r="I18" s="5" t="str">
        <f>IFERROR(__xludf.DUMMYFUNCTION("""COMPUTED_VALUE"""),"")</f>
        <v/>
      </c>
      <c r="J18" s="5"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18" s="24" t="str">
        <f>IFERROR(__xludf.DUMMYFUNCTION("""COMPUTED_VALUE"""),"")</f>
        <v/>
      </c>
      <c r="L18" s="24" t="str">
        <f>IFERROR(__xludf.DUMMYFUNCTION("""COMPUTED_VALUE"""),"Loong")</f>
        <v>Loong</v>
      </c>
      <c r="N18" s="24" t="b">
        <f>IFERROR(__xludf.DUMMYFUNCTION("""COMPUTED_VALUE"""),FALSE)</f>
        <v>0</v>
      </c>
      <c r="O18" s="18" t="str">
        <f>IFERROR(__xludf.DUMMYFUNCTION("""COMPUTED_VALUE"""),"Booking.com")</f>
        <v>Booking.com</v>
      </c>
      <c r="P18" s="24">
        <f>IFERROR(__xludf.DUMMYFUNCTION("""COMPUTED_VALUE"""),10.0)</f>
        <v>10</v>
      </c>
      <c r="Q18" s="25">
        <f>IFERROR(__xludf.DUMMYFUNCTION("""COMPUTED_VALUE"""),46124.0)</f>
        <v>46124</v>
      </c>
      <c r="R18" s="24"/>
      <c r="S18" s="24"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18" s="24"/>
      <c r="U18" s="24" t="str">
        <f>IFERROR(__xludf.DUMMYFUNCTION("""COMPUTED_VALUE"""),"")</f>
        <v/>
      </c>
      <c r="V18" s="24"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18" s="24" t="str">
        <f>IFERROR(__xludf.DUMMYFUNCTION("""COMPUTED_VALUE"""),"")</f>
        <v/>
      </c>
      <c r="X18" s="24" t="str">
        <f>IFERROR(__xludf.DUMMYFUNCTION("""COMPUTED_VALUE"""),"Loong")</f>
        <v>Loong</v>
      </c>
    </row>
    <row r="19">
      <c r="B19" s="17" t="b">
        <f>IFERROR(__xludf.DUMMYFUNCTION("""COMPUTED_VALUE"""),FALSE)</f>
        <v>0</v>
      </c>
      <c r="C19" s="18" t="str">
        <f>IFERROR(__xludf.DUMMYFUNCTION("""COMPUTED_VALUE"""),"Trip.com")</f>
        <v>Trip.com</v>
      </c>
      <c r="D19" s="5">
        <f>IFERROR(__xludf.DUMMYFUNCTION("""COMPUTED_VALUE"""),9.0)</f>
        <v>9</v>
      </c>
      <c r="E19" s="19">
        <f>IFERROR(__xludf.DUMMYFUNCTION("""COMPUTED_VALUE"""),46124.0)</f>
        <v>46124</v>
      </c>
      <c r="F19" s="5"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19" s="5"/>
      <c r="H19" s="5"/>
      <c r="I19" s="5"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19" s="5" t="str">
        <f>IFERROR(__xludf.DUMMYFUNCTION("""COMPUTED_VALUE"""),"")</f>
        <v/>
      </c>
      <c r="K19" s="24" t="str">
        <f>IFERROR(__xludf.DUMMYFUNCTION("""COMPUTED_VALUE"""),"")</f>
        <v/>
      </c>
      <c r="L19" s="24" t="str">
        <f>IFERROR(__xludf.DUMMYFUNCTION("""COMPUTED_VALUE"""),"C‍r‍y‍B‍r‍e‍a‍d")</f>
        <v>C‍r‍y‍B‍r‍e‍a‍d</v>
      </c>
      <c r="N19" s="24" t="b">
        <f>IFERROR(__xludf.DUMMYFUNCTION("""COMPUTED_VALUE"""),FALSE)</f>
        <v>0</v>
      </c>
      <c r="O19" s="18" t="str">
        <f>IFERROR(__xludf.DUMMYFUNCTION("""COMPUTED_VALUE"""),"Trip.com")</f>
        <v>Trip.com</v>
      </c>
      <c r="P19" s="24">
        <f>IFERROR(__xludf.DUMMYFUNCTION("""COMPUTED_VALUE"""),9.0)</f>
        <v>9</v>
      </c>
      <c r="Q19" s="25">
        <f>IFERROR(__xludf.DUMMYFUNCTION("""COMPUTED_VALUE"""),46124.0)</f>
        <v>46124</v>
      </c>
      <c r="R19" s="24"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19" s="24"/>
      <c r="T19" s="24"/>
      <c r="U19" s="24"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19" s="24" t="str">
        <f>IFERROR(__xludf.DUMMYFUNCTION("""COMPUTED_VALUE"""),"")</f>
        <v/>
      </c>
      <c r="W19" s="24" t="str">
        <f>IFERROR(__xludf.DUMMYFUNCTION("""COMPUTED_VALUE"""),"")</f>
        <v/>
      </c>
      <c r="X19" s="24" t="str">
        <f>IFERROR(__xludf.DUMMYFUNCTION("""COMPUTED_VALUE"""),"C‍r‍y‍B‍r‍e‍a‍d")</f>
        <v>C‍r‍y‍B‍r‍e‍a‍d</v>
      </c>
    </row>
    <row r="20">
      <c r="B20" s="17" t="b">
        <f>IFERROR(__xludf.DUMMYFUNCTION("""COMPUTED_VALUE"""),FALSE)</f>
        <v>0</v>
      </c>
      <c r="C20" s="18" t="str">
        <f>IFERROR(__xludf.DUMMYFUNCTION("""COMPUTED_VALUE"""),"Booking.com")</f>
        <v>Booking.com</v>
      </c>
      <c r="D20" s="5">
        <f>IFERROR(__xludf.DUMMYFUNCTION("""COMPUTED_VALUE"""),8.0)</f>
        <v>8</v>
      </c>
      <c r="E20" s="19">
        <f>IFERROR(__xludf.DUMMYFUNCTION("""COMPUTED_VALUE"""),46123.0)</f>
        <v>46123</v>
      </c>
      <c r="F20" s="5"/>
      <c r="G20" s="5"/>
      <c r="H20" s="5"/>
      <c r="I20" s="5" t="str">
        <f>IFERROR(__xludf.DUMMYFUNCTION("""COMPUTED_VALUE"""),"")</f>
        <v/>
      </c>
      <c r="J20" s="5" t="str">
        <f>IFERROR(__xludf.DUMMYFUNCTION("""COMPUTED_VALUE"""),"")</f>
        <v/>
      </c>
      <c r="K20" s="24" t="str">
        <f>IFERROR(__xludf.DUMMYFUNCTION("""COMPUTED_VALUE"""),"")</f>
        <v/>
      </c>
      <c r="L20" s="24" t="str">
        <f>IFERROR(__xludf.DUMMYFUNCTION("""COMPUTED_VALUE"""),"芦荟喵")</f>
        <v>芦荟喵</v>
      </c>
      <c r="N20" s="24" t="b">
        <f>IFERROR(__xludf.DUMMYFUNCTION("""COMPUTED_VALUE"""),FALSE)</f>
        <v>0</v>
      </c>
      <c r="O20" s="18" t="str">
        <f>IFERROR(__xludf.DUMMYFUNCTION("""COMPUTED_VALUE"""),"Booking.com")</f>
        <v>Booking.com</v>
      </c>
      <c r="P20" s="24">
        <f>IFERROR(__xludf.DUMMYFUNCTION("""COMPUTED_VALUE"""),8.0)</f>
        <v>8</v>
      </c>
      <c r="Q20" s="25">
        <f>IFERROR(__xludf.DUMMYFUNCTION("""COMPUTED_VALUE"""),46123.0)</f>
        <v>46123</v>
      </c>
      <c r="R20" s="24"/>
      <c r="S20" s="24"/>
      <c r="T20" s="24"/>
      <c r="U20" s="24" t="str">
        <f>IFERROR(__xludf.DUMMYFUNCTION("""COMPUTED_VALUE"""),"")</f>
        <v/>
      </c>
      <c r="V20" s="24" t="str">
        <f>IFERROR(__xludf.DUMMYFUNCTION("""COMPUTED_VALUE"""),"")</f>
        <v/>
      </c>
      <c r="W20" s="24" t="str">
        <f>IFERROR(__xludf.DUMMYFUNCTION("""COMPUTED_VALUE"""),"")</f>
        <v/>
      </c>
      <c r="X20" s="24" t="str">
        <f>IFERROR(__xludf.DUMMYFUNCTION("""COMPUTED_VALUE"""),"芦荟喵")</f>
        <v>芦荟喵</v>
      </c>
    </row>
    <row r="21">
      <c r="B21" s="17" t="b">
        <f>IFERROR(__xludf.DUMMYFUNCTION("""COMPUTED_VALUE"""),FALSE)</f>
        <v>0</v>
      </c>
      <c r="C21" s="24" t="str">
        <f>IFERROR(__xludf.DUMMYFUNCTION("""COMPUTED_VALUE"""),"Google")</f>
        <v>Google</v>
      </c>
      <c r="D21" s="5">
        <f>IFERROR(__xludf.DUMMYFUNCTION("""COMPUTED_VALUE"""),4.0)</f>
        <v>4</v>
      </c>
      <c r="E21" s="19">
        <f>IFERROR(__xludf.DUMMYFUNCTION("""COMPUTED_VALUE"""),46123.0)</f>
        <v>46123</v>
      </c>
      <c r="F21" s="5"/>
      <c r="G21" s="5"/>
      <c r="H21" s="5"/>
      <c r="I21" s="5" t="str">
        <f>IFERROR(__xludf.DUMMYFUNCTION("""COMPUTED_VALUE"""),"")</f>
        <v/>
      </c>
      <c r="J21" s="5" t="str">
        <f>IFERROR(__xludf.DUMMYFUNCTION("""COMPUTED_VALUE"""),"")</f>
        <v/>
      </c>
      <c r="K21" s="24" t="str">
        <f>IFERROR(__xludf.DUMMYFUNCTION("""COMPUTED_VALUE"""),"")</f>
        <v/>
      </c>
      <c r="L21" s="24" t="str">
        <f>IFERROR(__xludf.DUMMYFUNCTION("""COMPUTED_VALUE"""),"haniwa naniwa")</f>
        <v>haniwa naniwa</v>
      </c>
      <c r="N21" s="24" t="b">
        <f>IFERROR(__xludf.DUMMYFUNCTION("""COMPUTED_VALUE"""),FALSE)</f>
        <v>0</v>
      </c>
      <c r="O21" s="24" t="str">
        <f>IFERROR(__xludf.DUMMYFUNCTION("""COMPUTED_VALUE"""),"Google")</f>
        <v>Google</v>
      </c>
      <c r="P21" s="24">
        <f>IFERROR(__xludf.DUMMYFUNCTION("""COMPUTED_VALUE"""),4.0)</f>
        <v>4</v>
      </c>
      <c r="Q21" s="25">
        <f>IFERROR(__xludf.DUMMYFUNCTION("""COMPUTED_VALUE"""),46123.0)</f>
        <v>46123</v>
      </c>
      <c r="R21" s="24"/>
      <c r="S21" s="24"/>
      <c r="T21" s="24"/>
      <c r="U21" s="24" t="str">
        <f>IFERROR(__xludf.DUMMYFUNCTION("""COMPUTED_VALUE"""),"")</f>
        <v/>
      </c>
      <c r="V21" s="24" t="str">
        <f>IFERROR(__xludf.DUMMYFUNCTION("""COMPUTED_VALUE"""),"")</f>
        <v/>
      </c>
      <c r="W21" s="24" t="str">
        <f>IFERROR(__xludf.DUMMYFUNCTION("""COMPUTED_VALUE"""),"")</f>
        <v/>
      </c>
      <c r="X21" s="24" t="str">
        <f>IFERROR(__xludf.DUMMYFUNCTION("""COMPUTED_VALUE"""),"haniwa naniwa")</f>
        <v>haniwa naniwa</v>
      </c>
    </row>
    <row r="22">
      <c r="B22" s="17" t="b">
        <f>IFERROR(__xludf.DUMMYFUNCTION("""COMPUTED_VALUE"""),FALSE)</f>
        <v>0</v>
      </c>
      <c r="C22" s="18" t="str">
        <f>IFERROR(__xludf.DUMMYFUNCTION("""COMPUTED_VALUE"""),"Trip.com")</f>
        <v>Trip.com</v>
      </c>
      <c r="D22" s="5">
        <f>IFERROR(__xludf.DUMMYFUNCTION("""COMPUTED_VALUE"""),8.0)</f>
        <v>8</v>
      </c>
      <c r="E22" s="19">
        <f>IFERROR(__xludf.DUMMYFUNCTION("""COMPUTED_VALUE"""),46123.0)</f>
        <v>46123</v>
      </c>
      <c r="F22" s="5" t="str">
        <f>IFERROR(__xludf.DUMMYFUNCTION("""COMPUTED_VALUE"""),"Better than expected")</f>
        <v>Better than expected</v>
      </c>
      <c r="G22" s="5"/>
      <c r="H22" s="5"/>
      <c r="I22" s="5" t="str">
        <f>IFERROR(__xludf.DUMMYFUNCTION("""COMPUTED_VALUE"""),"予想以上")</f>
        <v>予想以上</v>
      </c>
      <c r="J22" s="5" t="str">
        <f>IFERROR(__xludf.DUMMYFUNCTION("""COMPUTED_VALUE"""),"")</f>
        <v/>
      </c>
      <c r="K22" s="24" t="str">
        <f>IFERROR(__xludf.DUMMYFUNCTION("""COMPUTED_VALUE"""),"")</f>
        <v/>
      </c>
      <c r="L22" s="24" t="str">
        <f>IFERROR(__xludf.DUMMYFUNCTION("""COMPUTED_VALUE"""),"ゲ‍ス‍ト")</f>
        <v>ゲ‍ス‍ト</v>
      </c>
      <c r="N22" s="24" t="b">
        <f>IFERROR(__xludf.DUMMYFUNCTION("""COMPUTED_VALUE"""),FALSE)</f>
        <v>0</v>
      </c>
      <c r="O22" s="18" t="str">
        <f>IFERROR(__xludf.DUMMYFUNCTION("""COMPUTED_VALUE"""),"Trip.com")</f>
        <v>Trip.com</v>
      </c>
      <c r="P22" s="24">
        <f>IFERROR(__xludf.DUMMYFUNCTION("""COMPUTED_VALUE"""),8.0)</f>
        <v>8</v>
      </c>
      <c r="Q22" s="25">
        <f>IFERROR(__xludf.DUMMYFUNCTION("""COMPUTED_VALUE"""),46123.0)</f>
        <v>46123</v>
      </c>
      <c r="R22" s="24" t="str">
        <f>IFERROR(__xludf.DUMMYFUNCTION("""COMPUTED_VALUE"""),"Better than expected")</f>
        <v>Better than expected</v>
      </c>
      <c r="S22" s="24"/>
      <c r="T22" s="24"/>
      <c r="U22" s="24" t="str">
        <f>IFERROR(__xludf.DUMMYFUNCTION("""COMPUTED_VALUE"""),"予想以上")</f>
        <v>予想以上</v>
      </c>
      <c r="V22" s="24" t="str">
        <f>IFERROR(__xludf.DUMMYFUNCTION("""COMPUTED_VALUE"""),"")</f>
        <v/>
      </c>
      <c r="W22" s="24" t="str">
        <f>IFERROR(__xludf.DUMMYFUNCTION("""COMPUTED_VALUE"""),"")</f>
        <v/>
      </c>
      <c r="X22" s="24" t="str">
        <f>IFERROR(__xludf.DUMMYFUNCTION("""COMPUTED_VALUE"""),"ゲ‍ス‍ト")</f>
        <v>ゲ‍ス‍ト</v>
      </c>
    </row>
    <row r="23">
      <c r="B23" s="17" t="b">
        <f>IFERROR(__xludf.DUMMYFUNCTION("""COMPUTED_VALUE"""),FALSE)</f>
        <v>0</v>
      </c>
      <c r="C23" s="18" t="str">
        <f>IFERROR(__xludf.DUMMYFUNCTION("""COMPUTED_VALUE"""),"Booking.com")</f>
        <v>Booking.com</v>
      </c>
      <c r="D23" s="5">
        <f>IFERROR(__xludf.DUMMYFUNCTION("""COMPUTED_VALUE"""),9.0)</f>
        <v>9</v>
      </c>
      <c r="E23" s="19">
        <f>IFERROR(__xludf.DUMMYFUNCTION("""COMPUTED_VALUE"""),46123.0)</f>
        <v>46123</v>
      </c>
      <c r="F23" s="5"/>
      <c r="G23" s="5" t="str">
        <f>IFERROR(__xludf.DUMMYFUNCTION("""COMPUTED_VALUE"""),"櫃檯人員服務態度很好，因為有帶小孩去，事先詢問相關問題，都有提供詳盡回答，非常好！")</f>
        <v>櫃檯人員服務態度很好，因為有帶小孩去，事先詢問相關問題，都有提供詳盡回答，非常好！</v>
      </c>
      <c r="H23" s="5"/>
      <c r="I23" s="5" t="str">
        <f>IFERROR(__xludf.DUMMYFUNCTION("""COMPUTED_VALUE"""),"")</f>
        <v/>
      </c>
      <c r="J23"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23" s="24" t="str">
        <f>IFERROR(__xludf.DUMMYFUNCTION("""COMPUTED_VALUE"""),"")</f>
        <v/>
      </c>
      <c r="L23" s="24" t="str">
        <f>IFERROR(__xludf.DUMMYFUNCTION("""COMPUTED_VALUE"""),"Chiu")</f>
        <v>Chiu</v>
      </c>
      <c r="N23" s="24" t="b">
        <f>IFERROR(__xludf.DUMMYFUNCTION("""COMPUTED_VALUE"""),FALSE)</f>
        <v>0</v>
      </c>
      <c r="O23" s="18" t="str">
        <f>IFERROR(__xludf.DUMMYFUNCTION("""COMPUTED_VALUE"""),"Booking.com")</f>
        <v>Booking.com</v>
      </c>
      <c r="P23" s="24">
        <f>IFERROR(__xludf.DUMMYFUNCTION("""COMPUTED_VALUE"""),9.0)</f>
        <v>9</v>
      </c>
      <c r="Q23" s="25">
        <f>IFERROR(__xludf.DUMMYFUNCTION("""COMPUTED_VALUE"""),46123.0)</f>
        <v>46123</v>
      </c>
      <c r="R23" s="24"/>
      <c r="S23" s="24" t="str">
        <f>IFERROR(__xludf.DUMMYFUNCTION("""COMPUTED_VALUE"""),"櫃檯人員服務態度很好，因為有帶小孩去，事先詢問相關問題，都有提供詳盡回答，非常好！")</f>
        <v>櫃檯人員服務態度很好，因為有帶小孩去，事先詢問相關問題，都有提供詳盡回答，非常好！</v>
      </c>
      <c r="T23" s="24"/>
      <c r="U23" s="24" t="str">
        <f>IFERROR(__xludf.DUMMYFUNCTION("""COMPUTED_VALUE"""),"")</f>
        <v/>
      </c>
      <c r="V23"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23" s="24" t="str">
        <f>IFERROR(__xludf.DUMMYFUNCTION("""COMPUTED_VALUE"""),"")</f>
        <v/>
      </c>
      <c r="X23" s="24" t="str">
        <f>IFERROR(__xludf.DUMMYFUNCTION("""COMPUTED_VALUE"""),"Chiu")</f>
        <v>Chiu</v>
      </c>
    </row>
    <row r="24">
      <c r="B24" s="17" t="b">
        <f>IFERROR(__xludf.DUMMYFUNCTION("""COMPUTED_VALUE"""),FALSE)</f>
        <v>0</v>
      </c>
      <c r="C24" s="18" t="str">
        <f>IFERROR(__xludf.DUMMYFUNCTION("""COMPUTED_VALUE"""),"Trip.com")</f>
        <v>Trip.com</v>
      </c>
      <c r="D24" s="5">
        <f>IFERROR(__xludf.DUMMYFUNCTION("""COMPUTED_VALUE"""),8.0)</f>
        <v>8</v>
      </c>
      <c r="E24" s="19">
        <f>IFERROR(__xludf.DUMMYFUNCTION("""COMPUTED_VALUE"""),46122.0)</f>
        <v>46122</v>
      </c>
      <c r="F24"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24" s="5"/>
      <c r="H24" s="5"/>
      <c r="I24"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IFERROR(__xludf.DUMMYFUNCTION("""COMPUTED_VALUE"""),8.0)</f>
        <v>8</v>
      </c>
      <c r="Q24" s="25">
        <f>IFERROR(__xludf.DUMMYFUNCTION("""COMPUTED_VALUE"""),46122.0)</f>
        <v>46122</v>
      </c>
      <c r="R24"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24" s="24"/>
      <c r="T24" s="24"/>
      <c r="U24"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IFERROR(__xludf.DUMMYFUNCTION("""COMPUTED_VALUE"""),"Trip.com")</f>
        <v>Trip.com</v>
      </c>
      <c r="D25" s="5">
        <f>IFERROR(__xludf.DUMMYFUNCTION("""COMPUTED_VALUE"""),9.0)</f>
        <v>9</v>
      </c>
      <c r="E25" s="19">
        <f>IFERROR(__xludf.DUMMYFUNCTION("""COMPUTED_VALUE"""),46120.0)</f>
        <v>46120</v>
      </c>
      <c r="F25"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25" s="5"/>
      <c r="H25" s="5"/>
      <c r="I25"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25" s="5" t="str">
        <f>IFERROR(__xludf.DUMMYFUNCTION("""COMPUTED_VALUE"""),"")</f>
        <v/>
      </c>
      <c r="K25" s="24" t="str">
        <f>IFERROR(__xludf.DUMMYFUNCTION("""COMPUTED_VALUE"""),"")</f>
        <v/>
      </c>
      <c r="L25" s="24" t="str">
        <f>IFERROR(__xludf.DUMMYFUNCTION("""COMPUTED_VALUE"""),"H‍u‍l‍u‍n")</f>
        <v>H‍u‍l‍u‍n</v>
      </c>
      <c r="N25" s="24" t="b">
        <f>IFERROR(__xludf.DUMMYFUNCTION("""COMPUTED_VALUE"""),FALSE)</f>
        <v>0</v>
      </c>
      <c r="O25" s="18" t="str">
        <f>IFERROR(__xludf.DUMMYFUNCTION("""COMPUTED_VALUE"""),"Trip.com")</f>
        <v>Trip.com</v>
      </c>
      <c r="P25" s="24">
        <f>IFERROR(__xludf.DUMMYFUNCTION("""COMPUTED_VALUE"""),9.0)</f>
        <v>9</v>
      </c>
      <c r="Q25" s="25">
        <f>IFERROR(__xludf.DUMMYFUNCTION("""COMPUTED_VALUE"""),46120.0)</f>
        <v>46120</v>
      </c>
      <c r="R25"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25" s="24"/>
      <c r="T25" s="24"/>
      <c r="U25"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25" s="24" t="str">
        <f>IFERROR(__xludf.DUMMYFUNCTION("""COMPUTED_VALUE"""),"")</f>
        <v/>
      </c>
      <c r="W25" s="24" t="str">
        <f>IFERROR(__xludf.DUMMYFUNCTION("""COMPUTED_VALUE"""),"")</f>
        <v/>
      </c>
      <c r="X25" s="24" t="str">
        <f>IFERROR(__xludf.DUMMYFUNCTION("""COMPUTED_VALUE"""),"H‍u‍l‍u‍n")</f>
        <v>H‍u‍l‍u‍n</v>
      </c>
    </row>
    <row r="26">
      <c r="B26" s="17" t="b">
        <f>IFERROR(__xludf.DUMMYFUNCTION("""COMPUTED_VALUE"""),FALSE)</f>
        <v>0</v>
      </c>
      <c r="C26" s="18" t="str">
        <f>IFERROR(__xludf.DUMMYFUNCTION("""COMPUTED_VALUE"""),"Booking.com")</f>
        <v>Booking.com</v>
      </c>
      <c r="D26" s="5">
        <f>IFERROR(__xludf.DUMMYFUNCTION("""COMPUTED_VALUE"""),9.0)</f>
        <v>9</v>
      </c>
      <c r="E26" s="19">
        <f>IFERROR(__xludf.DUMMYFUNCTION("""COMPUTED_VALUE"""),46119.0)</f>
        <v>46119</v>
      </c>
      <c r="F26" s="5"/>
      <c r="G26" s="5" t="str">
        <f>IFERROR(__xludf.DUMMYFUNCTION("""COMPUTED_VALUE"""),"The location is near to train station and few halal restaurants nearby the hotel")</f>
        <v>The location is near to train station and few halal restaurants nearby the hotel</v>
      </c>
      <c r="H26" s="5" t="str">
        <f>IFERROR(__xludf.DUMMYFUNCTION("""COMPUTED_VALUE"""),"Room a bit small but very comfortable")</f>
        <v>Room a bit small but very comfortable</v>
      </c>
      <c r="I26" s="5" t="str">
        <f>IFERROR(__xludf.DUMMYFUNCTION("""COMPUTED_VALUE"""),"")</f>
        <v/>
      </c>
      <c r="J26" s="5" t="str">
        <f>IFERROR(__xludf.DUMMYFUNCTION("""COMPUTED_VALUE"""),"ホテルは駅に近く、周辺にはハラールレストランもいくつかあります。")</f>
        <v>ホテルは駅に近く、周辺にはハラールレストランもいくつかあります。</v>
      </c>
      <c r="K26" s="24" t="str">
        <f>IFERROR(__xludf.DUMMYFUNCTION("""COMPUTED_VALUE"""),"部屋は少し狭いですが、とても快適です。")</f>
        <v>部屋は少し狭いですが、とても快適です。</v>
      </c>
      <c r="L26" s="24" t="str">
        <f>IFERROR(__xludf.DUMMYFUNCTION("""COMPUTED_VALUE"""),"Zairul")</f>
        <v>Zairul</v>
      </c>
      <c r="N26" s="24" t="b">
        <f>IFERROR(__xludf.DUMMYFUNCTION("""COMPUTED_VALUE"""),FALSE)</f>
        <v>0</v>
      </c>
      <c r="O26" s="18" t="str">
        <f>IFERROR(__xludf.DUMMYFUNCTION("""COMPUTED_VALUE"""),"Booking.com")</f>
        <v>Booking.com</v>
      </c>
      <c r="P26" s="24">
        <f>IFERROR(__xludf.DUMMYFUNCTION("""COMPUTED_VALUE"""),9.0)</f>
        <v>9</v>
      </c>
      <c r="Q26" s="25">
        <f>IFERROR(__xludf.DUMMYFUNCTION("""COMPUTED_VALUE"""),46119.0)</f>
        <v>46119</v>
      </c>
      <c r="R26" s="24"/>
      <c r="S26" s="24" t="str">
        <f>IFERROR(__xludf.DUMMYFUNCTION("""COMPUTED_VALUE"""),"The location is near to train station and few halal restaurants nearby the hotel")</f>
        <v>The location is near to train station and few halal restaurants nearby the hotel</v>
      </c>
      <c r="T26" s="24" t="str">
        <f>IFERROR(__xludf.DUMMYFUNCTION("""COMPUTED_VALUE"""),"Room a bit small but very comfortable")</f>
        <v>Room a bit small but very comfortable</v>
      </c>
      <c r="U26" s="24" t="str">
        <f>IFERROR(__xludf.DUMMYFUNCTION("""COMPUTED_VALUE"""),"")</f>
        <v/>
      </c>
      <c r="V26" s="24" t="str">
        <f>IFERROR(__xludf.DUMMYFUNCTION("""COMPUTED_VALUE"""),"ホテルは駅に近く、周辺にはハラールレストランもいくつかあります。")</f>
        <v>ホテルは駅に近く、周辺にはハラールレストランもいくつかあります。</v>
      </c>
      <c r="W26" s="24" t="str">
        <f>IFERROR(__xludf.DUMMYFUNCTION("""COMPUTED_VALUE"""),"部屋は少し狭いですが、とても快適です。")</f>
        <v>部屋は少し狭いですが、とても快適です。</v>
      </c>
      <c r="X26" s="24" t="str">
        <f>IFERROR(__xludf.DUMMYFUNCTION("""COMPUTED_VALUE"""),"Zairul")</f>
        <v>Zairul</v>
      </c>
    </row>
    <row r="27">
      <c r="B27" s="17" t="b">
        <f>IFERROR(__xludf.DUMMYFUNCTION("""COMPUTED_VALUE"""),FALSE)</f>
        <v>0</v>
      </c>
      <c r="C27" s="18" t="str">
        <f>IFERROR(__xludf.DUMMYFUNCTION("""COMPUTED_VALUE"""),"Trip.com")</f>
        <v>Trip.com</v>
      </c>
      <c r="D27" s="5">
        <f>IFERROR(__xludf.DUMMYFUNCTION("""COMPUTED_VALUE"""),9.0)</f>
        <v>9</v>
      </c>
      <c r="E27" s="19">
        <f>IFERROR(__xludf.DUMMYFUNCTION("""COMPUTED_VALUE"""),46119.0)</f>
        <v>46119</v>
      </c>
      <c r="F27"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27" s="5"/>
      <c r="H27" s="5"/>
      <c r="I27"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27" s="5" t="str">
        <f>IFERROR(__xludf.DUMMYFUNCTION("""COMPUTED_VALUE"""),"")</f>
        <v/>
      </c>
      <c r="K27" s="24" t="str">
        <f>IFERROR(__xludf.DUMMYFUNCTION("""COMPUTED_VALUE"""),"")</f>
        <v/>
      </c>
      <c r="L27" s="24" t="str">
        <f>IFERROR(__xludf.DUMMYFUNCTION("""COMPUTED_VALUE"""),"C‍a‍n‍d‍y‍c‍y")</f>
        <v>C‍a‍n‍d‍y‍c‍y</v>
      </c>
      <c r="N27" s="24" t="b">
        <f>IFERROR(__xludf.DUMMYFUNCTION("""COMPUTED_VALUE"""),FALSE)</f>
        <v>0</v>
      </c>
      <c r="O27" s="18" t="str">
        <f>IFERROR(__xludf.DUMMYFUNCTION("""COMPUTED_VALUE"""),"Trip.com")</f>
        <v>Trip.com</v>
      </c>
      <c r="P27" s="24">
        <f>IFERROR(__xludf.DUMMYFUNCTION("""COMPUTED_VALUE"""),9.0)</f>
        <v>9</v>
      </c>
      <c r="Q27" s="25">
        <f>IFERROR(__xludf.DUMMYFUNCTION("""COMPUTED_VALUE"""),46119.0)</f>
        <v>46119</v>
      </c>
      <c r="R27"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27" s="24"/>
      <c r="T27" s="24"/>
      <c r="U27" s="24"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27" s="24" t="str">
        <f>IFERROR(__xludf.DUMMYFUNCTION("""COMPUTED_VALUE"""),"")</f>
        <v/>
      </c>
      <c r="W27" s="24" t="str">
        <f>IFERROR(__xludf.DUMMYFUNCTION("""COMPUTED_VALUE"""),"")</f>
        <v/>
      </c>
      <c r="X27" s="24" t="str">
        <f>IFERROR(__xludf.DUMMYFUNCTION("""COMPUTED_VALUE"""),"C‍a‍n‍d‍y‍c‍y")</f>
        <v>C‍a‍n‍d‍y‍c‍y</v>
      </c>
    </row>
    <row r="28">
      <c r="B28" s="17" t="b">
        <f>IFERROR(__xludf.DUMMYFUNCTION("""COMPUTED_VALUE"""),FALSE)</f>
        <v>0</v>
      </c>
      <c r="C28" s="18" t="str">
        <f>IFERROR(__xludf.DUMMYFUNCTION("""COMPUTED_VALUE"""),"Trip.com")</f>
        <v>Trip.com</v>
      </c>
      <c r="D28" s="5">
        <f>IFERROR(__xludf.DUMMYFUNCTION("""COMPUTED_VALUE"""),10.0)</f>
        <v>10</v>
      </c>
      <c r="E28" s="19">
        <f>IFERROR(__xludf.DUMMYFUNCTION("""COMPUTED_VALUE"""),46119.0)</f>
        <v>46119</v>
      </c>
      <c r="F28"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28" s="5"/>
      <c r="H28" s="5"/>
      <c r="I28"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28" s="5" t="str">
        <f>IFERROR(__xludf.DUMMYFUNCTION("""COMPUTED_VALUE"""),"")</f>
        <v/>
      </c>
      <c r="K28" s="24" t="str">
        <f>IFERROR(__xludf.DUMMYFUNCTION("""COMPUTED_VALUE"""),"")</f>
        <v/>
      </c>
      <c r="L28" s="24" t="str">
        <f>IFERROR(__xludf.DUMMYFUNCTION("""COMPUTED_VALUE"""),"ゲ‍ス‍ト")</f>
        <v>ゲ‍ス‍ト</v>
      </c>
      <c r="N28" s="24" t="b">
        <f>IFERROR(__xludf.DUMMYFUNCTION("""COMPUTED_VALUE"""),FALSE)</f>
        <v>0</v>
      </c>
      <c r="O28" s="18" t="str">
        <f>IFERROR(__xludf.DUMMYFUNCTION("""COMPUTED_VALUE"""),"Trip.com")</f>
        <v>Trip.com</v>
      </c>
      <c r="P28" s="24">
        <f>IFERROR(__xludf.DUMMYFUNCTION("""COMPUTED_VALUE"""),10.0)</f>
        <v>10</v>
      </c>
      <c r="Q28" s="25">
        <f>IFERROR(__xludf.DUMMYFUNCTION("""COMPUTED_VALUE"""),46119.0)</f>
        <v>46119</v>
      </c>
      <c r="R28"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28" s="24"/>
      <c r="T28" s="24"/>
      <c r="U28"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28" s="24" t="str">
        <f>IFERROR(__xludf.DUMMYFUNCTION("""COMPUTED_VALUE"""),"")</f>
        <v/>
      </c>
      <c r="W28" s="24" t="str">
        <f>IFERROR(__xludf.DUMMYFUNCTION("""COMPUTED_VALUE"""),"")</f>
        <v/>
      </c>
      <c r="X28" s="24" t="str">
        <f>IFERROR(__xludf.DUMMYFUNCTION("""COMPUTED_VALUE"""),"ゲ‍ス‍ト")</f>
        <v>ゲ‍ス‍ト</v>
      </c>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IFERROR(__xludf.DUMMYFUNCTION("""COMPUTED_VALUE"""),46119.0)</f>
        <v>46119</v>
      </c>
      <c r="F29"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29" s="5"/>
      <c r="H29" s="5"/>
      <c r="I29" s="5"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J29" s="30" t="str">
        <f>IFERROR(__xludf.DUMMYFUNCTION("""COMPUTED_VALUE"""),"")</f>
        <v/>
      </c>
      <c r="K29" s="24" t="str">
        <f>IFERROR(__xludf.DUMMYFUNCTION("""COMPUTED_VALUE"""),"")</f>
        <v/>
      </c>
      <c r="L29" s="24" t="str">
        <f>IFERROR(__xludf.DUMMYFUNCTION("""COMPUTED_VALUE"""),"ゲ‍ス‍ト")</f>
        <v>ゲ‍ス‍ト</v>
      </c>
      <c r="N29" s="24" t="b">
        <f>IFERROR(__xludf.DUMMYFUNCTION("""COMPUTED_VALUE"""),FALSE)</f>
        <v>0</v>
      </c>
      <c r="O29" s="18" t="str">
        <f>IFERROR(__xludf.DUMMYFUNCTION("""COMPUTED_VALUE"""),"Trip.com")</f>
        <v>Trip.com</v>
      </c>
      <c r="P29" s="24">
        <f>IFERROR(__xludf.DUMMYFUNCTION("""COMPUTED_VALUE"""),10.0)</f>
        <v>10</v>
      </c>
      <c r="Q29" s="25">
        <f>IFERROR(__xludf.DUMMYFUNCTION("""COMPUTED_VALUE"""),46119.0)</f>
        <v>46119</v>
      </c>
      <c r="R29"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29" s="24"/>
      <c r="T29" s="24"/>
      <c r="U29" s="24" t="str">
        <f>IFERROR(__xludf.DUMMYFUNCTION("""COMPUTED_VALUE"""),"😊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f>
        <v>😊ホテルは錦糸町駅まで徒歩約7分と非常に便利な立地です。成田空港から駅まではエレベーターがあるので、荷物を運ぶ必要もありません。😊客室は広々として清潔で、防音性も抜群です。☺️ホテルスタッフはとても親切です。😊荷物預かりサービスも利用できます。最終日は近くのショッピングモールで買い物をしてから、空港行きの直行バスに乗ることができます。ぜひまたこのホテルに泊まりたいです。</v>
      </c>
      <c r="V29" s="24" t="str">
        <f>IFERROR(__xludf.DUMMYFUNCTION("""COMPUTED_VALUE"""),"")</f>
        <v/>
      </c>
      <c r="W29" s="24" t="str">
        <f>IFERROR(__xludf.DUMMYFUNCTION("""COMPUTED_VALUE"""),"")</f>
        <v/>
      </c>
      <c r="X29" s="24" t="str">
        <f>IFERROR(__xludf.DUMMYFUNCTION("""COMPUTED_VALUE"""),"ゲ‍ス‍ト")</f>
        <v>ゲ‍ス‍ト</v>
      </c>
    </row>
    <row r="30">
      <c r="B30" s="17" t="b">
        <f>IFERROR(__xludf.DUMMYFUNCTION("""COMPUTED_VALUE"""),FALSE)</f>
        <v>0</v>
      </c>
      <c r="C30" s="18" t="str">
        <f>IFERROR(__xludf.DUMMYFUNCTION("""COMPUTED_VALUE"""),"Trip.com")</f>
        <v>Trip.com</v>
      </c>
      <c r="D30" s="5">
        <f>IFERROR(__xludf.DUMMYFUNCTION("""COMPUTED_VALUE"""),9.0)</f>
        <v>9</v>
      </c>
      <c r="E30" s="19">
        <f>IFERROR(__xludf.DUMMYFUNCTION("""COMPUTED_VALUE"""),46119.0)</f>
        <v>46119</v>
      </c>
      <c r="F30"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30" s="5"/>
      <c r="H30" s="5"/>
      <c r="I30"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30" s="5" t="str">
        <f>IFERROR(__xludf.DUMMYFUNCTION("""COMPUTED_VALUE"""),"")</f>
        <v/>
      </c>
      <c r="K30" s="24" t="str">
        <f>IFERROR(__xludf.DUMMYFUNCTION("""COMPUTED_VALUE"""),"")</f>
        <v/>
      </c>
      <c r="L30" s="24" t="str">
        <f>IFERROR(__xludf.DUMMYFUNCTION("""COMPUTED_VALUE"""),"D‍C‍h‍a‍n")</f>
        <v>D‍C‍h‍a‍n</v>
      </c>
      <c r="N30" s="24" t="b">
        <f>IFERROR(__xludf.DUMMYFUNCTION("""COMPUTED_VALUE"""),FALSE)</f>
        <v>0</v>
      </c>
      <c r="O30" s="18" t="str">
        <f>IFERROR(__xludf.DUMMYFUNCTION("""COMPUTED_VALUE"""),"Trip.com")</f>
        <v>Trip.com</v>
      </c>
      <c r="P30" s="24">
        <f>IFERROR(__xludf.DUMMYFUNCTION("""COMPUTED_VALUE"""),9.0)</f>
        <v>9</v>
      </c>
      <c r="Q30" s="25">
        <f>IFERROR(__xludf.DUMMYFUNCTION("""COMPUTED_VALUE"""),46119.0)</f>
        <v>46119</v>
      </c>
      <c r="R30"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30" s="24"/>
      <c r="T30" s="24"/>
      <c r="U30" s="24"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30" s="24" t="str">
        <f>IFERROR(__xludf.DUMMYFUNCTION("""COMPUTED_VALUE"""),"")</f>
        <v/>
      </c>
      <c r="W30" s="24" t="str">
        <f>IFERROR(__xludf.DUMMYFUNCTION("""COMPUTED_VALUE"""),"")</f>
        <v/>
      </c>
      <c r="X30" s="24" t="str">
        <f>IFERROR(__xludf.DUMMYFUNCTION("""COMPUTED_VALUE"""),"D‍C‍h‍a‍n")</f>
        <v>D‍C‍h‍a‍n</v>
      </c>
    </row>
    <row r="31">
      <c r="B31" s="17" t="b">
        <f>IFERROR(__xludf.DUMMYFUNCTION("""COMPUTED_VALUE"""),FALSE)</f>
        <v>0</v>
      </c>
      <c r="C31" s="18" t="str">
        <f>IFERROR(__xludf.DUMMYFUNCTION("""COMPUTED_VALUE"""),"Trip.com")</f>
        <v>Trip.com</v>
      </c>
      <c r="D31" s="5">
        <f>IFERROR(__xludf.DUMMYFUNCTION("""COMPUTED_VALUE"""),9.0)</f>
        <v>9</v>
      </c>
      <c r="E31" s="19">
        <f>IFERROR(__xludf.DUMMYFUNCTION("""COMPUTED_VALUE"""),46118.0)</f>
        <v>46118</v>
      </c>
      <c r="F31"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31" s="5"/>
      <c r="H31" s="5"/>
      <c r="I31"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31" s="5" t="str">
        <f>IFERROR(__xludf.DUMMYFUNCTION("""COMPUTED_VALUE"""),"")</f>
        <v/>
      </c>
      <c r="K31" s="24" t="str">
        <f>IFERROR(__xludf.DUMMYFUNCTION("""COMPUTED_VALUE"""),"")</f>
        <v/>
      </c>
      <c r="L31" s="24" t="str">
        <f>IFERROR(__xludf.DUMMYFUNCTION("""COMPUTED_VALUE"""),"ゲ‍ス‍ト")</f>
        <v>ゲ‍ス‍ト</v>
      </c>
      <c r="N31" s="24" t="b">
        <f>IFERROR(__xludf.DUMMYFUNCTION("""COMPUTED_VALUE"""),FALSE)</f>
        <v>0</v>
      </c>
      <c r="O31" s="18" t="str">
        <f>IFERROR(__xludf.DUMMYFUNCTION("""COMPUTED_VALUE"""),"Trip.com")</f>
        <v>Trip.com</v>
      </c>
      <c r="P31" s="24">
        <f>IFERROR(__xludf.DUMMYFUNCTION("""COMPUTED_VALUE"""),9.0)</f>
        <v>9</v>
      </c>
      <c r="Q31" s="25">
        <f>IFERROR(__xludf.DUMMYFUNCTION("""COMPUTED_VALUE"""),46118.0)</f>
        <v>46118</v>
      </c>
      <c r="R31"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31" s="24"/>
      <c r="T31" s="24"/>
      <c r="U31"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31" s="24" t="str">
        <f>IFERROR(__xludf.DUMMYFUNCTION("""COMPUTED_VALUE"""),"")</f>
        <v/>
      </c>
      <c r="W31" s="24" t="str">
        <f>IFERROR(__xludf.DUMMYFUNCTION("""COMPUTED_VALUE"""),"")</f>
        <v/>
      </c>
      <c r="X31" s="24" t="str">
        <f>IFERROR(__xludf.DUMMYFUNCTION("""COMPUTED_VALUE"""),"ゲ‍ス‍ト")</f>
        <v>ゲ‍ス‍ト</v>
      </c>
    </row>
    <row r="32">
      <c r="B32" s="17" t="b">
        <f>IFERROR(__xludf.DUMMYFUNCTION("""COMPUTED_VALUE"""),FALSE)</f>
        <v>0</v>
      </c>
      <c r="C32" s="18" t="str">
        <f>IFERROR(__xludf.DUMMYFUNCTION("""COMPUTED_VALUE"""),"Booking.com")</f>
        <v>Booking.com</v>
      </c>
      <c r="D32" s="5">
        <f>IFERROR(__xludf.DUMMYFUNCTION("""COMPUTED_VALUE"""),10.0)</f>
        <v>10</v>
      </c>
      <c r="E32" s="19">
        <f>IFERROR(__xludf.DUMMYFUNCTION("""COMPUTED_VALUE"""),46118.0)</f>
        <v>46118</v>
      </c>
      <c r="F32" s="5"/>
      <c r="G32"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32" s="5" t="str">
        <f>IFERROR(__xludf.DUMMYFUNCTION("""COMPUTED_VALUE"""),"无")</f>
        <v>无</v>
      </c>
      <c r="I32" s="5" t="str">
        <f>IFERROR(__xludf.DUMMYFUNCTION("""COMPUTED_VALUE"""),"")</f>
        <v/>
      </c>
      <c r="J32"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32" s="24" t="str">
        <f>IFERROR(__xludf.DUMMYFUNCTION("""COMPUTED_VALUE"""),"なし")</f>
        <v>なし</v>
      </c>
      <c r="L32" s="24" t="str">
        <f>IFERROR(__xludf.DUMMYFUNCTION("""COMPUTED_VALUE"""),"Xiaodong")</f>
        <v>Xiaodong</v>
      </c>
      <c r="N32" s="24" t="b">
        <f>IFERROR(__xludf.DUMMYFUNCTION("""COMPUTED_VALUE"""),FALSE)</f>
        <v>0</v>
      </c>
      <c r="O32" s="18" t="str">
        <f>IFERROR(__xludf.DUMMYFUNCTION("""COMPUTED_VALUE"""),"Booking.com")</f>
        <v>Booking.com</v>
      </c>
      <c r="P32" s="24">
        <f>IFERROR(__xludf.DUMMYFUNCTION("""COMPUTED_VALUE"""),10.0)</f>
        <v>10</v>
      </c>
      <c r="Q32" s="25">
        <f>IFERROR(__xludf.DUMMYFUNCTION("""COMPUTED_VALUE"""),46118.0)</f>
        <v>46118</v>
      </c>
      <c r="R32" s="24"/>
      <c r="S32"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32" s="24" t="str">
        <f>IFERROR(__xludf.DUMMYFUNCTION("""COMPUTED_VALUE"""),"无")</f>
        <v>无</v>
      </c>
      <c r="U32" s="24" t="str">
        <f>IFERROR(__xludf.DUMMYFUNCTION("""COMPUTED_VALUE"""),"")</f>
        <v/>
      </c>
      <c r="V32"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32" s="24" t="str">
        <f>IFERROR(__xludf.DUMMYFUNCTION("""COMPUTED_VALUE"""),"なし")</f>
        <v>なし</v>
      </c>
      <c r="X32" s="24" t="str">
        <f>IFERROR(__xludf.DUMMYFUNCTION("""COMPUTED_VALUE"""),"Xiaodong")</f>
        <v>Xiaodong</v>
      </c>
    </row>
    <row r="33">
      <c r="B33" s="17" t="b">
        <f>IFERROR(__xludf.DUMMYFUNCTION("""COMPUTED_VALUE"""),FALSE)</f>
        <v>0</v>
      </c>
      <c r="C33" s="18" t="str">
        <f>IFERROR(__xludf.DUMMYFUNCTION("""COMPUTED_VALUE"""),"Booking.com")</f>
        <v>Booking.com</v>
      </c>
      <c r="D33" s="5">
        <f>IFERROR(__xludf.DUMMYFUNCTION("""COMPUTED_VALUE"""),10.0)</f>
        <v>10</v>
      </c>
      <c r="E33" s="19">
        <f>IFERROR(__xludf.DUMMYFUNCTION("""COMPUTED_VALUE"""),46118.0)</f>
        <v>46118</v>
      </c>
      <c r="F33" s="5"/>
      <c r="G33"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33" s="5" t="str">
        <f>IFERROR(__xludf.DUMMYFUNCTION("""COMPUTED_VALUE"""),"特にありません。")</f>
        <v>特にありません。</v>
      </c>
      <c r="I33" s="5" t="str">
        <f>IFERROR(__xludf.DUMMYFUNCTION("""COMPUTED_VALUE"""),"")</f>
        <v/>
      </c>
      <c r="J33"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33" s="24" t="str">
        <f>IFERROR(__xludf.DUMMYFUNCTION("""COMPUTED_VALUE"""),"特にありません。")</f>
        <v>特にありません。</v>
      </c>
      <c r="L33" s="24" t="str">
        <f>IFERROR(__xludf.DUMMYFUNCTION("""COMPUTED_VALUE"""),"Hiroshi")</f>
        <v>Hiroshi</v>
      </c>
      <c r="N33" s="24" t="b">
        <f>IFERROR(__xludf.DUMMYFUNCTION("""COMPUTED_VALUE"""),FALSE)</f>
        <v>0</v>
      </c>
      <c r="O33" s="18" t="str">
        <f>IFERROR(__xludf.DUMMYFUNCTION("""COMPUTED_VALUE"""),"Booking.com")</f>
        <v>Booking.com</v>
      </c>
      <c r="P33" s="24">
        <f>IFERROR(__xludf.DUMMYFUNCTION("""COMPUTED_VALUE"""),10.0)</f>
        <v>10</v>
      </c>
      <c r="Q33" s="25">
        <f>IFERROR(__xludf.DUMMYFUNCTION("""COMPUTED_VALUE"""),46118.0)</f>
        <v>46118</v>
      </c>
      <c r="R33" s="24"/>
      <c r="S33"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33" s="24" t="str">
        <f>IFERROR(__xludf.DUMMYFUNCTION("""COMPUTED_VALUE"""),"特にありません。")</f>
        <v>特にありません。</v>
      </c>
      <c r="U33" s="24" t="str">
        <f>IFERROR(__xludf.DUMMYFUNCTION("""COMPUTED_VALUE"""),"")</f>
        <v/>
      </c>
      <c r="V33"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33" s="24" t="str">
        <f>IFERROR(__xludf.DUMMYFUNCTION("""COMPUTED_VALUE"""),"特にありません。")</f>
        <v>特にありません。</v>
      </c>
      <c r="X33" s="24" t="str">
        <f>IFERROR(__xludf.DUMMYFUNCTION("""COMPUTED_VALUE"""),"Hiroshi")</f>
        <v>Hiroshi</v>
      </c>
    </row>
    <row r="34">
      <c r="B34" s="17" t="b">
        <f>IFERROR(__xludf.DUMMYFUNCTION("""COMPUTED_VALUE"""),FALSE)</f>
        <v>0</v>
      </c>
      <c r="C34" s="24" t="str">
        <f>IFERROR(__xludf.DUMMYFUNCTION("""COMPUTED_VALUE"""),"Google")</f>
        <v>Google</v>
      </c>
      <c r="D34" s="5">
        <f>IFERROR(__xludf.DUMMYFUNCTION("""COMPUTED_VALUE"""),3.0)</f>
        <v>3</v>
      </c>
      <c r="E34" s="19">
        <f>IFERROR(__xludf.DUMMYFUNCTION("""COMPUTED_VALUE"""),46118.0)</f>
        <v>46118</v>
      </c>
      <c r="F34" s="5"/>
      <c r="G34" s="5"/>
      <c r="H34" s="5"/>
      <c r="I34" s="5" t="str">
        <f>IFERROR(__xludf.DUMMYFUNCTION("""COMPUTED_VALUE"""),"")</f>
        <v/>
      </c>
      <c r="J34" s="5" t="str">
        <f>IFERROR(__xludf.DUMMYFUNCTION("""COMPUTED_VALUE"""),"")</f>
        <v/>
      </c>
      <c r="K34" s="24" t="str">
        <f>IFERROR(__xludf.DUMMYFUNCTION("""COMPUTED_VALUE"""),"")</f>
        <v/>
      </c>
      <c r="L34" s="24" t="str">
        <f>IFERROR(__xludf.DUMMYFUNCTION("""COMPUTED_VALUE"""),"ぽくくぽ")</f>
        <v>ぽくくぽ</v>
      </c>
      <c r="N34" s="24" t="b">
        <f>IFERROR(__xludf.DUMMYFUNCTION("""COMPUTED_VALUE"""),FALSE)</f>
        <v>0</v>
      </c>
      <c r="O34" s="24" t="str">
        <f>IFERROR(__xludf.DUMMYFUNCTION("""COMPUTED_VALUE"""),"Google")</f>
        <v>Google</v>
      </c>
      <c r="P34" s="24">
        <f>IFERROR(__xludf.DUMMYFUNCTION("""COMPUTED_VALUE"""),3.0)</f>
        <v>3</v>
      </c>
      <c r="Q34" s="25">
        <f>IFERROR(__xludf.DUMMYFUNCTION("""COMPUTED_VALUE"""),46118.0)</f>
        <v>46118</v>
      </c>
      <c r="R34" s="24"/>
      <c r="S34" s="24"/>
      <c r="T34" s="24"/>
      <c r="U34" s="24" t="str">
        <f>IFERROR(__xludf.DUMMYFUNCTION("""COMPUTED_VALUE"""),"")</f>
        <v/>
      </c>
      <c r="V34" s="24" t="str">
        <f>IFERROR(__xludf.DUMMYFUNCTION("""COMPUTED_VALUE"""),"")</f>
        <v/>
      </c>
      <c r="W34" s="24" t="str">
        <f>IFERROR(__xludf.DUMMYFUNCTION("""COMPUTED_VALUE"""),"")</f>
        <v/>
      </c>
      <c r="X34" s="24" t="str">
        <f>IFERROR(__xludf.DUMMYFUNCTION("""COMPUTED_VALUE"""),"ぽくくぽ")</f>
        <v>ぽくくぽ</v>
      </c>
    </row>
    <row r="35">
      <c r="B35" s="17" t="b">
        <f>IFERROR(__xludf.DUMMYFUNCTION("""COMPUTED_VALUE"""),FALSE)</f>
        <v>0</v>
      </c>
      <c r="C35" s="18" t="str">
        <f>IFERROR(__xludf.DUMMYFUNCTION("""COMPUTED_VALUE"""),"Trip.com")</f>
        <v>Trip.com</v>
      </c>
      <c r="D35" s="5">
        <f>IFERROR(__xludf.DUMMYFUNCTION("""COMPUTED_VALUE"""),10.0)</f>
        <v>10</v>
      </c>
      <c r="E35" s="19">
        <f>IFERROR(__xludf.DUMMYFUNCTION("""COMPUTED_VALUE"""),46118.0)</f>
        <v>46118</v>
      </c>
      <c r="F35" s="5" t="str">
        <f>IFERROR(__xludf.DUMMYFUNCTION("""COMPUTED_VALUE"""),"交通方便，附近很多食店")</f>
        <v>交通方便，附近很多食店</v>
      </c>
      <c r="G35" s="5"/>
      <c r="H35" s="5"/>
      <c r="I35" s="5" t="str">
        <f>IFERROR(__xludf.DUMMYFUNCTION("""COMPUTED_VALUE"""),"交通の便が良く、近くにレストランも多数あります。")</f>
        <v>交通の便が良く、近くにレストランも多数あります。</v>
      </c>
      <c r="J35" s="5" t="str">
        <f>IFERROR(__xludf.DUMMYFUNCTION("""COMPUTED_VALUE"""),"")</f>
        <v/>
      </c>
      <c r="K35" s="24" t="str">
        <f>IFERROR(__xludf.DUMMYFUNCTION("""COMPUTED_VALUE"""),"")</f>
        <v/>
      </c>
      <c r="L35" s="24" t="str">
        <f>IFERROR(__xludf.DUMMYFUNCTION("""COMPUTED_VALUE"""),"ゲ‍ス‍ト")</f>
        <v>ゲ‍ス‍ト</v>
      </c>
      <c r="N35" s="24" t="b">
        <f>IFERROR(__xludf.DUMMYFUNCTION("""COMPUTED_VALUE"""),FALSE)</f>
        <v>0</v>
      </c>
      <c r="O35" s="18" t="str">
        <f>IFERROR(__xludf.DUMMYFUNCTION("""COMPUTED_VALUE"""),"Trip.com")</f>
        <v>Trip.com</v>
      </c>
      <c r="P35" s="24">
        <f>IFERROR(__xludf.DUMMYFUNCTION("""COMPUTED_VALUE"""),10.0)</f>
        <v>10</v>
      </c>
      <c r="Q35" s="25">
        <f>IFERROR(__xludf.DUMMYFUNCTION("""COMPUTED_VALUE"""),46118.0)</f>
        <v>46118</v>
      </c>
      <c r="R35" s="24" t="str">
        <f>IFERROR(__xludf.DUMMYFUNCTION("""COMPUTED_VALUE"""),"交通方便，附近很多食店")</f>
        <v>交通方便，附近很多食店</v>
      </c>
      <c r="S35" s="24"/>
      <c r="T35" s="24"/>
      <c r="U35" s="24" t="str">
        <f>IFERROR(__xludf.DUMMYFUNCTION("""COMPUTED_VALUE"""),"交通の便が良く、近くにレストランも多数あります。")</f>
        <v>交通の便が良く、近くにレストランも多数あります。</v>
      </c>
      <c r="V35" s="24" t="str">
        <f>IFERROR(__xludf.DUMMYFUNCTION("""COMPUTED_VALUE"""),"")</f>
        <v/>
      </c>
      <c r="W35" s="24" t="str">
        <f>IFERROR(__xludf.DUMMYFUNCTION("""COMPUTED_VALUE"""),"")</f>
        <v/>
      </c>
      <c r="X35" s="24" t="str">
        <f>IFERROR(__xludf.DUMMYFUNCTION("""COMPUTED_VALUE"""),"ゲ‍ス‍ト")</f>
        <v>ゲ‍ス‍ト</v>
      </c>
    </row>
    <row r="36">
      <c r="B36" s="17" t="b">
        <f>IFERROR(__xludf.DUMMYFUNCTION("""COMPUTED_VALUE"""),FALSE)</f>
        <v>0</v>
      </c>
      <c r="C36" s="18" t="str">
        <f>IFERROR(__xludf.DUMMYFUNCTION("""COMPUTED_VALUE"""),"Trip.com")</f>
        <v>Trip.com</v>
      </c>
      <c r="D36" s="5">
        <f>IFERROR(__xludf.DUMMYFUNCTION("""COMPUTED_VALUE"""),10.0)</f>
        <v>10</v>
      </c>
      <c r="E36" s="19">
        <f>IFERROR(__xludf.DUMMYFUNCTION("""COMPUTED_VALUE"""),46118.0)</f>
        <v>46118</v>
      </c>
      <c r="F36" s="5" t="str">
        <f>IFERROR(__xludf.DUMMYFUNCTION("""COMPUTED_VALUE"""),"服務良好，態度優良，地理位置良好，衛生不錯。")</f>
        <v>服務良好，態度優良，地理位置良好，衛生不錯。</v>
      </c>
      <c r="G36" s="5"/>
      <c r="H36" s="5"/>
      <c r="I36" s="5" t="str">
        <f>IFERROR(__xludf.DUMMYFUNCTION("""COMPUTED_VALUE"""),"サービスも良く、スタッフも親切で、立地も良く、衛生状態も良好でした。")</f>
        <v>サービスも良く、スタッフも親切で、立地も良く、衛生状態も良好でした。</v>
      </c>
      <c r="J36" s="5" t="str">
        <f>IFERROR(__xludf.DUMMYFUNCTION("""COMPUTED_VALUE"""),"")</f>
        <v/>
      </c>
      <c r="K36" s="24" t="str">
        <f>IFERROR(__xludf.DUMMYFUNCTION("""COMPUTED_VALUE"""),"")</f>
        <v/>
      </c>
      <c r="L36" s="24" t="str">
        <f>IFERROR(__xludf.DUMMYFUNCTION("""COMPUTED_VALUE"""),"C‍h‍a‍k‍c‍h‍a‍k‍1‍1‍2")</f>
        <v>C‍h‍a‍k‍c‍h‍a‍k‍1‍1‍2</v>
      </c>
      <c r="N36" s="24" t="b">
        <f>IFERROR(__xludf.DUMMYFUNCTION("""COMPUTED_VALUE"""),FALSE)</f>
        <v>0</v>
      </c>
      <c r="O36" s="18" t="str">
        <f>IFERROR(__xludf.DUMMYFUNCTION("""COMPUTED_VALUE"""),"Trip.com")</f>
        <v>Trip.com</v>
      </c>
      <c r="P36" s="24">
        <f>IFERROR(__xludf.DUMMYFUNCTION("""COMPUTED_VALUE"""),10.0)</f>
        <v>10</v>
      </c>
      <c r="Q36" s="25">
        <f>IFERROR(__xludf.DUMMYFUNCTION("""COMPUTED_VALUE"""),46118.0)</f>
        <v>46118</v>
      </c>
      <c r="R36" s="24" t="str">
        <f>IFERROR(__xludf.DUMMYFUNCTION("""COMPUTED_VALUE"""),"服務良好，態度優良，地理位置良好，衛生不錯。")</f>
        <v>服務良好，態度優良，地理位置良好，衛生不錯。</v>
      </c>
      <c r="S36" s="24"/>
      <c r="T36" s="24"/>
      <c r="U36" s="24" t="str">
        <f>IFERROR(__xludf.DUMMYFUNCTION("""COMPUTED_VALUE"""),"サービスも良く、スタッフも親切で、立地も良く、衛生状態も良好でした。")</f>
        <v>サービスも良く、スタッフも親切で、立地も良く、衛生状態も良好でした。</v>
      </c>
      <c r="V36" s="24" t="str">
        <f>IFERROR(__xludf.DUMMYFUNCTION("""COMPUTED_VALUE"""),"")</f>
        <v/>
      </c>
      <c r="W36" s="24" t="str">
        <f>IFERROR(__xludf.DUMMYFUNCTION("""COMPUTED_VALUE"""),"")</f>
        <v/>
      </c>
      <c r="X36" s="24" t="str">
        <f>IFERROR(__xludf.DUMMYFUNCTION("""COMPUTED_VALUE"""),"C‍h‍a‍k‍c‍h‍a‍k‍1‍1‍2")</f>
        <v>C‍h‍a‍k‍c‍h‍a‍k‍1‍1‍2</v>
      </c>
    </row>
    <row r="37">
      <c r="B37" s="17" t="b">
        <f>IFERROR(__xludf.DUMMYFUNCTION("""COMPUTED_VALUE"""),FALSE)</f>
        <v>0</v>
      </c>
      <c r="C37" s="18" t="str">
        <f>IFERROR(__xludf.DUMMYFUNCTION("""COMPUTED_VALUE"""),"Trip.com")</f>
        <v>Trip.com</v>
      </c>
      <c r="D37" s="5">
        <f>IFERROR(__xludf.DUMMYFUNCTION("""COMPUTED_VALUE"""),10.0)</f>
        <v>10</v>
      </c>
      <c r="E37" s="19">
        <f>IFERROR(__xludf.DUMMYFUNCTION("""COMPUTED_VALUE"""),46117.0)</f>
        <v>46117</v>
      </c>
      <c r="F37"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37" s="5"/>
      <c r="H37" s="5"/>
      <c r="I37"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37" s="5" t="str">
        <f>IFERROR(__xludf.DUMMYFUNCTION("""COMPUTED_VALUE"""),"")</f>
        <v/>
      </c>
      <c r="K37" s="24" t="str">
        <f>IFERROR(__xludf.DUMMYFUNCTION("""COMPUTED_VALUE"""),"")</f>
        <v/>
      </c>
      <c r="L37" s="24" t="str">
        <f>IFERROR(__xludf.DUMMYFUNCTION("""COMPUTED_VALUE"""),"ゲ‍ス‍ト")</f>
        <v>ゲ‍ス‍ト</v>
      </c>
      <c r="N37" s="24" t="b">
        <f>IFERROR(__xludf.DUMMYFUNCTION("""COMPUTED_VALUE"""),FALSE)</f>
        <v>0</v>
      </c>
      <c r="O37" s="18" t="str">
        <f>IFERROR(__xludf.DUMMYFUNCTION("""COMPUTED_VALUE"""),"Trip.com")</f>
        <v>Trip.com</v>
      </c>
      <c r="P37" s="24">
        <f>IFERROR(__xludf.DUMMYFUNCTION("""COMPUTED_VALUE"""),10.0)</f>
        <v>10</v>
      </c>
      <c r="Q37" s="25">
        <f>IFERROR(__xludf.DUMMYFUNCTION("""COMPUTED_VALUE"""),46117.0)</f>
        <v>46117</v>
      </c>
      <c r="R37"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37" s="24"/>
      <c r="T37" s="24"/>
      <c r="U37"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37" s="24" t="str">
        <f>IFERROR(__xludf.DUMMYFUNCTION("""COMPUTED_VALUE"""),"")</f>
        <v/>
      </c>
      <c r="W37" s="24" t="str">
        <f>IFERROR(__xludf.DUMMYFUNCTION("""COMPUTED_VALUE"""),"")</f>
        <v/>
      </c>
      <c r="X37" s="24" t="str">
        <f>IFERROR(__xludf.DUMMYFUNCTION("""COMPUTED_VALUE"""),"ゲ‍ス‍ト")</f>
        <v>ゲ‍ス‍ト</v>
      </c>
    </row>
    <row r="38">
      <c r="B38" s="17" t="b">
        <f>IFERROR(__xludf.DUMMYFUNCTION("""COMPUTED_VALUE"""),FALSE)</f>
        <v>0</v>
      </c>
      <c r="C38" s="18" t="str">
        <f>IFERROR(__xludf.DUMMYFUNCTION("""COMPUTED_VALUE"""),"Trip.com")</f>
        <v>Trip.com</v>
      </c>
      <c r="D38" s="5">
        <f>IFERROR(__xludf.DUMMYFUNCTION("""COMPUTED_VALUE"""),10.0)</f>
        <v>10</v>
      </c>
      <c r="E38" s="19">
        <f>IFERROR(__xludf.DUMMYFUNCTION("""COMPUTED_VALUE"""),46117.0)</f>
        <v>46117</v>
      </c>
      <c r="F38" s="5" t="str">
        <f>IFERROR(__xludf.DUMMYFUNCTION("""COMPUTED_VALUE"""),"地點方便近JR , 近地鐵站，有好多食肆，酒店乾淨，服務態度非常好！")</f>
        <v>地點方便近JR , 近地鐵站，有好多食肆，酒店乾淨，服務態度非常好！</v>
      </c>
      <c r="G38" s="5"/>
      <c r="H38" s="5"/>
      <c r="I38"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38" s="5" t="str">
        <f>IFERROR(__xludf.DUMMYFUNCTION("""COMPUTED_VALUE"""),"")</f>
        <v/>
      </c>
      <c r="K38" s="24" t="str">
        <f>IFERROR(__xludf.DUMMYFUNCTION("""COMPUTED_VALUE"""),"")</f>
        <v/>
      </c>
      <c r="L38" s="24" t="str">
        <f>IFERROR(__xludf.DUMMYFUNCTION("""COMPUTED_VALUE"""),"ゲ‍ス‍ト")</f>
        <v>ゲ‍ス‍ト</v>
      </c>
      <c r="N38" s="24" t="b">
        <f>IFERROR(__xludf.DUMMYFUNCTION("""COMPUTED_VALUE"""),FALSE)</f>
        <v>0</v>
      </c>
      <c r="O38" s="18" t="str">
        <f>IFERROR(__xludf.DUMMYFUNCTION("""COMPUTED_VALUE"""),"Trip.com")</f>
        <v>Trip.com</v>
      </c>
      <c r="P38" s="24">
        <f>IFERROR(__xludf.DUMMYFUNCTION("""COMPUTED_VALUE"""),10.0)</f>
        <v>10</v>
      </c>
      <c r="Q38" s="25">
        <f>IFERROR(__xludf.DUMMYFUNCTION("""COMPUTED_VALUE"""),46117.0)</f>
        <v>46117</v>
      </c>
      <c r="R38" s="24" t="str">
        <f>IFERROR(__xludf.DUMMYFUNCTION("""COMPUTED_VALUE"""),"地點方便近JR , 近地鐵站，有好多食肆，酒店乾淨，服務態度非常好！")</f>
        <v>地點方便近JR , 近地鐵站，有好多食肆，酒店乾淨，服務態度非常好！</v>
      </c>
      <c r="S38" s="24"/>
      <c r="T38" s="24"/>
      <c r="U38"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38" s="24" t="str">
        <f>IFERROR(__xludf.DUMMYFUNCTION("""COMPUTED_VALUE"""),"")</f>
        <v/>
      </c>
      <c r="W38" s="24" t="str">
        <f>IFERROR(__xludf.DUMMYFUNCTION("""COMPUTED_VALUE"""),"")</f>
        <v/>
      </c>
      <c r="X38" s="24" t="str">
        <f>IFERROR(__xludf.DUMMYFUNCTION("""COMPUTED_VALUE"""),"ゲ‍ス‍ト")</f>
        <v>ゲ‍ス‍ト</v>
      </c>
    </row>
    <row r="39">
      <c r="B39" s="17" t="b">
        <f>IFERROR(__xludf.DUMMYFUNCTION("""COMPUTED_VALUE"""),FALSE)</f>
        <v>0</v>
      </c>
      <c r="C39" s="18" t="str">
        <f>IFERROR(__xludf.DUMMYFUNCTION("""COMPUTED_VALUE"""),"Trip.com")</f>
        <v>Trip.com</v>
      </c>
      <c r="D39" s="5">
        <f>IFERROR(__xludf.DUMMYFUNCTION("""COMPUTED_VALUE"""),10.0)</f>
        <v>10</v>
      </c>
      <c r="E39" s="19">
        <f>IFERROR(__xludf.DUMMYFUNCTION("""COMPUTED_VALUE"""),46117.0)</f>
        <v>46117</v>
      </c>
      <c r="F39"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39" s="5"/>
      <c r="H39" s="5"/>
      <c r="I39"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39" s="5" t="str">
        <f>IFERROR(__xludf.DUMMYFUNCTION("""COMPUTED_VALUE"""),"")</f>
        <v/>
      </c>
      <c r="K39" s="24" t="str">
        <f>IFERROR(__xludf.DUMMYFUNCTION("""COMPUTED_VALUE"""),"")</f>
        <v/>
      </c>
      <c r="L39" s="24" t="str">
        <f>IFERROR(__xludf.DUMMYFUNCTION("""COMPUTED_VALUE"""),"ゲ‍ス‍ト")</f>
        <v>ゲ‍ス‍ト</v>
      </c>
      <c r="N39" s="24" t="b">
        <f>IFERROR(__xludf.DUMMYFUNCTION("""COMPUTED_VALUE"""),FALSE)</f>
        <v>0</v>
      </c>
      <c r="O39" s="18" t="str">
        <f>IFERROR(__xludf.DUMMYFUNCTION("""COMPUTED_VALUE"""),"Trip.com")</f>
        <v>Trip.com</v>
      </c>
      <c r="P39" s="24">
        <f>IFERROR(__xludf.DUMMYFUNCTION("""COMPUTED_VALUE"""),10.0)</f>
        <v>10</v>
      </c>
      <c r="Q39" s="25">
        <f>IFERROR(__xludf.DUMMYFUNCTION("""COMPUTED_VALUE"""),46117.0)</f>
        <v>46117</v>
      </c>
      <c r="R39"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39" s="24"/>
      <c r="T39" s="24"/>
      <c r="U39"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39" s="24" t="str">
        <f>IFERROR(__xludf.DUMMYFUNCTION("""COMPUTED_VALUE"""),"")</f>
        <v/>
      </c>
      <c r="W39" s="24" t="str">
        <f>IFERROR(__xludf.DUMMYFUNCTION("""COMPUTED_VALUE"""),"")</f>
        <v/>
      </c>
      <c r="X39" s="24" t="str">
        <f>IFERROR(__xludf.DUMMYFUNCTION("""COMPUTED_VALUE"""),"ゲ‍ス‍ト")</f>
        <v>ゲ‍ス‍ト</v>
      </c>
    </row>
    <row r="40">
      <c r="B40" s="17" t="b">
        <f>IFERROR(__xludf.DUMMYFUNCTION("""COMPUTED_VALUE"""),FALSE)</f>
        <v>0</v>
      </c>
      <c r="C40" s="18" t="str">
        <f>IFERROR(__xludf.DUMMYFUNCTION("""COMPUTED_VALUE"""),"Trip.com")</f>
        <v>Trip.com</v>
      </c>
      <c r="D40" s="5">
        <f>IFERROR(__xludf.DUMMYFUNCTION("""COMPUTED_VALUE"""),10.0)</f>
        <v>10</v>
      </c>
      <c r="E40" s="19">
        <f>IFERROR(__xludf.DUMMYFUNCTION("""COMPUTED_VALUE"""),46116.0)</f>
        <v>46116</v>
      </c>
      <c r="F40" s="5" t="str">
        <f>IFERROR(__xludf.DUMMYFUNCTION("""COMPUTED_VALUE"""),"Mantappp")</f>
        <v>Mantappp</v>
      </c>
      <c r="G40" s="5"/>
      <c r="H40" s="5"/>
      <c r="I40" s="5" t="str">
        <f>IFERROR(__xludf.DUMMYFUNCTION("""COMPUTED_VALUE"""),"素晴らしい")</f>
        <v>素晴らしい</v>
      </c>
      <c r="J40" s="5" t="str">
        <f>IFERROR(__xludf.DUMMYFUNCTION("""COMPUTED_VALUE"""),"")</f>
        <v/>
      </c>
      <c r="K40" s="24" t="str">
        <f>IFERROR(__xludf.DUMMYFUNCTION("""COMPUTED_VALUE"""),"")</f>
        <v/>
      </c>
      <c r="L40" s="24" t="str">
        <f>IFERROR(__xludf.DUMMYFUNCTION("""COMPUTED_VALUE"""),"A‍N‍D‍R‍E‍ ‍Y‍U‍Z‍D‍I‍A‍N‍T‍A‍R‍A")</f>
        <v>A‍N‍D‍R‍E‍ ‍Y‍U‍Z‍D‍I‍A‍N‍T‍A‍R‍A</v>
      </c>
      <c r="N40" s="24" t="b">
        <f>IFERROR(__xludf.DUMMYFUNCTION("""COMPUTED_VALUE"""),FALSE)</f>
        <v>0</v>
      </c>
      <c r="O40" s="18" t="str">
        <f>IFERROR(__xludf.DUMMYFUNCTION("""COMPUTED_VALUE"""),"Trip.com")</f>
        <v>Trip.com</v>
      </c>
      <c r="P40" s="24">
        <f>IFERROR(__xludf.DUMMYFUNCTION("""COMPUTED_VALUE"""),10.0)</f>
        <v>10</v>
      </c>
      <c r="Q40" s="25">
        <f>IFERROR(__xludf.DUMMYFUNCTION("""COMPUTED_VALUE"""),46116.0)</f>
        <v>46116</v>
      </c>
      <c r="R40" s="24" t="str">
        <f>IFERROR(__xludf.DUMMYFUNCTION("""COMPUTED_VALUE"""),"Mantappp")</f>
        <v>Mantappp</v>
      </c>
      <c r="S40" s="24"/>
      <c r="T40" s="24"/>
      <c r="U40" s="24" t="str">
        <f>IFERROR(__xludf.DUMMYFUNCTION("""COMPUTED_VALUE"""),"素晴らしい")</f>
        <v>素晴らしい</v>
      </c>
      <c r="V40" s="24" t="str">
        <f>IFERROR(__xludf.DUMMYFUNCTION("""COMPUTED_VALUE"""),"")</f>
        <v/>
      </c>
      <c r="W40" s="24" t="str">
        <f>IFERROR(__xludf.DUMMYFUNCTION("""COMPUTED_VALUE"""),"")</f>
        <v/>
      </c>
      <c r="X40" s="24" t="str">
        <f>IFERROR(__xludf.DUMMYFUNCTION("""COMPUTED_VALUE"""),"A‍N‍D‍R‍E‍ ‍Y‍U‍Z‍D‍I‍A‍N‍T‍A‍R‍A")</f>
        <v>A‍N‍D‍R‍E‍ ‍Y‍U‍Z‍D‍I‍A‍N‍T‍A‍R‍A</v>
      </c>
    </row>
    <row r="41">
      <c r="B41" s="17" t="b">
        <f>IFERROR(__xludf.DUMMYFUNCTION("""COMPUTED_VALUE"""),FALSE)</f>
        <v>0</v>
      </c>
      <c r="C41" s="18" t="str">
        <f>IFERROR(__xludf.DUMMYFUNCTION("""COMPUTED_VALUE"""),"Trip.com")</f>
        <v>Trip.com</v>
      </c>
      <c r="D41" s="5">
        <f>IFERROR(__xludf.DUMMYFUNCTION("""COMPUTED_VALUE"""),10.0)</f>
        <v>10</v>
      </c>
      <c r="E41" s="19">
        <f>IFERROR(__xludf.DUMMYFUNCTION("""COMPUTED_VALUE"""),46116.0)</f>
        <v>46116</v>
      </c>
      <c r="F41"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41" s="5"/>
      <c r="H41" s="5"/>
      <c r="I41"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41" s="5" t="str">
        <f>IFERROR(__xludf.DUMMYFUNCTION("""COMPUTED_VALUE"""),"")</f>
        <v/>
      </c>
      <c r="K41" s="24" t="str">
        <f>IFERROR(__xludf.DUMMYFUNCTION("""COMPUTED_VALUE"""),"")</f>
        <v/>
      </c>
      <c r="L41" s="24" t="str">
        <f>IFERROR(__xludf.DUMMYFUNCTION("""COMPUTED_VALUE"""),"K‍u‍m‍m‍y‍.")</f>
        <v>K‍u‍m‍m‍y‍.</v>
      </c>
      <c r="N41" s="24" t="b">
        <f>IFERROR(__xludf.DUMMYFUNCTION("""COMPUTED_VALUE"""),FALSE)</f>
        <v>0</v>
      </c>
      <c r="O41" s="18" t="str">
        <f>IFERROR(__xludf.DUMMYFUNCTION("""COMPUTED_VALUE"""),"Trip.com")</f>
        <v>Trip.com</v>
      </c>
      <c r="P41" s="24">
        <f>IFERROR(__xludf.DUMMYFUNCTION("""COMPUTED_VALUE"""),10.0)</f>
        <v>10</v>
      </c>
      <c r="Q41" s="25">
        <f>IFERROR(__xludf.DUMMYFUNCTION("""COMPUTED_VALUE"""),46116.0)</f>
        <v>46116</v>
      </c>
      <c r="R41"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41" s="24"/>
      <c r="T41" s="24"/>
      <c r="U41"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41" s="24" t="str">
        <f>IFERROR(__xludf.DUMMYFUNCTION("""COMPUTED_VALUE"""),"")</f>
        <v/>
      </c>
      <c r="W41" s="24" t="str">
        <f>IFERROR(__xludf.DUMMYFUNCTION("""COMPUTED_VALUE"""),"")</f>
        <v/>
      </c>
      <c r="X41" s="24" t="str">
        <f>IFERROR(__xludf.DUMMYFUNCTION("""COMPUTED_VALUE"""),"K‍u‍m‍m‍y‍.")</f>
        <v>K‍u‍m‍m‍y‍.</v>
      </c>
    </row>
    <row r="42">
      <c r="B42" s="17" t="b">
        <f>IFERROR(__xludf.DUMMYFUNCTION("""COMPUTED_VALUE"""),FALSE)</f>
        <v>0</v>
      </c>
      <c r="C42" s="18" t="str">
        <f>IFERROR(__xludf.DUMMYFUNCTION("""COMPUTED_VALUE"""),"Trip.com")</f>
        <v>Trip.com</v>
      </c>
      <c r="D42" s="5">
        <f>IFERROR(__xludf.DUMMYFUNCTION("""COMPUTED_VALUE"""),10.0)</f>
        <v>10</v>
      </c>
      <c r="E42" s="19">
        <f>IFERROR(__xludf.DUMMYFUNCTION("""COMPUTED_VALUE"""),46116.0)</f>
        <v>46116</v>
      </c>
      <c r="F42"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42" s="5"/>
      <c r="H42" s="5"/>
      <c r="I42"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42" s="5" t="str">
        <f>IFERROR(__xludf.DUMMYFUNCTION("""COMPUTED_VALUE"""),"")</f>
        <v/>
      </c>
      <c r="K42" s="24" t="str">
        <f>IFERROR(__xludf.DUMMYFUNCTION("""COMPUTED_VALUE"""),"")</f>
        <v/>
      </c>
      <c r="L42" s="24" t="str">
        <f>IFERROR(__xludf.DUMMYFUNCTION("""COMPUTED_VALUE"""),"ゲ‍ス‍ト")</f>
        <v>ゲ‍ス‍ト</v>
      </c>
      <c r="N42" s="24" t="b">
        <f>IFERROR(__xludf.DUMMYFUNCTION("""COMPUTED_VALUE"""),FALSE)</f>
        <v>0</v>
      </c>
      <c r="O42" s="18" t="str">
        <f>IFERROR(__xludf.DUMMYFUNCTION("""COMPUTED_VALUE"""),"Trip.com")</f>
        <v>Trip.com</v>
      </c>
      <c r="P42" s="24">
        <f>IFERROR(__xludf.DUMMYFUNCTION("""COMPUTED_VALUE"""),10.0)</f>
        <v>10</v>
      </c>
      <c r="Q42" s="25">
        <f>IFERROR(__xludf.DUMMYFUNCTION("""COMPUTED_VALUE"""),46116.0)</f>
        <v>46116</v>
      </c>
      <c r="R42"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42" s="24"/>
      <c r="T42" s="24"/>
      <c r="U42"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42" s="24" t="str">
        <f>IFERROR(__xludf.DUMMYFUNCTION("""COMPUTED_VALUE"""),"")</f>
        <v/>
      </c>
      <c r="W42" s="24" t="str">
        <f>IFERROR(__xludf.DUMMYFUNCTION("""COMPUTED_VALUE"""),"")</f>
        <v/>
      </c>
      <c r="X42" s="24" t="str">
        <f>IFERROR(__xludf.DUMMYFUNCTION("""COMPUTED_VALUE"""),"ゲ‍ス‍ト")</f>
        <v>ゲ‍ス‍ト</v>
      </c>
    </row>
    <row r="43">
      <c r="B43" s="17" t="b">
        <f>IFERROR(__xludf.DUMMYFUNCTION("""COMPUTED_VALUE"""),FALSE)</f>
        <v>0</v>
      </c>
      <c r="C43" s="18" t="str">
        <f>IFERROR(__xludf.DUMMYFUNCTION("""COMPUTED_VALUE"""),"Booking.com")</f>
        <v>Booking.com</v>
      </c>
      <c r="D43" s="5">
        <f>IFERROR(__xludf.DUMMYFUNCTION("""COMPUTED_VALUE"""),10.0)</f>
        <v>10</v>
      </c>
      <c r="E43" s="19">
        <f>IFERROR(__xludf.DUMMYFUNCTION("""COMPUTED_VALUE"""),46116.0)</f>
        <v>46116</v>
      </c>
      <c r="F43" s="5"/>
      <c r="G43" s="5" t="str">
        <f>IFERROR(__xludf.DUMMYFUNCTION("""COMPUTED_VALUE"""),"Rất thuận tiện gần bến xe đi lại thuận tiện")</f>
        <v>Rất thuận tiện gần bến xe đi lại thuận tiện</v>
      </c>
      <c r="H43" s="5" t="str">
        <f>IFERROR(__xludf.DUMMYFUNCTION("""COMPUTED_VALUE"""),"Không có")</f>
        <v>Không có</v>
      </c>
      <c r="I43" s="5" t="str">
        <f>IFERROR(__xludf.DUMMYFUNCTION("""COMPUTED_VALUE"""),"")</f>
        <v/>
      </c>
      <c r="J43" s="5" t="str">
        <f>IFERROR(__xludf.DUMMYFUNCTION("""COMPUTED_VALUE"""),"非常に便利な立地で、バスターミナルにも近く、交通の便が良い。")</f>
        <v>非常に便利な立地で、バスターミナルにも近く、交通の便が良い。</v>
      </c>
      <c r="K43" s="24" t="str">
        <f>IFERROR(__xludf.DUMMYFUNCTION("""COMPUTED_VALUE"""),"持っていません")</f>
        <v>持っていません</v>
      </c>
      <c r="L43" s="24" t="str">
        <f>IFERROR(__xludf.DUMMYFUNCTION("""COMPUTED_VALUE"""),"Thuy")</f>
        <v>Thuy</v>
      </c>
      <c r="N43" s="24" t="b">
        <f>IFERROR(__xludf.DUMMYFUNCTION("""COMPUTED_VALUE"""),FALSE)</f>
        <v>0</v>
      </c>
      <c r="O43" s="18" t="str">
        <f>IFERROR(__xludf.DUMMYFUNCTION("""COMPUTED_VALUE"""),"Booking.com")</f>
        <v>Booking.com</v>
      </c>
      <c r="P43" s="24">
        <f>IFERROR(__xludf.DUMMYFUNCTION("""COMPUTED_VALUE"""),10.0)</f>
        <v>10</v>
      </c>
      <c r="Q43" s="25">
        <f>IFERROR(__xludf.DUMMYFUNCTION("""COMPUTED_VALUE"""),46116.0)</f>
        <v>46116</v>
      </c>
      <c r="R43" s="24"/>
      <c r="S43" s="24" t="str">
        <f>IFERROR(__xludf.DUMMYFUNCTION("""COMPUTED_VALUE"""),"Rất thuận tiện gần bến xe đi lại thuận tiện")</f>
        <v>Rất thuận tiện gần bến xe đi lại thuận tiện</v>
      </c>
      <c r="T43" s="24" t="str">
        <f>IFERROR(__xludf.DUMMYFUNCTION("""COMPUTED_VALUE"""),"Không có")</f>
        <v>Không có</v>
      </c>
      <c r="U43" s="24" t="str">
        <f>IFERROR(__xludf.DUMMYFUNCTION("""COMPUTED_VALUE"""),"")</f>
        <v/>
      </c>
      <c r="V43" s="24" t="str">
        <f>IFERROR(__xludf.DUMMYFUNCTION("""COMPUTED_VALUE"""),"非常に便利な立地で、バスターミナルにも近く、交通の便が良い。")</f>
        <v>非常に便利な立地で、バスターミナルにも近く、交通の便が良い。</v>
      </c>
      <c r="W43" s="24" t="str">
        <f>IFERROR(__xludf.DUMMYFUNCTION("""COMPUTED_VALUE"""),"持っていません")</f>
        <v>持っていません</v>
      </c>
      <c r="X43" s="24" t="str">
        <f>IFERROR(__xludf.DUMMYFUNCTION("""COMPUTED_VALUE"""),"Thuy")</f>
        <v>Thuy</v>
      </c>
    </row>
    <row r="44">
      <c r="B44" s="17" t="b">
        <f>IFERROR(__xludf.DUMMYFUNCTION("""COMPUTED_VALUE"""),FALSE)</f>
        <v>0</v>
      </c>
      <c r="C44" s="18" t="str">
        <f>IFERROR(__xludf.DUMMYFUNCTION("""COMPUTED_VALUE"""),"Booking.com")</f>
        <v>Booking.com</v>
      </c>
      <c r="D44" s="5">
        <f>IFERROR(__xludf.DUMMYFUNCTION("""COMPUTED_VALUE"""),8.0)</f>
        <v>8</v>
      </c>
      <c r="E44" s="19">
        <f>IFERROR(__xludf.DUMMYFUNCTION("""COMPUTED_VALUE"""),46116.0)</f>
        <v>46116</v>
      </c>
      <c r="F44" s="5"/>
      <c r="G44"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44"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44" s="5" t="str">
        <f>IFERROR(__xludf.DUMMYFUNCTION("""COMPUTED_VALUE"""),"")</f>
        <v/>
      </c>
      <c r="J44" s="5"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K44"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44" s="24" t="str">
        <f>IFERROR(__xludf.DUMMYFUNCTION("""COMPUTED_VALUE"""),"Ng")</f>
        <v>Ng</v>
      </c>
      <c r="N44" s="24" t="b">
        <f>IFERROR(__xludf.DUMMYFUNCTION("""COMPUTED_VALUE"""),FALSE)</f>
        <v>0</v>
      </c>
      <c r="O44" s="18" t="str">
        <f>IFERROR(__xludf.DUMMYFUNCTION("""COMPUTED_VALUE"""),"Booking.com")</f>
        <v>Booking.com</v>
      </c>
      <c r="P44" s="24">
        <f>IFERROR(__xludf.DUMMYFUNCTION("""COMPUTED_VALUE"""),8.0)</f>
        <v>8</v>
      </c>
      <c r="Q44" s="25">
        <f>IFERROR(__xludf.DUMMYFUNCTION("""COMPUTED_VALUE"""),46116.0)</f>
        <v>46116</v>
      </c>
      <c r="R44" s="24"/>
      <c r="S44"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44"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44" s="24" t="str">
        <f>IFERROR(__xludf.DUMMYFUNCTION("""COMPUTED_VALUE"""),"")</f>
        <v/>
      </c>
      <c r="V44" s="24" t="str">
        <f>IFERROR(__xludf.DUMMYFUNCTION("""COMPUTED_VALUE"""),"部屋は清潔で広々としていて、とても快適でした。地下鉄の駅までは徒歩わずか6～7分で、スーパーマーケットやショッピングモールも近くにあるので、買い物や食事に便利です。")</f>
        <v>部屋は清潔で広々としていて、とても快適でした。地下鉄の駅までは徒歩わずか6～7分で、スーパーマーケットやショッピングモールも近くにあるので、買い物や食事に便利です。</v>
      </c>
      <c r="W44"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44" s="24" t="str">
        <f>IFERROR(__xludf.DUMMYFUNCTION("""COMPUTED_VALUE"""),"Ng")</f>
        <v>Ng</v>
      </c>
    </row>
    <row r="45">
      <c r="B45" s="17" t="b">
        <f>IFERROR(__xludf.DUMMYFUNCTION("""COMPUTED_VALUE"""),FALSE)</f>
        <v>0</v>
      </c>
      <c r="C45" s="18" t="str">
        <f>IFERROR(__xludf.DUMMYFUNCTION("""COMPUTED_VALUE"""),"Trip.com")</f>
        <v>Trip.com</v>
      </c>
      <c r="D45" s="5">
        <f>IFERROR(__xludf.DUMMYFUNCTION("""COMPUTED_VALUE"""),10.0)</f>
        <v>10</v>
      </c>
      <c r="E45" s="19">
        <f>IFERROR(__xludf.DUMMYFUNCTION("""COMPUTED_VALUE"""),46115.0)</f>
        <v>46115</v>
      </c>
      <c r="F45"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45" s="5"/>
      <c r="H45" s="5"/>
      <c r="I45"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45" s="5" t="str">
        <f>IFERROR(__xludf.DUMMYFUNCTION("""COMPUTED_VALUE"""),"")</f>
        <v/>
      </c>
      <c r="K45" s="24" t="str">
        <f>IFERROR(__xludf.DUMMYFUNCTION("""COMPUTED_VALUE"""),"")</f>
        <v/>
      </c>
      <c r="L45" s="24" t="str">
        <f>IFERROR(__xludf.DUMMYFUNCTION("""COMPUTED_VALUE"""),"S‍k‍y‍e‍ ‍t‍h‍e‍ ‍e‍x‍p‍l‍o‍r‍e‍r")</f>
        <v>S‍k‍y‍e‍ ‍t‍h‍e‍ ‍e‍x‍p‍l‍o‍r‍e‍r</v>
      </c>
      <c r="N45" s="24" t="b">
        <f>IFERROR(__xludf.DUMMYFUNCTION("""COMPUTED_VALUE"""),FALSE)</f>
        <v>0</v>
      </c>
      <c r="O45" s="18" t="str">
        <f>IFERROR(__xludf.DUMMYFUNCTION("""COMPUTED_VALUE"""),"Trip.com")</f>
        <v>Trip.com</v>
      </c>
      <c r="P45" s="24">
        <f>IFERROR(__xludf.DUMMYFUNCTION("""COMPUTED_VALUE"""),10.0)</f>
        <v>10</v>
      </c>
      <c r="Q45" s="25">
        <f>IFERROR(__xludf.DUMMYFUNCTION("""COMPUTED_VALUE"""),46115.0)</f>
        <v>46115</v>
      </c>
      <c r="R45"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45" s="24"/>
      <c r="T45" s="24"/>
      <c r="U45"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45" s="24" t="str">
        <f>IFERROR(__xludf.DUMMYFUNCTION("""COMPUTED_VALUE"""),"")</f>
        <v/>
      </c>
      <c r="W45" s="24" t="str">
        <f>IFERROR(__xludf.DUMMYFUNCTION("""COMPUTED_VALUE"""),"")</f>
        <v/>
      </c>
      <c r="X45" s="24" t="str">
        <f>IFERROR(__xludf.DUMMYFUNCTION("""COMPUTED_VALUE"""),"S‍k‍y‍e‍ ‍t‍h‍e‍ ‍e‍x‍p‍l‍o‍r‍e‍r")</f>
        <v>S‍k‍y‍e‍ ‍t‍h‍e‍ ‍e‍x‍p‍l‍o‍r‍e‍r</v>
      </c>
    </row>
    <row r="46">
      <c r="B46" s="17" t="b">
        <f>IFERROR(__xludf.DUMMYFUNCTION("""COMPUTED_VALUE"""),FALSE)</f>
        <v>0</v>
      </c>
      <c r="C46" s="18" t="str">
        <f>IFERROR(__xludf.DUMMYFUNCTION("""COMPUTED_VALUE"""),"Trip.com")</f>
        <v>Trip.com</v>
      </c>
      <c r="D46" s="5">
        <f>IFERROR(__xludf.DUMMYFUNCTION("""COMPUTED_VALUE"""),10.0)</f>
        <v>10</v>
      </c>
      <c r="E46" s="19">
        <f>IFERROR(__xludf.DUMMYFUNCTION("""COMPUTED_VALUE"""),46114.0)</f>
        <v>46114</v>
      </c>
      <c r="F46"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46" s="5"/>
      <c r="H46" s="5"/>
      <c r="I46"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46" s="5" t="str">
        <f>IFERROR(__xludf.DUMMYFUNCTION("""COMPUTED_VALUE"""),"")</f>
        <v/>
      </c>
      <c r="K46" s="24" t="str">
        <f>IFERROR(__xludf.DUMMYFUNCTION("""COMPUTED_VALUE"""),"")</f>
        <v/>
      </c>
      <c r="L46" s="24" t="str">
        <f>IFERROR(__xludf.DUMMYFUNCTION("""COMPUTED_VALUE"""),"ゲ‍ス‍ト")</f>
        <v>ゲ‍ス‍ト</v>
      </c>
      <c r="N46" s="24" t="b">
        <f>IFERROR(__xludf.DUMMYFUNCTION("""COMPUTED_VALUE"""),FALSE)</f>
        <v>0</v>
      </c>
      <c r="O46" s="18" t="str">
        <f>IFERROR(__xludf.DUMMYFUNCTION("""COMPUTED_VALUE"""),"Trip.com")</f>
        <v>Trip.com</v>
      </c>
      <c r="P46" s="24">
        <f>IFERROR(__xludf.DUMMYFUNCTION("""COMPUTED_VALUE"""),10.0)</f>
        <v>10</v>
      </c>
      <c r="Q46" s="25">
        <f>IFERROR(__xludf.DUMMYFUNCTION("""COMPUTED_VALUE"""),46114.0)</f>
        <v>46114</v>
      </c>
      <c r="R46"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46" s="24"/>
      <c r="T46" s="24"/>
      <c r="U46"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46" s="24" t="str">
        <f>IFERROR(__xludf.DUMMYFUNCTION("""COMPUTED_VALUE"""),"")</f>
        <v/>
      </c>
      <c r="W46" s="24" t="str">
        <f>IFERROR(__xludf.DUMMYFUNCTION("""COMPUTED_VALUE"""),"")</f>
        <v/>
      </c>
      <c r="X46" s="24" t="str">
        <f>IFERROR(__xludf.DUMMYFUNCTION("""COMPUTED_VALUE"""),"ゲ‍ス‍ト")</f>
        <v>ゲ‍ス‍ト</v>
      </c>
    </row>
    <row r="47">
      <c r="B47" s="17" t="b">
        <f>IFERROR(__xludf.DUMMYFUNCTION("""COMPUTED_VALUE"""),FALSE)</f>
        <v>0</v>
      </c>
      <c r="C47" s="24" t="str">
        <f>IFERROR(__xludf.DUMMYFUNCTION("""COMPUTED_VALUE"""),"Google")</f>
        <v>Google</v>
      </c>
      <c r="D47" s="5">
        <f>IFERROR(__xludf.DUMMYFUNCTION("""COMPUTED_VALUE"""),5.0)</f>
        <v>5</v>
      </c>
      <c r="E47" s="19">
        <f>IFERROR(__xludf.DUMMYFUNCTION("""COMPUTED_VALUE"""),46114.0)</f>
        <v>46114</v>
      </c>
      <c r="F47" s="5" t="str">
        <f>IFERROR(__xludf.DUMMYFUNCTION("""COMPUTED_VALUE"""),"いつも選ぶのは地の利もさることながら、このホテルの安定と安心です。")</f>
        <v>いつも選ぶのは地の利もさることながら、このホテルの安定と安心です。</v>
      </c>
      <c r="G47" s="5"/>
      <c r="H47" s="5"/>
      <c r="I47" s="5" t="str">
        <f>IFERROR(__xludf.DUMMYFUNCTION("""COMPUTED_VALUE"""),"いつも選ぶのは地の利もさることながら、このホテルの安定と安心です。")</f>
        <v>いつも選ぶのは地の利もさることながら、このホテルの安定と安心です。</v>
      </c>
      <c r="J47" s="5" t="str">
        <f>IFERROR(__xludf.DUMMYFUNCTION("""COMPUTED_VALUE"""),"")</f>
        <v/>
      </c>
      <c r="K47" s="24" t="str">
        <f>IFERROR(__xludf.DUMMYFUNCTION("""COMPUTED_VALUE"""),"")</f>
        <v/>
      </c>
      <c r="L47" s="24" t="str">
        <f>IFERROR(__xludf.DUMMYFUNCTION("""COMPUTED_VALUE"""),"NORIAKI MASUDA")</f>
        <v>NORIAKI MASUDA</v>
      </c>
      <c r="N47" s="24" t="b">
        <f>IFERROR(__xludf.DUMMYFUNCTION("""COMPUTED_VALUE"""),FALSE)</f>
        <v>0</v>
      </c>
      <c r="O47" s="24" t="str">
        <f>IFERROR(__xludf.DUMMYFUNCTION("""COMPUTED_VALUE"""),"Google")</f>
        <v>Google</v>
      </c>
      <c r="P47" s="24">
        <f>IFERROR(__xludf.DUMMYFUNCTION("""COMPUTED_VALUE"""),5.0)</f>
        <v>5</v>
      </c>
      <c r="Q47" s="25">
        <f>IFERROR(__xludf.DUMMYFUNCTION("""COMPUTED_VALUE"""),46114.0)</f>
        <v>46114</v>
      </c>
      <c r="R47" s="24" t="str">
        <f>IFERROR(__xludf.DUMMYFUNCTION("""COMPUTED_VALUE"""),"いつも選ぶのは地の利もさることながら、このホテルの安定と安心です。")</f>
        <v>いつも選ぶのは地の利もさることながら、このホテルの安定と安心です。</v>
      </c>
      <c r="S47" s="24"/>
      <c r="T47" s="24"/>
      <c r="U47" s="24" t="str">
        <f>IFERROR(__xludf.DUMMYFUNCTION("""COMPUTED_VALUE"""),"いつも選ぶのは地の利もさることながら、このホテルの安定と安心です。")</f>
        <v>いつも選ぶのは地の利もさることながら、このホテルの安定と安心です。</v>
      </c>
      <c r="V47" s="24" t="str">
        <f>IFERROR(__xludf.DUMMYFUNCTION("""COMPUTED_VALUE"""),"")</f>
        <v/>
      </c>
      <c r="W47" s="24" t="str">
        <f>IFERROR(__xludf.DUMMYFUNCTION("""COMPUTED_VALUE"""),"")</f>
        <v/>
      </c>
      <c r="X47" s="24" t="str">
        <f>IFERROR(__xludf.DUMMYFUNCTION("""COMPUTED_VALUE"""),"NORIAKI MASUDA")</f>
        <v>NORIAKI MASUDA</v>
      </c>
    </row>
    <row r="48">
      <c r="B48" s="17" t="b">
        <f>IFERROR(__xludf.DUMMYFUNCTION("""COMPUTED_VALUE"""),FALSE)</f>
        <v>0</v>
      </c>
      <c r="C48" s="18" t="str">
        <f>IFERROR(__xludf.DUMMYFUNCTION("""COMPUTED_VALUE"""),"Booking.com")</f>
        <v>Booking.com</v>
      </c>
      <c r="D48" s="5">
        <f>IFERROR(__xludf.DUMMYFUNCTION("""COMPUTED_VALUE"""),9.0)</f>
        <v>9</v>
      </c>
      <c r="E48" s="19">
        <f>IFERROR(__xludf.DUMMYFUNCTION("""COMPUTED_VALUE"""),46113.0)</f>
        <v>46113</v>
      </c>
      <c r="F48" s="5"/>
      <c r="G48"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48" s="5" t="str">
        <f>IFERROR(__xludf.DUMMYFUNCTION("""COMPUTED_VALUE"""),"Breakfast was ok, however there wasn't any cereal or toast on offer when we stayed.")</f>
        <v>Breakfast was ok, however there wasn't any cereal or toast on offer when we stayed.</v>
      </c>
      <c r="I48" s="5" t="str">
        <f>IFERROR(__xludf.DUMMYFUNCTION("""COMPUTED_VALUE"""),"")</f>
        <v/>
      </c>
      <c r="J48"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4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48" s="24" t="str">
        <f>IFERROR(__xludf.DUMMYFUNCTION("""COMPUTED_VALUE"""),"Natalie")</f>
        <v>Natalie</v>
      </c>
      <c r="N48" s="24" t="b">
        <f>IFERROR(__xludf.DUMMYFUNCTION("""COMPUTED_VALUE"""),FALSE)</f>
        <v>0</v>
      </c>
      <c r="O48" s="18" t="str">
        <f>IFERROR(__xludf.DUMMYFUNCTION("""COMPUTED_VALUE"""),"Booking.com")</f>
        <v>Booking.com</v>
      </c>
      <c r="P48" s="24">
        <f>IFERROR(__xludf.DUMMYFUNCTION("""COMPUTED_VALUE"""),9.0)</f>
        <v>9</v>
      </c>
      <c r="Q48" s="25">
        <f>IFERROR(__xludf.DUMMYFUNCTION("""COMPUTED_VALUE"""),46113.0)</f>
        <v>46113</v>
      </c>
      <c r="R48" s="24"/>
      <c r="S48"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48" s="24" t="str">
        <f>IFERROR(__xludf.DUMMYFUNCTION("""COMPUTED_VALUE"""),"Breakfast was ok, however there wasn't any cereal or toast on offer when we stayed.")</f>
        <v>Breakfast was ok, however there wasn't any cereal or toast on offer when we stayed.</v>
      </c>
      <c r="U48" s="24" t="str">
        <f>IFERROR(__xludf.DUMMYFUNCTION("""COMPUTED_VALUE"""),"")</f>
        <v/>
      </c>
      <c r="V48"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48"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48" s="24" t="str">
        <f>IFERROR(__xludf.DUMMYFUNCTION("""COMPUTED_VALUE"""),"Natalie")</f>
        <v>Natalie</v>
      </c>
    </row>
    <row r="49">
      <c r="B49" s="17" t="b">
        <f>IFERROR(__xludf.DUMMYFUNCTION("""COMPUTED_VALUE"""),FALSE)</f>
        <v>0</v>
      </c>
      <c r="C49" s="18" t="str">
        <f>IFERROR(__xludf.DUMMYFUNCTION("""COMPUTED_VALUE"""),"Booking.com")</f>
        <v>Booking.com</v>
      </c>
      <c r="D49" s="5">
        <f>IFERROR(__xludf.DUMMYFUNCTION("""COMPUTED_VALUE"""),8.0)</f>
        <v>8</v>
      </c>
      <c r="E49" s="19">
        <f>IFERROR(__xludf.DUMMYFUNCTION("""COMPUTED_VALUE"""),46113.0)</f>
        <v>46113</v>
      </c>
      <c r="F49" s="5"/>
      <c r="G49"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49" s="5" t="str">
        <f>IFERROR(__xludf.DUMMYFUNCTION("""COMPUTED_VALUE"""),"stanza un pò piccola")</f>
        <v>stanza un pò piccola</v>
      </c>
      <c r="I49" s="5" t="str">
        <f>IFERROR(__xludf.DUMMYFUNCTION("""COMPUTED_VALUE"""),"")</f>
        <v/>
      </c>
      <c r="J49"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49" s="24" t="str">
        <f>IFERROR(__xludf.DUMMYFUNCTION("""COMPUTED_VALUE"""),"部屋が少し狭い")</f>
        <v>部屋が少し狭い</v>
      </c>
      <c r="L49" s="24" t="str">
        <f>IFERROR(__xludf.DUMMYFUNCTION("""COMPUTED_VALUE"""),"Melissa")</f>
        <v>Melissa</v>
      </c>
      <c r="N49" s="24" t="b">
        <f>IFERROR(__xludf.DUMMYFUNCTION("""COMPUTED_VALUE"""),FALSE)</f>
        <v>0</v>
      </c>
      <c r="O49" s="18" t="str">
        <f>IFERROR(__xludf.DUMMYFUNCTION("""COMPUTED_VALUE"""),"Booking.com")</f>
        <v>Booking.com</v>
      </c>
      <c r="P49" s="24">
        <f>IFERROR(__xludf.DUMMYFUNCTION("""COMPUTED_VALUE"""),8.0)</f>
        <v>8</v>
      </c>
      <c r="Q49" s="25">
        <f>IFERROR(__xludf.DUMMYFUNCTION("""COMPUTED_VALUE"""),46113.0)</f>
        <v>46113</v>
      </c>
      <c r="R49" s="24"/>
      <c r="S49"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49" s="24" t="str">
        <f>IFERROR(__xludf.DUMMYFUNCTION("""COMPUTED_VALUE"""),"stanza un pò piccola")</f>
        <v>stanza un pò piccola</v>
      </c>
      <c r="U49" s="24" t="str">
        <f>IFERROR(__xludf.DUMMYFUNCTION("""COMPUTED_VALUE"""),"")</f>
        <v/>
      </c>
      <c r="V49"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49" s="24" t="str">
        <f>IFERROR(__xludf.DUMMYFUNCTION("""COMPUTED_VALUE"""),"部屋が少し狭い")</f>
        <v>部屋が少し狭い</v>
      </c>
      <c r="X49" s="24" t="str">
        <f>IFERROR(__xludf.DUMMYFUNCTION("""COMPUTED_VALUE"""),"Melissa")</f>
        <v>Melissa</v>
      </c>
    </row>
    <row r="50">
      <c r="B50" s="17" t="b">
        <f>IFERROR(__xludf.DUMMYFUNCTION("""COMPUTED_VALUE"""),FALSE)</f>
        <v>0</v>
      </c>
      <c r="C50" s="18" t="str">
        <f>IFERROR(__xludf.DUMMYFUNCTION("""COMPUTED_VALUE"""),"Booking.com")</f>
        <v>Booking.com</v>
      </c>
      <c r="D50" s="5">
        <f>IFERROR(__xludf.DUMMYFUNCTION("""COMPUTED_VALUE"""),10.0)</f>
        <v>10</v>
      </c>
      <c r="E50" s="19">
        <f>IFERROR(__xludf.DUMMYFUNCTION("""COMPUTED_VALUE"""),46113.0)</f>
        <v>46113</v>
      </c>
      <c r="F50" s="5"/>
      <c r="G50" s="5" t="str">
        <f>IFERROR(__xludf.DUMMYFUNCTION("""COMPUTED_VALUE"""),"綺麗")</f>
        <v>綺麗</v>
      </c>
      <c r="H50" s="5"/>
      <c r="I50" s="5" t="str">
        <f>IFERROR(__xludf.DUMMYFUNCTION("""COMPUTED_VALUE"""),"")</f>
        <v/>
      </c>
      <c r="J50" s="5" t="str">
        <f>IFERROR(__xludf.DUMMYFUNCTION("""COMPUTED_VALUE"""),"綺麗")</f>
        <v>綺麗</v>
      </c>
      <c r="K50" s="24" t="str">
        <f>IFERROR(__xludf.DUMMYFUNCTION("""COMPUTED_VALUE"""),"")</f>
        <v/>
      </c>
      <c r="L50" s="24" t="str">
        <f>IFERROR(__xludf.DUMMYFUNCTION("""COMPUTED_VALUE"""),"Toshinao")</f>
        <v>Toshinao</v>
      </c>
      <c r="N50" s="24" t="b">
        <f>IFERROR(__xludf.DUMMYFUNCTION("""COMPUTED_VALUE"""),FALSE)</f>
        <v>0</v>
      </c>
      <c r="O50" s="18" t="str">
        <f>IFERROR(__xludf.DUMMYFUNCTION("""COMPUTED_VALUE"""),"Booking.com")</f>
        <v>Booking.com</v>
      </c>
      <c r="P50" s="24">
        <f>IFERROR(__xludf.DUMMYFUNCTION("""COMPUTED_VALUE"""),10.0)</f>
        <v>10</v>
      </c>
      <c r="Q50" s="25">
        <f>IFERROR(__xludf.DUMMYFUNCTION("""COMPUTED_VALUE"""),46113.0)</f>
        <v>46113</v>
      </c>
      <c r="R50" s="24"/>
      <c r="S50" s="24" t="str">
        <f>IFERROR(__xludf.DUMMYFUNCTION("""COMPUTED_VALUE"""),"綺麗")</f>
        <v>綺麗</v>
      </c>
      <c r="T50" s="24"/>
      <c r="U50" s="24" t="str">
        <f>IFERROR(__xludf.DUMMYFUNCTION("""COMPUTED_VALUE"""),"")</f>
        <v/>
      </c>
      <c r="V50" s="24" t="str">
        <f>IFERROR(__xludf.DUMMYFUNCTION("""COMPUTED_VALUE"""),"綺麗")</f>
        <v>綺麗</v>
      </c>
      <c r="W50" s="24" t="str">
        <f>IFERROR(__xludf.DUMMYFUNCTION("""COMPUTED_VALUE"""),"")</f>
        <v/>
      </c>
      <c r="X50" s="24" t="str">
        <f>IFERROR(__xludf.DUMMYFUNCTION("""COMPUTED_VALUE"""),"Toshinao")</f>
        <v>Toshinao</v>
      </c>
    </row>
    <row r="51">
      <c r="B51" s="17" t="b">
        <f>IFERROR(__xludf.DUMMYFUNCTION("""COMPUTED_VALUE"""),FALSE)</f>
        <v>0</v>
      </c>
      <c r="C51" s="24" t="str">
        <f>IFERROR(__xludf.DUMMYFUNCTION("""COMPUTED_VALUE"""),"Google")</f>
        <v>Google</v>
      </c>
      <c r="D51" s="5">
        <f>IFERROR(__xludf.DUMMYFUNCTION("""COMPUTED_VALUE"""),5.0)</f>
        <v>5</v>
      </c>
      <c r="E51" s="19">
        <f>IFERROR(__xludf.DUMMYFUNCTION("""COMPUTED_VALUE"""),46113.0)</f>
        <v>46113</v>
      </c>
      <c r="F5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51" s="5"/>
      <c r="H51" s="5"/>
      <c r="I51"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51" s="5" t="str">
        <f>IFERROR(__xludf.DUMMYFUNCTION("""COMPUTED_VALUE"""),"")</f>
        <v/>
      </c>
      <c r="K51" s="24" t="str">
        <f>IFERROR(__xludf.DUMMYFUNCTION("""COMPUTED_VALUE"""),"")</f>
        <v/>
      </c>
      <c r="L51" s="24" t="str">
        <f>IFERROR(__xludf.DUMMYFUNCTION("""COMPUTED_VALUE"""),"easonlin323")</f>
        <v>easonlin323</v>
      </c>
      <c r="N51" s="24" t="b">
        <f>IFERROR(__xludf.DUMMYFUNCTION("""COMPUTED_VALUE"""),FALSE)</f>
        <v>0</v>
      </c>
      <c r="O51" s="24" t="str">
        <f>IFERROR(__xludf.DUMMYFUNCTION("""COMPUTED_VALUE"""),"Google")</f>
        <v>Google</v>
      </c>
      <c r="P51" s="24">
        <f>IFERROR(__xludf.DUMMYFUNCTION("""COMPUTED_VALUE"""),5.0)</f>
        <v>5</v>
      </c>
      <c r="Q51" s="25">
        <f>IFERROR(__xludf.DUMMYFUNCTION("""COMPUTED_VALUE"""),46113.0)</f>
        <v>46113</v>
      </c>
      <c r="R5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51" s="24"/>
      <c r="T51" s="24"/>
      <c r="U51"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51" s="24" t="str">
        <f>IFERROR(__xludf.DUMMYFUNCTION("""COMPUTED_VALUE"""),"")</f>
        <v/>
      </c>
      <c r="W51" s="24" t="str">
        <f>IFERROR(__xludf.DUMMYFUNCTION("""COMPUTED_VALUE"""),"")</f>
        <v/>
      </c>
      <c r="X51" s="24" t="str">
        <f>IFERROR(__xludf.DUMMYFUNCTION("""COMPUTED_VALUE"""),"easonlin323")</f>
        <v>easonlin323</v>
      </c>
    </row>
    <row r="52">
      <c r="B52" s="17" t="b">
        <f>IFERROR(__xludf.DUMMYFUNCTION("""COMPUTED_VALUE"""),FALSE)</f>
        <v>0</v>
      </c>
      <c r="C52" s="24" t="str">
        <f>IFERROR(__xludf.DUMMYFUNCTION("""COMPUTED_VALUE"""),"Google")</f>
        <v>Google</v>
      </c>
      <c r="D52" s="5">
        <f>IFERROR(__xludf.DUMMYFUNCTION("""COMPUTED_VALUE"""),5.0)</f>
        <v>5</v>
      </c>
      <c r="E52" s="19">
        <f>IFERROR(__xludf.DUMMYFUNCTION("""COMPUTED_VALUE"""),46113.0)</f>
        <v>46113</v>
      </c>
      <c r="F52"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52" s="5"/>
      <c r="H52" s="5"/>
      <c r="I52"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52" s="5" t="str">
        <f>IFERROR(__xludf.DUMMYFUNCTION("""COMPUTED_VALUE"""),"")</f>
        <v/>
      </c>
      <c r="K52" s="24" t="str">
        <f>IFERROR(__xludf.DUMMYFUNCTION("""COMPUTED_VALUE"""),"")</f>
        <v/>
      </c>
      <c r="L52" s="24" t="str">
        <f>IFERROR(__xludf.DUMMYFUNCTION("""COMPUTED_VALUE"""),"easonlin323")</f>
        <v>easonlin323</v>
      </c>
      <c r="N52" s="24" t="b">
        <f>IFERROR(__xludf.DUMMYFUNCTION("""COMPUTED_VALUE"""),FALSE)</f>
        <v>0</v>
      </c>
      <c r="O52" s="24" t="str">
        <f>IFERROR(__xludf.DUMMYFUNCTION("""COMPUTED_VALUE"""),"Google")</f>
        <v>Google</v>
      </c>
      <c r="P52" s="24">
        <f>IFERROR(__xludf.DUMMYFUNCTION("""COMPUTED_VALUE"""),5.0)</f>
        <v>5</v>
      </c>
      <c r="Q52" s="25">
        <f>IFERROR(__xludf.DUMMYFUNCTION("""COMPUTED_VALUE"""),46113.0)</f>
        <v>46113</v>
      </c>
      <c r="R52"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52" s="24"/>
      <c r="T52" s="24"/>
      <c r="U52"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52" s="24" t="str">
        <f>IFERROR(__xludf.DUMMYFUNCTION("""COMPUTED_VALUE"""),"")</f>
        <v/>
      </c>
      <c r="W52" s="24" t="str">
        <f>IFERROR(__xludf.DUMMYFUNCTION("""COMPUTED_VALUE"""),"")</f>
        <v/>
      </c>
      <c r="X52" s="24" t="str">
        <f>IFERROR(__xludf.DUMMYFUNCTION("""COMPUTED_VALUE"""),"easonlin323")</f>
        <v>easonlin323</v>
      </c>
    </row>
    <row r="53">
      <c r="B53" s="17" t="b">
        <f>IFERROR(__xludf.DUMMYFUNCTION("""COMPUTED_VALUE"""),FALSE)</f>
        <v>0</v>
      </c>
      <c r="C53" s="18" t="str">
        <f>IFERROR(__xludf.DUMMYFUNCTION("""COMPUTED_VALUE"""),"Booking.com")</f>
        <v>Booking.com</v>
      </c>
      <c r="D53" s="5">
        <f>IFERROR(__xludf.DUMMYFUNCTION("""COMPUTED_VALUE"""),10.0)</f>
        <v>10</v>
      </c>
      <c r="E53" s="19">
        <f>IFERROR(__xludf.DUMMYFUNCTION("""COMPUTED_VALUE"""),46112.0)</f>
        <v>46112</v>
      </c>
      <c r="F53" s="5"/>
      <c r="G53" s="5" t="str">
        <f>IFERROR(__xludf.DUMMYFUNCTION("""COMPUTED_VALUE"""),"地點方便，房間整潔，出水很大洗澡很舒適")</f>
        <v>地點方便，房間整潔，出水很大洗澡很舒適</v>
      </c>
      <c r="H53" s="5" t="str">
        <f>IFERROR(__xludf.DUMMYFUNCTION("""COMPUTED_VALUE"""),"沒有不滿意的地方")</f>
        <v>沒有不滿意的地方</v>
      </c>
      <c r="I53" s="5" t="str">
        <f>IFERROR(__xludf.DUMMYFUNCTION("""COMPUTED_VALUE"""),"")</f>
        <v/>
      </c>
      <c r="J53" s="5" t="str">
        <f>IFERROR(__xludf.DUMMYFUNCTION("""COMPUTED_VALUE"""),"立地が便利で、部屋は清潔で、水圧も強いので、シャワーがとても快適です。")</f>
        <v>立地が便利で、部屋は清潔で、水圧も強いので、シャワーがとても快適です。</v>
      </c>
      <c r="K53" s="24" t="str">
        <f>IFERROR(__xludf.DUMMYFUNCTION("""COMPUTED_VALUE"""),"不満な点は何もありません。")</f>
        <v>不満な点は何もありません。</v>
      </c>
      <c r="L53" s="24" t="str">
        <f>IFERROR(__xludf.DUMMYFUNCTION("""COMPUTED_VALUE"""),"Chia")</f>
        <v>Chia</v>
      </c>
      <c r="N53" s="24"/>
      <c r="O53" s="24"/>
      <c r="P53" s="24"/>
      <c r="Q53" s="24"/>
      <c r="R53" s="24"/>
      <c r="S53" s="24"/>
      <c r="T53" s="24"/>
      <c r="U53" s="24"/>
      <c r="V53" s="24"/>
      <c r="W53" s="24"/>
      <c r="X53" s="24"/>
    </row>
    <row r="54">
      <c r="B54" s="17" t="b">
        <f>IFERROR(__xludf.DUMMYFUNCTION("""COMPUTED_VALUE"""),FALSE)</f>
        <v>0</v>
      </c>
      <c r="C54" s="18" t="str">
        <f>IFERROR(__xludf.DUMMYFUNCTION("""COMPUTED_VALUE"""),"Booking.com")</f>
        <v>Booking.com</v>
      </c>
      <c r="D54" s="5">
        <f>IFERROR(__xludf.DUMMYFUNCTION("""COMPUTED_VALUE"""),7.0)</f>
        <v>7</v>
      </c>
      <c r="E54" s="19">
        <f>IFERROR(__xludf.DUMMYFUNCTION("""COMPUTED_VALUE"""),46112.0)</f>
        <v>46112</v>
      </c>
      <c r="F54" s="5"/>
      <c r="G54" s="5" t="str">
        <f>IFERROR(__xludf.DUMMYFUNCTION("""COMPUTED_VALUE"""),"一樓大廳提供泡澡球、面膜，跟其他常見的備品，但沒有浴帽跟牙刷。")</f>
        <v>一樓大廳提供泡澡球、面膜，跟其他常見的備品，但沒有浴帽跟牙刷。</v>
      </c>
      <c r="H54" s="5" t="str">
        <f>IFERROR(__xludf.DUMMYFUNCTION("""COMPUTED_VALUE"""),"早餐還不錯吃，但品項不多而且每天一樣，連住很多天會吃到膩，自動鬆餅機很有趣")</f>
        <v>早餐還不錯吃，但品項不多而且每天一樣，連住很多天會吃到膩，自動鬆餅機很有趣</v>
      </c>
      <c r="I54" s="5" t="str">
        <f>IFERROR(__xludf.DUMMYFUNCTION("""COMPUTED_VALUE"""),"")</f>
        <v/>
      </c>
      <c r="J54"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54"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L54" s="24" t="str">
        <f>IFERROR(__xludf.DUMMYFUNCTION("""COMPUTED_VALUE"""),"Chen")</f>
        <v>Chen</v>
      </c>
      <c r="N54" s="24"/>
      <c r="O54" s="24"/>
      <c r="P54" s="24"/>
      <c r="Q54" s="24"/>
      <c r="R54" s="24"/>
      <c r="S54" s="24"/>
      <c r="T54" s="24"/>
      <c r="U54" s="24"/>
      <c r="V54" s="24"/>
      <c r="W54" s="24"/>
      <c r="X54" s="24"/>
    </row>
    <row r="55">
      <c r="B55" s="17" t="b">
        <f>IFERROR(__xludf.DUMMYFUNCTION("""COMPUTED_VALUE"""),FALSE)</f>
        <v>0</v>
      </c>
      <c r="C55" s="18" t="str">
        <f>IFERROR(__xludf.DUMMYFUNCTION("""COMPUTED_VALUE"""),"Booking.com")</f>
        <v>Booking.com</v>
      </c>
      <c r="D55" s="5">
        <f>IFERROR(__xludf.DUMMYFUNCTION("""COMPUTED_VALUE"""),10.0)</f>
        <v>10</v>
      </c>
      <c r="E55" s="19">
        <f>IFERROR(__xludf.DUMMYFUNCTION("""COMPUTED_VALUE"""),46112.0)</f>
        <v>46112</v>
      </c>
      <c r="F55" s="5"/>
      <c r="G55" s="5"/>
      <c r="H55" s="5"/>
      <c r="I55" s="5" t="str">
        <f>IFERROR(__xludf.DUMMYFUNCTION("""COMPUTED_VALUE"""),"")</f>
        <v/>
      </c>
      <c r="J55" s="5" t="str">
        <f>IFERROR(__xludf.DUMMYFUNCTION("""COMPUTED_VALUE"""),"")</f>
        <v/>
      </c>
      <c r="K55" s="24" t="str">
        <f>IFERROR(__xludf.DUMMYFUNCTION("""COMPUTED_VALUE"""),"")</f>
        <v/>
      </c>
      <c r="L55" s="24" t="str">
        <f>IFERROR(__xludf.DUMMYFUNCTION("""COMPUTED_VALUE"""),"Juan")</f>
        <v>Juan</v>
      </c>
      <c r="N55" s="24"/>
      <c r="O55" s="24"/>
      <c r="P55" s="24"/>
      <c r="Q55" s="24"/>
      <c r="R55" s="24"/>
      <c r="S55" s="24"/>
      <c r="T55" s="24"/>
      <c r="U55" s="24"/>
      <c r="V55" s="24"/>
      <c r="W55" s="24"/>
      <c r="X55" s="24"/>
    </row>
    <row r="56">
      <c r="B56" s="17" t="b">
        <f>IFERROR(__xludf.DUMMYFUNCTION("""COMPUTED_VALUE"""),FALSE)</f>
        <v>0</v>
      </c>
      <c r="C56" s="18" t="str">
        <f>IFERROR(__xludf.DUMMYFUNCTION("""COMPUTED_VALUE"""),"Booking.com")</f>
        <v>Booking.com</v>
      </c>
      <c r="D56" s="5">
        <f>IFERROR(__xludf.DUMMYFUNCTION("""COMPUTED_VALUE"""),9.0)</f>
        <v>9</v>
      </c>
      <c r="E56" s="19">
        <f>IFERROR(__xludf.DUMMYFUNCTION("""COMPUTED_VALUE"""),46112.0)</f>
        <v>46112</v>
      </c>
      <c r="F56" s="5"/>
      <c r="G56" s="5"/>
      <c r="H56" s="5"/>
      <c r="I56" s="5" t="str">
        <f>IFERROR(__xludf.DUMMYFUNCTION("""COMPUTED_VALUE"""),"")</f>
        <v/>
      </c>
      <c r="J56" s="5" t="str">
        <f>IFERROR(__xludf.DUMMYFUNCTION("""COMPUTED_VALUE"""),"")</f>
        <v/>
      </c>
      <c r="K56" s="24" t="str">
        <f>IFERROR(__xludf.DUMMYFUNCTION("""COMPUTED_VALUE"""),"")</f>
        <v/>
      </c>
      <c r="L56" s="24" t="str">
        <f>IFERROR(__xludf.DUMMYFUNCTION("""COMPUTED_VALUE"""),"Andrew")</f>
        <v>Andrew</v>
      </c>
      <c r="N56" s="24"/>
      <c r="O56" s="24"/>
      <c r="P56" s="24"/>
      <c r="Q56" s="24"/>
      <c r="R56" s="24"/>
      <c r="S56" s="24"/>
      <c r="T56" s="24"/>
      <c r="U56" s="24"/>
      <c r="V56" s="24"/>
      <c r="W56" s="24"/>
      <c r="X56" s="24"/>
    </row>
    <row r="57">
      <c r="B57" s="17" t="b">
        <f>IFERROR(__xludf.DUMMYFUNCTION("""COMPUTED_VALUE"""),FALSE)</f>
        <v>0</v>
      </c>
      <c r="C57" s="24" t="str">
        <f>IFERROR(__xludf.DUMMYFUNCTION("""COMPUTED_VALUE"""),"楽天トラベル")</f>
        <v>楽天トラベル</v>
      </c>
      <c r="D57" s="5">
        <f>IFERROR(__xludf.DUMMYFUNCTION("""COMPUTED_VALUE"""),4.0)</f>
        <v>4</v>
      </c>
      <c r="E57" s="19">
        <f>IFERROR(__xludf.DUMMYFUNCTION("""COMPUTED_VALUE"""),46112.0)</f>
        <v>46112</v>
      </c>
      <c r="F5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57" s="5"/>
      <c r="H57" s="5"/>
      <c r="I57"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57" s="5" t="str">
        <f>IFERROR(__xludf.DUMMYFUNCTION("""COMPUTED_VALUE"""),"")</f>
        <v/>
      </c>
      <c r="K57" s="24" t="str">
        <f>IFERROR(__xludf.DUMMYFUNCTION("""COMPUTED_VALUE"""),"")</f>
        <v/>
      </c>
      <c r="L57" s="24" t="str">
        <f>IFERROR(__xludf.DUMMYFUNCTION("""COMPUTED_VALUE"""),"W220S55LKUNI")</f>
        <v>W220S55LKUNI</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IFERROR(__xludf.DUMMYFUNCTION("""COMPUTED_VALUE"""),8.0)</f>
        <v>8</v>
      </c>
      <c r="E58" s="19">
        <f>IFERROR(__xludf.DUMMYFUNCTION("""COMPUTED_VALUE"""),46111.0)</f>
        <v>46111</v>
      </c>
      <c r="F58" s="5"/>
      <c r="G58" s="5" t="str">
        <f>IFERROR(__xludf.DUMMYFUNCTION("""COMPUTED_VALUE"""),"交通方便，附近也有很多超商及24小時的樂天超市")</f>
        <v>交通方便，附近也有很多超商及24小時的樂天超市</v>
      </c>
      <c r="H58" s="5"/>
      <c r="I58" s="5" t="str">
        <f>IFERROR(__xludf.DUMMYFUNCTION("""COMPUTED_VALUE"""),"")</f>
        <v/>
      </c>
      <c r="J58"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58" s="24" t="str">
        <f>IFERROR(__xludf.DUMMYFUNCTION("""COMPUTED_VALUE"""),"")</f>
        <v/>
      </c>
      <c r="L58" s="24" t="str">
        <f>IFERROR(__xludf.DUMMYFUNCTION("""COMPUTED_VALUE"""),"家儀")</f>
        <v>家儀</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IFERROR(__xludf.DUMMYFUNCTION("""COMPUTED_VALUE"""),9.0)</f>
        <v>9</v>
      </c>
      <c r="E59" s="19">
        <f>IFERROR(__xludf.DUMMYFUNCTION("""COMPUTED_VALUE"""),46111.0)</f>
        <v>46111</v>
      </c>
      <c r="F59" s="5" t="str">
        <f>IFERROR(__xludf.DUMMYFUNCTION("""COMPUTED_VALUE"""),"整體感覺相當滿意，離車站近，步行5分鐘左右就到！")</f>
        <v>整體感覺相當滿意，離車站近，步行5分鐘左右就到！</v>
      </c>
      <c r="G59" s="24"/>
      <c r="H59" s="5"/>
      <c r="I59" s="5" t="str">
        <f>IFERROR(__xludf.DUMMYFUNCTION("""COMPUTED_VALUE"""),"全体的にとても満足しています。駅からも近く、徒歩わずか5分ほどです！")</f>
        <v>全体的にとても満足しています。駅からも近く、徒歩わずか5分ほどです！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IFERROR(__xludf.DUMMYFUNCTION("""COMPUTED_VALUE"""),46111.0)</f>
        <v>46111</v>
      </c>
      <c r="F60"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60" s="24"/>
      <c r="H60" s="5"/>
      <c r="I60"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60" s="5" t="str">
        <f>IFERROR(__xludf.DUMMYFUNCTION("""COMPUTED_VALUE"""),"")</f>
        <v/>
      </c>
      <c r="K60" s="24" t="str">
        <f>IFERROR(__xludf.DUMMYFUNCTION("""COMPUTED_VALUE"""),"")</f>
        <v/>
      </c>
      <c r="L60" s="24" t="str">
        <f>IFERROR(__xludf.DUMMYFUNCTION("""COMPUTED_VALUE"""),"ゲ‍ス‍ト")</f>
        <v>ゲ‍ス‍ト</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IFERROR(__xludf.DUMMYFUNCTION("""COMPUTED_VALUE"""),46111.0)</f>
        <v>46111</v>
      </c>
      <c r="F61" s="5" t="str">
        <f>IFERROR(__xludf.DUMMYFUNCTION("""COMPUTED_VALUE"""),"駅近ですが、静かで快適でした。")</f>
        <v>駅近ですが、静かで快適でした。</v>
      </c>
      <c r="G61" s="24"/>
      <c r="H61" s="5"/>
      <c r="I61" s="5" t="str">
        <f>IFERROR(__xludf.DUMMYFUNCTION("""COMPUTED_VALUE"""),"駅近ですが、静かで快適でした。")</f>
        <v>駅近ですが、静かで快適でした。</v>
      </c>
      <c r="J61" s="5" t="str">
        <f>IFERROR(__xludf.DUMMYFUNCTION("""COMPUTED_VALUE"""),"")</f>
        <v/>
      </c>
      <c r="K61" s="24" t="str">
        <f>IFERROR(__xludf.DUMMYFUNCTION("""COMPUTED_VALUE"""),"")</f>
        <v/>
      </c>
      <c r="L61" s="24" t="str">
        <f>IFERROR(__xludf.DUMMYFUNCTION("""COMPUTED_VALUE"""),"ゲ‍ス‍ト")</f>
        <v>ゲ‍ス‍ト</v>
      </c>
      <c r="N61" s="24"/>
      <c r="O61" s="24"/>
      <c r="P61" s="24"/>
      <c r="Q61" s="24"/>
      <c r="R61" s="24"/>
      <c r="S61" s="24"/>
      <c r="T61" s="24"/>
      <c r="U61" s="24"/>
      <c r="V61" s="24"/>
      <c r="W61" s="24"/>
      <c r="X61" s="24"/>
    </row>
    <row r="62">
      <c r="B62" s="24" t="b">
        <f>IFERROR(__xludf.DUMMYFUNCTION("""COMPUTED_VALUE"""),FALSE)</f>
        <v>0</v>
      </c>
      <c r="C62" s="24" t="str">
        <f>IFERROR(__xludf.DUMMYFUNCTION("""COMPUTED_VALUE"""),"Google")</f>
        <v>Google</v>
      </c>
      <c r="D62" s="5">
        <f>IFERROR(__xludf.DUMMYFUNCTION("""COMPUTED_VALUE"""),4.0)</f>
        <v>4</v>
      </c>
      <c r="E62" s="19">
        <f>IFERROR(__xludf.DUMMYFUNCTION("""COMPUTED_VALUE"""),46111.0)</f>
        <v>46111</v>
      </c>
      <c r="F62" s="5" t="str">
        <f>IFERROR(__xludf.DUMMYFUNCTION("""COMPUTED_VALUE"""),"錦糸町駅から徒歩圏内の便利な立地にあるホテルです。")</f>
        <v>錦糸町駅から徒歩圏内の便利な立地にあるホテルです。</v>
      </c>
      <c r="G62" s="24"/>
      <c r="H62" s="5"/>
      <c r="I62" s="5" t="str">
        <f>IFERROR(__xludf.DUMMYFUNCTION("""COMPUTED_VALUE"""),"錦糸町駅から徒歩圏内の便利な立地にあるホテルです。")</f>
        <v>錦糸町駅から徒歩圏内の便利な立地にあるホテルです。</v>
      </c>
      <c r="J62" s="5" t="str">
        <f>IFERROR(__xludf.DUMMYFUNCTION("""COMPUTED_VALUE"""),"")</f>
        <v/>
      </c>
      <c r="K62" s="24" t="str">
        <f>IFERROR(__xludf.DUMMYFUNCTION("""COMPUTED_VALUE"""),"")</f>
        <v/>
      </c>
      <c r="L62" s="24" t="str">
        <f>IFERROR(__xludf.DUMMYFUNCTION("""COMPUTED_VALUE"""),"Shimla Diaries")</f>
        <v>Shimla Diaries</v>
      </c>
      <c r="N62" s="24"/>
      <c r="O62" s="24"/>
      <c r="P62" s="24"/>
      <c r="Q62" s="24"/>
      <c r="R62" s="24"/>
      <c r="S62" s="24"/>
      <c r="T62" s="24"/>
      <c r="U62" s="24"/>
      <c r="V62" s="24"/>
      <c r="W62" s="24"/>
      <c r="X62" s="24"/>
    </row>
    <row r="63">
      <c r="B63" s="24" t="b">
        <f>IFERROR(__xludf.DUMMYFUNCTION("""COMPUTED_VALUE"""),FALSE)</f>
        <v>0</v>
      </c>
      <c r="C63" s="24" t="str">
        <f>IFERROR(__xludf.DUMMYFUNCTION("""COMPUTED_VALUE"""),"Google")</f>
        <v>Google</v>
      </c>
      <c r="D63" s="5">
        <f>IFERROR(__xludf.DUMMYFUNCTION("""COMPUTED_VALUE"""),4.0)</f>
        <v>4</v>
      </c>
      <c r="E63" s="19">
        <f>IFERROR(__xludf.DUMMYFUNCTION("""COMPUTED_VALUE"""),46111.0)</f>
        <v>46111</v>
      </c>
      <c r="F63" s="5" t="str">
        <f>IFERROR(__xludf.DUMMYFUNCTION("""COMPUTED_VALUE"""),"Perfectly located hotel centrally located and walking distance to Kinshichō station")</f>
        <v>Perfectly located hotel centrally located and walking distance to Kinshichō station</v>
      </c>
      <c r="G63" s="24"/>
      <c r="H63" s="5"/>
      <c r="I63" s="5" t="str">
        <f>IFERROR(__xludf.DUMMYFUNCTION("""COMPUTED_VALUE"""),"錦糸町駅から徒歩圏内の便利な立地にあるホテルです。")</f>
        <v>錦糸町駅から徒歩圏内の便利な立地にあるホテルです。</v>
      </c>
      <c r="J63" s="5" t="str">
        <f>IFERROR(__xludf.DUMMYFUNCTION("""COMPUTED_VALUE"""),"")</f>
        <v/>
      </c>
      <c r="K63" s="24" t="str">
        <f>IFERROR(__xludf.DUMMYFUNCTION("""COMPUTED_VALUE"""),"")</f>
        <v/>
      </c>
      <c r="L63" s="24" t="str">
        <f>IFERROR(__xludf.DUMMYFUNCTION("""COMPUTED_VALUE"""),"Shimla Diaries")</f>
        <v>Shimla Diaries</v>
      </c>
      <c r="N63" s="24"/>
      <c r="O63" s="24"/>
      <c r="P63" s="24"/>
      <c r="Q63" s="24"/>
      <c r="R63" s="24"/>
      <c r="S63" s="24"/>
      <c r="T63" s="24"/>
      <c r="U63" s="24"/>
      <c r="V63" s="24"/>
      <c r="W63" s="24"/>
      <c r="X63" s="24"/>
    </row>
    <row r="64">
      <c r="B64" s="24" t="b">
        <f>IFERROR(__xludf.DUMMYFUNCTION("""COMPUTED_VALUE"""),FALSE)</f>
        <v>0</v>
      </c>
      <c r="C64" s="18" t="str">
        <f>IFERROR(__xludf.DUMMYFUNCTION("""COMPUTED_VALUE"""),"Trip.com")</f>
        <v>Trip.com</v>
      </c>
      <c r="D64" s="5">
        <f>IFERROR(__xludf.DUMMYFUNCTION("""COMPUTED_VALUE"""),10.0)</f>
        <v>10</v>
      </c>
      <c r="E64" s="19">
        <f>IFERROR(__xludf.DUMMYFUNCTION("""COMPUTED_VALUE"""),46110.0)</f>
        <v>46110</v>
      </c>
      <c r="F64" s="5" t="str">
        <f>IFERROR(__xludf.DUMMYFUNCTION("""COMPUTED_VALUE"""),"挺不錯的酒店👍")</f>
        <v>挺不錯的酒店👍</v>
      </c>
      <c r="G64" s="24"/>
      <c r="H64" s="5"/>
      <c r="I64" s="5" t="str">
        <f>IFERROR(__xludf.DUMMYFUNCTION("""COMPUTED_VALUE"""),"とても素敵なホテルですね👍")</f>
        <v>とても素敵なホテルですね👍</v>
      </c>
      <c r="J64" s="5" t="str">
        <f>IFERROR(__xludf.DUMMYFUNCTION("""COMPUTED_VALUE"""),"")</f>
        <v/>
      </c>
      <c r="K64" s="24" t="str">
        <f>IFERROR(__xludf.DUMMYFUNCTION("""COMPUTED_VALUE"""),"")</f>
        <v/>
      </c>
      <c r="L64" s="24" t="str">
        <f>IFERROR(__xludf.DUMMYFUNCTION("""COMPUTED_VALUE"""),"ゲ‍ス‍ト")</f>
        <v>ゲ‍ス‍ト</v>
      </c>
      <c r="N64" s="24"/>
      <c r="O64" s="24"/>
      <c r="P64" s="24"/>
      <c r="Q64" s="24"/>
      <c r="R64" s="24"/>
      <c r="S64" s="24"/>
      <c r="T64" s="24"/>
      <c r="U64" s="24"/>
      <c r="V64" s="24"/>
      <c r="W64" s="24"/>
      <c r="X64" s="24"/>
    </row>
    <row r="65">
      <c r="B65" s="24" t="b">
        <f>IFERROR(__xludf.DUMMYFUNCTION("""COMPUTED_VALUE"""),FALSE)</f>
        <v>0</v>
      </c>
      <c r="C65" s="18" t="str">
        <f>IFERROR(__xludf.DUMMYFUNCTION("""COMPUTED_VALUE"""),"Booking.com")</f>
        <v>Booking.com</v>
      </c>
      <c r="D65" s="5">
        <f>IFERROR(__xludf.DUMMYFUNCTION("""COMPUTED_VALUE"""),8.0)</f>
        <v>8</v>
      </c>
      <c r="E65" s="19">
        <f>IFERROR(__xludf.DUMMYFUNCTION("""COMPUTED_VALUE"""),46110.0)</f>
        <v>46110</v>
      </c>
      <c r="F65" s="5"/>
      <c r="G65" s="24" t="str">
        <f>IFERROR(__xludf.DUMMYFUNCTION("""COMPUTED_VALUE"""),"部屋がきれいだった")</f>
        <v>部屋がきれいだった</v>
      </c>
      <c r="H65" s="5" t="str">
        <f>IFERROR(__xludf.DUMMYFUNCTION("""COMPUTED_VALUE"""),"ちょっと高い")</f>
        <v>ちょっと高い</v>
      </c>
      <c r="I65" s="5" t="str">
        <f>IFERROR(__xludf.DUMMYFUNCTION("""COMPUTED_VALUE"""),"")</f>
        <v/>
      </c>
      <c r="J65" s="5" t="str">
        <f>IFERROR(__xludf.DUMMYFUNCTION("""COMPUTED_VALUE"""),"部屋がきれいだった")</f>
        <v>部屋がきれいだった</v>
      </c>
      <c r="K65" s="24" t="str">
        <f>IFERROR(__xludf.DUMMYFUNCTION("""COMPUTED_VALUE"""),"ちょっと高い")</f>
        <v>ちょっと高い</v>
      </c>
      <c r="L65" s="24" t="str">
        <f>IFERROR(__xludf.DUMMYFUNCTION("""COMPUTED_VALUE"""),"Rie")</f>
        <v>Rie</v>
      </c>
      <c r="N65" s="24"/>
      <c r="O65" s="24"/>
      <c r="P65" s="24"/>
      <c r="Q65" s="24"/>
      <c r="R65" s="24"/>
      <c r="S65" s="24"/>
      <c r="T65" s="24"/>
      <c r="U65" s="24"/>
      <c r="V65" s="24"/>
      <c r="W65" s="24"/>
      <c r="X65" s="24"/>
    </row>
    <row r="66">
      <c r="B66" s="24" t="b">
        <f>IFERROR(__xludf.DUMMYFUNCTION("""COMPUTED_VALUE"""),FALSE)</f>
        <v>0</v>
      </c>
      <c r="C66" s="18" t="str">
        <f>IFERROR(__xludf.DUMMYFUNCTION("""COMPUTED_VALUE"""),"Booking.com")</f>
        <v>Booking.com</v>
      </c>
      <c r="D66" s="5">
        <f>IFERROR(__xludf.DUMMYFUNCTION("""COMPUTED_VALUE"""),8.0)</f>
        <v>8</v>
      </c>
      <c r="E66" s="19">
        <f>IFERROR(__xludf.DUMMYFUNCTION("""COMPUTED_VALUE"""),46110.0)</f>
        <v>46110</v>
      </c>
      <c r="F66" s="5"/>
      <c r="G66"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66"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66" s="5" t="str">
        <f>IFERROR(__xludf.DUMMYFUNCTION("""COMPUTED_VALUE"""),"")</f>
        <v/>
      </c>
      <c r="J66"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66"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66" s="24" t="str">
        <f>IFERROR(__xludf.DUMMYFUNCTION("""COMPUTED_VALUE"""),"Pani")</f>
        <v>Pani</v>
      </c>
      <c r="N66" s="24"/>
      <c r="O66" s="24"/>
      <c r="P66" s="24"/>
      <c r="Q66" s="24"/>
      <c r="R66" s="24"/>
      <c r="S66" s="24"/>
      <c r="T66" s="24"/>
      <c r="U66" s="24"/>
      <c r="V66" s="24"/>
      <c r="W66" s="24"/>
      <c r="X66" s="24"/>
    </row>
    <row r="67">
      <c r="B67" s="24" t="b">
        <f>IFERROR(__xludf.DUMMYFUNCTION("""COMPUTED_VALUE"""),FALSE)</f>
        <v>0</v>
      </c>
      <c r="C67" s="18" t="str">
        <f>IFERROR(__xludf.DUMMYFUNCTION("""COMPUTED_VALUE"""),"Trip.com")</f>
        <v>Trip.com</v>
      </c>
      <c r="D67" s="5">
        <f>IFERROR(__xludf.DUMMYFUNCTION("""COMPUTED_VALUE"""),10.0)</f>
        <v>10</v>
      </c>
      <c r="E67" s="19">
        <f>IFERROR(__xludf.DUMMYFUNCTION("""COMPUTED_VALUE"""),46108.0)</f>
        <v>46108</v>
      </c>
      <c r="F67"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67" s="24"/>
      <c r="H67" s="5"/>
      <c r="I67"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J67" s="5" t="str">
        <f>IFERROR(__xludf.DUMMYFUNCTION("""COMPUTED_VALUE"""),"")</f>
        <v/>
      </c>
      <c r="K67" s="24" t="str">
        <f>IFERROR(__xludf.DUMMYFUNCTION("""COMPUTED_VALUE"""),"")</f>
        <v/>
      </c>
      <c r="L67" s="24" t="str">
        <f>IFERROR(__xludf.DUMMYFUNCTION("""COMPUTED_VALUE"""),"ゲ‍ス‍ト")</f>
        <v>ゲ‍ス‍ト</v>
      </c>
      <c r="N67" s="24"/>
      <c r="O67" s="24"/>
      <c r="P67" s="24"/>
      <c r="Q67" s="24"/>
      <c r="R67" s="24"/>
      <c r="S67" s="24"/>
      <c r="T67" s="24"/>
      <c r="U67" s="24"/>
      <c r="V67" s="24"/>
      <c r="W67" s="24"/>
      <c r="X67" s="24"/>
    </row>
    <row r="68">
      <c r="B68" s="24" t="b">
        <f>IFERROR(__xludf.DUMMYFUNCTION("""COMPUTED_VALUE"""),FALSE)</f>
        <v>0</v>
      </c>
      <c r="C68" s="18" t="str">
        <f>IFERROR(__xludf.DUMMYFUNCTION("""COMPUTED_VALUE"""),"Trip.com")</f>
        <v>Trip.com</v>
      </c>
      <c r="D68" s="5">
        <f>IFERROR(__xludf.DUMMYFUNCTION("""COMPUTED_VALUE"""),4.0)</f>
        <v>4</v>
      </c>
      <c r="E68" s="19">
        <f>IFERROR(__xludf.DUMMYFUNCTION("""COMPUTED_VALUE"""),46108.0)</f>
        <v>46108</v>
      </c>
      <c r="F68" s="5" t="str">
        <f>IFERROR(__xludf.DUMMYFUNCTION("""COMPUTED_VALUE"""),"有啲污糟，隔音好差")</f>
        <v>有啲污糟，隔音好差</v>
      </c>
      <c r="G68" s="24"/>
      <c r="H68" s="5"/>
      <c r="I68" s="5" t="str">
        <f>IFERROR(__xludf.DUMMYFUNCTION("""COMPUTED_VALUE"""),"少し汚れていて、防音性も低い。")</f>
        <v>少し汚れていて、防音性も低い。</v>
      </c>
      <c r="J68" s="5" t="str">
        <f>IFERROR(__xludf.DUMMYFUNCTION("""COMPUTED_VALUE"""),"")</f>
        <v/>
      </c>
      <c r="K68" s="24" t="str">
        <f>IFERROR(__xludf.DUMMYFUNCTION("""COMPUTED_VALUE"""),"")</f>
        <v/>
      </c>
      <c r="L68" s="24" t="str">
        <f>IFERROR(__xludf.DUMMYFUNCTION("""COMPUTED_VALUE"""),"i‍l‍o‍v‍e‍f‍r‍i‍e‍d‍r‍i‍c‍e")</f>
        <v>i‍l‍o‍v‍e‍f‍r‍i‍e‍d‍r‍i‍c‍e</v>
      </c>
      <c r="N68" s="24"/>
      <c r="O68" s="24"/>
      <c r="P68" s="24"/>
      <c r="Q68" s="24"/>
      <c r="R68" s="24"/>
      <c r="S68" s="24"/>
      <c r="T68" s="24"/>
      <c r="U68" s="24"/>
      <c r="V68" s="24"/>
      <c r="W68" s="24"/>
      <c r="X68" s="24"/>
    </row>
    <row r="69">
      <c r="B69" s="24" t="b">
        <f>IFERROR(__xludf.DUMMYFUNCTION("""COMPUTED_VALUE"""),FALSE)</f>
        <v>0</v>
      </c>
      <c r="C69" s="18" t="str">
        <f>IFERROR(__xludf.DUMMYFUNCTION("""COMPUTED_VALUE"""),"Trip.com")</f>
        <v>Trip.com</v>
      </c>
      <c r="D69" s="5">
        <f>IFERROR(__xludf.DUMMYFUNCTION("""COMPUTED_VALUE"""),10.0)</f>
        <v>10</v>
      </c>
      <c r="E69" s="19">
        <f>IFERROR(__xludf.DUMMYFUNCTION("""COMPUTED_VALUE"""),46108.0)</f>
        <v>46108</v>
      </c>
      <c r="F69" s="5" t="str">
        <f>IFERROR(__xludf.DUMMYFUNCTION("""COMPUTED_VALUE"""),"Very good and interesting location and the great view of the city")</f>
        <v>Very good and interesting location and the great view of the city</v>
      </c>
      <c r="G69" s="24"/>
      <c r="H69" s="5"/>
      <c r="I69" s="5" t="str">
        <f>IFERROR(__xludf.DUMMYFUNCTION("""COMPUTED_VALUE"""),"立地が非常に良く、街の眺めも素晴らしい。")</f>
        <v>立地が非常に良く、街の眺めも素晴らしい。</v>
      </c>
      <c r="J69" s="5" t="str">
        <f>IFERROR(__xludf.DUMMYFUNCTION("""COMPUTED_VALUE"""),"")</f>
        <v/>
      </c>
      <c r="K69" s="24" t="str">
        <f>IFERROR(__xludf.DUMMYFUNCTION("""COMPUTED_VALUE"""),"")</f>
        <v/>
      </c>
      <c r="L69" s="24" t="str">
        <f>IFERROR(__xludf.DUMMYFUNCTION("""COMPUTED_VALUE"""),"A‍l‍e‍x‍e‍y‍ ‍P‍o‍l‍o‍v‍n‍i‍k‍o‍v")</f>
        <v>A‍l‍e‍x‍e‍y‍ ‍P‍o‍l‍o‍v‍n‍i‍k‍o‍v</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IFERROR(__xludf.DUMMYFUNCTION("""COMPUTED_VALUE"""),10.0)</f>
        <v>10</v>
      </c>
      <c r="E70" s="19">
        <f>IFERROR(__xludf.DUMMYFUNCTION("""COMPUTED_VALUE"""),46108.0)</f>
        <v>46108</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IFERROR(__xludf.DUMMYFUNCTION("""COMPUTED_VALUE"""),"佳萾")</f>
        <v>佳萾</v>
      </c>
      <c r="N70" s="24"/>
      <c r="O70" s="24"/>
      <c r="P70" s="24"/>
      <c r="Q70" s="24"/>
      <c r="R70" s="24"/>
      <c r="S70" s="24"/>
      <c r="T70" s="24"/>
      <c r="U70" s="24"/>
      <c r="V70" s="24"/>
      <c r="W70" s="24"/>
      <c r="X70" s="24"/>
    </row>
    <row r="71">
      <c r="B71" s="24" t="b">
        <f>IFERROR(__xludf.DUMMYFUNCTION("""COMPUTED_VALUE"""),FALSE)</f>
        <v>0</v>
      </c>
      <c r="C71" s="18" t="str">
        <f>IFERROR(__xludf.DUMMYFUNCTION("""COMPUTED_VALUE"""),"Booking.com")</f>
        <v>Booking.com</v>
      </c>
      <c r="D71" s="5">
        <f>IFERROR(__xludf.DUMMYFUNCTION("""COMPUTED_VALUE"""),10.0)</f>
        <v>10</v>
      </c>
      <c r="E71" s="19">
        <f>IFERROR(__xludf.DUMMYFUNCTION("""COMPUTED_VALUE"""),46108.0)</f>
        <v>46108</v>
      </c>
      <c r="F71" s="5"/>
      <c r="G71" s="24"/>
      <c r="H71" s="5"/>
      <c r="I71" s="5" t="str">
        <f>IFERROR(__xludf.DUMMYFUNCTION("""COMPUTED_VALUE"""),"")</f>
        <v/>
      </c>
      <c r="J71" s="5" t="str">
        <f>IFERROR(__xludf.DUMMYFUNCTION("""COMPUTED_VALUE"""),"")</f>
        <v/>
      </c>
      <c r="K71" s="24" t="str">
        <f>IFERROR(__xludf.DUMMYFUNCTION("""COMPUTED_VALUE"""),"")</f>
        <v/>
      </c>
      <c r="L71" s="24" t="str">
        <f>IFERROR(__xludf.DUMMYFUNCTION("""COMPUTED_VALUE"""),"Jade")</f>
        <v>Jade</v>
      </c>
      <c r="N71" s="24"/>
      <c r="O71" s="24"/>
      <c r="P71" s="24"/>
      <c r="Q71" s="24"/>
      <c r="R71" s="24"/>
      <c r="S71" s="24"/>
      <c r="T71" s="24"/>
      <c r="U71" s="24"/>
      <c r="V71" s="24"/>
      <c r="W71" s="24"/>
      <c r="X71" s="24"/>
    </row>
    <row r="72">
      <c r="B72" s="24" t="b">
        <f>IFERROR(__xludf.DUMMYFUNCTION("""COMPUTED_VALUE"""),FALSE)</f>
        <v>0</v>
      </c>
      <c r="C72" s="18" t="str">
        <f>IFERROR(__xludf.DUMMYFUNCTION("""COMPUTED_VALUE"""),"Trip.com")</f>
        <v>Trip.com</v>
      </c>
      <c r="D72" s="5">
        <f>IFERROR(__xludf.DUMMYFUNCTION("""COMPUTED_VALUE"""),10.0)</f>
        <v>10</v>
      </c>
      <c r="E72" s="19">
        <f>IFERROR(__xludf.DUMMYFUNCTION("""COMPUTED_VALUE"""),46107.0)</f>
        <v>46107</v>
      </c>
      <c r="F72"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72" s="24"/>
      <c r="H72" s="5"/>
      <c r="I72"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72" s="5" t="str">
        <f>IFERROR(__xludf.DUMMYFUNCTION("""COMPUTED_VALUE"""),"")</f>
        <v/>
      </c>
      <c r="K72" s="24" t="str">
        <f>IFERROR(__xludf.DUMMYFUNCTION("""COMPUTED_VALUE"""),"")</f>
        <v/>
      </c>
      <c r="L72" s="24" t="str">
        <f>IFERROR(__xludf.DUMMYFUNCTION("""COMPUTED_VALUE"""),"ゲ‍ス‍ト")</f>
        <v>ゲ‍ス‍ト</v>
      </c>
      <c r="N72" s="24"/>
      <c r="O72" s="24"/>
      <c r="P72" s="24"/>
      <c r="Q72" s="24"/>
      <c r="R72" s="24"/>
      <c r="S72" s="24"/>
      <c r="T72" s="24"/>
      <c r="U72" s="24"/>
      <c r="V72" s="24"/>
      <c r="W72" s="24"/>
      <c r="X72" s="24"/>
    </row>
    <row r="73">
      <c r="B73" s="24" t="b">
        <f>IFERROR(__xludf.DUMMYFUNCTION("""COMPUTED_VALUE"""),FALSE)</f>
        <v>0</v>
      </c>
      <c r="C73" s="18" t="str">
        <f>IFERROR(__xludf.DUMMYFUNCTION("""COMPUTED_VALUE"""),"Trip.com")</f>
        <v>Trip.com</v>
      </c>
      <c r="D73" s="5">
        <f>IFERROR(__xludf.DUMMYFUNCTION("""COMPUTED_VALUE"""),10.0)</f>
        <v>10</v>
      </c>
      <c r="E73" s="19">
        <f>IFERROR(__xludf.DUMMYFUNCTION("""COMPUTED_VALUE"""),46107.0)</f>
        <v>46107</v>
      </c>
      <c r="F73"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73" s="24"/>
      <c r="H73" s="5"/>
      <c r="I73"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73" s="5" t="str">
        <f>IFERROR(__xludf.DUMMYFUNCTION("""COMPUTED_VALUE"""),"")</f>
        <v/>
      </c>
      <c r="K73" s="24" t="str">
        <f>IFERROR(__xludf.DUMMYFUNCTION("""COMPUTED_VALUE"""),"")</f>
        <v/>
      </c>
      <c r="L73" s="24" t="str">
        <f>IFERROR(__xludf.DUMMYFUNCTION("""COMPUTED_VALUE"""),"ゲ‍ス‍ト")</f>
        <v>ゲ‍ス‍ト</v>
      </c>
      <c r="N73" s="24"/>
      <c r="O73" s="24"/>
      <c r="P73" s="24"/>
      <c r="Q73" s="24"/>
      <c r="R73" s="24"/>
      <c r="S73" s="24"/>
      <c r="T73" s="24"/>
      <c r="U73" s="24"/>
      <c r="V73" s="24"/>
      <c r="W73" s="24"/>
      <c r="X73" s="24"/>
    </row>
    <row r="74">
      <c r="B74" s="24" t="b">
        <f>IFERROR(__xludf.DUMMYFUNCTION("""COMPUTED_VALUE"""),FALSE)</f>
        <v>0</v>
      </c>
      <c r="C74" s="18" t="str">
        <f>IFERROR(__xludf.DUMMYFUNCTION("""COMPUTED_VALUE"""),"Trip.com")</f>
        <v>Trip.com</v>
      </c>
      <c r="D74" s="5">
        <f>IFERROR(__xludf.DUMMYFUNCTION("""COMPUTED_VALUE"""),10.0)</f>
        <v>10</v>
      </c>
      <c r="E74" s="19">
        <f>IFERROR(__xludf.DUMMYFUNCTION("""COMPUTED_VALUE"""),46107.0)</f>
        <v>46107</v>
      </c>
      <c r="F74"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74" s="24"/>
      <c r="H74" s="5"/>
      <c r="I74"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74" s="5" t="str">
        <f>IFERROR(__xludf.DUMMYFUNCTION("""COMPUTED_VALUE"""),"")</f>
        <v/>
      </c>
      <c r="K74" s="24" t="str">
        <f>IFERROR(__xludf.DUMMYFUNCTION("""COMPUTED_VALUE"""),"")</f>
        <v/>
      </c>
      <c r="L74" s="24" t="str">
        <f>IFERROR(__xludf.DUMMYFUNCTION("""COMPUTED_VALUE"""),"匿‍名‍ユ‍ー‍ザ‍ー")</f>
        <v>匿‍名‍ユ‍ー‍ザ‍ー</v>
      </c>
      <c r="N74" s="24"/>
      <c r="O74" s="24"/>
      <c r="P74" s="24"/>
      <c r="Q74" s="24"/>
      <c r="R74" s="24"/>
      <c r="S74" s="24"/>
      <c r="T74" s="24"/>
      <c r="U74" s="24"/>
      <c r="V74" s="24"/>
      <c r="W74" s="24"/>
      <c r="X74" s="24"/>
    </row>
    <row r="75">
      <c r="B75" s="24" t="b">
        <f>IFERROR(__xludf.DUMMYFUNCTION("""COMPUTED_VALUE"""),FALSE)</f>
        <v>0</v>
      </c>
      <c r="C75" s="18" t="str">
        <f>IFERROR(__xludf.DUMMYFUNCTION("""COMPUTED_VALUE"""),"Booking.com")</f>
        <v>Booking.com</v>
      </c>
      <c r="D75" s="5">
        <f>IFERROR(__xludf.DUMMYFUNCTION("""COMPUTED_VALUE"""),10.0)</f>
        <v>10</v>
      </c>
      <c r="E75" s="19">
        <f>IFERROR(__xludf.DUMMYFUNCTION("""COMPUTED_VALUE"""),46107.0)</f>
        <v>46107</v>
      </c>
      <c r="F75" s="5"/>
      <c r="G75" s="24"/>
      <c r="H75" s="5"/>
      <c r="I75" s="5" t="str">
        <f>IFERROR(__xludf.DUMMYFUNCTION("""COMPUTED_VALUE"""),"")</f>
        <v/>
      </c>
      <c r="J75" s="5" t="str">
        <f>IFERROR(__xludf.DUMMYFUNCTION("""COMPUTED_VALUE"""),"")</f>
        <v/>
      </c>
      <c r="K75" s="24" t="str">
        <f>IFERROR(__xludf.DUMMYFUNCTION("""COMPUTED_VALUE"""),"")</f>
        <v/>
      </c>
      <c r="L75" s="24" t="str">
        <f>IFERROR(__xludf.DUMMYFUNCTION("""COMPUTED_VALUE"""),"Liyu")</f>
        <v>Liyu</v>
      </c>
      <c r="N75" s="24"/>
      <c r="O75" s="24"/>
      <c r="P75" s="24"/>
      <c r="Q75" s="24"/>
      <c r="R75" s="24"/>
      <c r="S75" s="24"/>
      <c r="T75" s="24"/>
      <c r="U75" s="24"/>
      <c r="V75" s="24"/>
      <c r="W75" s="24"/>
      <c r="X75" s="24"/>
    </row>
    <row r="76">
      <c r="B76" s="24" t="b">
        <f>IFERROR(__xludf.DUMMYFUNCTION("""COMPUTED_VALUE"""),FALSE)</f>
        <v>0</v>
      </c>
      <c r="C76" s="18" t="str">
        <f>IFERROR(__xludf.DUMMYFUNCTION("""COMPUTED_VALUE"""),"Trip.com")</f>
        <v>Trip.com</v>
      </c>
      <c r="D76" s="5">
        <f>IFERROR(__xludf.DUMMYFUNCTION("""COMPUTED_VALUE"""),9.0)</f>
        <v>9</v>
      </c>
      <c r="E76" s="19">
        <f>IFERROR(__xludf.DUMMYFUNCTION("""COMPUTED_VALUE"""),46107.0)</f>
        <v>46107</v>
      </c>
      <c r="F7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76" s="24"/>
      <c r="H76" s="5"/>
      <c r="I76"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76" s="5" t="str">
        <f>IFERROR(__xludf.DUMMYFUNCTION("""COMPUTED_VALUE"""),"")</f>
        <v/>
      </c>
      <c r="K76" s="24" t="str">
        <f>IFERROR(__xludf.DUMMYFUNCTION("""COMPUTED_VALUE"""),"")</f>
        <v/>
      </c>
      <c r="L76" s="24" t="str">
        <f>IFERROR(__xludf.DUMMYFUNCTION("""COMPUTED_VALUE"""),"み‍ゆ‍か")</f>
        <v>み‍ゆ‍か</v>
      </c>
      <c r="N76" s="24"/>
      <c r="O76" s="24"/>
      <c r="P76" s="24"/>
      <c r="Q76" s="24"/>
      <c r="R76" s="24"/>
      <c r="S76" s="24"/>
      <c r="T76" s="24"/>
      <c r="U76" s="24"/>
      <c r="V76" s="24"/>
      <c r="W76" s="24"/>
      <c r="X76" s="24"/>
    </row>
    <row r="77">
      <c r="B77" s="24" t="b">
        <f>IFERROR(__xludf.DUMMYFUNCTION("""COMPUTED_VALUE"""),FALSE)</f>
        <v>0</v>
      </c>
      <c r="C77" s="24" t="str">
        <f>IFERROR(__xludf.DUMMYFUNCTION("""COMPUTED_VALUE"""),"Google")</f>
        <v>Google</v>
      </c>
      <c r="D77" s="5">
        <f>IFERROR(__xludf.DUMMYFUNCTION("""COMPUTED_VALUE"""),5.0)</f>
        <v>5</v>
      </c>
      <c r="E77" s="19">
        <f>IFERROR(__xludf.DUMMYFUNCTION("""COMPUTED_VALUE"""),46106.0)</f>
        <v>46106</v>
      </c>
      <c r="F7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77" s="24"/>
      <c r="H77" s="5"/>
      <c r="I77"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77" s="5" t="str">
        <f>IFERROR(__xludf.DUMMYFUNCTION("""COMPUTED_VALUE"""),"")</f>
        <v/>
      </c>
      <c r="K77" s="24" t="str">
        <f>IFERROR(__xludf.DUMMYFUNCTION("""COMPUTED_VALUE"""),"")</f>
        <v/>
      </c>
      <c r="L77" s="24" t="str">
        <f>IFERROR(__xludf.DUMMYFUNCTION("""COMPUTED_VALUE"""),"Muay Arandyarak")</f>
        <v>Muay Arandyarak</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IFERROR(__xludf.DUMMYFUNCTION("""COMPUTED_VALUE"""),10.0)</f>
        <v>10</v>
      </c>
      <c r="E78" s="19">
        <f>IFERROR(__xludf.DUMMYFUNCTION("""COMPUTED_VALUE"""),46106.0)</f>
        <v>46106</v>
      </c>
      <c r="F78"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78" s="24"/>
      <c r="H78" s="5"/>
      <c r="I78"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78" s="5" t="str">
        <f>IFERROR(__xludf.DUMMYFUNCTION("""COMPUTED_VALUE"""),"")</f>
        <v/>
      </c>
      <c r="K78" s="24" t="str">
        <f>IFERROR(__xludf.DUMMYFUNCTION("""COMPUTED_VALUE"""),"")</f>
        <v/>
      </c>
      <c r="L78" s="24" t="str">
        <f>IFERROR(__xludf.DUMMYFUNCTION("""COMPUTED_VALUE"""),"A‍m‍y‍ ‍ ‍Ł‍î‍a‍o")</f>
        <v>A‍m‍y‍ ‍ ‍Ł‍î‍a‍o</v>
      </c>
      <c r="N78" s="24"/>
      <c r="O78" s="24"/>
      <c r="P78" s="24"/>
      <c r="Q78" s="24"/>
      <c r="R78" s="24"/>
      <c r="S78" s="24"/>
      <c r="T78" s="24"/>
      <c r="U78" s="24"/>
      <c r="V78" s="24"/>
      <c r="W78" s="24"/>
      <c r="X78" s="24"/>
    </row>
    <row r="79">
      <c r="B79" s="24" t="b">
        <f>IFERROR(__xludf.DUMMYFUNCTION("""COMPUTED_VALUE"""),FALSE)</f>
        <v>0</v>
      </c>
      <c r="C79" s="18" t="str">
        <f>IFERROR(__xludf.DUMMYFUNCTION("""COMPUTED_VALUE"""),"Trip.com")</f>
        <v>Trip.com</v>
      </c>
      <c r="D79" s="5">
        <f>IFERROR(__xludf.DUMMYFUNCTION("""COMPUTED_VALUE"""),7.0)</f>
        <v>7</v>
      </c>
      <c r="E79" s="19">
        <f>IFERROR(__xludf.DUMMYFUNCTION("""COMPUTED_VALUE"""),46106.0)</f>
        <v>46106</v>
      </c>
      <c r="F79" s="5" t="str">
        <f>IFERROR(__xludf.DUMMYFUNCTION("""COMPUTED_VALUE"""),"気持ちよく利用できました")</f>
        <v>気持ちよく利用できました</v>
      </c>
      <c r="G79" s="24"/>
      <c r="H79" s="5"/>
      <c r="I79" s="5" t="str">
        <f>IFERROR(__xludf.DUMMYFUNCTION("""COMPUTED_VALUE"""),"気持ちよく利用できました")</f>
        <v>気持ちよく利用できました</v>
      </c>
      <c r="J79" s="5" t="str">
        <f>IFERROR(__xludf.DUMMYFUNCTION("""COMPUTED_VALUE"""),"")</f>
        <v/>
      </c>
      <c r="K79" s="24" t="str">
        <f>IFERROR(__xludf.DUMMYFUNCTION("""COMPUTED_VALUE"""),"")</f>
        <v/>
      </c>
      <c r="L79" s="24" t="str">
        <f>IFERROR(__xludf.DUMMYFUNCTION("""COMPUTED_VALUE"""),"ゲ‍ス‍ト")</f>
        <v>ゲ‍ス‍ト</v>
      </c>
      <c r="N79" s="24"/>
      <c r="O79" s="24"/>
      <c r="P79" s="24"/>
      <c r="Q79" s="24"/>
      <c r="R79" s="24"/>
      <c r="S79" s="24"/>
      <c r="T79" s="24"/>
      <c r="U79" s="24"/>
      <c r="V79" s="24"/>
      <c r="W79" s="24"/>
      <c r="X79" s="24"/>
    </row>
    <row r="80">
      <c r="B80" s="24" t="b">
        <f>IFERROR(__xludf.DUMMYFUNCTION("""COMPUTED_VALUE"""),FALSE)</f>
        <v>0</v>
      </c>
      <c r="C80" s="18" t="str">
        <f>IFERROR(__xludf.DUMMYFUNCTION("""COMPUTED_VALUE"""),"Booking.com")</f>
        <v>Booking.com</v>
      </c>
      <c r="D80" s="5">
        <f>IFERROR(__xludf.DUMMYFUNCTION("""COMPUTED_VALUE"""),10.0)</f>
        <v>10</v>
      </c>
      <c r="E80" s="19">
        <f>IFERROR(__xludf.DUMMYFUNCTION("""COMPUTED_VALUE"""),46106.0)</f>
        <v>46106</v>
      </c>
      <c r="F80" s="5"/>
      <c r="G80" s="24" t="str">
        <f>IFERROR(__xludf.DUMMYFUNCTION("""COMPUTED_VALUE"""),"La proximité avec la gare, Le petit déjeuner, L'accueil et la gentillesse du personnel")</f>
        <v>La proximité avec la gare, Le petit déjeuner, L'accueil et la gentillesse du personnel</v>
      </c>
      <c r="H80" s="5"/>
      <c r="I80" s="5" t="str">
        <f>IFERROR(__xludf.DUMMYFUNCTION("""COMPUTED_VALUE"""),"")</f>
        <v/>
      </c>
      <c r="J80" s="5" t="str">
        <f>IFERROR(__xludf.DUMMYFUNCTION("""COMPUTED_VALUE"""),"駅に近いこと、朝食、スタッフの温かい歓迎と親切さ")</f>
        <v>駅に近いこと、朝食、スタッフの温かい歓迎と親切さ</v>
      </c>
      <c r="K80" s="24" t="str">
        <f>IFERROR(__xludf.DUMMYFUNCTION("""COMPUTED_VALUE"""),"")</f>
        <v/>
      </c>
      <c r="L80" s="24" t="str">
        <f>IFERROR(__xludf.DUMMYFUNCTION("""COMPUTED_VALUE"""),"Thomas")</f>
        <v>Thomas</v>
      </c>
    </row>
    <row r="81">
      <c r="B81" s="24" t="b">
        <f>IFERROR(__xludf.DUMMYFUNCTION("""COMPUTED_VALUE"""),FALSE)</f>
        <v>0</v>
      </c>
      <c r="C81" s="24" t="str">
        <f>IFERROR(__xludf.DUMMYFUNCTION("""COMPUTED_VALUE"""),"Google")</f>
        <v>Google</v>
      </c>
      <c r="D81" s="5">
        <f>IFERROR(__xludf.DUMMYFUNCTION("""COMPUTED_VALUE"""),5.0)</f>
        <v>5</v>
      </c>
      <c r="E81" s="25">
        <f>IFERROR(__xludf.DUMMYFUNCTION("""COMPUTED_VALUE"""),46106.0)</f>
        <v>46106</v>
      </c>
      <c r="F81"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81" s="24"/>
      <c r="H81" s="5"/>
      <c r="I81"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81" s="5" t="str">
        <f>IFERROR(__xludf.DUMMYFUNCTION("""COMPUTED_VALUE"""),"")</f>
        <v/>
      </c>
      <c r="K81" s="24" t="str">
        <f>IFERROR(__xludf.DUMMYFUNCTION("""COMPUTED_VALUE"""),"")</f>
        <v/>
      </c>
      <c r="L81" s="24" t="str">
        <f>IFERROR(__xludf.DUMMYFUNCTION("""COMPUTED_VALUE"""),"Muay Arandyarak")</f>
        <v>Muay Arandyarak</v>
      </c>
    </row>
    <row r="82">
      <c r="B82" s="24" t="b">
        <f>IFERROR(__xludf.DUMMYFUNCTION("""COMPUTED_VALUE"""),FALSE)</f>
        <v>0</v>
      </c>
      <c r="C82" s="18" t="str">
        <f>IFERROR(__xludf.DUMMYFUNCTION("""COMPUTED_VALUE"""),"Booking.com")</f>
        <v>Booking.com</v>
      </c>
      <c r="D82" s="5">
        <f>IFERROR(__xludf.DUMMYFUNCTION("""COMPUTED_VALUE"""),10.0)</f>
        <v>10</v>
      </c>
      <c r="E82" s="25">
        <f>IFERROR(__xludf.DUMMYFUNCTION("""COMPUTED_VALUE"""),46105.0)</f>
        <v>46105</v>
      </c>
      <c r="F82" s="24"/>
      <c r="G82"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82" s="5"/>
      <c r="I82" s="5" t="str">
        <f>IFERROR(__xludf.DUMMYFUNCTION("""COMPUTED_VALUE"""),"")</f>
        <v/>
      </c>
      <c r="J82"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82" s="24" t="str">
        <f>IFERROR(__xludf.DUMMYFUNCTION("""COMPUTED_VALUE"""),"")</f>
        <v/>
      </c>
      <c r="L82" s="24" t="str">
        <f>IFERROR(__xludf.DUMMYFUNCTION("""COMPUTED_VALUE"""),"Aleksandr")</f>
        <v>Aleksandr</v>
      </c>
    </row>
    <row r="83">
      <c r="B83" s="24" t="b">
        <f>IFERROR(__xludf.DUMMYFUNCTION("""COMPUTED_VALUE"""),FALSE)</f>
        <v>0</v>
      </c>
      <c r="C83" s="18" t="str">
        <f>IFERROR(__xludf.DUMMYFUNCTION("""COMPUTED_VALUE"""),"Booking.com")</f>
        <v>Booking.com</v>
      </c>
      <c r="D83" s="5">
        <f>IFERROR(__xludf.DUMMYFUNCTION("""COMPUTED_VALUE"""),10.0)</f>
        <v>10</v>
      </c>
      <c r="E83" s="25">
        <f>IFERROR(__xludf.DUMMYFUNCTION("""COMPUTED_VALUE"""),46105.0)</f>
        <v>46105</v>
      </c>
      <c r="F83" s="24"/>
      <c r="G83" s="24"/>
      <c r="H83" s="5"/>
      <c r="I83" s="5" t="str">
        <f>IFERROR(__xludf.DUMMYFUNCTION("""COMPUTED_VALUE"""),"")</f>
        <v/>
      </c>
      <c r="J83" s="5" t="str">
        <f>IFERROR(__xludf.DUMMYFUNCTION("""COMPUTED_VALUE"""),"")</f>
        <v/>
      </c>
      <c r="K83" s="24" t="str">
        <f>IFERROR(__xludf.DUMMYFUNCTION("""COMPUTED_VALUE"""),"")</f>
        <v/>
      </c>
      <c r="L83" s="24" t="str">
        <f>IFERROR(__xludf.DUMMYFUNCTION("""COMPUTED_VALUE"""),"江口")</f>
        <v>江口</v>
      </c>
    </row>
    <row r="84">
      <c r="B84" s="24" t="b">
        <f>IFERROR(__xludf.DUMMYFUNCTION("""COMPUTED_VALUE"""),FALSE)</f>
        <v>0</v>
      </c>
      <c r="C84" s="18" t="str">
        <f>IFERROR(__xludf.DUMMYFUNCTION("""COMPUTED_VALUE"""),"Trip.com")</f>
        <v>Trip.com</v>
      </c>
      <c r="D84" s="24">
        <f>IFERROR(__xludf.DUMMYFUNCTION("""COMPUTED_VALUE"""),10.0)</f>
        <v>10</v>
      </c>
      <c r="E84" s="25">
        <f>IFERROR(__xludf.DUMMYFUNCTION("""COMPUTED_VALUE"""),46104.0)</f>
        <v>46104</v>
      </c>
      <c r="F84" s="24" t="str">
        <f>IFERROR(__xludf.DUMMYFUNCTION("""COMPUTED_VALUE"""),"酒店員工服務態度良好，房間乾淨企理。整體不錯。")</f>
        <v>酒店員工服務態度良好，房間乾淨企理。整體不錯。</v>
      </c>
      <c r="G84" s="24"/>
      <c r="H84" s="5"/>
      <c r="I84"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84" s="5" t="str">
        <f>IFERROR(__xludf.DUMMYFUNCTION("""COMPUTED_VALUE"""),"")</f>
        <v/>
      </c>
      <c r="K84" s="24" t="str">
        <f>IFERROR(__xludf.DUMMYFUNCTION("""COMPUTED_VALUE"""),"")</f>
        <v/>
      </c>
      <c r="L84" s="24" t="str">
        <f>IFERROR(__xludf.DUMMYFUNCTION("""COMPUTED_VALUE"""),"ゲ‍ス‍ト")</f>
        <v>ゲ‍ス‍ト</v>
      </c>
    </row>
    <row r="85">
      <c r="B85" s="24" t="b">
        <f>IFERROR(__xludf.DUMMYFUNCTION("""COMPUTED_VALUE"""),FALSE)</f>
        <v>0</v>
      </c>
      <c r="C85" s="18" t="str">
        <f>IFERROR(__xludf.DUMMYFUNCTION("""COMPUTED_VALUE"""),"Booking.com")</f>
        <v>Booking.com</v>
      </c>
      <c r="D85" s="24">
        <f>IFERROR(__xludf.DUMMYFUNCTION("""COMPUTED_VALUE"""),9.0)</f>
        <v>9</v>
      </c>
      <c r="E85" s="25">
        <f>IFERROR(__xludf.DUMMYFUNCTION("""COMPUTED_VALUE"""),46104.0)</f>
        <v>46104</v>
      </c>
      <c r="F85" s="24"/>
      <c r="G85" s="24" t="str">
        <f>IFERROR(__xludf.DUMMYFUNCTION("""COMPUTED_VALUE"""),"部屋が広い、風呂が洗い場が別で、使い良い")</f>
        <v>部屋が広い、風呂が洗い場が別で、使い良い</v>
      </c>
      <c r="H85" s="5" t="str">
        <f>IFERROR(__xludf.DUMMYFUNCTION("""COMPUTED_VALUE"""),"無し")</f>
        <v>無し</v>
      </c>
      <c r="I85" s="5" t="str">
        <f>IFERROR(__xludf.DUMMYFUNCTION("""COMPUTED_VALUE"""),"")</f>
        <v/>
      </c>
      <c r="J85" s="5" t="str">
        <f>IFERROR(__xludf.DUMMYFUNCTION("""COMPUTED_VALUE"""),"部屋が広い、風呂が洗い場が別で、使い良い")</f>
        <v>部屋が広い、風呂が洗い場が別で、使い良い</v>
      </c>
      <c r="K85" s="24" t="str">
        <f>IFERROR(__xludf.DUMMYFUNCTION("""COMPUTED_VALUE"""),"無し")</f>
        <v>無し</v>
      </c>
      <c r="L85" s="24" t="str">
        <f>IFERROR(__xludf.DUMMYFUNCTION("""COMPUTED_VALUE"""),"Seiichi")</f>
        <v>Seiichi</v>
      </c>
    </row>
    <row r="86">
      <c r="B86" s="24" t="b">
        <f>IFERROR(__xludf.DUMMYFUNCTION("""COMPUTED_VALUE"""),FALSE)</f>
        <v>0</v>
      </c>
      <c r="C86" s="18" t="str">
        <f>IFERROR(__xludf.DUMMYFUNCTION("""COMPUTED_VALUE"""),"Booking.com")</f>
        <v>Booking.com</v>
      </c>
      <c r="D86" s="24">
        <f>IFERROR(__xludf.DUMMYFUNCTION("""COMPUTED_VALUE"""),8.0)</f>
        <v>8</v>
      </c>
      <c r="E86" s="25">
        <f>IFERROR(__xludf.DUMMYFUNCTION("""COMPUTED_VALUE"""),46104.0)</f>
        <v>46104</v>
      </c>
      <c r="F86" s="24"/>
      <c r="G86" s="24" t="str">
        <f>IFERROR(__xludf.DUMMYFUNCTION("""COMPUTED_VALUE"""),"お風呂場が広くて快適だった。")</f>
        <v>お風呂場が広くて快適だった。</v>
      </c>
      <c r="H86" s="5" t="str">
        <f>IFERROR(__xludf.DUMMYFUNCTION("""COMPUTED_VALUE"""),"特になし")</f>
        <v>特になし</v>
      </c>
      <c r="I86" s="5" t="str">
        <f>IFERROR(__xludf.DUMMYFUNCTION("""COMPUTED_VALUE"""),"")</f>
        <v/>
      </c>
      <c r="J86" s="5" t="str">
        <f>IFERROR(__xludf.DUMMYFUNCTION("""COMPUTED_VALUE"""),"お風呂場が広くて快適だった。")</f>
        <v>お風呂場が広くて快適だった。</v>
      </c>
      <c r="K86" s="24" t="str">
        <f>IFERROR(__xludf.DUMMYFUNCTION("""COMPUTED_VALUE"""),"特になし")</f>
        <v>特になし</v>
      </c>
      <c r="L86" s="24" t="str">
        <f>IFERROR(__xludf.DUMMYFUNCTION("""COMPUTED_VALUE"""),"H")</f>
        <v>H</v>
      </c>
    </row>
    <row r="87">
      <c r="B87" s="24" t="b">
        <f>IFERROR(__xludf.DUMMYFUNCTION("""COMPUTED_VALUE"""),FALSE)</f>
        <v>0</v>
      </c>
      <c r="C87" s="18" t="str">
        <f>IFERROR(__xludf.DUMMYFUNCTION("""COMPUTED_VALUE"""),"Booking.com")</f>
        <v>Booking.com</v>
      </c>
      <c r="D87" s="24">
        <f>IFERROR(__xludf.DUMMYFUNCTION("""COMPUTED_VALUE"""),9.0)</f>
        <v>9</v>
      </c>
      <c r="E87" s="25">
        <f>IFERROR(__xludf.DUMMYFUNCTION("""COMPUTED_VALUE"""),46104.0)</f>
        <v>46104</v>
      </c>
      <c r="F87" s="24"/>
      <c r="G87" s="24"/>
      <c r="H87" s="5"/>
      <c r="I87" s="5" t="str">
        <f>IFERROR(__xludf.DUMMYFUNCTION("""COMPUTED_VALUE"""),"")</f>
        <v/>
      </c>
      <c r="J87" s="5" t="str">
        <f>IFERROR(__xludf.DUMMYFUNCTION("""COMPUTED_VALUE"""),"")</f>
        <v/>
      </c>
      <c r="K87" s="24" t="str">
        <f>IFERROR(__xludf.DUMMYFUNCTION("""COMPUTED_VALUE"""),"")</f>
        <v/>
      </c>
      <c r="L87" s="24" t="str">
        <f>IFERROR(__xludf.DUMMYFUNCTION("""COMPUTED_VALUE"""),"Kc")</f>
        <v>Kc</v>
      </c>
    </row>
    <row r="88">
      <c r="B88" s="24" t="b">
        <f>IFERROR(__xludf.DUMMYFUNCTION("""COMPUTED_VALUE"""),FALSE)</f>
        <v>0</v>
      </c>
      <c r="C88" s="18" t="str">
        <f>IFERROR(__xludf.DUMMYFUNCTION("""COMPUTED_VALUE"""),"Trip.com")</f>
        <v>Trip.com</v>
      </c>
      <c r="D88" s="24">
        <f>IFERROR(__xludf.DUMMYFUNCTION("""COMPUTED_VALUE"""),8.0)</f>
        <v>8</v>
      </c>
      <c r="E88" s="25">
        <f>IFERROR(__xludf.DUMMYFUNCTION("""COMPUTED_VALUE"""),46103.0)</f>
        <v>46103</v>
      </c>
      <c r="F88"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88" s="24"/>
      <c r="H88" s="5"/>
      <c r="I88"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88" s="5" t="str">
        <f>IFERROR(__xludf.DUMMYFUNCTION("""COMPUTED_VALUE"""),"")</f>
        <v/>
      </c>
      <c r="K88" s="24" t="str">
        <f>IFERROR(__xludf.DUMMYFUNCTION("""COMPUTED_VALUE"""),"")</f>
        <v/>
      </c>
      <c r="L88" s="24" t="str">
        <f>IFERROR(__xludf.DUMMYFUNCTION("""COMPUTED_VALUE"""),"O‍w‍s‍ ‍O‍w‍l‍s")</f>
        <v>O‍w‍s‍ ‍O‍w‍l‍s</v>
      </c>
    </row>
    <row r="89">
      <c r="B89" s="24" t="b">
        <f>IFERROR(__xludf.DUMMYFUNCTION("""COMPUTED_VALUE"""),FALSE)</f>
        <v>0</v>
      </c>
      <c r="C89" s="18" t="str">
        <f>IFERROR(__xludf.DUMMYFUNCTION("""COMPUTED_VALUE"""),"Booking.com")</f>
        <v>Booking.com</v>
      </c>
      <c r="D89" s="24">
        <f>IFERROR(__xludf.DUMMYFUNCTION("""COMPUTED_VALUE"""),10.0)</f>
        <v>10</v>
      </c>
      <c r="E89" s="25">
        <f>IFERROR(__xludf.DUMMYFUNCTION("""COMPUTED_VALUE"""),46103.0)</f>
        <v>46103</v>
      </c>
      <c r="F89" s="24"/>
      <c r="G89"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89" s="24"/>
      <c r="I89" s="5" t="str">
        <f>IFERROR(__xludf.DUMMYFUNCTION("""COMPUTED_VALUE"""),"")</f>
        <v/>
      </c>
      <c r="J89"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89" s="24" t="str">
        <f>IFERROR(__xludf.DUMMYFUNCTION("""COMPUTED_VALUE"""),"")</f>
        <v/>
      </c>
      <c r="L89" s="24" t="str">
        <f>IFERROR(__xludf.DUMMYFUNCTION("""COMPUTED_VALUE"""),"Celia")</f>
        <v>Celia</v>
      </c>
    </row>
    <row r="90">
      <c r="B90" s="24" t="b">
        <f>IFERROR(__xludf.DUMMYFUNCTION("""COMPUTED_VALUE"""),FALSE)</f>
        <v>0</v>
      </c>
      <c r="C90" s="24" t="str">
        <f>IFERROR(__xludf.DUMMYFUNCTION("""COMPUTED_VALUE"""),"Google")</f>
        <v>Google</v>
      </c>
      <c r="D90" s="24">
        <f>IFERROR(__xludf.DUMMYFUNCTION("""COMPUTED_VALUE"""),5.0)</f>
        <v>5</v>
      </c>
      <c r="E90" s="25">
        <f>IFERROR(__xludf.DUMMYFUNCTION("""COMPUTED_VALUE"""),46103.0)</f>
        <v>46103</v>
      </c>
      <c r="F90" s="24" t="str">
        <f>IFERROR(__xludf.DUMMYFUNCTION("""COMPUTED_VALUE"""),"駅やショッピングエリアからはまだ少し距離があります。")</f>
        <v>駅やショッピングエリアからはまだ少し距離があります。</v>
      </c>
      <c r="G90" s="24"/>
      <c r="H90" s="24"/>
      <c r="I90" s="5" t="str">
        <f>IFERROR(__xludf.DUMMYFUNCTION("""COMPUTED_VALUE"""),"駅やショッピングエリアからはまだ少し距離があります。")</f>
        <v>駅やショッピングエリアからはまだ少し距離があります。</v>
      </c>
      <c r="J90" s="5" t="str">
        <f>IFERROR(__xludf.DUMMYFUNCTION("""COMPUTED_VALUE"""),"")</f>
        <v/>
      </c>
      <c r="K90" s="24" t="str">
        <f>IFERROR(__xludf.DUMMYFUNCTION("""COMPUTED_VALUE"""),"")</f>
        <v/>
      </c>
      <c r="L90" s="24" t="str">
        <f>IFERROR(__xludf.DUMMYFUNCTION("""COMPUTED_VALUE"""),"Aj KouNaMi")</f>
        <v>Aj KouNaMi</v>
      </c>
    </row>
    <row r="91">
      <c r="B91" s="24" t="b">
        <f>IFERROR(__xludf.DUMMYFUNCTION("""COMPUTED_VALUE"""),FALSE)</f>
        <v>0</v>
      </c>
      <c r="C91" s="18" t="str">
        <f>IFERROR(__xludf.DUMMYFUNCTION("""COMPUTED_VALUE"""),"Trip.com")</f>
        <v>Trip.com</v>
      </c>
      <c r="D91" s="24">
        <f>IFERROR(__xludf.DUMMYFUNCTION("""COMPUTED_VALUE"""),9.0)</f>
        <v>9</v>
      </c>
      <c r="E91" s="25">
        <f>IFERROR(__xludf.DUMMYFUNCTION("""COMPUTED_VALUE"""),46103.0)</f>
        <v>46103</v>
      </c>
      <c r="F91"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91" s="24"/>
      <c r="H91" s="24"/>
      <c r="I91"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91" s="5" t="str">
        <f>IFERROR(__xludf.DUMMYFUNCTION("""COMPUTED_VALUE"""),"")</f>
        <v/>
      </c>
      <c r="K91" s="24" t="str">
        <f>IFERROR(__xludf.DUMMYFUNCTION("""COMPUTED_VALUE"""),"")</f>
        <v/>
      </c>
      <c r="L91" s="24" t="str">
        <f>IFERROR(__xludf.DUMMYFUNCTION("""COMPUTED_VALUE"""),"A‍n‍n‍(‍*‍¯‍︶‍¯‍*‍)")</f>
        <v>A‍n‍n‍(‍*‍¯‍︶‍¯‍*‍)</v>
      </c>
    </row>
    <row r="92">
      <c r="B92" s="24" t="b">
        <f>IFERROR(__xludf.DUMMYFUNCTION("""COMPUTED_VALUE"""),FALSE)</f>
        <v>0</v>
      </c>
      <c r="C92" s="24" t="str">
        <f>IFERROR(__xludf.DUMMYFUNCTION("""COMPUTED_VALUE"""),"Google")</f>
        <v>Google</v>
      </c>
      <c r="D92" s="24">
        <f>IFERROR(__xludf.DUMMYFUNCTION("""COMPUTED_VALUE"""),5.0)</f>
        <v>5</v>
      </c>
      <c r="E92" s="25">
        <f>IFERROR(__xludf.DUMMYFUNCTION("""COMPUTED_VALUE"""),46103.0)</f>
        <v>46103</v>
      </c>
      <c r="F92" s="24" t="str">
        <f>IFERROR(__xludf.DUMMYFUNCTION("""COMPUTED_VALUE"""),"距離車站還有逛街地點還是有點距離")</f>
        <v>距離車站還有逛街地點還是有點距離</v>
      </c>
      <c r="G92" s="24"/>
      <c r="H92" s="24"/>
      <c r="I92" s="5" t="str">
        <f>IFERROR(__xludf.DUMMYFUNCTION("""COMPUTED_VALUE"""),"駅やショッピングエリアからはまだ少し距離があります。")</f>
        <v>駅やショッピングエリアからはまだ少し距離があります。</v>
      </c>
      <c r="J92" s="5" t="str">
        <f>IFERROR(__xludf.DUMMYFUNCTION("""COMPUTED_VALUE"""),"")</f>
        <v/>
      </c>
      <c r="K92" s="24" t="str">
        <f>IFERROR(__xludf.DUMMYFUNCTION("""COMPUTED_VALUE"""),"")</f>
        <v/>
      </c>
      <c r="L92" s="24" t="str">
        <f>IFERROR(__xludf.DUMMYFUNCTION("""COMPUTED_VALUE"""),"Aj KouNaMi")</f>
        <v>Aj KouNaMi</v>
      </c>
    </row>
    <row r="93">
      <c r="B93" s="24" t="b">
        <f>IFERROR(__xludf.DUMMYFUNCTION("""COMPUTED_VALUE"""),FALSE)</f>
        <v>0</v>
      </c>
      <c r="C93" s="18" t="str">
        <f>IFERROR(__xludf.DUMMYFUNCTION("""COMPUTED_VALUE"""),"Trip.com")</f>
        <v>Trip.com</v>
      </c>
      <c r="D93" s="24">
        <f>IFERROR(__xludf.DUMMYFUNCTION("""COMPUTED_VALUE"""),9.0)</f>
        <v>9</v>
      </c>
      <c r="E93" s="25">
        <f>IFERROR(__xludf.DUMMYFUNCTION("""COMPUTED_VALUE"""),46102.0)</f>
        <v>46102</v>
      </c>
      <c r="F93"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93" s="24"/>
      <c r="H93" s="24"/>
      <c r="I93"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93" s="5" t="str">
        <f>IFERROR(__xludf.DUMMYFUNCTION("""COMPUTED_VALUE"""),"")</f>
        <v/>
      </c>
      <c r="K93" s="24" t="str">
        <f>IFERROR(__xludf.DUMMYFUNCTION("""COMPUTED_VALUE"""),"")</f>
        <v/>
      </c>
      <c r="L93" s="24" t="str">
        <f>IFERROR(__xludf.DUMMYFUNCTION("""COMPUTED_VALUE"""),"ゲ‍ス‍ト")</f>
        <v>ゲ‍ス‍ト</v>
      </c>
    </row>
    <row r="94">
      <c r="B94" s="24" t="b">
        <f>IFERROR(__xludf.DUMMYFUNCTION("""COMPUTED_VALUE"""),FALSE)</f>
        <v>0</v>
      </c>
      <c r="C94" s="18" t="str">
        <f>IFERROR(__xludf.DUMMYFUNCTION("""COMPUTED_VALUE"""),"Trip.com")</f>
        <v>Trip.com</v>
      </c>
      <c r="D94" s="24">
        <f>IFERROR(__xludf.DUMMYFUNCTION("""COMPUTED_VALUE"""),10.0)</f>
        <v>10</v>
      </c>
      <c r="E94" s="25">
        <f>IFERROR(__xludf.DUMMYFUNCTION("""COMPUTED_VALUE"""),46102.0)</f>
        <v>46102</v>
      </c>
      <c r="F94"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94" s="24"/>
      <c r="H94" s="24"/>
      <c r="I94"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94" s="5" t="str">
        <f>IFERROR(__xludf.DUMMYFUNCTION("""COMPUTED_VALUE"""),"")</f>
        <v/>
      </c>
      <c r="K94" s="24" t="str">
        <f>IFERROR(__xludf.DUMMYFUNCTION("""COMPUTED_VALUE"""),"")</f>
        <v/>
      </c>
      <c r="L94" s="24" t="str">
        <f>IFERROR(__xludf.DUMMYFUNCTION("""COMPUTED_VALUE"""),"ゲ‍ス‍ト")</f>
        <v>ゲ‍ス‍ト</v>
      </c>
    </row>
    <row r="95">
      <c r="B95" s="24" t="b">
        <f>IFERROR(__xludf.DUMMYFUNCTION("""COMPUTED_VALUE"""),FALSE)</f>
        <v>0</v>
      </c>
      <c r="C95" s="18" t="str">
        <f>IFERROR(__xludf.DUMMYFUNCTION("""COMPUTED_VALUE"""),"Trip.com")</f>
        <v>Trip.com</v>
      </c>
      <c r="D95" s="24">
        <f>IFERROR(__xludf.DUMMYFUNCTION("""COMPUTED_VALUE"""),10.0)</f>
        <v>10</v>
      </c>
      <c r="E95" s="25">
        <f>IFERROR(__xludf.DUMMYFUNCTION("""COMPUTED_VALUE"""),46101.0)</f>
        <v>46101</v>
      </c>
      <c r="F95" s="24" t="str">
        <f>IFERROR(__xludf.DUMMYFUNCTION("""COMPUTED_VALUE"""),"房間大 乾淨 有乾濕分離")</f>
        <v>房間大 乾淨 有乾濕分離</v>
      </c>
      <c r="G95" s="24"/>
      <c r="H95" s="24"/>
      <c r="I95" s="5" t="str">
        <f>IFERROR(__xludf.DUMMYFUNCTION("""COMPUTED_VALUE"""),"部屋は広くて清潔で、濡れた場所と乾いた場所が分かれている。")</f>
        <v>部屋は広くて清潔で、濡れた場所と乾いた場所が分かれている。</v>
      </c>
      <c r="J95" s="5" t="str">
        <f>IFERROR(__xludf.DUMMYFUNCTION("""COMPUTED_VALUE"""),"")</f>
        <v/>
      </c>
      <c r="K95" s="24" t="str">
        <f>IFERROR(__xludf.DUMMYFUNCTION("""COMPUTED_VALUE"""),"")</f>
        <v/>
      </c>
      <c r="L95" s="24" t="str">
        <f>IFERROR(__xludf.DUMMYFUNCTION("""COMPUTED_VALUE"""),"ゲ‍ス‍ト")</f>
        <v>ゲ‍ス‍ト</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IFERROR(__xludf.DUMMYFUNCTION("""COMPUTED_VALUE"""),46101.0)</f>
        <v>46101</v>
      </c>
      <c r="F96" s="24" t="str">
        <f>IFERROR(__xludf.DUMMYFUNCTION("""COMPUTED_VALUE"""),"Perfect location and room size for a family of 4. Highly recommended")</f>
        <v>Perfect location and room size for a family of 4. Highly recommended</v>
      </c>
      <c r="G96" s="24"/>
      <c r="H96" s="24"/>
      <c r="I96" s="5" t="str">
        <f>IFERROR(__xludf.DUMMYFUNCTION("""COMPUTED_VALUE"""),"4人家族に最適な立地と部屋の広さ。非常におすすめです。")</f>
        <v>4人家族に最適な立地と部屋の広さ。非常におすすめです。</v>
      </c>
      <c r="J96" s="5" t="str">
        <f>IFERROR(__xludf.DUMMYFUNCTION("""COMPUTED_VALUE"""),"")</f>
        <v/>
      </c>
      <c r="K96" s="24" t="str">
        <f>IFERROR(__xludf.DUMMYFUNCTION("""COMPUTED_VALUE"""),"")</f>
        <v/>
      </c>
      <c r="L96" s="24" t="str">
        <f>IFERROR(__xludf.DUMMYFUNCTION("""COMPUTED_VALUE"""),"R‍i‍c‍k‍y‍ ‍S‍u‍t‍a‍n‍t‍o")</f>
        <v>R‍i‍c‍k‍y‍ ‍S‍u‍t‍a‍n‍t‍o</v>
      </c>
    </row>
    <row r="97">
      <c r="B97" s="24" t="b">
        <f>IFERROR(__xludf.DUMMYFUNCTION("""COMPUTED_VALUE"""),FALSE)</f>
        <v>0</v>
      </c>
      <c r="C97" s="24" t="str">
        <f>IFERROR(__xludf.DUMMYFUNCTION("""COMPUTED_VALUE"""),"Google")</f>
        <v>Google</v>
      </c>
      <c r="D97" s="24">
        <f>IFERROR(__xludf.DUMMYFUNCTION("""COMPUTED_VALUE"""),4.0)</f>
        <v>4</v>
      </c>
      <c r="E97" s="25">
        <f>IFERROR(__xludf.DUMMYFUNCTION("""COMPUTED_VALUE"""),46101.0)</f>
        <v>46101</v>
      </c>
      <c r="F97" s="24"/>
      <c r="G97" s="24"/>
      <c r="H97" s="24"/>
      <c r="I97" s="5" t="str">
        <f>IFERROR(__xludf.DUMMYFUNCTION("""COMPUTED_VALUE"""),"")</f>
        <v/>
      </c>
      <c r="J97" s="5" t="str">
        <f>IFERROR(__xludf.DUMMYFUNCTION("""COMPUTED_VALUE"""),"")</f>
        <v/>
      </c>
      <c r="K97" s="24" t="str">
        <f>IFERROR(__xludf.DUMMYFUNCTION("""COMPUTED_VALUE"""),"")</f>
        <v/>
      </c>
      <c r="L97" s="24" t="str">
        <f>IFERROR(__xludf.DUMMYFUNCTION("""COMPUTED_VALUE"""),"印藤泉")</f>
        <v>印藤泉</v>
      </c>
    </row>
    <row r="98">
      <c r="B98" s="24" t="b">
        <f>IFERROR(__xludf.DUMMYFUNCTION("""COMPUTED_VALUE"""),FALSE)</f>
        <v>0</v>
      </c>
      <c r="C98" s="18" t="str">
        <f>IFERROR(__xludf.DUMMYFUNCTION("""COMPUTED_VALUE"""),"Trip.com")</f>
        <v>Trip.com</v>
      </c>
      <c r="D98" s="24">
        <f>IFERROR(__xludf.DUMMYFUNCTION("""COMPUTED_VALUE"""),10.0)</f>
        <v>10</v>
      </c>
      <c r="E98" s="25">
        <f>IFERROR(__xludf.DUMMYFUNCTION("""COMPUTED_VALUE"""),46101.0)</f>
        <v>46101</v>
      </c>
      <c r="F98"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98" s="24"/>
      <c r="H98" s="24"/>
      <c r="I98"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98" s="5" t="str">
        <f>IFERROR(__xludf.DUMMYFUNCTION("""COMPUTED_VALUE"""),"")</f>
        <v/>
      </c>
      <c r="K98" s="24" t="str">
        <f>IFERROR(__xludf.DUMMYFUNCTION("""COMPUTED_VALUE"""),"")</f>
        <v/>
      </c>
      <c r="L98" s="24" t="str">
        <f>IFERROR(__xludf.DUMMYFUNCTION("""COMPUTED_VALUE"""),"吳‍思‍宏")</f>
        <v>吳‍思‍宏</v>
      </c>
    </row>
    <row r="99">
      <c r="B99" s="24" t="b">
        <f>IFERROR(__xludf.DUMMYFUNCTION("""COMPUTED_VALUE"""),FALSE)</f>
        <v>0</v>
      </c>
      <c r="C99" s="18" t="str">
        <f>IFERROR(__xludf.DUMMYFUNCTION("""COMPUTED_VALUE"""),"Booking.com")</f>
        <v>Booking.com</v>
      </c>
      <c r="D99" s="24">
        <f>IFERROR(__xludf.DUMMYFUNCTION("""COMPUTED_VALUE"""),10.0)</f>
        <v>10</v>
      </c>
      <c r="E99" s="25">
        <f>IFERROR(__xludf.DUMMYFUNCTION("""COMPUTED_VALUE"""),46100.0)</f>
        <v>46100</v>
      </c>
      <c r="F99" s="24"/>
      <c r="G99" s="24" t="str">
        <f>IFERROR(__xludf.DUMMYFUNCTION("""COMPUTED_VALUE"""),"入り口の紅茶が良かった")</f>
        <v>入り口の紅茶が良かった</v>
      </c>
      <c r="H99" s="24"/>
      <c r="I99" s="5" t="str">
        <f>IFERROR(__xludf.DUMMYFUNCTION("""COMPUTED_VALUE"""),"")</f>
        <v/>
      </c>
      <c r="J99" s="5" t="str">
        <f>IFERROR(__xludf.DUMMYFUNCTION("""COMPUTED_VALUE"""),"入り口の紅茶が良かった")</f>
        <v>入り口の紅茶が良かった</v>
      </c>
      <c r="K99" s="24" t="str">
        <f>IFERROR(__xludf.DUMMYFUNCTION("""COMPUTED_VALUE"""),"")</f>
        <v/>
      </c>
      <c r="L99" s="24" t="str">
        <f>IFERROR(__xludf.DUMMYFUNCTION("""COMPUTED_VALUE"""),"Yuko")</f>
        <v>Yuko</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IFERROR(__xludf.DUMMYFUNCTION("""COMPUTED_VALUE"""),46100.0)</f>
        <v>46100</v>
      </c>
      <c r="F100" s="24" t="str">
        <f>IFERROR(__xludf.DUMMYFUNCTION("""COMPUTED_VALUE"""),"離地鐵站非常近，樓下化粧品自助，面膜自助非常棒，周邊吃，買都很方便")</f>
        <v>離地鐵站非常近，樓下化粧品自助，面膜自助非常棒，周邊吃，買都很方便</v>
      </c>
      <c r="G100" s="24"/>
      <c r="H100" s="24"/>
      <c r="I100"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00" s="5" t="str">
        <f>IFERROR(__xludf.DUMMYFUNCTION("""COMPUTED_VALUE"""),"")</f>
        <v/>
      </c>
      <c r="K100" s="24" t="str">
        <f>IFERROR(__xludf.DUMMYFUNCTION("""COMPUTED_VALUE"""),"")</f>
        <v/>
      </c>
      <c r="L100" s="24" t="str">
        <f>IFERROR(__xludf.DUMMYFUNCTION("""COMPUTED_VALUE"""),"ゲ‍ス‍ト")</f>
        <v>ゲ‍ス‍ト</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IFERROR(__xludf.DUMMYFUNCTION("""COMPUTED_VALUE"""),"Trip.com")</f>
        <v>Trip.com</v>
      </c>
      <c r="D101" s="24">
        <f>IFERROR(__xludf.DUMMYFUNCTION("""COMPUTED_VALUE"""),9.0)</f>
        <v>9</v>
      </c>
      <c r="E101" s="25">
        <f>IFERROR(__xludf.DUMMYFUNCTION("""COMPUTED_VALUE"""),46099.0)</f>
        <v>46099</v>
      </c>
      <c r="F101"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01" s="24"/>
      <c r="H101" s="24"/>
      <c r="I101"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01" s="5" t="str">
        <f>IFERROR(__xludf.DUMMYFUNCTION("""COMPUTED_VALUE"""),"")</f>
        <v/>
      </c>
      <c r="K101" s="24" t="str">
        <f>IFERROR(__xludf.DUMMYFUNCTION("""COMPUTED_VALUE"""),"")</f>
        <v/>
      </c>
      <c r="L101" s="24" t="str">
        <f>IFERROR(__xludf.DUMMYFUNCTION("""COMPUTED_VALUE"""),"み‍ゆ‍か")</f>
        <v>み‍ゆ‍か</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IFERROR(__xludf.DUMMYFUNCTION("""COMPUTED_VALUE"""),"朝食はまあまあだったが、種類が少なく、毎日同じものばかりだったので、数日もすれば飽きてしまうだろう。自動ワッフルメーカーはなかなか面白かった。")</f>
        <v>朝食はまあまあだったが、種類が少なく、毎日同じものばかりだったので、数日もすれば飽きてしまうだろう。自動ワッフルメーカーはなかなか面白かった。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IFERROR(__xludf.DUMMYFUNCTION("""COMPUTED_VALUE"""),"Trip.com")</f>
        <v>Trip.com</v>
      </c>
      <c r="D102" s="24">
        <f>IFERROR(__xludf.DUMMYFUNCTION("""COMPUTED_VALUE"""),10.0)</f>
        <v>10</v>
      </c>
      <c r="E102" s="25">
        <f>IFERROR(__xludf.DUMMYFUNCTION("""COMPUTED_VALUE"""),46098.0)</f>
        <v>46098</v>
      </c>
      <c r="F102" s="24" t="str">
        <f>IFERROR(__xludf.DUMMYFUNCTION("""COMPUTED_VALUE"""),"Wir waren sehr zufrieden 😃 Alles 👍. Kann ich nur weiterempfehlen")</f>
        <v>Wir waren sehr zufrieden 😃 Alles 👍. Kann ich nur weiterempfehlen</v>
      </c>
      <c r="G102" s="24"/>
      <c r="H102" s="24"/>
      <c r="I102" s="5" t="str">
        <f>IFERROR(__xludf.DUMMYFUNCTION("""COMPUTED_VALUE"""),"とても満足しました😃 全てが素晴らしかったです👍。ぜひお勧めします。")</f>
        <v>とても満足しました😃 全てが素晴らしかったです👍。ぜひお勧めします。</v>
      </c>
      <c r="J102" s="5" t="str">
        <f>IFERROR(__xludf.DUMMYFUNCTION("""COMPUTED_VALUE"""),"")</f>
        <v/>
      </c>
      <c r="K102" s="24" t="str">
        <f>IFERROR(__xludf.DUMMYFUNCTION("""COMPUTED_VALUE"""),"")</f>
        <v/>
      </c>
      <c r="L102" s="24" t="str">
        <f>IFERROR(__xludf.DUMMYFUNCTION("""COMPUTED_VALUE"""),"ゲ‍ス‍ト")</f>
        <v>ゲ‍ス‍ト</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IFERROR(__xludf.DUMMYFUNCTION("""COMPUTED_VALUE"""),"Booking.com")</f>
        <v>Booking.com</v>
      </c>
      <c r="D103" s="24">
        <f>IFERROR(__xludf.DUMMYFUNCTION("""COMPUTED_VALUE"""),10.0)</f>
        <v>10</v>
      </c>
      <c r="E103" s="25">
        <f>IFERROR(__xludf.DUMMYFUNCTION("""COMPUTED_VALUE"""),46098.0)</f>
        <v>46098</v>
      </c>
      <c r="F103" s="24"/>
      <c r="G103" s="24" t="str">
        <f>IFERROR(__xludf.DUMMYFUNCTION("""COMPUTED_VALUE"""),"Instalaciones cómodas , zona muy tranquila y relativamente cerca de una estación grande.")</f>
        <v>Instalaciones cómodas , zona muy tranquila y relativamente cerca de una estación grande.</v>
      </c>
      <c r="H103" s="24" t="str">
        <f>IFERROR(__xludf.DUMMYFUNCTION("""COMPUTED_VALUE"""),"Todo bien")</f>
        <v>Todo bien</v>
      </c>
      <c r="I103" s="5" t="str">
        <f>IFERROR(__xludf.DUMMYFUNCTION("""COMPUTED_VALUE"""),"")</f>
        <v/>
      </c>
      <c r="J103" s="5" t="str">
        <f>IFERROR(__xludf.DUMMYFUNCTION("""COMPUTED_VALUE"""),"快適な設備、非常に静かなエリア、そして大きな駅からも比較的近い。")</f>
        <v>快適な設備、非常に静かなエリア、そして大きな駅からも比較的近い。</v>
      </c>
      <c r="K103" s="24" t="str">
        <f>IFERROR(__xludf.DUMMYFUNCTION("""COMPUTED_VALUE"""),"すべて順調です")</f>
        <v>すべて順調です</v>
      </c>
      <c r="L103" s="24" t="str">
        <f>IFERROR(__xludf.DUMMYFUNCTION("""COMPUTED_VALUE"""),"Aylin")</f>
        <v>Aylin</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18" t="str">
        <f>IFERROR(__xludf.DUMMYFUNCTION("""COMPUTED_VALUE"""),"Trip.com")</f>
        <v>Trip.com</v>
      </c>
      <c r="D104" s="24">
        <f>IFERROR(__xludf.DUMMYFUNCTION("""COMPUTED_VALUE"""),10.0)</f>
        <v>10</v>
      </c>
      <c r="E104" s="25">
        <f>IFERROR(__xludf.DUMMYFUNCTION("""COMPUTED_VALUE"""),46098.0)</f>
        <v>46098</v>
      </c>
      <c r="F104"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04" s="24"/>
      <c r="H104" s="24"/>
      <c r="I104"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04" s="5" t="str">
        <f>IFERROR(__xludf.DUMMYFUNCTION("""COMPUTED_VALUE"""),"")</f>
        <v/>
      </c>
      <c r="K104" s="24" t="str">
        <f>IFERROR(__xludf.DUMMYFUNCTION("""COMPUTED_VALUE"""),"")</f>
        <v/>
      </c>
      <c r="L104" s="24" t="str">
        <f>IFERROR(__xludf.DUMMYFUNCTION("""COMPUTED_VALUE"""),"香‍宝‍y‍a")</f>
        <v>香‍宝‍y‍a</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IFERROR(__xludf.DUMMYFUNCTION("""COMPUTED_VALUE"""),"Booking.com")</f>
        <v>Booking.com</v>
      </c>
      <c r="D105" s="24">
        <f>IFERROR(__xludf.DUMMYFUNCTION("""COMPUTED_VALUE"""),8.0)</f>
        <v>8</v>
      </c>
      <c r="E105" s="25">
        <f>IFERROR(__xludf.DUMMYFUNCTION("""COMPUTED_VALUE"""),46098.0)</f>
        <v>46098</v>
      </c>
      <c r="F105" s="24"/>
      <c r="G105" s="24" t="str">
        <f>IFERROR(__xludf.DUMMYFUNCTION("""COMPUTED_VALUE"""),"キレイなホテルでした")</f>
        <v>キレイなホテルでした</v>
      </c>
      <c r="H105" s="24" t="str">
        <f>IFERROR(__xludf.DUMMYFUNCTION("""COMPUTED_VALUE"""),"特にありません。")</f>
        <v>特にありません。</v>
      </c>
      <c r="I105" s="5" t="str">
        <f>IFERROR(__xludf.DUMMYFUNCTION("""COMPUTED_VALUE"""),"")</f>
        <v/>
      </c>
      <c r="J105" s="5" t="str">
        <f>IFERROR(__xludf.DUMMYFUNCTION("""COMPUTED_VALUE"""),"キレイなホテルでした")</f>
        <v>キレイなホテルでした</v>
      </c>
      <c r="K105" s="24" t="str">
        <f>IFERROR(__xludf.DUMMYFUNCTION("""COMPUTED_VALUE"""),"特にありません。")</f>
        <v>特にありません。</v>
      </c>
      <c r="L105" s="24" t="str">
        <f>IFERROR(__xludf.DUMMYFUNCTION("""COMPUTED_VALUE"""),"英一")</f>
        <v>英一</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IFERROR(__xludf.DUMMYFUNCTION("""COMPUTED_VALUE"""),"Booking.com")</f>
        <v>Booking.com</v>
      </c>
      <c r="D106" s="24">
        <f>IFERROR(__xludf.DUMMYFUNCTION("""COMPUTED_VALUE"""),9.0)</f>
        <v>9</v>
      </c>
      <c r="E106" s="25">
        <f>IFERROR(__xludf.DUMMYFUNCTION("""COMPUTED_VALUE"""),46098.0)</f>
        <v>46098</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IFERROR(__xludf.DUMMYFUNCTION("""COMPUTED_VALUE"""),"Jhang-jie")</f>
        <v>Jhang-jie</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IFERROR(__xludf.DUMMYFUNCTION("""COMPUTED_VALUE"""),"Trip.com")</f>
        <v>Trip.com</v>
      </c>
      <c r="D107" s="24">
        <f>IFERROR(__xludf.DUMMYFUNCTION("""COMPUTED_VALUE"""),10.0)</f>
        <v>10</v>
      </c>
      <c r="E107" s="25">
        <f>IFERROR(__xludf.DUMMYFUNCTION("""COMPUTED_VALUE"""),46098.0)</f>
        <v>46098</v>
      </c>
      <c r="F107"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07" s="24"/>
      <c r="H107" s="24"/>
      <c r="I107"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07" s="5" t="str">
        <f>IFERROR(__xludf.DUMMYFUNCTION("""COMPUTED_VALUE"""),"")</f>
        <v/>
      </c>
      <c r="K107" s="24" t="str">
        <f>IFERROR(__xludf.DUMMYFUNCTION("""COMPUTED_VALUE"""),"")</f>
        <v/>
      </c>
      <c r="L107" s="24" t="str">
        <f>IFERROR(__xludf.DUMMYFUNCTION("""COMPUTED_VALUE"""),"ゲ‍ス‍ト")</f>
        <v>ゲ‍ス‍ト</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IFERROR(__xludf.DUMMYFUNCTION("""COMPUTED_VALUE"""),"Booking.com")</f>
        <v>Booking.com</v>
      </c>
      <c r="D108" s="24">
        <f>IFERROR(__xludf.DUMMYFUNCTION("""COMPUTED_VALUE"""),7.0)</f>
        <v>7</v>
      </c>
      <c r="E108" s="25">
        <f>IFERROR(__xludf.DUMMYFUNCTION("""COMPUTED_VALUE"""),46097.0)</f>
        <v>46097</v>
      </c>
      <c r="F108" s="24"/>
      <c r="G108" s="24"/>
      <c r="H108" s="24" t="str">
        <f>IFERROR(__xludf.DUMMYFUNCTION("""COMPUTED_VALUE"""),"いつも使うので、特別な価格サービスをお願いできればありがたいです。")</f>
        <v>いつも使うので、特別な価格サービスをお願いできればありがたいです。</v>
      </c>
      <c r="I108" s="24" t="str">
        <f>IFERROR(__xludf.DUMMYFUNCTION("""COMPUTED_VALUE"""),"")</f>
        <v/>
      </c>
      <c r="J108" s="5" t="str">
        <f>IFERROR(__xludf.DUMMYFUNCTION("""COMPUTED_VALUE"""),"")</f>
        <v/>
      </c>
      <c r="K108" s="24" t="str">
        <f>IFERROR(__xludf.DUMMYFUNCTION("""COMPUTED_VALUE"""),"いつも使うので、特別な価格サービスをお願いできればありがたいです。")</f>
        <v>いつも使うので、特別な価格サービスをお願いできればありがたいです。</v>
      </c>
      <c r="L108" s="24" t="str">
        <f>IFERROR(__xludf.DUMMYFUNCTION("""COMPUTED_VALUE"""),"吉田")</f>
        <v>吉田</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IFERROR(__xludf.DUMMYFUNCTION("""COMPUTED_VALUE"""),"Trip.com")</f>
        <v>Trip.com</v>
      </c>
      <c r="D109" s="24">
        <f>IFERROR(__xludf.DUMMYFUNCTION("""COMPUTED_VALUE"""),10.0)</f>
        <v>10</v>
      </c>
      <c r="E109" s="25">
        <f>IFERROR(__xludf.DUMMYFUNCTION("""COMPUTED_VALUE"""),46096.0)</f>
        <v>46096</v>
      </c>
      <c r="F109"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09" s="24"/>
      <c r="H109" s="24"/>
      <c r="I109"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09" s="5" t="str">
        <f>IFERROR(__xludf.DUMMYFUNCTION("""COMPUTED_VALUE"""),"")</f>
        <v/>
      </c>
      <c r="K109" s="24" t="str">
        <f>IFERROR(__xludf.DUMMYFUNCTION("""COMPUTED_VALUE"""),"")</f>
        <v/>
      </c>
      <c r="L109" s="24" t="str">
        <f>IFERROR(__xludf.DUMMYFUNCTION("""COMPUTED_VALUE"""),"ゲ‍ス‍ト")</f>
        <v>ゲ‍ス‍ト</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IFERROR(__xludf.DUMMYFUNCTION("""COMPUTED_VALUE"""),"Booking.com")</f>
        <v>Booking.com</v>
      </c>
      <c r="D110" s="24">
        <f>IFERROR(__xludf.DUMMYFUNCTION("""COMPUTED_VALUE"""),9.0)</f>
        <v>9</v>
      </c>
      <c r="E110" s="25">
        <f>IFERROR(__xludf.DUMMYFUNCTION("""COMPUTED_VALUE"""),46096.0)</f>
        <v>46096</v>
      </c>
      <c r="F110" s="24"/>
      <c r="G110"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10" s="24" t="str">
        <f>IFERROR(__xludf.DUMMYFUNCTION("""COMPUTED_VALUE"""),"Parlano poco inglese.  Poca offerta di cose nella colazione.")</f>
        <v>Parlano poco inglese.  Poca offerta di cose nella colazione.</v>
      </c>
      <c r="I110" s="24" t="str">
        <f>IFERROR(__xludf.DUMMYFUNCTION("""COMPUTED_VALUE"""),"")</f>
        <v/>
      </c>
      <c r="J110"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10" s="24" t="str">
        <f>IFERROR(__xludf.DUMMYFUNCTION("""COMPUTED_VALUE"""),"彼らは英語をほとんど話しません。朝食の種類は限られています。")</f>
        <v>彼らは英語をほとんど話しません。朝食の種類は限られています。</v>
      </c>
      <c r="L110" s="24" t="str">
        <f>IFERROR(__xludf.DUMMYFUNCTION("""COMPUTED_VALUE"""),"Bruno")</f>
        <v>Bruno</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IFERROR(__xludf.DUMMYFUNCTION("""COMPUTED_VALUE"""),"Booking.com")</f>
        <v>Booking.com</v>
      </c>
      <c r="D111" s="24">
        <f>IFERROR(__xludf.DUMMYFUNCTION("""COMPUTED_VALUE"""),9.0)</f>
        <v>9</v>
      </c>
      <c r="E111" s="25">
        <f>IFERROR(__xludf.DUMMYFUNCTION("""COMPUTED_VALUE"""),46096.0)</f>
        <v>46096</v>
      </c>
      <c r="F111" s="24"/>
      <c r="G111" s="24"/>
      <c r="H111" s="24"/>
      <c r="I111" s="24" t="str">
        <f>IFERROR(__xludf.DUMMYFUNCTION("""COMPUTED_VALUE"""),"")</f>
        <v/>
      </c>
      <c r="J111" s="5" t="str">
        <f>IFERROR(__xludf.DUMMYFUNCTION("""COMPUTED_VALUE"""),"")</f>
        <v/>
      </c>
      <c r="K111" s="24" t="str">
        <f>IFERROR(__xludf.DUMMYFUNCTION("""COMPUTED_VALUE"""),"")</f>
        <v/>
      </c>
      <c r="L111" s="24" t="str">
        <f>IFERROR(__xludf.DUMMYFUNCTION("""COMPUTED_VALUE"""),"Michel")</f>
        <v>Michel</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18" t="str">
        <f>IFERROR(__xludf.DUMMYFUNCTION("""COMPUTED_VALUE"""),"Booking.com")</f>
        <v>Booking.com</v>
      </c>
      <c r="D112" s="24">
        <f>IFERROR(__xludf.DUMMYFUNCTION("""COMPUTED_VALUE"""),9.0)</f>
        <v>9</v>
      </c>
      <c r="E112" s="25">
        <f>IFERROR(__xludf.DUMMYFUNCTION("""COMPUTED_VALUE"""),46095.0)</f>
        <v>46095</v>
      </c>
      <c r="F112" s="24"/>
      <c r="G112" s="24"/>
      <c r="H112" s="24"/>
      <c r="I112" s="24" t="str">
        <f>IFERROR(__xludf.DUMMYFUNCTION("""COMPUTED_VALUE"""),"")</f>
        <v/>
      </c>
      <c r="J112" s="5" t="str">
        <f>IFERROR(__xludf.DUMMYFUNCTION("""COMPUTED_VALUE"""),"")</f>
        <v/>
      </c>
      <c r="K112" s="24" t="str">
        <f>IFERROR(__xludf.DUMMYFUNCTION("""COMPUTED_VALUE"""),"")</f>
        <v/>
      </c>
      <c r="L112" s="24" t="str">
        <f>IFERROR(__xludf.DUMMYFUNCTION("""COMPUTED_VALUE"""),"佾闈")</f>
        <v>佾闈</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IFERROR(__xludf.DUMMYFUNCTION("""COMPUTED_VALUE"""),46094.0)</f>
        <v>46094</v>
      </c>
      <c r="F113"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13" s="24"/>
      <c r="H113" s="24"/>
      <c r="I113"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13" s="5" t="str">
        <f>IFERROR(__xludf.DUMMYFUNCTION("""COMPUTED_VALUE"""),"")</f>
        <v/>
      </c>
      <c r="K113" s="24" t="str">
        <f>IFERROR(__xludf.DUMMYFUNCTION("""COMPUTED_VALUE"""),"")</f>
        <v/>
      </c>
      <c r="L113" s="24" t="str">
        <f>IFERROR(__xludf.DUMMYFUNCTION("""COMPUTED_VALUE"""),"C‍K‍M‍S")</f>
        <v>C‍K‍M‍S</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B114" s="24" t="b">
        <f>IFERROR(__xludf.DUMMYFUNCTION("""COMPUTED_VALUE"""),FALSE)</f>
        <v>0</v>
      </c>
      <c r="C114" s="18" t="str">
        <f>IFERROR(__xludf.DUMMYFUNCTION("""COMPUTED_VALUE"""),"Booking.com")</f>
        <v>Booking.com</v>
      </c>
      <c r="D114" s="24">
        <f>IFERROR(__xludf.DUMMYFUNCTION("""COMPUTED_VALUE"""),8.0)</f>
        <v>8</v>
      </c>
      <c r="E114" s="25">
        <f>IFERROR(__xludf.DUMMYFUNCTION("""COMPUTED_VALUE"""),46094.0)</f>
        <v>46094</v>
      </c>
      <c r="F114" s="24"/>
      <c r="G114" s="24" t="str">
        <f>IFERROR(__xludf.DUMMYFUNCTION("""COMPUTED_VALUE"""),"住宿地離車站近，工作人員親切")</f>
        <v>住宿地離車站近，工作人員親切</v>
      </c>
      <c r="H114" s="24" t="str">
        <f>IFERROR(__xludf.DUMMYFUNCTION("""COMPUTED_VALUE"""),"房間枕頭有的太扁或太硬，睡不習慣")</f>
        <v>房間枕頭有的太扁或太硬，睡不習慣</v>
      </c>
      <c r="I114" s="24" t="str">
        <f>IFERROR(__xludf.DUMMYFUNCTION("""COMPUTED_VALUE"""),"")</f>
        <v/>
      </c>
      <c r="J114" s="5" t="str">
        <f>IFERROR(__xludf.DUMMYFUNCTION("""COMPUTED_VALUE"""),"宿泊施設は駅に近く、スタッフも親切だった。")</f>
        <v>宿泊施設は駅に近く、スタッフも親切だった。</v>
      </c>
      <c r="K114"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14" s="24" t="str">
        <f>IFERROR(__xludf.DUMMYFUNCTION("""COMPUTED_VALUE"""),"Chehua")</f>
        <v>Chehua</v>
      </c>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V114" s="24" t="str">
        <f>IFERROR(__xludf.DUMMYFUNCTION("""COMPUTED_VALUE"""),"")</f>
        <v/>
      </c>
      <c r="W114" s="24" t="str">
        <f>IFERROR(__xludf.DUMMYFUNCTION("""COMPUTED_VALUE"""),"")</f>
        <v/>
      </c>
      <c r="X114" s="24" t="str">
        <f>IFERROR(__xludf.DUMMYFUNCTION("""COMPUTED_VALUE"""),"ゲ‍ス‍ト")</f>
        <v>ゲ‍ス‍ト</v>
      </c>
    </row>
    <row r="115">
      <c r="B115" s="24" t="b">
        <f>IFERROR(__xludf.DUMMYFUNCTION("""COMPUTED_VALUE"""),FALSE)</f>
        <v>0</v>
      </c>
      <c r="C115" s="18" t="str">
        <f>IFERROR(__xludf.DUMMYFUNCTION("""COMPUTED_VALUE"""),"Booking.com")</f>
        <v>Booking.com</v>
      </c>
      <c r="D115" s="24">
        <f>IFERROR(__xludf.DUMMYFUNCTION("""COMPUTED_VALUE"""),10.0)</f>
        <v>10</v>
      </c>
      <c r="E115" s="25">
        <f>IFERROR(__xludf.DUMMYFUNCTION("""COMPUTED_VALUE"""),46094.0)</f>
        <v>46094</v>
      </c>
      <c r="F115" s="24"/>
      <c r="G115" s="24" t="str">
        <f>IFERROR(__xludf.DUMMYFUNCTION("""COMPUTED_VALUE"""),"location and pricing very good")</f>
        <v>location and pricing very good</v>
      </c>
      <c r="H115" s="24"/>
      <c r="I115" s="24" t="str">
        <f>IFERROR(__xludf.DUMMYFUNCTION("""COMPUTED_VALUE"""),"")</f>
        <v/>
      </c>
      <c r="J115" s="5" t="str">
        <f>IFERROR(__xludf.DUMMYFUNCTION("""COMPUTED_VALUE"""),"立地と価格設定が非常に良い")</f>
        <v>立地と価格設定が非常に良い</v>
      </c>
      <c r="K115" s="24" t="str">
        <f>IFERROR(__xludf.DUMMYFUNCTION("""COMPUTED_VALUE"""),"")</f>
        <v/>
      </c>
      <c r="L115" s="24" t="str">
        <f>IFERROR(__xludf.DUMMYFUNCTION("""COMPUTED_VALUE"""),"Binod")</f>
        <v>Binod</v>
      </c>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B116" s="24" t="b">
        <f>IFERROR(__xludf.DUMMYFUNCTION("""COMPUTED_VALUE"""),FALSE)</f>
        <v>0</v>
      </c>
      <c r="C116" s="18" t="str">
        <f>IFERROR(__xludf.DUMMYFUNCTION("""COMPUTED_VALUE"""),"Trip.com")</f>
        <v>Trip.com</v>
      </c>
      <c r="D116" s="24">
        <f>IFERROR(__xludf.DUMMYFUNCTION("""COMPUTED_VALUE"""),10.0)</f>
        <v>10</v>
      </c>
      <c r="E116" s="25">
        <f>IFERROR(__xludf.DUMMYFUNCTION("""COMPUTED_VALUE"""),46094.0)</f>
        <v>46094</v>
      </c>
      <c r="F116" s="24" t="str">
        <f>IFERROR(__xludf.DUMMYFUNCTION("""COMPUTED_VALUE"""),"房間很大，位置好又鄰近地鐵和jr線，不用擔心轉乘問題，值得推薦住的飯店")</f>
        <v>房間很大，位置好又鄰近地鐵和jr線，不用擔心轉乘問題，值得推薦住的飯店</v>
      </c>
      <c r="G116" s="24"/>
      <c r="H116" s="24"/>
      <c r="I116"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16" s="5" t="str">
        <f>IFERROR(__xludf.DUMMYFUNCTION("""COMPUTED_VALUE"""),"")</f>
        <v/>
      </c>
      <c r="K116" s="24" t="str">
        <f>IFERROR(__xludf.DUMMYFUNCTION("""COMPUTED_VALUE"""),"")</f>
        <v/>
      </c>
      <c r="L116" s="24" t="str">
        <f>IFERROR(__xludf.DUMMYFUNCTION("""COMPUTED_VALUE"""),"ゲ‍ス‍ト")</f>
        <v>ゲ‍ス‍ト</v>
      </c>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B117" s="24" t="b">
        <f>IFERROR(__xludf.DUMMYFUNCTION("""COMPUTED_VALUE"""),FALSE)</f>
        <v>0</v>
      </c>
      <c r="C117" s="24" t="str">
        <f>IFERROR(__xludf.DUMMYFUNCTION("""COMPUTED_VALUE"""),"Google")</f>
        <v>Google</v>
      </c>
      <c r="D117" s="24">
        <f>IFERROR(__xludf.DUMMYFUNCTION("""COMPUTED_VALUE"""),4.0)</f>
        <v>4</v>
      </c>
      <c r="E117" s="25">
        <f>IFERROR(__xludf.DUMMYFUNCTION("""COMPUTED_VALUE"""),46093.0)</f>
        <v>46093</v>
      </c>
      <c r="F117" s="24"/>
      <c r="G117" s="24"/>
      <c r="H117" s="24"/>
      <c r="I117" s="24" t="str">
        <f>IFERROR(__xludf.DUMMYFUNCTION("""COMPUTED_VALUE"""),"")</f>
        <v/>
      </c>
      <c r="J117" s="5" t="str">
        <f>IFERROR(__xludf.DUMMYFUNCTION("""COMPUTED_VALUE"""),"")</f>
        <v/>
      </c>
      <c r="K117" s="24" t="str">
        <f>IFERROR(__xludf.DUMMYFUNCTION("""COMPUTED_VALUE"""),"")</f>
        <v/>
      </c>
      <c r="L117" s="24" t="str">
        <f>IFERROR(__xludf.DUMMYFUNCTION("""COMPUTED_VALUE"""),"siu yuki")</f>
        <v>siu yuki</v>
      </c>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B118" s="24" t="b">
        <f>IFERROR(__xludf.DUMMYFUNCTION("""COMPUTED_VALUE"""),FALSE)</f>
        <v>0</v>
      </c>
      <c r="C118" s="18" t="str">
        <f>IFERROR(__xludf.DUMMYFUNCTION("""COMPUTED_VALUE"""),"Trip.com")</f>
        <v>Trip.com</v>
      </c>
      <c r="D118" s="24">
        <f>IFERROR(__xludf.DUMMYFUNCTION("""COMPUTED_VALUE"""),10.0)</f>
        <v>10</v>
      </c>
      <c r="E118" s="25">
        <f>IFERROR(__xludf.DUMMYFUNCTION("""COMPUTED_VALUE"""),46092.0)</f>
        <v>46092</v>
      </c>
      <c r="F118" s="24" t="str">
        <f>IFERROR(__xludf.DUMMYFUNCTION("""COMPUTED_VALUE"""),"Good location and service, facilities in very good condition. Small room, but with everything you need.")</f>
        <v>Good location and service, facilities in very good condition. Small room, but with everything you need.</v>
      </c>
      <c r="G118" s="24"/>
      <c r="H118" s="24"/>
      <c r="I118"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18" s="5" t="str">
        <f>IFERROR(__xludf.DUMMYFUNCTION("""COMPUTED_VALUE"""),"")</f>
        <v/>
      </c>
      <c r="K118" s="24" t="str">
        <f>IFERROR(__xludf.DUMMYFUNCTION("""COMPUTED_VALUE"""),"")</f>
        <v/>
      </c>
      <c r="L118" s="24" t="str">
        <f>IFERROR(__xludf.DUMMYFUNCTION("""COMPUTED_VALUE"""),"ゲ‍ス‍ト")</f>
        <v>ゲ‍ス‍ト</v>
      </c>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B119" s="24" t="b">
        <f>IFERROR(__xludf.DUMMYFUNCTION("""COMPUTED_VALUE"""),FALSE)</f>
        <v>0</v>
      </c>
      <c r="C119" s="18" t="str">
        <f>IFERROR(__xludf.DUMMYFUNCTION("""COMPUTED_VALUE"""),"Booking.com")</f>
        <v>Booking.com</v>
      </c>
      <c r="D119" s="24">
        <f>IFERROR(__xludf.DUMMYFUNCTION("""COMPUTED_VALUE"""),10.0)</f>
        <v>10</v>
      </c>
      <c r="E119" s="25">
        <f>IFERROR(__xludf.DUMMYFUNCTION("""COMPUTED_VALUE"""),46092.0)</f>
        <v>46092</v>
      </c>
      <c r="F119" s="24"/>
      <c r="G119" s="24"/>
      <c r="H119" s="24"/>
      <c r="I119" s="24" t="str">
        <f>IFERROR(__xludf.DUMMYFUNCTION("""COMPUTED_VALUE"""),"")</f>
        <v/>
      </c>
      <c r="J119" s="5" t="str">
        <f>IFERROR(__xludf.DUMMYFUNCTION("""COMPUTED_VALUE"""),"")</f>
        <v/>
      </c>
      <c r="K119" s="24" t="str">
        <f>IFERROR(__xludf.DUMMYFUNCTION("""COMPUTED_VALUE"""),"")</f>
        <v/>
      </c>
      <c r="L119" s="24" t="str">
        <f>IFERROR(__xludf.DUMMYFUNCTION("""COMPUTED_VALUE"""),"Chien")</f>
        <v>Chien</v>
      </c>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B120" s="24" t="b">
        <f>IFERROR(__xludf.DUMMYFUNCTION("""COMPUTED_VALUE"""),FALSE)</f>
        <v>0</v>
      </c>
      <c r="C120" s="18" t="str">
        <f>IFERROR(__xludf.DUMMYFUNCTION("""COMPUTED_VALUE"""),"Booking.com")</f>
        <v>Booking.com</v>
      </c>
      <c r="D120" s="24">
        <f>IFERROR(__xludf.DUMMYFUNCTION("""COMPUTED_VALUE"""),9.0)</f>
        <v>9</v>
      </c>
      <c r="E120" s="25">
        <f>IFERROR(__xludf.DUMMYFUNCTION("""COMPUTED_VALUE"""),46092.0)</f>
        <v>46092</v>
      </c>
      <c r="F120" s="24"/>
      <c r="G120" s="24" t="str">
        <f>IFERROR(__xludf.DUMMYFUNCTION("""COMPUTED_VALUE"""),"清潔")</f>
        <v>清潔</v>
      </c>
      <c r="H120" s="24" t="str">
        <f>IFERROR(__xludf.DUMMYFUNCTION("""COMPUTED_VALUE"""),"特になし")</f>
        <v>特になし</v>
      </c>
      <c r="I120" s="24" t="str">
        <f>IFERROR(__xludf.DUMMYFUNCTION("""COMPUTED_VALUE"""),"")</f>
        <v/>
      </c>
      <c r="J120" s="5" t="str">
        <f>IFERROR(__xludf.DUMMYFUNCTION("""COMPUTED_VALUE"""),"クリーン")</f>
        <v>クリーン</v>
      </c>
      <c r="K120" s="24" t="str">
        <f>IFERROR(__xludf.DUMMYFUNCTION("""COMPUTED_VALUE"""),"特になし")</f>
        <v>特になし</v>
      </c>
      <c r="L120" s="24" t="str">
        <f>IFERROR(__xludf.DUMMYFUNCTION("""COMPUTED_VALUE"""),"Onodera")</f>
        <v>Onodera</v>
      </c>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B121" s="24" t="b">
        <f>IFERROR(__xludf.DUMMYFUNCTION("""COMPUTED_VALUE"""),FALSE)</f>
        <v>0</v>
      </c>
      <c r="C121" s="18" t="str">
        <f>IFERROR(__xludf.DUMMYFUNCTION("""COMPUTED_VALUE"""),"Trip.com")</f>
        <v>Trip.com</v>
      </c>
      <c r="D121" s="24">
        <f>IFERROR(__xludf.DUMMYFUNCTION("""COMPUTED_VALUE"""),10.0)</f>
        <v>10</v>
      </c>
      <c r="E121" s="25">
        <f>IFERROR(__xludf.DUMMYFUNCTION("""COMPUTED_VALUE"""),46092.0)</f>
        <v>46092</v>
      </c>
      <c r="F121"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21" s="24"/>
      <c r="H121" s="24"/>
      <c r="I121"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21" s="5" t="str">
        <f>IFERROR(__xludf.DUMMYFUNCTION("""COMPUTED_VALUE"""),"")</f>
        <v/>
      </c>
      <c r="K121" s="24" t="str">
        <f>IFERROR(__xludf.DUMMYFUNCTION("""COMPUTED_VALUE"""),"")</f>
        <v/>
      </c>
      <c r="L121" s="24" t="str">
        <f>IFERROR(__xludf.DUMMYFUNCTION("""COMPUTED_VALUE"""),"陸‍零‍柒")</f>
        <v>陸‍零‍柒</v>
      </c>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B122" s="24" t="b">
        <f>IFERROR(__xludf.DUMMYFUNCTION("""COMPUTED_VALUE"""),FALSE)</f>
        <v>0</v>
      </c>
      <c r="C122" s="18" t="str">
        <f>IFERROR(__xludf.DUMMYFUNCTION("""COMPUTED_VALUE"""),"Booking.com")</f>
        <v>Booking.com</v>
      </c>
      <c r="D122" s="24">
        <f>IFERROR(__xludf.DUMMYFUNCTION("""COMPUTED_VALUE"""),7.0)</f>
        <v>7</v>
      </c>
      <c r="E122" s="25">
        <f>IFERROR(__xludf.DUMMYFUNCTION("""COMPUTED_VALUE"""),46091.0)</f>
        <v>46091</v>
      </c>
      <c r="F122" s="24"/>
      <c r="G122" s="24" t="str">
        <f>IFERROR(__xludf.DUMMYFUNCTION("""COMPUTED_VALUE"""),"乾淨整潔 床好睡")</f>
        <v>乾淨整潔 床好睡</v>
      </c>
      <c r="H122"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22" s="24" t="str">
        <f>IFERROR(__xludf.DUMMYFUNCTION("""COMPUTED_VALUE"""),"")</f>
        <v/>
      </c>
      <c r="J122" s="5" t="str">
        <f>IFERROR(__xludf.DUMMYFUNCTION("""COMPUTED_VALUE"""),"清潔で整頓されており、快適なベッドで眠ることができます。")</f>
        <v>清潔で整頓されており、快適なベッドで眠ることができます。</v>
      </c>
      <c r="K122"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L122" s="24" t="str">
        <f>IFERROR(__xludf.DUMMYFUNCTION("""COMPUTED_VALUE"""),"Sulien")</f>
        <v>Sulien</v>
      </c>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B123" s="24" t="b">
        <f>IFERROR(__xludf.DUMMYFUNCTION("""COMPUTED_VALUE"""),FALSE)</f>
        <v>0</v>
      </c>
      <c r="C123" s="18" t="str">
        <f>IFERROR(__xludf.DUMMYFUNCTION("""COMPUTED_VALUE"""),"Booking.com")</f>
        <v>Booking.com</v>
      </c>
      <c r="D123" s="24">
        <f>IFERROR(__xludf.DUMMYFUNCTION("""COMPUTED_VALUE"""),7.0)</f>
        <v>7</v>
      </c>
      <c r="E123" s="25">
        <f>IFERROR(__xludf.DUMMYFUNCTION("""COMPUTED_VALUE"""),46091.0)</f>
        <v>46091</v>
      </c>
      <c r="F123" s="24"/>
      <c r="G123" s="24" t="str">
        <f>IFERROR(__xludf.DUMMYFUNCTION("""COMPUTED_VALUE"""),"交通地點很好 房間很舒適 早餐雖然簡單但都很好吃")</f>
        <v>交通地點很好 房間很舒適 早餐雖然簡單但都很好吃</v>
      </c>
      <c r="H123" s="24" t="str">
        <f>IFERROR(__xludf.DUMMYFUNCTION("""COMPUTED_VALUE"""),"沒有")</f>
        <v>沒有</v>
      </c>
      <c r="I123" s="24" t="str">
        <f>IFERROR(__xludf.DUMMYFUNCTION("""COMPUTED_VALUE"""),"")</f>
        <v/>
      </c>
      <c r="J123" s="5" t="str">
        <f>IFERROR(__xludf.DUMMYFUNCTION("""COMPUTED_VALUE"""),"立地は最高で、部屋は快適、朝食はシンプルながらも美味しい。")</f>
        <v>立地は最高で、部屋は快適、朝食はシンプルながらも美味しい。</v>
      </c>
      <c r="K123" s="24" t="str">
        <f>IFERROR(__xludf.DUMMYFUNCTION("""COMPUTED_VALUE"""),"いいえ")</f>
        <v>いいえ</v>
      </c>
      <c r="L123" s="24" t="str">
        <f>IFERROR(__xludf.DUMMYFUNCTION("""COMPUTED_VALUE"""),"Sulien")</f>
        <v>Sulien</v>
      </c>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B124" s="24" t="b">
        <f>IFERROR(__xludf.DUMMYFUNCTION("""COMPUTED_VALUE"""),FALSE)</f>
        <v>0</v>
      </c>
      <c r="C124" s="18" t="str">
        <f>IFERROR(__xludf.DUMMYFUNCTION("""COMPUTED_VALUE"""),"Trip.com")</f>
        <v>Trip.com</v>
      </c>
      <c r="D124" s="24">
        <f>IFERROR(__xludf.DUMMYFUNCTION("""COMPUTED_VALUE"""),10.0)</f>
        <v>10</v>
      </c>
      <c r="E124" s="25">
        <f>IFERROR(__xludf.DUMMYFUNCTION("""COMPUTED_VALUE"""),46091.0)</f>
        <v>46091</v>
      </c>
      <c r="F124"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24" s="24"/>
      <c r="H124" s="24"/>
      <c r="I124"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24" s="5" t="str">
        <f>IFERROR(__xludf.DUMMYFUNCTION("""COMPUTED_VALUE"""),"")</f>
        <v/>
      </c>
      <c r="K124" s="24" t="str">
        <f>IFERROR(__xludf.DUMMYFUNCTION("""COMPUTED_VALUE"""),"")</f>
        <v/>
      </c>
      <c r="L124" s="24" t="str">
        <f>IFERROR(__xludf.DUMMYFUNCTION("""COMPUTED_VALUE"""),"B‍h‍a‍v‍i‍k‍ ‍K‍a‍c‍h‍a‍r‍e")</f>
        <v>B‍h‍a‍v‍i‍k‍ ‍K‍a‍c‍h‍a‍r‍e</v>
      </c>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B125" s="24" t="b">
        <f>IFERROR(__xludf.DUMMYFUNCTION("""COMPUTED_VALUE"""),FALSE)</f>
        <v>0</v>
      </c>
      <c r="C125" s="18" t="str">
        <f>IFERROR(__xludf.DUMMYFUNCTION("""COMPUTED_VALUE"""),"Trip.com")</f>
        <v>Trip.com</v>
      </c>
      <c r="D125" s="24">
        <f>IFERROR(__xludf.DUMMYFUNCTION("""COMPUTED_VALUE"""),10.0)</f>
        <v>10</v>
      </c>
      <c r="E125" s="25">
        <f>IFERROR(__xludf.DUMMYFUNCTION("""COMPUTED_VALUE"""),46090.0)</f>
        <v>46090</v>
      </c>
      <c r="F125"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25" s="24"/>
      <c r="H125" s="24"/>
      <c r="I125"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25" s="5" t="str">
        <f>IFERROR(__xludf.DUMMYFUNCTION("""COMPUTED_VALUE"""),"")</f>
        <v/>
      </c>
      <c r="K125" s="24" t="str">
        <f>IFERROR(__xludf.DUMMYFUNCTION("""COMPUTED_VALUE"""),"")</f>
        <v/>
      </c>
      <c r="L125" s="24" t="str">
        <f>IFERROR(__xludf.DUMMYFUNCTION("""COMPUTED_VALUE"""),"j‍e‍j‍e‍n‍g")</f>
        <v>j‍e‍j‍e‍n‍g</v>
      </c>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東京旅行で宿泊先を探"&amp;"している方には、ぜひおすすめします！^_^")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B126" s="24" t="b">
        <f>IFERROR(__xludf.DUMMYFUNCTION("""COMPUTED_VALUE"""),FALSE)</f>
        <v>0</v>
      </c>
      <c r="C126" s="18" t="str">
        <f>IFERROR(__xludf.DUMMYFUNCTION("""COMPUTED_VALUE"""),"Trip.com")</f>
        <v>Trip.com</v>
      </c>
      <c r="D126" s="24">
        <f>IFERROR(__xludf.DUMMYFUNCTION("""COMPUTED_VALUE"""),10.0)</f>
        <v>10</v>
      </c>
      <c r="E126" s="25">
        <f>IFERROR(__xludf.DUMMYFUNCTION("""COMPUTED_VALUE"""),46090.0)</f>
        <v>46090</v>
      </c>
      <c r="F126" s="24" t="str">
        <f>IFERROR(__xludf.DUMMYFUNCTION("""COMPUTED_VALUE"""),"整體感覺很好")</f>
        <v>整體感覺很好</v>
      </c>
      <c r="G126" s="24"/>
      <c r="H126" s="24"/>
      <c r="I126" s="24" t="str">
        <f>IFERROR(__xludf.DUMMYFUNCTION("""COMPUTED_VALUE"""),"全体的な印象は非常に良い")</f>
        <v>全体的な印象は非常に良い</v>
      </c>
      <c r="J126" s="5" t="str">
        <f>IFERROR(__xludf.DUMMYFUNCTION("""COMPUTED_VALUE"""),"")</f>
        <v/>
      </c>
      <c r="K126" s="24" t="str">
        <f>IFERROR(__xludf.DUMMYFUNCTION("""COMPUTED_VALUE"""),"")</f>
        <v/>
      </c>
      <c r="L126" s="24" t="str">
        <f>IFERROR(__xludf.DUMMYFUNCTION("""COMPUTED_VALUE"""),"ゲ‍ス‍ト")</f>
        <v>ゲ‍ス‍ト</v>
      </c>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非常に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5"/>
    <hyperlink r:id="rId19" ref="O15"/>
    <hyperlink r:id="rId20" ref="C17"/>
    <hyperlink r:id="rId21" ref="O17"/>
    <hyperlink r:id="rId22" ref="C18"/>
    <hyperlink r:id="rId23" ref="O18"/>
    <hyperlink r:id="rId24" ref="C19"/>
    <hyperlink r:id="rId25" ref="O19"/>
    <hyperlink r:id="rId26" ref="C20"/>
    <hyperlink r:id="rId27" ref="O20"/>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O28"/>
    <hyperlink r:id="rId42" ref="C29"/>
    <hyperlink r:id="rId43" ref="O29"/>
    <hyperlink r:id="rId44" ref="C30"/>
    <hyperlink r:id="rId45" ref="O30"/>
    <hyperlink r:id="rId46" ref="C31"/>
    <hyperlink r:id="rId47" ref="O31"/>
    <hyperlink r:id="rId48" ref="C32"/>
    <hyperlink r:id="rId49" ref="O32"/>
    <hyperlink r:id="rId50" ref="C33"/>
    <hyperlink r:id="rId51" ref="O33"/>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1"/>
    <hyperlink r:id="rId65" ref="O41"/>
    <hyperlink r:id="rId66" ref="C42"/>
    <hyperlink r:id="rId67" ref="O42"/>
    <hyperlink r:id="rId68" ref="C43"/>
    <hyperlink r:id="rId69" ref="O43"/>
    <hyperlink r:id="rId70" ref="C44"/>
    <hyperlink r:id="rId71" ref="O44"/>
    <hyperlink r:id="rId72" ref="C45"/>
    <hyperlink r:id="rId73" ref="O45"/>
    <hyperlink r:id="rId74" ref="C46"/>
    <hyperlink r:id="rId75" ref="O46"/>
    <hyperlink r:id="rId76" ref="C48"/>
    <hyperlink r:id="rId77" ref="O48"/>
    <hyperlink r:id="rId78" ref="C49"/>
    <hyperlink r:id="rId79" ref="O49"/>
    <hyperlink r:id="rId80" ref="C50"/>
    <hyperlink r:id="rId81" ref="O50"/>
    <hyperlink r:id="rId82" ref="C53"/>
    <hyperlink r:id="rId83" ref="C54"/>
    <hyperlink r:id="rId84" ref="C55"/>
    <hyperlink r:id="rId85" ref="C56"/>
    <hyperlink r:id="rId86" ref="C58"/>
    <hyperlink r:id="rId87" ref="C59"/>
    <hyperlink r:id="rId88" ref="C60"/>
    <hyperlink r:id="rId89" ref="C61"/>
    <hyperlink r:id="rId90" ref="C64"/>
    <hyperlink r:id="rId91" ref="C65"/>
    <hyperlink r:id="rId92" ref="C66"/>
    <hyperlink r:id="rId93" ref="C67"/>
    <hyperlink r:id="rId94" ref="C68"/>
    <hyperlink r:id="rId95" ref="C69"/>
    <hyperlink r:id="rId96" ref="C70"/>
    <hyperlink r:id="rId97" ref="C71"/>
    <hyperlink r:id="rId98" ref="C72"/>
    <hyperlink r:id="rId99" ref="C73"/>
    <hyperlink r:id="rId100" ref="C74"/>
    <hyperlink r:id="rId101" ref="C75"/>
    <hyperlink r:id="rId102" ref="C76"/>
    <hyperlink r:id="rId103" ref="C78"/>
    <hyperlink r:id="rId104" ref="C79"/>
    <hyperlink r:id="rId105" ref="C80"/>
    <hyperlink r:id="rId106" ref="C82"/>
    <hyperlink r:id="rId107" ref="C83"/>
    <hyperlink r:id="rId108" ref="C84"/>
    <hyperlink r:id="rId109" ref="C85"/>
    <hyperlink r:id="rId110" ref="C86"/>
    <hyperlink r:id="rId111" ref="C87"/>
    <hyperlink r:id="rId112" ref="C88"/>
    <hyperlink r:id="rId113" ref="C89"/>
    <hyperlink r:id="rId114" ref="C91"/>
    <hyperlink r:id="rId115" ref="C93"/>
    <hyperlink r:id="rId116" ref="C94"/>
    <hyperlink r:id="rId117" ref="C95"/>
    <hyperlink r:id="rId118" ref="C96"/>
    <hyperlink r:id="rId119" ref="C98"/>
    <hyperlink r:id="rId120" ref="C99"/>
    <hyperlink r:id="rId121" ref="C100"/>
    <hyperlink r:id="rId122" ref="O100"/>
    <hyperlink r:id="rId123" ref="C101"/>
    <hyperlink r:id="rId124" ref="O101"/>
    <hyperlink r:id="rId125" ref="C102"/>
    <hyperlink r:id="rId126" ref="O102"/>
    <hyperlink r:id="rId127" ref="C103"/>
    <hyperlink r:id="rId128" ref="O103"/>
    <hyperlink r:id="rId129" ref="C104"/>
    <hyperlink r:id="rId130" ref="C105"/>
    <hyperlink r:id="rId131" ref="O105"/>
    <hyperlink r:id="rId132" ref="C106"/>
    <hyperlink r:id="rId133" ref="O106"/>
    <hyperlink r:id="rId134" ref="C107"/>
    <hyperlink r:id="rId135" ref="O107"/>
    <hyperlink r:id="rId136" ref="C108"/>
    <hyperlink r:id="rId137" ref="O108"/>
    <hyperlink r:id="rId138" ref="C109"/>
    <hyperlink r:id="rId139" ref="C110"/>
    <hyperlink r:id="rId140" ref="C111"/>
    <hyperlink r:id="rId141" ref="O111"/>
    <hyperlink r:id="rId142" ref="C112"/>
    <hyperlink r:id="rId143" ref="O112"/>
    <hyperlink r:id="rId144" ref="C113"/>
    <hyperlink r:id="rId145" ref="O113"/>
    <hyperlink r:id="rId146" ref="C114"/>
    <hyperlink r:id="rId147" ref="O114"/>
    <hyperlink r:id="rId148" ref="C115"/>
    <hyperlink r:id="rId149" ref="O115"/>
    <hyperlink r:id="rId150" ref="C116"/>
    <hyperlink r:id="rId151" ref="O116"/>
    <hyperlink r:id="rId152" ref="O117"/>
    <hyperlink r:id="rId153" ref="C118"/>
    <hyperlink r:id="rId154" ref="O118"/>
    <hyperlink r:id="rId155" ref="C119"/>
    <hyperlink r:id="rId156" ref="O119"/>
    <hyperlink r:id="rId157" ref="C120"/>
    <hyperlink r:id="rId158" ref="O120"/>
    <hyperlink r:id="rId159" ref="C121"/>
    <hyperlink r:id="rId160" ref="O121"/>
    <hyperlink r:id="rId161" ref="C122"/>
    <hyperlink r:id="rId162" ref="O122"/>
    <hyperlink r:id="rId163" ref="C123"/>
    <hyperlink r:id="rId164" ref="O123"/>
    <hyperlink r:id="rId165" ref="C124"/>
    <hyperlink r:id="rId166" ref="C125"/>
    <hyperlink r:id="rId167" ref="O125"/>
    <hyperlink r:id="rId168" ref="C126"/>
    <hyperlink r:id="rId169" ref="O126"/>
    <hyperlink r:id="rId170" ref="O127"/>
    <hyperlink r:id="rId171" ref="O129"/>
    <hyperlink r:id="rId172" ref="O130"/>
    <hyperlink r:id="rId173" ref="O131"/>
    <hyperlink r:id="rId174" ref="O132"/>
    <hyperlink r:id="rId175" ref="O133"/>
    <hyperlink r:id="rId176" ref="O134"/>
    <hyperlink r:id="rId177" ref="O135"/>
    <hyperlink r:id="rId178" ref="O136"/>
    <hyperlink r:id="rId179" ref="O138"/>
    <hyperlink r:id="rId180" ref="O140"/>
    <hyperlink r:id="rId181" ref="O141"/>
    <hyperlink r:id="rId182" ref="O142"/>
    <hyperlink r:id="rId183" ref="O143"/>
    <hyperlink r:id="rId184" ref="O145"/>
    <hyperlink r:id="rId185" ref="O146"/>
    <hyperlink r:id="rId186" ref="O147"/>
    <hyperlink r:id="rId187" ref="O148"/>
    <hyperlink r:id="rId188" ref="O149"/>
    <hyperlink r:id="rId189" ref="O150"/>
    <hyperlink r:id="rId190" ref="O151"/>
    <hyperlink r:id="rId191" ref="O152"/>
    <hyperlink r:id="rId192" ref="O153"/>
    <hyperlink r:id="rId193" ref="O154"/>
    <hyperlink r:id="rId194" ref="O155"/>
    <hyperlink r:id="rId195" ref="O156"/>
    <hyperlink r:id="rId196" ref="O157"/>
    <hyperlink r:id="rId197" ref="O158"/>
    <hyperlink r:id="rId198" ref="O159"/>
    <hyperlink r:id="rId199" ref="O160"/>
    <hyperlink r:id="rId200" ref="O161"/>
    <hyperlink r:id="rId201" ref="O162"/>
    <hyperlink r:id="rId202" ref="O163"/>
    <hyperlink r:id="rId203" ref="O165"/>
    <hyperlink r:id="rId204" ref="O166"/>
    <hyperlink r:id="rId205" ref="O167"/>
    <hyperlink r:id="rId206" ref="O168"/>
    <hyperlink r:id="rId207" ref="O169"/>
    <hyperlink r:id="rId208" ref="O170"/>
    <hyperlink r:id="rId209" ref="O171"/>
    <hyperlink r:id="rId210" ref="O172"/>
    <hyperlink r:id="rId211" ref="O173"/>
  </hyperlinks>
  <printOptions gridLines="1" horizontalCentered="1"/>
  <pageMargins bottom="0.75" footer="0.0" header="0.0" left="0.7" right="0.7" top="0.75"/>
  <pageSetup fitToHeight="0" paperSize="9" cellComments="atEnd" orientation="landscape" pageOrder="overThenDown"/>
  <drawing r:id="rId21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0.001835535977</v>
      </c>
      <c r="E6" s="62"/>
      <c r="F6" s="63" t="str">
        <f>if(D6&lt;0.15%,"合格","不合格")</f>
        <v>不合格</v>
      </c>
      <c r="G6" s="33"/>
      <c r="H6" s="44"/>
      <c r="I6" s="64">
        <f t="shared" ref="I6:N6" si="2">countifs($I$28:$I1143,I$5,$C$28:$C1143,$C$5)</f>
        <v>0</v>
      </c>
      <c r="J6" s="64">
        <f t="shared" si="2"/>
        <v>0</v>
      </c>
      <c r="K6" s="64">
        <f t="shared" si="2"/>
        <v>0</v>
      </c>
      <c r="L6" s="64">
        <f t="shared" si="2"/>
        <v>0</v>
      </c>
      <c r="M6" s="64">
        <f t="shared" si="2"/>
        <v>3</v>
      </c>
      <c r="N6" s="65">
        <f t="shared" si="2"/>
        <v>1</v>
      </c>
      <c r="O6" s="3"/>
      <c r="P6" s="65">
        <f>countifs($I$28:$I1143,P$5,$C$28:$C1143,$C$5)</f>
        <v>0</v>
      </c>
      <c r="Q6" s="3"/>
      <c r="R6" s="65">
        <f>countifs($I$28:$I1143,R$5,$C$28:$C1143,$C$5)</f>
        <v>0</v>
      </c>
      <c r="S6" s="3"/>
      <c r="T6" s="65">
        <f>countifs($I$28:$I1143,T$5,$C$28:$C1143,$C$5)</f>
        <v>0</v>
      </c>
      <c r="U6" s="3"/>
      <c r="V6" s="65">
        <f>countifs($I$28:$I1143,V$5,$C$28:$C1143,$C$5)</f>
        <v>0</v>
      </c>
      <c r="W6" s="3"/>
      <c r="X6" s="65">
        <f>countifs($I$28:$I1143,X$5,$C$28:$C1143,$C$5)</f>
        <v>0</v>
      </c>
      <c r="Y6" s="3"/>
      <c r="Z6" s="65">
        <f>countifs($I$28:$I1143,Z$5,$C$28:$C1143,$C$5)</f>
        <v>0</v>
      </c>
      <c r="AA6" s="3"/>
      <c r="AB6" s="65">
        <f>countifs($I$28:$I1143,AB$5,$C$28:$C1143,$C$5)</f>
        <v>1</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54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55</v>
      </c>
      <c r="AA11" s="77"/>
      <c r="AC11" s="88" t="s">
        <v>54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34</v>
      </c>
      <c r="D12" s="83">
        <f t="shared" ref="D12:N12" si="20">SUMPRODUCT(($C$28:$C1143=$C12)*($I$28:$I1143=D$9))</f>
        <v>0</v>
      </c>
      <c r="E12" s="83">
        <f t="shared" si="20"/>
        <v>0</v>
      </c>
      <c r="F12" s="83">
        <f t="shared" si="20"/>
        <v>0</v>
      </c>
      <c r="G12" s="83">
        <f t="shared" si="20"/>
        <v>0</v>
      </c>
      <c r="H12" s="83">
        <f t="shared" si="20"/>
        <v>3</v>
      </c>
      <c r="I12" s="83">
        <f t="shared" si="20"/>
        <v>1</v>
      </c>
      <c r="J12" s="83">
        <f t="shared" si="20"/>
        <v>0</v>
      </c>
      <c r="K12" s="83">
        <f t="shared" si="20"/>
        <v>0</v>
      </c>
      <c r="L12" s="83">
        <f t="shared" si="20"/>
        <v>0</v>
      </c>
      <c r="M12" s="83">
        <f t="shared" si="20"/>
        <v>0</v>
      </c>
      <c r="N12" s="84">
        <f t="shared" si="20"/>
        <v>0</v>
      </c>
      <c r="O12" s="77"/>
      <c r="P12" s="84">
        <f t="shared" si="6"/>
        <v>0</v>
      </c>
      <c r="Q12" s="77"/>
      <c r="R12" s="84">
        <f t="shared" si="7"/>
        <v>1</v>
      </c>
      <c r="S12" s="77"/>
      <c r="T12" s="85">
        <f t="shared" si="8"/>
        <v>5</v>
      </c>
      <c r="U12" s="77"/>
      <c r="V12" s="85">
        <f t="shared" si="9"/>
        <v>2724</v>
      </c>
      <c r="W12" s="77"/>
      <c r="X12" s="87">
        <f t="shared" si="10"/>
        <v>0.001835535977</v>
      </c>
      <c r="Y12" s="77"/>
      <c r="Z12" s="86" t="s">
        <v>56</v>
      </c>
      <c r="AA12" s="77"/>
      <c r="AC12" s="88" t="s">
        <v>34</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4</v>
      </c>
      <c r="I22" s="99">
        <f t="shared" si="30"/>
        <v>7</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hidden="1">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hidden="1">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hidden="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hidden="1">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hidden="1">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hidden="1">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hidden="1">
      <c r="A35" s="67"/>
      <c r="B35" s="163">
        <v>8.0</v>
      </c>
      <c r="C35" s="164" t="s">
        <v>54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hidden="1">
      <c r="A36" s="67"/>
      <c r="B36" s="163">
        <v>9.0</v>
      </c>
      <c r="C36" s="164" t="s">
        <v>54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hidden="1">
      <c r="A37" s="67"/>
      <c r="B37" s="163">
        <v>10.0</v>
      </c>
      <c r="C37" s="164" t="s">
        <v>54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hidden="1">
      <c r="A38" s="67"/>
      <c r="B38" s="163">
        <v>11.0</v>
      </c>
      <c r="C38" s="164" t="s">
        <v>54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hidden="1">
      <c r="A39" s="67"/>
      <c r="B39" s="163">
        <v>12.0</v>
      </c>
      <c r="C39" s="164" t="s">
        <v>54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t="s">
        <v>34</v>
      </c>
      <c r="D40" s="164" t="s">
        <v>181</v>
      </c>
      <c r="E40" s="164" t="s">
        <v>99</v>
      </c>
      <c r="F40" s="165" t="s">
        <v>132</v>
      </c>
      <c r="G40" s="165">
        <v>415.0</v>
      </c>
      <c r="H40" s="165" t="s">
        <v>101</v>
      </c>
      <c r="I40" s="155" t="s">
        <v>39</v>
      </c>
      <c r="J40" s="155"/>
      <c r="K40" s="165" t="s">
        <v>132</v>
      </c>
      <c r="L40" s="165" t="s">
        <v>182</v>
      </c>
      <c r="M40" s="165" t="s">
        <v>104</v>
      </c>
      <c r="N40" s="166" t="s">
        <v>183</v>
      </c>
      <c r="O40" s="167"/>
      <c r="P40" s="167"/>
      <c r="Q40" s="167"/>
      <c r="R40" s="167"/>
      <c r="S40" s="168"/>
      <c r="T40" s="166" t="s">
        <v>184</v>
      </c>
      <c r="U40" s="167"/>
      <c r="V40" s="167"/>
      <c r="W40" s="167"/>
      <c r="X40" s="167"/>
      <c r="Y40" s="168"/>
      <c r="Z40" s="166" t="s">
        <v>185</v>
      </c>
      <c r="AA40" s="167"/>
      <c r="AB40" s="167"/>
      <c r="AC40" s="167"/>
      <c r="AD40" s="167"/>
      <c r="AE40" s="168"/>
      <c r="AF40" s="169" t="s">
        <v>186</v>
      </c>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t="s">
        <v>34</v>
      </c>
      <c r="D41" s="164" t="s">
        <v>187</v>
      </c>
      <c r="E41" s="164" t="s">
        <v>110</v>
      </c>
      <c r="F41" s="165" t="s">
        <v>132</v>
      </c>
      <c r="G41" s="165">
        <v>1110.0</v>
      </c>
      <c r="H41" s="165" t="s">
        <v>111</v>
      </c>
      <c r="I41" s="155" t="s">
        <v>39</v>
      </c>
      <c r="J41" s="155"/>
      <c r="K41" s="165" t="s">
        <v>188</v>
      </c>
      <c r="L41" s="165" t="s">
        <v>189</v>
      </c>
      <c r="M41" s="165" t="s">
        <v>104</v>
      </c>
      <c r="N41" s="166" t="s">
        <v>190</v>
      </c>
      <c r="O41" s="167"/>
      <c r="P41" s="167"/>
      <c r="Q41" s="167"/>
      <c r="R41" s="167"/>
      <c r="S41" s="168"/>
      <c r="T41" s="166" t="s">
        <v>191</v>
      </c>
      <c r="U41" s="167"/>
      <c r="V41" s="167"/>
      <c r="W41" s="167"/>
      <c r="X41" s="167"/>
      <c r="Y41" s="168"/>
      <c r="Z41" s="166" t="s">
        <v>192</v>
      </c>
      <c r="AA41" s="167"/>
      <c r="AB41" s="167"/>
      <c r="AC41" s="167"/>
      <c r="AD41" s="167"/>
      <c r="AE41" s="168"/>
      <c r="AF41" s="169" t="s">
        <v>193</v>
      </c>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t="s">
        <v>34</v>
      </c>
      <c r="D42" s="164" t="s">
        <v>151</v>
      </c>
      <c r="E42" s="164" t="s">
        <v>99</v>
      </c>
      <c r="F42" s="165" t="s">
        <v>142</v>
      </c>
      <c r="G42" s="165">
        <v>903.0</v>
      </c>
      <c r="H42" s="165" t="s">
        <v>101</v>
      </c>
      <c r="I42" s="155" t="s">
        <v>30</v>
      </c>
      <c r="J42" s="155"/>
      <c r="K42" s="165" t="s">
        <v>142</v>
      </c>
      <c r="L42" s="165" t="s">
        <v>142</v>
      </c>
      <c r="M42" s="165" t="s">
        <v>104</v>
      </c>
      <c r="N42" s="166" t="s">
        <v>194</v>
      </c>
      <c r="O42" s="167"/>
      <c r="P42" s="167"/>
      <c r="Q42" s="167"/>
      <c r="R42" s="167"/>
      <c r="S42" s="168"/>
      <c r="T42" s="166" t="s">
        <v>195</v>
      </c>
      <c r="U42" s="167"/>
      <c r="V42" s="167"/>
      <c r="W42" s="167"/>
      <c r="X42" s="167"/>
      <c r="Y42" s="168"/>
      <c r="Z42" s="166" t="s">
        <v>196</v>
      </c>
      <c r="AA42" s="167"/>
      <c r="AB42" s="167"/>
      <c r="AC42" s="167"/>
      <c r="AD42" s="167"/>
      <c r="AE42" s="168"/>
      <c r="AF42" s="169" t="s">
        <v>197</v>
      </c>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t="s">
        <v>34</v>
      </c>
      <c r="D43" s="164" t="s">
        <v>157</v>
      </c>
      <c r="E43" s="164" t="s">
        <v>110</v>
      </c>
      <c r="F43" s="165" t="s">
        <v>132</v>
      </c>
      <c r="G43" s="165">
        <v>309.0</v>
      </c>
      <c r="H43" s="165" t="s">
        <v>111</v>
      </c>
      <c r="I43" s="155" t="s">
        <v>39</v>
      </c>
      <c r="J43" s="155"/>
      <c r="K43" s="165" t="s">
        <v>198</v>
      </c>
      <c r="L43" s="165" t="s">
        <v>113</v>
      </c>
      <c r="M43" s="165" t="s">
        <v>104</v>
      </c>
      <c r="N43" s="166" t="s">
        <v>199</v>
      </c>
      <c r="O43" s="167"/>
      <c r="P43" s="167"/>
      <c r="Q43" s="167"/>
      <c r="R43" s="167"/>
      <c r="S43" s="168"/>
      <c r="T43" s="166" t="s">
        <v>200</v>
      </c>
      <c r="U43" s="167"/>
      <c r="V43" s="167"/>
      <c r="W43" s="167"/>
      <c r="X43" s="167"/>
      <c r="Y43" s="168"/>
      <c r="Z43" s="181"/>
      <c r="AA43" s="167"/>
      <c r="AB43" s="167"/>
      <c r="AC43" s="167"/>
      <c r="AD43" s="167"/>
      <c r="AE43" s="168"/>
      <c r="AF43" s="169" t="s">
        <v>201</v>
      </c>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t="s">
        <v>34</v>
      </c>
      <c r="D44" s="164" t="s">
        <v>202</v>
      </c>
      <c r="E44" s="164" t="s">
        <v>203</v>
      </c>
      <c r="F44" s="165" t="s">
        <v>132</v>
      </c>
      <c r="G44" s="165">
        <v>711.0</v>
      </c>
      <c r="H44" s="165" t="s">
        <v>111</v>
      </c>
      <c r="I44" s="155" t="s">
        <v>40</v>
      </c>
      <c r="J44" s="155"/>
      <c r="K44" s="165" t="s">
        <v>198</v>
      </c>
      <c r="L44" s="165" t="s">
        <v>189</v>
      </c>
      <c r="M44" s="165" t="s">
        <v>104</v>
      </c>
      <c r="N44" s="166" t="s">
        <v>204</v>
      </c>
      <c r="O44" s="167"/>
      <c r="P44" s="167"/>
      <c r="Q44" s="167"/>
      <c r="R44" s="167"/>
      <c r="S44" s="168"/>
      <c r="T44" s="166" t="s">
        <v>191</v>
      </c>
      <c r="U44" s="167"/>
      <c r="V44" s="167"/>
      <c r="W44" s="167"/>
      <c r="X44" s="167"/>
      <c r="Y44" s="168"/>
      <c r="Z44" s="166" t="s">
        <v>192</v>
      </c>
      <c r="AA44" s="167"/>
      <c r="AB44" s="167"/>
      <c r="AC44" s="167"/>
      <c r="AD44" s="167"/>
      <c r="AE44" s="168"/>
      <c r="AF44" s="169" t="s">
        <v>205</v>
      </c>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206</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207</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208</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209</v>
      </c>
      <c r="C5" s="209" t="s">
        <v>210</v>
      </c>
      <c r="D5" s="210" t="s">
        <v>52</v>
      </c>
      <c r="E5" s="211">
        <v>1.0</v>
      </c>
      <c r="F5" s="210" t="s">
        <v>82</v>
      </c>
      <c r="G5" s="210" t="s">
        <v>52</v>
      </c>
      <c r="H5" s="212">
        <v>20.0</v>
      </c>
      <c r="I5" s="213" t="s">
        <v>82</v>
      </c>
      <c r="J5" s="214" t="s">
        <v>54</v>
      </c>
      <c r="K5" s="212">
        <v>13.0</v>
      </c>
      <c r="L5" s="214" t="s">
        <v>82</v>
      </c>
      <c r="M5" s="210" t="s">
        <v>34</v>
      </c>
      <c r="N5" s="212">
        <v>13.0</v>
      </c>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211</v>
      </c>
      <c r="D6" s="207" t="s">
        <v>212</v>
      </c>
      <c r="F6" s="218"/>
      <c r="G6" s="219" t="s">
        <v>213</v>
      </c>
      <c r="J6" s="220" t="s">
        <v>213</v>
      </c>
      <c r="M6" s="220" t="s">
        <v>213</v>
      </c>
      <c r="P6" s="221"/>
      <c r="S6" s="221"/>
      <c r="V6" s="221"/>
      <c r="Y6" s="221"/>
      <c r="AB6" s="221"/>
      <c r="AE6" s="221"/>
      <c r="AH6" s="221"/>
      <c r="AK6" s="221"/>
      <c r="AN6" s="221"/>
      <c r="AP6" s="218"/>
      <c r="AQ6" s="199"/>
      <c r="AR6" s="222"/>
      <c r="AS6" s="222"/>
      <c r="AT6" s="199"/>
      <c r="AU6" s="223"/>
      <c r="AV6" s="223"/>
      <c r="AW6" s="223"/>
      <c r="AX6" s="223"/>
      <c r="AY6" s="223"/>
      <c r="AZ6" s="223"/>
    </row>
    <row r="7">
      <c r="A7" s="224"/>
      <c r="B7" s="225" t="s">
        <v>214</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215</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216</v>
      </c>
      <c r="C9" s="235" t="s">
        <v>217</v>
      </c>
      <c r="D9" s="236"/>
      <c r="E9" s="236"/>
      <c r="F9" s="236"/>
      <c r="G9" s="237" t="s">
        <v>217</v>
      </c>
      <c r="H9" s="236"/>
      <c r="I9" s="236"/>
      <c r="J9" s="237" t="s">
        <v>217</v>
      </c>
      <c r="K9" s="236"/>
      <c r="L9" s="236"/>
      <c r="M9" s="237" t="s">
        <v>217</v>
      </c>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218</v>
      </c>
      <c r="C10" s="239" t="s">
        <v>219</v>
      </c>
      <c r="D10" s="232"/>
      <c r="E10" s="232"/>
      <c r="F10" s="232"/>
      <c r="G10" s="240" t="s">
        <v>217</v>
      </c>
      <c r="H10" s="232"/>
      <c r="I10" s="232"/>
      <c r="J10" s="240" t="s">
        <v>217</v>
      </c>
      <c r="K10" s="232"/>
      <c r="L10" s="232"/>
      <c r="M10" s="240" t="s">
        <v>217</v>
      </c>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220</v>
      </c>
      <c r="C11" s="239" t="s">
        <v>221</v>
      </c>
      <c r="D11" s="232"/>
      <c r="E11" s="232"/>
      <c r="F11" s="232"/>
      <c r="G11" s="240" t="s">
        <v>219</v>
      </c>
      <c r="H11" s="232"/>
      <c r="I11" s="232"/>
      <c r="J11" s="240" t="s">
        <v>219</v>
      </c>
      <c r="K11" s="232"/>
      <c r="L11" s="232"/>
      <c r="M11" s="240" t="s">
        <v>219</v>
      </c>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222</v>
      </c>
      <c r="C12" s="242"/>
      <c r="D12" s="232"/>
      <c r="E12" s="232"/>
      <c r="F12" s="232"/>
      <c r="G12" s="240" t="s">
        <v>217</v>
      </c>
      <c r="H12" s="232"/>
      <c r="I12" s="232"/>
      <c r="J12" s="240" t="s">
        <v>217</v>
      </c>
      <c r="K12" s="232"/>
      <c r="L12" s="232"/>
      <c r="M12" s="240" t="s">
        <v>217</v>
      </c>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223</v>
      </c>
      <c r="C13" s="242"/>
      <c r="D13" s="232"/>
      <c r="E13" s="232"/>
      <c r="F13" s="232"/>
      <c r="G13" s="240" t="s">
        <v>221</v>
      </c>
      <c r="H13" s="232"/>
      <c r="I13" s="232"/>
      <c r="J13" s="240" t="s">
        <v>221</v>
      </c>
      <c r="K13" s="232"/>
      <c r="L13" s="232"/>
      <c r="M13" s="240" t="s">
        <v>221</v>
      </c>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224</v>
      </c>
      <c r="C14" s="242"/>
      <c r="D14" s="232"/>
      <c r="E14" s="232"/>
      <c r="F14" s="232"/>
      <c r="G14" s="240" t="s">
        <v>217</v>
      </c>
      <c r="H14" s="232"/>
      <c r="I14" s="232"/>
      <c r="J14" s="240" t="s">
        <v>217</v>
      </c>
      <c r="K14" s="232"/>
      <c r="L14" s="232"/>
      <c r="M14" s="240" t="s">
        <v>217</v>
      </c>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225</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226</v>
      </c>
      <c r="C16" s="242"/>
      <c r="D16" s="232"/>
      <c r="E16" s="232"/>
      <c r="F16" s="232"/>
      <c r="G16" s="240" t="s">
        <v>217</v>
      </c>
      <c r="H16" s="232"/>
      <c r="I16" s="232"/>
      <c r="J16" s="240" t="s">
        <v>217</v>
      </c>
      <c r="K16" s="232"/>
      <c r="L16" s="232"/>
      <c r="M16" s="240" t="s">
        <v>217</v>
      </c>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227</v>
      </c>
      <c r="C17" s="242"/>
      <c r="D17" s="232"/>
      <c r="E17" s="232"/>
      <c r="F17" s="232"/>
      <c r="G17" s="240" t="s">
        <v>217</v>
      </c>
      <c r="H17" s="232"/>
      <c r="I17" s="232"/>
      <c r="J17" s="240" t="s">
        <v>217</v>
      </c>
      <c r="K17" s="232"/>
      <c r="L17" s="232"/>
      <c r="M17" s="240" t="s">
        <v>217</v>
      </c>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228</v>
      </c>
      <c r="C18" s="242"/>
      <c r="D18" s="232"/>
      <c r="E18" s="232"/>
      <c r="F18" s="232"/>
      <c r="G18" s="240" t="s">
        <v>217</v>
      </c>
      <c r="H18" s="232"/>
      <c r="I18" s="232"/>
      <c r="J18" s="240" t="s">
        <v>217</v>
      </c>
      <c r="K18" s="232"/>
      <c r="L18" s="232"/>
      <c r="M18" s="240" t="s">
        <v>217</v>
      </c>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229</v>
      </c>
      <c r="C19" s="246"/>
      <c r="D19" s="247"/>
      <c r="E19" s="247"/>
      <c r="F19" s="247"/>
      <c r="G19" s="248" t="s">
        <v>217</v>
      </c>
      <c r="H19" s="247"/>
      <c r="I19" s="247"/>
      <c r="J19" s="248" t="s">
        <v>217</v>
      </c>
      <c r="K19" s="247"/>
      <c r="L19" s="247"/>
      <c r="M19" s="248" t="s">
        <v>217</v>
      </c>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230</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231</v>
      </c>
      <c r="C21" s="252"/>
      <c r="D21" s="236"/>
      <c r="E21" s="236"/>
      <c r="F21" s="236"/>
      <c r="G21" s="237" t="s">
        <v>217</v>
      </c>
      <c r="H21" s="236"/>
      <c r="I21" s="236"/>
      <c r="J21" s="237" t="s">
        <v>217</v>
      </c>
      <c r="K21" s="236"/>
      <c r="L21" s="236"/>
      <c r="M21" s="237" t="s">
        <v>217</v>
      </c>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232</v>
      </c>
      <c r="C22" s="242"/>
      <c r="D22" s="232"/>
      <c r="E22" s="232"/>
      <c r="F22" s="232"/>
      <c r="G22" s="240" t="s">
        <v>217</v>
      </c>
      <c r="H22" s="232"/>
      <c r="I22" s="232"/>
      <c r="J22" s="240" t="s">
        <v>217</v>
      </c>
      <c r="K22" s="232"/>
      <c r="L22" s="232"/>
      <c r="M22" s="240" t="s">
        <v>217</v>
      </c>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233</v>
      </c>
      <c r="C23" s="242"/>
      <c r="D23" s="232"/>
      <c r="E23" s="232"/>
      <c r="F23" s="232"/>
      <c r="G23" s="240" t="s">
        <v>217</v>
      </c>
      <c r="H23" s="232"/>
      <c r="I23" s="232"/>
      <c r="J23" s="240" t="s">
        <v>217</v>
      </c>
      <c r="K23" s="232"/>
      <c r="L23" s="232"/>
      <c r="M23" s="240" t="s">
        <v>217</v>
      </c>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234</v>
      </c>
      <c r="C24" s="242"/>
      <c r="D24" s="232"/>
      <c r="E24" s="232"/>
      <c r="F24" s="232"/>
      <c r="G24" s="240" t="s">
        <v>217</v>
      </c>
      <c r="H24" s="232"/>
      <c r="I24" s="232"/>
      <c r="J24" s="240" t="s">
        <v>217</v>
      </c>
      <c r="K24" s="232"/>
      <c r="L24" s="232"/>
      <c r="M24" s="240" t="s">
        <v>217</v>
      </c>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235</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236</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237</v>
      </c>
      <c r="C27" s="239" t="s">
        <v>238</v>
      </c>
      <c r="D27" s="232"/>
      <c r="E27" s="232"/>
      <c r="F27" s="232"/>
      <c r="G27" s="240" t="s">
        <v>239</v>
      </c>
      <c r="H27" s="232"/>
      <c r="I27" s="232"/>
      <c r="J27" s="240" t="s">
        <v>239</v>
      </c>
      <c r="K27" s="232"/>
      <c r="L27" s="232"/>
      <c r="M27" s="240" t="s">
        <v>240</v>
      </c>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241</v>
      </c>
      <c r="C28" s="239" t="s">
        <v>240</v>
      </c>
      <c r="D28" s="232"/>
      <c r="E28" s="232"/>
      <c r="F28" s="232"/>
      <c r="G28" s="240" t="s">
        <v>240</v>
      </c>
      <c r="H28" s="232"/>
      <c r="I28" s="232"/>
      <c r="J28" s="240" t="s">
        <v>240</v>
      </c>
      <c r="K28" s="232"/>
      <c r="L28" s="232"/>
      <c r="M28" s="240" t="s">
        <v>240</v>
      </c>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242</v>
      </c>
      <c r="C29" s="239" t="s">
        <v>239</v>
      </c>
      <c r="D29" s="232"/>
      <c r="E29" s="232"/>
      <c r="F29" s="232"/>
      <c r="G29" s="240" t="s">
        <v>239</v>
      </c>
      <c r="H29" s="232"/>
      <c r="I29" s="232"/>
      <c r="J29" s="240" t="s">
        <v>239</v>
      </c>
      <c r="K29" s="232"/>
      <c r="L29" s="232"/>
      <c r="M29" s="240" t="s">
        <v>240</v>
      </c>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243</v>
      </c>
      <c r="C30" s="239" t="s">
        <v>244</v>
      </c>
      <c r="D30" s="232"/>
      <c r="E30" s="232"/>
      <c r="F30" s="232"/>
      <c r="G30" s="240" t="s">
        <v>239</v>
      </c>
      <c r="H30" s="232"/>
      <c r="I30" s="232"/>
      <c r="J30" s="240" t="s">
        <v>239</v>
      </c>
      <c r="K30" s="232"/>
      <c r="L30" s="232"/>
      <c r="M30" s="240" t="s">
        <v>240</v>
      </c>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245</v>
      </c>
      <c r="C31" s="239" t="s">
        <v>246</v>
      </c>
      <c r="D31" s="232"/>
      <c r="E31" s="232"/>
      <c r="F31" s="232"/>
      <c r="G31" s="240" t="s">
        <v>239</v>
      </c>
      <c r="H31" s="232"/>
      <c r="I31" s="232"/>
      <c r="J31" s="240" t="s">
        <v>239</v>
      </c>
      <c r="K31" s="232"/>
      <c r="L31" s="232"/>
      <c r="M31" s="240" t="s">
        <v>240</v>
      </c>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247</v>
      </c>
      <c r="C32" s="242"/>
      <c r="D32" s="232"/>
      <c r="E32" s="232"/>
      <c r="F32" s="232"/>
      <c r="G32" s="240" t="s">
        <v>244</v>
      </c>
      <c r="H32" s="232"/>
      <c r="I32" s="232"/>
      <c r="J32" s="240" t="s">
        <v>244</v>
      </c>
      <c r="K32" s="232"/>
      <c r="L32" s="232"/>
      <c r="M32" s="240" t="s">
        <v>240</v>
      </c>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248</v>
      </c>
      <c r="C33" s="246"/>
      <c r="D33" s="247"/>
      <c r="E33" s="247"/>
      <c r="F33" s="247"/>
      <c r="G33" s="248" t="s">
        <v>240</v>
      </c>
      <c r="H33" s="247"/>
      <c r="I33" s="247"/>
      <c r="J33" s="248" t="s">
        <v>240</v>
      </c>
      <c r="K33" s="247"/>
      <c r="L33" s="247"/>
      <c r="M33" s="248" t="s">
        <v>240</v>
      </c>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249</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250</v>
      </c>
      <c r="C35" s="252"/>
      <c r="D35" s="236"/>
      <c r="E35" s="236"/>
      <c r="F35" s="236"/>
      <c r="G35" s="237" t="s">
        <v>239</v>
      </c>
      <c r="H35" s="236"/>
      <c r="I35" s="236"/>
      <c r="J35" s="237" t="s">
        <v>239</v>
      </c>
      <c r="K35" s="236"/>
      <c r="L35" s="236"/>
      <c r="M35" s="237" t="s">
        <v>239</v>
      </c>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251</v>
      </c>
      <c r="C36" s="242"/>
      <c r="D36" s="232"/>
      <c r="E36" s="232"/>
      <c r="F36" s="232"/>
      <c r="G36" s="240" t="s">
        <v>240</v>
      </c>
      <c r="H36" s="232"/>
      <c r="I36" s="232"/>
      <c r="J36" s="240" t="s">
        <v>240</v>
      </c>
      <c r="K36" s="232"/>
      <c r="L36" s="232"/>
      <c r="M36" s="240" t="s">
        <v>240</v>
      </c>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252</v>
      </c>
      <c r="C37" s="242"/>
      <c r="D37" s="232"/>
      <c r="E37" s="232"/>
      <c r="F37" s="232"/>
      <c r="G37" s="240" t="s">
        <v>240</v>
      </c>
      <c r="H37" s="232"/>
      <c r="I37" s="232"/>
      <c r="J37" s="240" t="s">
        <v>240</v>
      </c>
      <c r="K37" s="232"/>
      <c r="L37" s="232"/>
      <c r="M37" s="240" t="s">
        <v>240</v>
      </c>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253</v>
      </c>
      <c r="C38" s="242"/>
      <c r="D38" s="232"/>
      <c r="E38" s="232"/>
      <c r="F38" s="232"/>
      <c r="G38" s="240" t="s">
        <v>238</v>
      </c>
      <c r="H38" s="232"/>
      <c r="I38" s="232"/>
      <c r="J38" s="240" t="s">
        <v>238</v>
      </c>
      <c r="K38" s="232"/>
      <c r="L38" s="232"/>
      <c r="M38" s="240" t="s">
        <v>238</v>
      </c>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254</v>
      </c>
      <c r="C39" s="242"/>
      <c r="D39" s="232"/>
      <c r="E39" s="232"/>
      <c r="F39" s="232"/>
      <c r="G39" s="240" t="s">
        <v>239</v>
      </c>
      <c r="H39" s="232"/>
      <c r="I39" s="232"/>
      <c r="J39" s="240" t="s">
        <v>239</v>
      </c>
      <c r="K39" s="232"/>
      <c r="L39" s="232"/>
      <c r="M39" s="240" t="s">
        <v>240</v>
      </c>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255</v>
      </c>
      <c r="C40" s="242"/>
      <c r="D40" s="232"/>
      <c r="E40" s="232"/>
      <c r="F40" s="232"/>
      <c r="G40" s="240" t="s">
        <v>240</v>
      </c>
      <c r="H40" s="232"/>
      <c r="I40" s="232"/>
      <c r="J40" s="240" t="s">
        <v>240</v>
      </c>
      <c r="K40" s="232"/>
      <c r="L40" s="232"/>
      <c r="M40" s="240" t="s">
        <v>239</v>
      </c>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256</v>
      </c>
      <c r="C41" s="242"/>
      <c r="D41" s="232"/>
      <c r="E41" s="232"/>
      <c r="F41" s="232"/>
      <c r="G41" s="240" t="s">
        <v>238</v>
      </c>
      <c r="H41" s="232"/>
      <c r="I41" s="232"/>
      <c r="J41" s="240" t="s">
        <v>238</v>
      </c>
      <c r="K41" s="232"/>
      <c r="L41" s="232"/>
      <c r="M41" s="240" t="s">
        <v>238</v>
      </c>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257</v>
      </c>
      <c r="C42" s="242"/>
      <c r="D42" s="232"/>
      <c r="E42" s="232"/>
      <c r="F42" s="232"/>
      <c r="G42" s="240" t="s">
        <v>238</v>
      </c>
      <c r="H42" s="232"/>
      <c r="I42" s="232"/>
      <c r="J42" s="240" t="s">
        <v>238</v>
      </c>
      <c r="K42" s="232"/>
      <c r="L42" s="232"/>
      <c r="M42" s="240" t="s">
        <v>240</v>
      </c>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258</v>
      </c>
      <c r="C43" s="242"/>
      <c r="D43" s="232"/>
      <c r="E43" s="232"/>
      <c r="F43" s="232"/>
      <c r="G43" s="240" t="s">
        <v>240</v>
      </c>
      <c r="H43" s="232"/>
      <c r="I43" s="232"/>
      <c r="J43" s="240" t="s">
        <v>240</v>
      </c>
      <c r="K43" s="232"/>
      <c r="L43" s="232"/>
      <c r="M43" s="240" t="s">
        <v>240</v>
      </c>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259</v>
      </c>
      <c r="C44" s="246"/>
      <c r="D44" s="247"/>
      <c r="E44" s="247"/>
      <c r="F44" s="247"/>
      <c r="G44" s="248" t="s">
        <v>240</v>
      </c>
      <c r="H44" s="247"/>
      <c r="I44" s="247"/>
      <c r="J44" s="248" t="s">
        <v>240</v>
      </c>
      <c r="K44" s="247"/>
      <c r="L44" s="247"/>
      <c r="M44" s="248" t="s">
        <v>240</v>
      </c>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260</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261</v>
      </c>
      <c r="C46" s="252"/>
      <c r="D46" s="236"/>
      <c r="E46" s="236"/>
      <c r="F46" s="236"/>
      <c r="G46" s="237" t="s">
        <v>238</v>
      </c>
      <c r="H46" s="236"/>
      <c r="I46" s="236"/>
      <c r="J46" s="237" t="s">
        <v>238</v>
      </c>
      <c r="K46" s="236"/>
      <c r="L46" s="236"/>
      <c r="M46" s="237" t="s">
        <v>238</v>
      </c>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262</v>
      </c>
      <c r="C47" s="242"/>
      <c r="D47" s="232"/>
      <c r="E47" s="232"/>
      <c r="F47" s="232"/>
      <c r="G47" s="240" t="s">
        <v>240</v>
      </c>
      <c r="H47" s="232"/>
      <c r="I47" s="232"/>
      <c r="J47" s="240" t="s">
        <v>239</v>
      </c>
      <c r="K47" s="232"/>
      <c r="L47" s="232"/>
      <c r="M47" s="240" t="s">
        <v>239</v>
      </c>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263</v>
      </c>
      <c r="C48" s="242"/>
      <c r="D48" s="232"/>
      <c r="E48" s="232"/>
      <c r="F48" s="232"/>
      <c r="G48" s="240" t="s">
        <v>240</v>
      </c>
      <c r="H48" s="232"/>
      <c r="I48" s="232"/>
      <c r="J48" s="240" t="s">
        <v>240</v>
      </c>
      <c r="K48" s="232"/>
      <c r="L48" s="232"/>
      <c r="M48" s="240" t="s">
        <v>240</v>
      </c>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264</v>
      </c>
      <c r="C49" s="246"/>
      <c r="D49" s="247"/>
      <c r="E49" s="247"/>
      <c r="F49" s="247"/>
      <c r="G49" s="248" t="s">
        <v>240</v>
      </c>
      <c r="H49" s="247"/>
      <c r="I49" s="247"/>
      <c r="J49" s="248" t="s">
        <v>240</v>
      </c>
      <c r="K49" s="247"/>
      <c r="L49" s="247"/>
      <c r="M49" s="248" t="s">
        <v>240</v>
      </c>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265</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266</v>
      </c>
      <c r="C51" s="252"/>
      <c r="D51" s="236"/>
      <c r="E51" s="236"/>
      <c r="F51" s="236"/>
      <c r="G51" s="237" t="s">
        <v>239</v>
      </c>
      <c r="H51" s="236"/>
      <c r="I51" s="236"/>
      <c r="J51" s="237" t="s">
        <v>239</v>
      </c>
      <c r="K51" s="236"/>
      <c r="L51" s="236"/>
      <c r="M51" s="237" t="s">
        <v>239</v>
      </c>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267</v>
      </c>
      <c r="C52" s="242"/>
      <c r="D52" s="232"/>
      <c r="E52" s="232"/>
      <c r="F52" s="232"/>
      <c r="G52" s="240" t="s">
        <v>239</v>
      </c>
      <c r="H52" s="232"/>
      <c r="I52" s="232"/>
      <c r="J52" s="240" t="s">
        <v>239</v>
      </c>
      <c r="K52" s="232"/>
      <c r="L52" s="232"/>
      <c r="M52" s="240" t="s">
        <v>239</v>
      </c>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268</v>
      </c>
      <c r="C53" s="263"/>
      <c r="D53" s="264"/>
      <c r="E53" s="264"/>
      <c r="F53" s="264"/>
      <c r="G53" s="265" t="s">
        <v>240</v>
      </c>
      <c r="H53" s="264"/>
      <c r="I53" s="264"/>
      <c r="J53" s="265" t="s">
        <v>239</v>
      </c>
      <c r="K53" s="264"/>
      <c r="L53" s="264"/>
      <c r="M53" s="265" t="s">
        <v>239</v>
      </c>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269</v>
      </c>
      <c r="C54" s="269" t="s">
        <v>270</v>
      </c>
      <c r="D54" s="236"/>
      <c r="E54" s="236"/>
      <c r="F54" s="236"/>
      <c r="G54" s="269" t="s">
        <v>271</v>
      </c>
      <c r="H54" s="236"/>
      <c r="I54" s="236"/>
      <c r="J54" s="270"/>
      <c r="K54" s="236"/>
      <c r="L54" s="236"/>
      <c r="M54" s="269" t="s">
        <v>272</v>
      </c>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273</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274</v>
      </c>
    </row>
    <row r="3" hidden="1" outlineLevel="1">
      <c r="C3" s="286" t="s">
        <v>275</v>
      </c>
      <c r="D3" s="287">
        <v>0.321</v>
      </c>
      <c r="F3" s="288" t="s">
        <v>276</v>
      </c>
      <c r="G3" s="3"/>
      <c r="H3" s="287">
        <v>0.766</v>
      </c>
    </row>
    <row r="4" hidden="1" outlineLevel="1"/>
    <row r="5" hidden="1" outlineLevel="1">
      <c r="C5" s="286" t="s">
        <v>277</v>
      </c>
      <c r="D5" s="286">
        <v>12.1</v>
      </c>
    </row>
    <row r="6" hidden="1" outlineLevel="1">
      <c r="C6" s="289" t="s">
        <v>278</v>
      </c>
      <c r="D6" s="289">
        <v>5.6</v>
      </c>
    </row>
    <row r="7" ht="57.75" customHeight="1">
      <c r="B7" s="290" t="s">
        <v>279</v>
      </c>
      <c r="C7" s="291" t="s">
        <v>280</v>
      </c>
      <c r="D7" s="291" t="s">
        <v>281</v>
      </c>
      <c r="E7" s="292" t="s">
        <v>282</v>
      </c>
      <c r="F7" s="292" t="s">
        <v>283</v>
      </c>
      <c r="G7" s="292" t="s">
        <v>284</v>
      </c>
      <c r="H7" s="293" t="s">
        <v>285</v>
      </c>
      <c r="I7" s="292" t="str">
        <f>#REF!</f>
        <v>#REF!</v>
      </c>
      <c r="J7" s="292" t="s">
        <v>286</v>
      </c>
      <c r="K7" s="292" t="s">
        <v>287</v>
      </c>
    </row>
    <row r="8" ht="84.0" customHeight="1">
      <c r="A8" s="223"/>
      <c r="B8" s="294">
        <v>46130.0</v>
      </c>
      <c r="C8" s="295">
        <v>70.0</v>
      </c>
      <c r="D8" s="295">
        <v>99.0</v>
      </c>
      <c r="E8" s="296">
        <f>C8*$D$3</f>
        <v>22.47</v>
      </c>
      <c r="F8" s="296">
        <f>(C8-E8)*$H$3</f>
        <v>36.40798</v>
      </c>
      <c r="G8" s="296">
        <f>D8+E8+F8</f>
        <v>157.87798</v>
      </c>
      <c r="H8" s="296">
        <f>D8+E8+(F8/4)</f>
        <v>130.571995</v>
      </c>
      <c r="I8" s="297"/>
      <c r="J8" s="298">
        <f>H8/($D$5+($D$6/4))</f>
        <v>9.67199963</v>
      </c>
      <c r="K8" s="299">
        <f>ROUNDUP(J8,0)</f>
        <v>10</v>
      </c>
      <c r="L8" s="223"/>
      <c r="M8" s="223"/>
      <c r="N8" s="223"/>
      <c r="O8" s="223"/>
      <c r="P8" s="223"/>
      <c r="Q8" s="223"/>
      <c r="R8" s="223"/>
      <c r="S8" s="223"/>
      <c r="T8" s="223"/>
      <c r="U8" s="223"/>
      <c r="V8" s="223"/>
      <c r="W8" s="223"/>
      <c r="X8" s="223"/>
      <c r="Y8" s="223"/>
      <c r="Z8" s="223"/>
      <c r="AA8" s="223"/>
    </row>
    <row r="9">
      <c r="B9" s="300" t="s">
        <v>288</v>
      </c>
      <c r="C9" s="301" t="s">
        <v>289</v>
      </c>
      <c r="D9" s="301"/>
      <c r="E9" s="302"/>
      <c r="F9" s="302"/>
      <c r="G9" s="302"/>
      <c r="H9" s="302"/>
      <c r="I9" s="302"/>
      <c r="J9" s="303" t="s">
        <v>290</v>
      </c>
      <c r="K9" s="303" t="s">
        <v>290</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2891880</v>
      </c>
      <c r="D1" s="305">
        <f>AZ20</f>
        <v>426159.0909</v>
      </c>
      <c r="E1" s="305">
        <f>BG23</f>
        <v>1771436</v>
      </c>
      <c r="F1" s="305">
        <f>BB23+BG40</f>
        <v>60000</v>
      </c>
      <c r="G1" s="305">
        <f t="shared" ref="G1:H1" si="1">I8</f>
        <v>64525.23864</v>
      </c>
      <c r="H1" s="305">
        <f t="shared" si="1"/>
        <v>30875</v>
      </c>
      <c r="I1" s="306">
        <f>G8</f>
        <v>0.8843697479</v>
      </c>
      <c r="J1" s="306">
        <f>AT7</f>
        <v>0.001680672269</v>
      </c>
      <c r="K1" s="307">
        <f>AV44</f>
        <v>5</v>
      </c>
      <c r="L1" s="308">
        <f>F44</f>
        <v>2724</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46113.0</v>
      </c>
      <c r="E5" s="77"/>
      <c r="F5" s="322" t="s">
        <v>295</v>
      </c>
      <c r="G5" s="323">
        <f>DAY(EOMONTH(D5,0))</f>
        <v>30</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0.2692947531</v>
      </c>
      <c r="D7" s="77"/>
      <c r="E7" s="346">
        <f>AU12</f>
        <v>0.5400167836</v>
      </c>
      <c r="F7" s="77"/>
      <c r="G7" s="347" t="s">
        <v>312</v>
      </c>
      <c r="H7" s="348">
        <f t="array" ref="H7">xlookup($D$5,'🌟目標数値'!$A$3:$A$14,'🌟目標数値'!E$3:E14)</f>
        <v>4628325</v>
      </c>
      <c r="I7" s="348" t="s">
        <v>312</v>
      </c>
      <c r="J7" s="349" t="s">
        <v>312</v>
      </c>
      <c r="K7" s="350" t="s">
        <v>312</v>
      </c>
      <c r="L7" s="350" t="s">
        <v>312</v>
      </c>
      <c r="M7" s="351">
        <f t="array" ref="M7">xlookup($D$5,'🌟目標数値'!$A$3:$A$14,'🌟目標数値'!F$3:F14)</f>
        <v>1246383.638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0.001680672269</v>
      </c>
      <c r="AU7" s="77"/>
      <c r="AV7" s="353">
        <f>IFERROR(__xludf.DUMMYFUNCTION("IMPORTRANGE(AT9,""日別集計!AI4"")"),32.0)</f>
        <v>32</v>
      </c>
      <c r="AW7" s="77"/>
      <c r="AX7" s="339"/>
      <c r="AY7" s="354" t="s">
        <v>313</v>
      </c>
      <c r="BG7" s="355"/>
      <c r="BL7" s="343"/>
    </row>
    <row r="8" ht="15.75" customHeight="1" outlineLevel="1">
      <c r="B8" s="356" t="s">
        <v>314</v>
      </c>
      <c r="C8" s="357">
        <f>M8/H8</f>
        <v>0.2177682582</v>
      </c>
      <c r="D8" s="77"/>
      <c r="E8" s="358">
        <f>(BB23+BG23-BE24)/H8</f>
        <v>0.6125551544</v>
      </c>
      <c r="F8" s="77"/>
      <c r="G8" s="359">
        <f>G47</f>
        <v>0.8843697479</v>
      </c>
      <c r="H8" s="360">
        <f>BB30</f>
        <v>2891880</v>
      </c>
      <c r="I8" s="361">
        <f>IFERROR(__xludf.DUMMYFUNCTION("IMPORTRANGE(""https://docs.google.com/spreadsheets/d/1QbHfX9wvC_RRupa4CCe_ZxA6O4e2Ap9vqX5hrZPeQRg/edit"",""date2_1!Q17"")/G5*COUNTIFS($E$13:$E$43,""&gt;0"")"),64525.23863636363)</f>
        <v>64525.23864</v>
      </c>
      <c r="J8" s="362">
        <f>IFERROR(__xludf.DUMMYFUNCTION("IMPORTRANGE(""https://docs.google.com/spreadsheets/d/1PIAlDmsTatDNi42y_Nu-aVFqvVCXfe6jiDJFQImKjZ0/edit#gid=630612029"",""R8_3!J17"")"),30875.0)</f>
        <v>30875</v>
      </c>
      <c r="K8" s="363">
        <f>BE24</f>
        <v>0</v>
      </c>
      <c r="L8" s="363">
        <f>BB30-BB23-AZ20-BG45-BG23+BE24</f>
        <v>694284.9091</v>
      </c>
      <c r="M8" s="364">
        <f>L8-I8</f>
        <v>629759.6705</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2622717.5</v>
      </c>
      <c r="I9" s="374" t="s">
        <v>312</v>
      </c>
      <c r="J9" s="375" t="s">
        <v>312</v>
      </c>
      <c r="K9" s="376" t="s">
        <v>312</v>
      </c>
      <c r="L9" s="376" t="s">
        <v>312</v>
      </c>
      <c r="M9" s="377">
        <f>M7/G5*COUNTIFS($E$11:$E$41,"&gt;0")</f>
        <v>706284.0616</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46113</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0.5400167836</v>
      </c>
      <c r="AV12" s="395"/>
      <c r="AW12" s="395"/>
      <c r="AX12" s="315"/>
      <c r="AY12" s="398" t="s">
        <v>364</v>
      </c>
      <c r="BI12" s="222"/>
      <c r="BJ12" s="222"/>
      <c r="BL12" s="222"/>
      <c r="BM12" s="222"/>
    </row>
    <row r="13" ht="15.75" customHeight="1">
      <c r="A13" s="314" t="s">
        <v>365</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IFERROR(__xludf.DUMMYFUNCTION("FLATTEN('⚙️抽出用'!B5:AF5)"),81609.66666666667)</f>
        <v>81609.66667</v>
      </c>
      <c r="AU13" s="409">
        <f t="shared" ref="AU13:AU43" si="7">if(E13="","",iferror((AT13+AR13+$BF$23/if(month($D$5)=month(today()),day(today()),$G$5))/(AS13+(sum($BA$31:$BA$32)/$G$5)),""))</f>
        <v>0.6494588969</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IFERROR(__xludf.DUMMYFUNCTION("""COMPUTED_VALUE"""),85528.5)</f>
        <v>85528.5</v>
      </c>
      <c r="AU14" s="409">
        <f t="shared" si="7"/>
        <v>0.677469505</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IFERROR(__xludf.DUMMYFUNCTION("""COMPUTED_VALUE"""),97713.0)</f>
        <v>97713</v>
      </c>
      <c r="AU15" s="409">
        <f t="shared" si="7"/>
        <v>0.5770077776</v>
      </c>
      <c r="AV15" s="401">
        <f>countifs('🔵クレーム'!$C:$C,MONTH($D$5)&amp;"月",'🔵クレーム'!$D:$D,day(C15)&amp;"日",'🔵クレーム'!$I:$I,"&lt;&gt;")</f>
        <v>1</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0.6179899663</v>
      </c>
      <c r="AV16" s="401">
        <f>countifs('🔵クレーム'!$C:$C,MONTH($D$5)&amp;"月",'🔵クレーム'!$D:$D,day(C16)&amp;"日",'🔵クレーム'!$I:$I,"&lt;&gt;")</f>
        <v>1</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0.6300665543</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IFERROR(__xludf.DUMMYFUNCTION("""COMPUTED_VALUE"""),104842.5)</f>
        <v>104842.5</v>
      </c>
      <c r="AU18" s="409">
        <f t="shared" si="7"/>
        <v>0.6776913572</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IFERROR(__xludf.DUMMYFUNCTION("""COMPUTED_VALUE"""),85636.5)</f>
        <v>85636.5</v>
      </c>
      <c r="AU19" s="409">
        <f t="shared" si="7"/>
        <v>0.6299346642</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IFERROR(__xludf.DUMMYFUNCTION("""COMPUTED_VALUE"""),105280.33333333333)</f>
        <v>105280.3333</v>
      </c>
      <c r="AU20" s="409">
        <f t="shared" si="7"/>
        <v>0.683576404</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IFERROR(__xludf.DUMMYFUNCTION("IMPORTRANGE(""https://docs.google.com/spreadsheets/d/1QbHfX9wvC_RRupa4CCe_ZxA6O4e2Ap9vqX5hrZPeQRg/edit?gid=284905409#gid=284905409"",""date2_1!C17"")/G5*COUNTIFS($E$13:$E$43,""&gt;0"")+sum(AZ14:BA19)"),426159.09090909094)</f>
        <v>426159.0909</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IFERROR(__xludf.DUMMYFUNCTION("""COMPUTED_VALUE"""),96191.83333333333)</f>
        <v>96191.83333</v>
      </c>
      <c r="AU21" s="409">
        <f t="shared" si="7"/>
        <v>0.6651090242</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0.6721543978</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46123</v>
      </c>
      <c r="D23" s="401" t="str">
        <f t="shared" si="2"/>
        <v>土</v>
      </c>
      <c r="E23" s="401">
        <f t="shared" ref="E23:E24"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IFERROR(__xludf.DUMMYFUNCTION("""COMPUTED_VALUE"""),102583.33333333333)</f>
        <v>102583.3333</v>
      </c>
      <c r="AU23" s="409">
        <f t="shared" si="7"/>
        <v>0.6077370166</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IFERROR(__xludf.DUMMYFUNCTION("IMPORTRANGE(AT9,""total!ai2"")"),1645878.0)</f>
        <v>1645878</v>
      </c>
      <c r="BF23" s="445">
        <f>IFERROR(__xludf.DUMMYFUNCTION("IMPORTRANGE(AT9,""total!an2"")"),125558.0)</f>
        <v>125558</v>
      </c>
      <c r="BG23" s="443">
        <f>sum(BE23:BF27)+BE20</f>
        <v>1771436</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46124</v>
      </c>
      <c r="D24" s="401" t="str">
        <f t="shared" si="2"/>
        <v>日</v>
      </c>
      <c r="E24" s="401">
        <f t="shared" si="11"/>
        <v>175</v>
      </c>
      <c r="F24" s="401">
        <f t="shared" si="3"/>
        <v>165</v>
      </c>
      <c r="G24" s="401">
        <f t="shared" si="4"/>
        <v>162</v>
      </c>
      <c r="H24" s="419">
        <v>75.0</v>
      </c>
      <c r="I24" s="419">
        <v>5.0</v>
      </c>
      <c r="J24" s="419">
        <v>24.0</v>
      </c>
      <c r="K24" s="419">
        <v>58.0</v>
      </c>
      <c r="L24" s="419">
        <v>3.0</v>
      </c>
      <c r="M24" s="419">
        <v>1.0</v>
      </c>
      <c r="N24" s="419">
        <v>60.0</v>
      </c>
      <c r="O24" s="419">
        <v>3.0</v>
      </c>
      <c r="P24" s="419">
        <v>2.0</v>
      </c>
      <c r="Q24" s="419">
        <v>0.0</v>
      </c>
      <c r="R24" s="419">
        <v>0.0</v>
      </c>
      <c r="S24" s="419">
        <v>0.0</v>
      </c>
      <c r="T24" s="419">
        <v>1.0</v>
      </c>
      <c r="U24" s="419">
        <v>1.0</v>
      </c>
      <c r="V24" s="419">
        <v>1.0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154715</v>
      </c>
      <c r="AT24" s="408">
        <f>IFERROR(__xludf.DUMMYFUNCTION("""COMPUTED_VALUE"""),99750.5)</f>
        <v>99750.5</v>
      </c>
      <c r="AU24" s="409">
        <f t="shared" si="7"/>
        <v>0.650259113</v>
      </c>
      <c r="AV24" s="401">
        <f>countifs('🔵クレーム'!$C:$C,MONTH($D$5)&amp;"月",'🔵クレーム'!$D:$D,day(C24)&amp;"日",'🔵クレーム'!$I:$I,"&lt;&gt;")</f>
        <v>1</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46125</v>
      </c>
      <c r="D25" s="401" t="str">
        <f t="shared" si="2"/>
        <v>月</v>
      </c>
      <c r="E25" s="418">
        <v>175.0</v>
      </c>
      <c r="F25" s="401">
        <f t="shared" si="3"/>
        <v>152</v>
      </c>
      <c r="G25" s="401">
        <f t="shared" si="4"/>
        <v>146</v>
      </c>
      <c r="H25" s="403">
        <v>47.0</v>
      </c>
      <c r="I25" s="403">
        <v>8.0</v>
      </c>
      <c r="J25" s="403">
        <v>16.0</v>
      </c>
      <c r="K25" s="403">
        <v>75.0</v>
      </c>
      <c r="L25" s="403">
        <v>6.0</v>
      </c>
      <c r="M25" s="403">
        <v>10.0</v>
      </c>
      <c r="N25" s="403">
        <v>40.0</v>
      </c>
      <c r="O25" s="403">
        <v>8.0</v>
      </c>
      <c r="P25" s="403">
        <v>0.0</v>
      </c>
      <c r="Q25" s="403">
        <v>0.0</v>
      </c>
      <c r="R25" s="403">
        <v>2.0</v>
      </c>
      <c r="S25" s="403">
        <v>0.0</v>
      </c>
      <c r="T25" s="403">
        <v>1.0</v>
      </c>
      <c r="U25" s="403">
        <v>1.0</v>
      </c>
      <c r="V25" s="403">
        <v>4.0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124685</v>
      </c>
      <c r="AT25" s="408">
        <f>IFERROR(__xludf.DUMMYFUNCTION("""COMPUTED_VALUE"""),86288.0)</f>
        <v>86288</v>
      </c>
      <c r="AU25" s="409">
        <f t="shared" si="7"/>
        <v>0.6954854854</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46126</v>
      </c>
      <c r="D26" s="401" t="str">
        <f t="shared" si="2"/>
        <v>火</v>
      </c>
      <c r="E26" s="401">
        <f t="shared" ref="E26:E28" si="12">if(H26="","",175)</f>
        <v>175</v>
      </c>
      <c r="F26" s="401">
        <f t="shared" si="3"/>
        <v>158</v>
      </c>
      <c r="G26" s="401">
        <f t="shared" si="4"/>
        <v>153</v>
      </c>
      <c r="H26" s="419">
        <v>65.0</v>
      </c>
      <c r="I26" s="419">
        <v>4.0</v>
      </c>
      <c r="J26" s="419">
        <v>20.0</v>
      </c>
      <c r="K26" s="419">
        <v>64.0</v>
      </c>
      <c r="L26" s="419">
        <v>5.0</v>
      </c>
      <c r="M26" s="419">
        <v>6.0</v>
      </c>
      <c r="N26" s="419">
        <v>37.0</v>
      </c>
      <c r="O26" s="419">
        <v>8.0</v>
      </c>
      <c r="P26" s="419">
        <v>2.0</v>
      </c>
      <c r="Q26" s="419">
        <v>5.0</v>
      </c>
      <c r="R26" s="419">
        <v>0.0</v>
      </c>
      <c r="S26" s="419">
        <v>0.0</v>
      </c>
      <c r="T26" s="419">
        <v>1.0</v>
      </c>
      <c r="U26" s="419">
        <v>1.0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138935</v>
      </c>
      <c r="AT26" s="408">
        <f>IFERROR(__xludf.DUMMYFUNCTION("""COMPUTED_VALUE"""),88222.0)</f>
        <v>88222</v>
      </c>
      <c r="AU26" s="409">
        <f t="shared" si="7"/>
        <v>0.6417156318</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f t="shared" si="12"/>
        <v>175</v>
      </c>
      <c r="F27" s="401">
        <f t="shared" si="3"/>
        <v>168</v>
      </c>
      <c r="G27" s="401">
        <f t="shared" si="4"/>
        <v>162</v>
      </c>
      <c r="H27" s="403">
        <v>78.0</v>
      </c>
      <c r="I27" s="403">
        <v>9.0</v>
      </c>
      <c r="J27" s="403">
        <v>22.0</v>
      </c>
      <c r="K27" s="403">
        <v>53.0</v>
      </c>
      <c r="L27" s="403">
        <v>6.0</v>
      </c>
      <c r="M27" s="403">
        <v>2.0</v>
      </c>
      <c r="N27" s="403">
        <v>58.0</v>
      </c>
      <c r="O27" s="403">
        <v>11.0</v>
      </c>
      <c r="P27" s="403">
        <v>4.0</v>
      </c>
      <c r="Q27" s="403">
        <v>0.0</v>
      </c>
      <c r="R27" s="403">
        <v>2.0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162020</v>
      </c>
      <c r="AT27" s="408">
        <f>IFERROR(__xludf.DUMMYFUNCTION("""COMPUTED_VALUE"""),115124.16666666667)</f>
        <v>115124.1667</v>
      </c>
      <c r="AU27" s="409">
        <f t="shared" si="7"/>
        <v>0.7122279474</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f t="shared" si="12"/>
        <v>175</v>
      </c>
      <c r="F28" s="401">
        <f t="shared" si="3"/>
        <v>160</v>
      </c>
      <c r="G28" s="401">
        <f t="shared" si="4"/>
        <v>152</v>
      </c>
      <c r="H28" s="419">
        <v>64.0</v>
      </c>
      <c r="I28" s="419">
        <v>6.0</v>
      </c>
      <c r="J28" s="419">
        <v>24.0</v>
      </c>
      <c r="K28" s="419">
        <v>58.0</v>
      </c>
      <c r="L28" s="419">
        <v>8.0</v>
      </c>
      <c r="M28" s="419">
        <v>3.0</v>
      </c>
      <c r="N28" s="419">
        <v>41.0</v>
      </c>
      <c r="O28" s="419">
        <v>14.0</v>
      </c>
      <c r="P28" s="419">
        <v>1.0</v>
      </c>
      <c r="Q28" s="419">
        <v>0.0</v>
      </c>
      <c r="R28" s="419">
        <v>2.0</v>
      </c>
      <c r="S28" s="419">
        <v>0.0</v>
      </c>
      <c r="T28" s="419">
        <v>1.0</v>
      </c>
      <c r="U28" s="419">
        <v>1.0</v>
      </c>
      <c r="V28" s="419">
        <v>1.0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145790</v>
      </c>
      <c r="AT28" s="408">
        <f>IFERROR(__xludf.DUMMYFUNCTION("""COMPUTED_VALUE"""),108951.83333333334)</f>
        <v>108951.8333</v>
      </c>
      <c r="AU28" s="409">
        <f t="shared" si="7"/>
        <v>0.7469380669</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18">
        <v>175.0</v>
      </c>
      <c r="F29" s="401">
        <f t="shared" si="3"/>
        <v>167</v>
      </c>
      <c r="G29" s="401">
        <f t="shared" si="4"/>
        <v>163</v>
      </c>
      <c r="H29" s="403">
        <v>70.0</v>
      </c>
      <c r="I29" s="403">
        <v>9.0</v>
      </c>
      <c r="J29" s="403">
        <v>23.0</v>
      </c>
      <c r="K29" s="403">
        <v>61.0</v>
      </c>
      <c r="L29" s="403">
        <v>4.0</v>
      </c>
      <c r="M29" s="403">
        <v>0.0</v>
      </c>
      <c r="N29" s="403">
        <v>53.0</v>
      </c>
      <c r="O29" s="403">
        <v>14.0</v>
      </c>
      <c r="P29" s="403">
        <v>1.0</v>
      </c>
      <c r="Q29" s="403">
        <v>0.0</v>
      </c>
      <c r="R29" s="403">
        <v>0.0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154980</v>
      </c>
      <c r="AT29" s="408">
        <f>IFERROR(__xludf.DUMMYFUNCTION("""COMPUTED_VALUE"""),100128.33333333333)</f>
        <v>100128.3333</v>
      </c>
      <c r="AU29" s="409">
        <f t="shared" si="7"/>
        <v>0.6515092529</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ref="E30:E43" si="13">if(H30="","",175)</f>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385</v>
      </c>
      <c r="AZ30" s="445">
        <f>AS46</f>
        <v>2527590</v>
      </c>
      <c r="BA30" s="456" t="s">
        <v>312</v>
      </c>
      <c r="BB30" s="443">
        <f>SUM(AZ30:AZ36)</f>
        <v>2891880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3"/>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365</v>
      </c>
      <c r="AY31" s="461" t="s">
        <v>389</v>
      </c>
      <c r="AZ31" s="445">
        <f t="shared" ref="AZ31:AZ32" si="14">BA31/$G$5*COUNTIFS($E$13:$E$43,"&gt;0")</f>
        <v>103360</v>
      </c>
      <c r="BA31" s="462">
        <v>182400.0</v>
      </c>
      <c r="BB31" s="446"/>
      <c r="BC31" s="315"/>
      <c r="BD31" s="463" t="s">
        <v>390</v>
      </c>
      <c r="BE31" s="464">
        <v>2000.0</v>
      </c>
      <c r="BF31" s="465"/>
      <c r="BG31" s="445">
        <f t="shared" ref="BG31:BG35" si="15">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3"/>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365</v>
      </c>
      <c r="AY32" s="461" t="s">
        <v>391</v>
      </c>
      <c r="AZ32" s="445">
        <f t="shared" si="14"/>
        <v>56666.66667</v>
      </c>
      <c r="BA32" s="462">
        <v>100000.0</v>
      </c>
      <c r="BB32" s="446"/>
      <c r="BC32" s="315"/>
      <c r="BD32" s="463" t="s">
        <v>392</v>
      </c>
      <c r="BE32" s="464">
        <v>2500.0</v>
      </c>
      <c r="BF32" s="465"/>
      <c r="BG32" s="445">
        <f t="shared" si="15"/>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3"/>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365</v>
      </c>
      <c r="AY33" s="461" t="s">
        <v>393</v>
      </c>
      <c r="AZ33" s="462">
        <v>105000.0</v>
      </c>
      <c r="BA33" s="462">
        <v>105000.0</v>
      </c>
      <c r="BB33" s="446"/>
      <c r="BC33" s="315"/>
      <c r="BD33" s="466" t="s">
        <v>394</v>
      </c>
      <c r="BE33" s="465"/>
      <c r="BF33" s="465"/>
      <c r="BG33" s="445">
        <f t="shared" si="15"/>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3"/>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395</v>
      </c>
      <c r="AZ34" s="426">
        <f>BA34/$G$5*COUNTIFS($E$13:$E$43,"&gt;0")</f>
        <v>8613.333333</v>
      </c>
      <c r="BA34" s="426">
        <v>15200.0</v>
      </c>
      <c r="BB34" s="446"/>
      <c r="BC34" s="315"/>
      <c r="BD34" s="463"/>
      <c r="BE34" s="465"/>
      <c r="BF34" s="465"/>
      <c r="BG34" s="445">
        <f t="shared" si="15"/>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3"/>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5"/>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3"/>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396</v>
      </c>
      <c r="AZ36" s="423">
        <f>BB40</f>
        <v>90650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3"/>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3"/>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3"/>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3"/>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365</v>
      </c>
      <c r="AY40" s="471" t="s">
        <v>393</v>
      </c>
      <c r="AZ40" s="462" t="s">
        <v>402</v>
      </c>
      <c r="BA40" s="472" t="s">
        <v>403</v>
      </c>
      <c r="BB40" s="443">
        <f>SUM(AZ40:AZ45)</f>
        <v>90650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3"/>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365</v>
      </c>
      <c r="AY41" s="471" t="s">
        <v>405</v>
      </c>
      <c r="AZ41" s="462">
        <v>73500.0</v>
      </c>
      <c r="BA41" s="472" t="s">
        <v>406</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3"/>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2" t="s">
        <v>407</v>
      </c>
      <c r="AZ42" s="426">
        <v>3150.0</v>
      </c>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3"/>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2" t="s">
        <v>408</v>
      </c>
      <c r="AZ43" s="426">
        <v>14000.0</v>
      </c>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2975</v>
      </c>
      <c r="F44" s="481">
        <f t="shared" ref="F44:AB44" si="16">SUM(F13:F43)</f>
        <v>2724</v>
      </c>
      <c r="G44" s="481">
        <f t="shared" si="16"/>
        <v>2631</v>
      </c>
      <c r="H44" s="481">
        <f t="shared" si="16"/>
        <v>1146</v>
      </c>
      <c r="I44" s="481">
        <f t="shared" si="16"/>
        <v>118</v>
      </c>
      <c r="J44" s="481">
        <f t="shared" si="16"/>
        <v>368</v>
      </c>
      <c r="K44" s="481">
        <f t="shared" si="16"/>
        <v>999</v>
      </c>
      <c r="L44" s="481">
        <f t="shared" si="16"/>
        <v>93</v>
      </c>
      <c r="M44" s="481">
        <f t="shared" si="16"/>
        <v>68</v>
      </c>
      <c r="N44" s="481">
        <f t="shared" si="16"/>
        <v>860</v>
      </c>
      <c r="O44" s="481">
        <f t="shared" si="16"/>
        <v>159</v>
      </c>
      <c r="P44" s="481">
        <f t="shared" si="16"/>
        <v>22</v>
      </c>
      <c r="Q44" s="481">
        <f t="shared" si="16"/>
        <v>10</v>
      </c>
      <c r="R44" s="481">
        <f t="shared" si="16"/>
        <v>33</v>
      </c>
      <c r="S44" s="481">
        <f t="shared" si="16"/>
        <v>0</v>
      </c>
      <c r="T44" s="481">
        <f t="shared" si="16"/>
        <v>17</v>
      </c>
      <c r="U44" s="481">
        <f t="shared" si="16"/>
        <v>19</v>
      </c>
      <c r="V44" s="481">
        <f t="shared" si="16"/>
        <v>17</v>
      </c>
      <c r="W44" s="481">
        <f t="shared" si="16"/>
        <v>0</v>
      </c>
      <c r="X44" s="481">
        <f t="shared" si="16"/>
        <v>0</v>
      </c>
      <c r="Y44" s="481">
        <f t="shared" si="16"/>
        <v>0</v>
      </c>
      <c r="Z44" s="481">
        <f t="shared" si="16"/>
        <v>0</v>
      </c>
      <c r="AA44" s="481">
        <f t="shared" si="16"/>
        <v>0</v>
      </c>
      <c r="AB44" s="481">
        <f t="shared" si="16"/>
        <v>0</v>
      </c>
      <c r="AC44" s="482"/>
      <c r="AD44" s="482"/>
      <c r="AE44" s="482"/>
      <c r="AF44" s="482"/>
      <c r="AG44" s="482"/>
      <c r="AH44" s="482"/>
      <c r="AI44" s="482"/>
      <c r="AJ44" s="482"/>
      <c r="AK44" s="482"/>
      <c r="AL44" s="482"/>
      <c r="AM44" s="482"/>
      <c r="AN44" s="482"/>
      <c r="AO44" s="482"/>
      <c r="AP44" s="482"/>
      <c r="AQ44" s="482"/>
      <c r="AR44" s="483">
        <f t="shared" ref="AR44:AT44" si="17">sum(AR13:AR43)</f>
        <v>0</v>
      </c>
      <c r="AS44" s="484">
        <f t="shared" si="17"/>
        <v>2527590</v>
      </c>
      <c r="AT44" s="484">
        <f t="shared" si="17"/>
        <v>1645878</v>
      </c>
      <c r="AU44" s="485">
        <f>AVERAGE(AU13:AU43)</f>
        <v>0.6580194742</v>
      </c>
      <c r="AV44" s="481">
        <f t="shared" ref="AV44:AW44" si="18">sum(AV13:AV43)</f>
        <v>5</v>
      </c>
      <c r="AW44" s="486">
        <f t="shared" si="18"/>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9">G44*G45</f>
        <v>0</v>
      </c>
      <c r="H46" s="506">
        <f t="shared" si="19"/>
        <v>1220490</v>
      </c>
      <c r="I46" s="506">
        <f t="shared" si="19"/>
        <v>140420</v>
      </c>
      <c r="J46" s="506">
        <f t="shared" si="19"/>
        <v>493120</v>
      </c>
      <c r="K46" s="506">
        <f t="shared" si="19"/>
        <v>299700</v>
      </c>
      <c r="L46" s="506">
        <f t="shared" si="19"/>
        <v>9300</v>
      </c>
      <c r="M46" s="506">
        <f t="shared" si="19"/>
        <v>6800</v>
      </c>
      <c r="N46" s="506">
        <f t="shared" si="19"/>
        <v>86000</v>
      </c>
      <c r="O46" s="506">
        <f t="shared" si="19"/>
        <v>39750</v>
      </c>
      <c r="P46" s="506">
        <f t="shared" si="19"/>
        <v>5500</v>
      </c>
      <c r="Q46" s="506">
        <f t="shared" si="19"/>
        <v>1000</v>
      </c>
      <c r="R46" s="506">
        <f t="shared" si="19"/>
        <v>4950</v>
      </c>
      <c r="S46" s="506">
        <f t="shared" si="19"/>
        <v>0</v>
      </c>
      <c r="T46" s="506">
        <f t="shared" si="19"/>
        <v>2550</v>
      </c>
      <c r="U46" s="506">
        <f t="shared" si="19"/>
        <v>209000</v>
      </c>
      <c r="V46" s="506">
        <f t="shared" si="19"/>
        <v>9010</v>
      </c>
      <c r="W46" s="408">
        <f t="shared" si="19"/>
        <v>0</v>
      </c>
      <c r="X46" s="408">
        <f t="shared" si="19"/>
        <v>0</v>
      </c>
      <c r="Y46" s="408">
        <f t="shared" si="19"/>
        <v>0</v>
      </c>
      <c r="Z46" s="408">
        <f t="shared" si="19"/>
        <v>0</v>
      </c>
      <c r="AA46" s="408">
        <f t="shared" si="19"/>
        <v>0</v>
      </c>
      <c r="AB46" s="408">
        <f t="shared" si="19"/>
        <v>0</v>
      </c>
      <c r="AC46" s="407">
        <f t="shared" si="19"/>
        <v>0</v>
      </c>
      <c r="AD46" s="407">
        <f t="shared" si="19"/>
        <v>0</v>
      </c>
      <c r="AE46" s="407">
        <f t="shared" si="19"/>
        <v>0</v>
      </c>
      <c r="AF46" s="407">
        <f t="shared" si="19"/>
        <v>0</v>
      </c>
      <c r="AG46" s="407">
        <f t="shared" si="19"/>
        <v>0</v>
      </c>
      <c r="AH46" s="407">
        <f t="shared" si="19"/>
        <v>0</v>
      </c>
      <c r="AI46" s="407">
        <f t="shared" si="19"/>
        <v>0</v>
      </c>
      <c r="AJ46" s="498"/>
      <c r="AK46" s="498"/>
      <c r="AL46" s="498"/>
      <c r="AM46" s="498"/>
      <c r="AN46" s="498"/>
      <c r="AO46" s="498"/>
      <c r="AP46" s="498"/>
      <c r="AQ46" s="498"/>
      <c r="AR46" s="498"/>
      <c r="AS46" s="507">
        <f>sum(G46:AB46)</f>
        <v>2527590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20">G44/$E$44</f>
        <v>0.8843697479</v>
      </c>
      <c r="H47" s="513">
        <f t="shared" si="20"/>
        <v>0.385210084</v>
      </c>
      <c r="I47" s="513">
        <f t="shared" si="20"/>
        <v>0.03966386555</v>
      </c>
      <c r="J47" s="513">
        <f t="shared" si="20"/>
        <v>0.123697479</v>
      </c>
      <c r="K47" s="513">
        <f t="shared" si="20"/>
        <v>0.3357983193</v>
      </c>
      <c r="L47" s="513">
        <f t="shared" si="20"/>
        <v>0.0312605042</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413</v>
      </c>
      <c r="O2" s="534"/>
      <c r="P2" s="535"/>
      <c r="Q2" s="536"/>
      <c r="R2" s="536"/>
      <c r="S2" s="537"/>
      <c r="T2" s="536"/>
      <c r="U2" s="536"/>
      <c r="V2" s="536"/>
      <c r="W2" s="536"/>
      <c r="X2" s="536"/>
      <c r="Y2" s="538"/>
      <c r="Z2" s="281"/>
      <c r="AA2" s="281"/>
      <c r="AB2" s="281"/>
      <c r="AC2" s="281"/>
      <c r="AD2" s="281"/>
      <c r="AE2" s="281"/>
      <c r="AF2" s="539"/>
      <c r="AG2" s="540"/>
      <c r="AH2" s="541"/>
      <c r="AI2" s="542" t="s">
        <v>414</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435</v>
      </c>
      <c r="AU4" s="584" t="s">
        <v>238</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0</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46130</v>
      </c>
      <c r="C7" s="614"/>
      <c r="D7" s="529"/>
      <c r="E7" s="615">
        <f>today()+1</f>
        <v>46131</v>
      </c>
      <c r="F7" s="616"/>
      <c r="G7" s="529"/>
      <c r="H7" s="529"/>
      <c r="I7" s="617" t="s">
        <v>453</v>
      </c>
      <c r="J7" s="618" t="s">
        <v>454</v>
      </c>
      <c r="K7" s="619">
        <v>46113.0</v>
      </c>
      <c r="L7" s="620" t="s">
        <v>455</v>
      </c>
      <c r="M7" s="621" t="s">
        <v>456</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土</v>
      </c>
      <c r="D8" s="119"/>
      <c r="E8" s="630" t="s">
        <v>318</v>
      </c>
      <c r="F8" s="631" t="str">
        <f>TEXT(E7,"ddd")</f>
        <v>日</v>
      </c>
      <c r="G8" s="200"/>
      <c r="H8" s="200"/>
      <c r="I8" s="617"/>
      <c r="J8" s="632" t="s">
        <v>464</v>
      </c>
      <c r="K8" s="620" t="s">
        <v>465</v>
      </c>
      <c r="L8" s="633" t="s">
        <v>466</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11</v>
      </c>
      <c r="D9" s="200"/>
      <c r="E9" s="636" t="str">
        <f t="shared" ref="E9:E104" si="5">K9</f>
        <v>出勤者数合計</v>
      </c>
      <c r="F9" s="637">
        <f t="shared" ref="F9:F103" si="6">if(E9="","", xlookup($E$7,$N$7:$AR$7,$N9:$AR9))</f>
        <v>13</v>
      </c>
      <c r="G9" s="200"/>
      <c r="H9" s="200"/>
      <c r="I9" s="172" t="b">
        <v>0</v>
      </c>
      <c r="J9" s="632"/>
      <c r="K9" s="638" t="s">
        <v>467</v>
      </c>
      <c r="L9" s="639" t="s">
        <v>135</v>
      </c>
      <c r="M9" s="640" t="s">
        <v>468</v>
      </c>
      <c r="N9" s="641">
        <f t="array" ref="N9">SUM(COUNTIF(N11:N104, {"◎","〇","☆","共","特","浴"}))</f>
        <v>14</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15</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15</v>
      </c>
      <c r="AC9" s="641">
        <f t="array" ref="AC9">SUM(COUNTIF(AC11:AC104, {"◎","〇","☆","共","特","浴"}))</f>
        <v>13</v>
      </c>
      <c r="AD9" s="641">
        <f t="array" ref="AD9">SUM(COUNTIF(AD11:AD104, {"◎","〇","☆","共","特","浴"}))</f>
        <v>15</v>
      </c>
      <c r="AE9" s="641">
        <f t="array" ref="AE9">SUM(COUNTIF(AE11:AE104, {"◎","〇","☆","共","特","浴"}))</f>
        <v>11</v>
      </c>
      <c r="AF9" s="641">
        <f t="array" ref="AF9">SUM(COUNTIF(AF11:AF104, {"◎","〇","☆","共","特","浴"}))</f>
        <v>13</v>
      </c>
      <c r="AG9" s="641">
        <f t="array" ref="AG9">SUM(COUNTIF(AG11:AG104, {"◎","〇","☆","共","特","浴"}))</f>
        <v>15</v>
      </c>
      <c r="AH9" s="641">
        <f t="array" ref="AH9">SUM(COUNTIF(AH11:AH104, {"◎","〇","☆","共","特","浴"}))</f>
        <v>16</v>
      </c>
      <c r="AI9" s="641">
        <f t="array" ref="AI9">SUM(COUNTIF(AI11:AI104, {"◎","〇","☆","共","特","浴"}))</f>
        <v>16</v>
      </c>
      <c r="AJ9" s="641">
        <f t="array" ref="AJ9">SUM(COUNTIF(AJ11:AJ104, {"◎","〇","☆","共","特","浴"}))</f>
        <v>15</v>
      </c>
      <c r="AK9" s="641">
        <f t="array" ref="AK9">SUM(COUNTIF(AK11:AK104, {"◎","〇","☆","共","特","浴"}))</f>
        <v>15</v>
      </c>
      <c r="AL9" s="641">
        <f t="array" ref="AL9">SUM(COUNTIF(AL11:AL104, {"◎","〇","☆","共","特","浴"}))</f>
        <v>10</v>
      </c>
      <c r="AM9" s="641">
        <f t="array" ref="AM9">SUM(COUNTIF(AM11:AM104, {"◎","〇","☆","共","特","浴"}))</f>
        <v>11</v>
      </c>
      <c r="AN9" s="641">
        <f t="array" ref="AN9">SUM(COUNTIF(AN11:AN104, {"◎","〇","☆","共","特","浴"}))</f>
        <v>16</v>
      </c>
      <c r="AO9" s="641">
        <f t="array" ref="AO9">SUM(COUNTIF(AO11:AO104, {"◎","〇","☆","共","特","浴"}))</f>
        <v>14</v>
      </c>
      <c r="AP9" s="641">
        <f t="array" ref="AP9">SUM(COUNTIF(AP11:AP104, {"◎","〇","☆","共","特","浴"}))</f>
        <v>15</v>
      </c>
      <c r="AQ9" s="641">
        <f t="array" ref="AQ9">SUM(COUNTIF(AQ11:AQ104, {"◎","〇","☆","共","特","浴"}))</f>
        <v>14</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4</v>
      </c>
      <c r="D10" s="200"/>
      <c r="E10" s="636" t="str">
        <f t="shared" si="5"/>
        <v>チェッカー数</v>
      </c>
      <c r="F10" s="637">
        <f t="shared" si="6"/>
        <v>4</v>
      </c>
      <c r="G10" s="200"/>
      <c r="H10" s="200"/>
      <c r="I10" s="172" t="b">
        <v>0</v>
      </c>
      <c r="J10" s="632"/>
      <c r="K10" s="638" t="s">
        <v>469</v>
      </c>
      <c r="L10" s="639" t="s">
        <v>135</v>
      </c>
      <c r="M10" s="640" t="s">
        <v>470</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v>
      </c>
      <c r="G11" s="200"/>
      <c r="H11" s="200"/>
      <c r="I11" s="172" t="b">
        <v>0</v>
      </c>
      <c r="J11" s="618"/>
      <c r="K11" s="638" t="s">
        <v>132</v>
      </c>
      <c r="L11" s="639" t="s">
        <v>471</v>
      </c>
      <c r="M11" s="645"/>
      <c r="N11" s="646" t="s">
        <v>424</v>
      </c>
      <c r="O11" s="646" t="s">
        <v>448</v>
      </c>
      <c r="P11" s="646" t="s">
        <v>424</v>
      </c>
      <c r="Q11" s="646" t="s">
        <v>424</v>
      </c>
      <c r="R11" s="646" t="s">
        <v>424</v>
      </c>
      <c r="S11" s="646" t="s">
        <v>440</v>
      </c>
      <c r="T11" s="646" t="s">
        <v>424</v>
      </c>
      <c r="U11" s="646" t="s">
        <v>424</v>
      </c>
      <c r="V11" s="646" t="s">
        <v>424</v>
      </c>
      <c r="W11" s="646" t="s">
        <v>440</v>
      </c>
      <c r="X11" s="646" t="s">
        <v>424</v>
      </c>
      <c r="Y11" s="646" t="s">
        <v>424</v>
      </c>
      <c r="Z11" s="646" t="s">
        <v>440</v>
      </c>
      <c r="AA11" s="646" t="s">
        <v>424</v>
      </c>
      <c r="AB11" s="646" t="s">
        <v>424</v>
      </c>
      <c r="AC11" s="646" t="s">
        <v>424</v>
      </c>
      <c r="AD11" s="646" t="s">
        <v>448</v>
      </c>
      <c r="AE11" s="646" t="s">
        <v>424</v>
      </c>
      <c r="AF11" s="646" t="s">
        <v>424</v>
      </c>
      <c r="AG11" s="646" t="s">
        <v>448</v>
      </c>
      <c r="AH11" s="646" t="s">
        <v>424</v>
      </c>
      <c r="AI11" s="646" t="s">
        <v>424</v>
      </c>
      <c r="AJ11" s="646" t="s">
        <v>424</v>
      </c>
      <c r="AK11" s="646" t="s">
        <v>424</v>
      </c>
      <c r="AL11" s="646" t="s">
        <v>440</v>
      </c>
      <c r="AM11" s="646" t="s">
        <v>424</v>
      </c>
      <c r="AN11" s="646" t="s">
        <v>424</v>
      </c>
      <c r="AO11" s="646" t="s">
        <v>424</v>
      </c>
      <c r="AP11" s="646" t="s">
        <v>440</v>
      </c>
      <c r="AQ11" s="646" t="s">
        <v>440</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v>
      </c>
      <c r="D12" s="200"/>
      <c r="E12" s="636" t="str">
        <f t="shared" si="5"/>
        <v>メイ</v>
      </c>
      <c r="F12" s="637" t="str">
        <f t="shared" si="6"/>
        <v>☆</v>
      </c>
      <c r="G12" s="200"/>
      <c r="H12" s="200"/>
      <c r="I12" s="172" t="b">
        <v>0</v>
      </c>
      <c r="J12" s="618"/>
      <c r="K12" s="638" t="s">
        <v>142</v>
      </c>
      <c r="L12" s="639" t="s">
        <v>472</v>
      </c>
      <c r="M12" s="645"/>
      <c r="N12" s="646" t="s">
        <v>448</v>
      </c>
      <c r="O12" s="646" t="s">
        <v>426</v>
      </c>
      <c r="P12" s="646" t="s">
        <v>426</v>
      </c>
      <c r="Q12" s="646" t="s">
        <v>426</v>
      </c>
      <c r="R12" s="646" t="s">
        <v>440</v>
      </c>
      <c r="S12" s="646" t="s">
        <v>426</v>
      </c>
      <c r="T12" s="646" t="s">
        <v>426</v>
      </c>
      <c r="U12" s="646" t="s">
        <v>440</v>
      </c>
      <c r="V12" s="646" t="s">
        <v>448</v>
      </c>
      <c r="W12" s="646" t="s">
        <v>426</v>
      </c>
      <c r="X12" s="646" t="s">
        <v>426</v>
      </c>
      <c r="Y12" s="646" t="s">
        <v>426</v>
      </c>
      <c r="Z12" s="646" t="s">
        <v>426</v>
      </c>
      <c r="AA12" s="646" t="s">
        <v>442</v>
      </c>
      <c r="AB12" s="646" t="s">
        <v>440</v>
      </c>
      <c r="AC12" s="646" t="s">
        <v>440</v>
      </c>
      <c r="AD12" s="646" t="s">
        <v>426</v>
      </c>
      <c r="AE12" s="646" t="s">
        <v>426</v>
      </c>
      <c r="AF12" s="646" t="s">
        <v>426</v>
      </c>
      <c r="AG12" s="646" t="s">
        <v>426</v>
      </c>
      <c r="AH12" s="646" t="s">
        <v>440</v>
      </c>
      <c r="AI12" s="646" t="s">
        <v>440</v>
      </c>
      <c r="AJ12" s="646" t="s">
        <v>426</v>
      </c>
      <c r="AK12" s="646" t="s">
        <v>426</v>
      </c>
      <c r="AL12" s="646" t="s">
        <v>426</v>
      </c>
      <c r="AM12" s="646" t="s">
        <v>426</v>
      </c>
      <c r="AN12" s="646" t="s">
        <v>426</v>
      </c>
      <c r="AO12" s="646" t="s">
        <v>440</v>
      </c>
      <c r="AP12" s="646" t="s">
        <v>426</v>
      </c>
      <c r="AQ12" s="646" t="s">
        <v>426</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成</v>
      </c>
      <c r="D13" s="200"/>
      <c r="E13" s="636" t="str">
        <f t="shared" si="5"/>
        <v>ビマル</v>
      </c>
      <c r="F13" s="637" t="str">
        <f t="shared" si="6"/>
        <v>成</v>
      </c>
      <c r="G13" s="200"/>
      <c r="H13" s="200"/>
      <c r="I13" s="172" t="b">
        <v>0</v>
      </c>
      <c r="J13" s="618"/>
      <c r="K13" s="638" t="s">
        <v>119</v>
      </c>
      <c r="L13" s="639" t="s">
        <v>471</v>
      </c>
      <c r="M13" s="645"/>
      <c r="N13" s="646" t="s">
        <v>424</v>
      </c>
      <c r="O13" s="646" t="s">
        <v>473</v>
      </c>
      <c r="P13" s="646" t="s">
        <v>473</v>
      </c>
      <c r="Q13" s="646" t="s">
        <v>440</v>
      </c>
      <c r="R13" s="646" t="s">
        <v>473</v>
      </c>
      <c r="S13" s="646" t="s">
        <v>440</v>
      </c>
      <c r="T13" s="646" t="s">
        <v>424</v>
      </c>
      <c r="U13" s="646" t="s">
        <v>440</v>
      </c>
      <c r="V13" s="646" t="s">
        <v>473</v>
      </c>
      <c r="W13" s="646" t="s">
        <v>424</v>
      </c>
      <c r="X13" s="646" t="s">
        <v>440</v>
      </c>
      <c r="Y13" s="646" t="s">
        <v>473</v>
      </c>
      <c r="Z13" s="646" t="s">
        <v>473</v>
      </c>
      <c r="AA13" s="646" t="s">
        <v>424</v>
      </c>
      <c r="AB13" s="646" t="s">
        <v>440</v>
      </c>
      <c r="AC13" s="646" t="s">
        <v>473</v>
      </c>
      <c r="AD13" s="646" t="s">
        <v>424</v>
      </c>
      <c r="AE13" s="646" t="s">
        <v>473</v>
      </c>
      <c r="AF13" s="646" t="s">
        <v>473</v>
      </c>
      <c r="AG13" s="646"/>
      <c r="AH13" s="646" t="s">
        <v>424</v>
      </c>
      <c r="AI13" s="646" t="s">
        <v>473</v>
      </c>
      <c r="AJ13" s="646" t="s">
        <v>473</v>
      </c>
      <c r="AK13" s="646" t="s">
        <v>424</v>
      </c>
      <c r="AL13" s="646" t="s">
        <v>440</v>
      </c>
      <c r="AM13" s="646" t="s">
        <v>473</v>
      </c>
      <c r="AN13" s="646" t="s">
        <v>473</v>
      </c>
      <c r="AO13" s="646" t="s">
        <v>442</v>
      </c>
      <c r="AP13" s="646" t="s">
        <v>440</v>
      </c>
      <c r="AQ13" s="646" t="s">
        <v>473</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公</v>
      </c>
      <c r="D14" s="200"/>
      <c r="E14" s="636" t="str">
        <f t="shared" si="5"/>
        <v>サウド</v>
      </c>
      <c r="F14" s="637" t="str">
        <f t="shared" si="6"/>
        <v>〇</v>
      </c>
      <c r="G14" s="200"/>
      <c r="H14" s="200"/>
      <c r="I14" s="172" t="b">
        <v>0</v>
      </c>
      <c r="J14" s="618"/>
      <c r="K14" s="638" t="s">
        <v>474</v>
      </c>
      <c r="L14" s="639" t="s">
        <v>472</v>
      </c>
      <c r="M14" s="645"/>
      <c r="N14" s="646" t="s">
        <v>475</v>
      </c>
      <c r="O14" s="646"/>
      <c r="P14" s="646"/>
      <c r="Q14" s="646"/>
      <c r="R14" s="646"/>
      <c r="S14" s="646" t="s">
        <v>475</v>
      </c>
      <c r="T14" s="646" t="s">
        <v>217</v>
      </c>
      <c r="U14" s="646"/>
      <c r="V14" s="646"/>
      <c r="W14" s="646" t="s">
        <v>217</v>
      </c>
      <c r="X14" s="646"/>
      <c r="Y14" s="646"/>
      <c r="Z14" s="646" t="s">
        <v>475</v>
      </c>
      <c r="AA14" s="646" t="s">
        <v>217</v>
      </c>
      <c r="AB14" s="646" t="s">
        <v>217</v>
      </c>
      <c r="AC14" s="646" t="s">
        <v>440</v>
      </c>
      <c r="AD14" s="646" t="s">
        <v>217</v>
      </c>
      <c r="AE14" s="646" t="s">
        <v>440</v>
      </c>
      <c r="AF14" s="646" t="s">
        <v>217</v>
      </c>
      <c r="AG14" s="646" t="s">
        <v>475</v>
      </c>
      <c r="AH14" s="646" t="s">
        <v>217</v>
      </c>
      <c r="AI14" s="646" t="s">
        <v>217</v>
      </c>
      <c r="AJ14" s="646" t="s">
        <v>217</v>
      </c>
      <c r="AK14" s="646" t="s">
        <v>217</v>
      </c>
      <c r="AL14" s="646" t="s">
        <v>440</v>
      </c>
      <c r="AM14" s="646" t="s">
        <v>217</v>
      </c>
      <c r="AN14" s="646" t="s">
        <v>217</v>
      </c>
      <c r="AO14" s="646" t="s">
        <v>217</v>
      </c>
      <c r="AP14" s="646" t="s">
        <v>440</v>
      </c>
      <c r="AQ14" s="646" t="s">
        <v>217</v>
      </c>
      <c r="AR14" s="641"/>
      <c r="AS14" s="647">
        <f t="array" ref="AS14">SUM(COUNTIF(N14:AR14, {"◎","〇","☆","共","特","浴"}))</f>
        <v>14</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チッチョー</v>
      </c>
      <c r="C15" s="637" t="str">
        <f t="shared" si="4"/>
        <v/>
      </c>
      <c r="D15" s="200"/>
      <c r="E15" s="636" t="str">
        <f t="shared" si="5"/>
        <v>チッチョー</v>
      </c>
      <c r="F15" s="637" t="str">
        <f t="shared" si="6"/>
        <v/>
      </c>
      <c r="G15" s="200"/>
      <c r="H15" s="200"/>
      <c r="I15" s="172" t="b">
        <v>0</v>
      </c>
      <c r="J15" s="618"/>
      <c r="K15" s="638" t="s">
        <v>476</v>
      </c>
      <c r="L15" s="639" t="s">
        <v>472</v>
      </c>
      <c r="M15" s="645"/>
      <c r="N15" s="646"/>
      <c r="O15" s="646"/>
      <c r="P15" s="646"/>
      <c r="Q15" s="646"/>
      <c r="R15" s="646"/>
      <c r="S15" s="646"/>
      <c r="T15" s="646"/>
      <c r="U15" s="646"/>
      <c r="V15" s="646"/>
      <c r="W15" s="646"/>
      <c r="X15" s="646"/>
      <c r="Y15" s="646"/>
      <c r="Z15" s="646"/>
      <c r="AA15" s="646"/>
      <c r="AB15" s="646"/>
      <c r="AC15" s="646"/>
      <c r="AD15" s="646"/>
      <c r="AE15" s="646"/>
      <c r="AF15" s="646"/>
      <c r="AG15" s="646" t="s">
        <v>477</v>
      </c>
      <c r="AH15" s="646" t="s">
        <v>477</v>
      </c>
      <c r="AI15" s="646" t="s">
        <v>477</v>
      </c>
      <c r="AJ15" s="646" t="s">
        <v>477</v>
      </c>
      <c r="AK15" s="646" t="s">
        <v>477</v>
      </c>
      <c r="AL15" s="646"/>
      <c r="AM15" s="646"/>
      <c r="AN15" s="646" t="s">
        <v>477</v>
      </c>
      <c r="AO15" s="646" t="s">
        <v>477</v>
      </c>
      <c r="AP15" s="646" t="s">
        <v>477</v>
      </c>
      <c r="AQ15" s="652" t="s">
        <v>477</v>
      </c>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公</v>
      </c>
      <c r="D17" s="200"/>
      <c r="E17" s="636" t="str">
        <f t="shared" si="5"/>
        <v>宇佐見</v>
      </c>
      <c r="F17" s="637" t="str">
        <f t="shared" si="6"/>
        <v>公</v>
      </c>
      <c r="G17" s="200"/>
      <c r="H17" s="200"/>
      <c r="I17" s="172" t="b">
        <v>0</v>
      </c>
      <c r="J17" s="618"/>
      <c r="K17" s="638" t="s">
        <v>478</v>
      </c>
      <c r="L17" s="639" t="s">
        <v>479</v>
      </c>
      <c r="M17" s="645"/>
      <c r="N17" s="646" t="s">
        <v>448</v>
      </c>
      <c r="O17" s="646" t="s">
        <v>448</v>
      </c>
      <c r="P17" s="646" t="s">
        <v>448</v>
      </c>
      <c r="Q17" s="646" t="s">
        <v>440</v>
      </c>
      <c r="R17" s="646" t="s">
        <v>440</v>
      </c>
      <c r="S17" s="646" t="s">
        <v>440</v>
      </c>
      <c r="T17" s="646" t="s">
        <v>426</v>
      </c>
      <c r="U17" s="646" t="s">
        <v>426</v>
      </c>
      <c r="V17" s="646" t="s">
        <v>440</v>
      </c>
      <c r="W17" s="646" t="s">
        <v>426</v>
      </c>
      <c r="X17" s="646" t="s">
        <v>440</v>
      </c>
      <c r="Y17" s="646" t="s">
        <v>440</v>
      </c>
      <c r="Z17" s="646" t="s">
        <v>426</v>
      </c>
      <c r="AA17" s="646" t="s">
        <v>426</v>
      </c>
      <c r="AB17" s="646" t="s">
        <v>440</v>
      </c>
      <c r="AC17" s="646" t="s">
        <v>440</v>
      </c>
      <c r="AD17" s="646" t="s">
        <v>426</v>
      </c>
      <c r="AE17" s="646" t="s">
        <v>440</v>
      </c>
      <c r="AF17" s="646" t="s">
        <v>440</v>
      </c>
      <c r="AG17" s="646" t="s">
        <v>448</v>
      </c>
      <c r="AH17" s="646" t="s">
        <v>426</v>
      </c>
      <c r="AI17" s="646" t="s">
        <v>426</v>
      </c>
      <c r="AJ17" s="646" t="s">
        <v>440</v>
      </c>
      <c r="AK17" s="646" t="s">
        <v>426</v>
      </c>
      <c r="AL17" s="646" t="s">
        <v>440</v>
      </c>
      <c r="AM17" s="646" t="s">
        <v>440</v>
      </c>
      <c r="AN17" s="646" t="s">
        <v>440</v>
      </c>
      <c r="AO17" s="646" t="s">
        <v>426</v>
      </c>
      <c r="AP17" s="646" t="s">
        <v>440</v>
      </c>
      <c r="AQ17" s="646" t="s">
        <v>426</v>
      </c>
      <c r="AR17" s="641"/>
      <c r="AS17" s="647">
        <f t="array" ref="AS17">SUM(COUNTIF(N17:AR17, {"◎","〇","☆","共","特","浴"}))</f>
        <v>11</v>
      </c>
      <c r="AT17" s="651"/>
      <c r="AU17" s="649"/>
      <c r="AV17" s="649"/>
      <c r="AW17" s="649"/>
      <c r="AX17" s="649"/>
      <c r="AY17" s="649"/>
      <c r="AZ17" s="649"/>
      <c r="BA17" s="649"/>
      <c r="BB17" s="653" t="s">
        <v>480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公</v>
      </c>
      <c r="D18" s="200"/>
      <c r="E18" s="636" t="str">
        <f t="shared" si="5"/>
        <v>小田原</v>
      </c>
      <c r="F18" s="637" t="str">
        <f t="shared" si="6"/>
        <v>公</v>
      </c>
      <c r="G18" s="200"/>
      <c r="H18" s="200"/>
      <c r="I18" s="172" t="b">
        <v>0</v>
      </c>
      <c r="J18" s="618"/>
      <c r="K18" s="638" t="s">
        <v>481</v>
      </c>
      <c r="L18" s="639" t="s">
        <v>479</v>
      </c>
      <c r="M18" s="645"/>
      <c r="N18" s="646" t="s">
        <v>440</v>
      </c>
      <c r="O18" s="646" t="s">
        <v>426</v>
      </c>
      <c r="P18" s="646" t="s">
        <v>440</v>
      </c>
      <c r="Q18" s="646" t="s">
        <v>440</v>
      </c>
      <c r="R18" s="646" t="s">
        <v>440</v>
      </c>
      <c r="S18" s="646" t="s">
        <v>426</v>
      </c>
      <c r="T18" s="646" t="s">
        <v>426</v>
      </c>
      <c r="U18" s="646" t="s">
        <v>440</v>
      </c>
      <c r="V18" s="646" t="s">
        <v>426</v>
      </c>
      <c r="W18" s="646" t="s">
        <v>440</v>
      </c>
      <c r="X18" s="646" t="s">
        <v>440</v>
      </c>
      <c r="Y18" s="646" t="s">
        <v>440</v>
      </c>
      <c r="Z18" s="646" t="s">
        <v>448</v>
      </c>
      <c r="AA18" s="646" t="s">
        <v>426</v>
      </c>
      <c r="AB18" s="646" t="s">
        <v>440</v>
      </c>
      <c r="AC18" s="646" t="s">
        <v>426</v>
      </c>
      <c r="AD18" s="646" t="s">
        <v>440</v>
      </c>
      <c r="AE18" s="646" t="s">
        <v>440</v>
      </c>
      <c r="AF18" s="646" t="s">
        <v>440</v>
      </c>
      <c r="AG18" s="646" t="s">
        <v>426</v>
      </c>
      <c r="AH18" s="646" t="s">
        <v>426</v>
      </c>
      <c r="AI18" s="646" t="s">
        <v>440</v>
      </c>
      <c r="AJ18" s="646" t="s">
        <v>426</v>
      </c>
      <c r="AK18" s="646" t="s">
        <v>440</v>
      </c>
      <c r="AL18" s="646" t="s">
        <v>440</v>
      </c>
      <c r="AM18" s="646" t="s">
        <v>440</v>
      </c>
      <c r="AN18" s="646" t="s">
        <v>426</v>
      </c>
      <c r="AO18" s="646" t="s">
        <v>426</v>
      </c>
      <c r="AP18" s="646" t="s">
        <v>440</v>
      </c>
      <c r="AQ18" s="646" t="s">
        <v>426</v>
      </c>
      <c r="AR18" s="641"/>
      <c r="AS18" s="647">
        <f t="array" ref="AS18">SUM(COUNTIF(N18:AR18, {"◎","〇","☆","共","特","浴"}))</f>
        <v>12</v>
      </c>
      <c r="AT18" s="648"/>
      <c r="AU18" s="649"/>
      <c r="AV18" s="649"/>
      <c r="AW18" s="649"/>
      <c r="AX18" s="649"/>
      <c r="AY18" s="649"/>
      <c r="AZ18" s="649"/>
      <c r="BA18" s="649"/>
      <c r="BB18" s="653" t="s">
        <v>480</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公</v>
      </c>
      <c r="D19" s="200"/>
      <c r="E19" s="636" t="str">
        <f t="shared" si="5"/>
        <v>佐藤</v>
      </c>
      <c r="F19" s="637" t="str">
        <f t="shared" si="6"/>
        <v>公</v>
      </c>
      <c r="G19" s="200"/>
      <c r="H19" s="200"/>
      <c r="I19" s="172" t="b">
        <v>0</v>
      </c>
      <c r="J19" s="618"/>
      <c r="K19" s="638" t="s">
        <v>171</v>
      </c>
      <c r="L19" s="639" t="s">
        <v>479</v>
      </c>
      <c r="M19" s="645"/>
      <c r="N19" s="646" t="s">
        <v>426</v>
      </c>
      <c r="O19" s="646" t="s">
        <v>448</v>
      </c>
      <c r="P19" s="646" t="s">
        <v>426</v>
      </c>
      <c r="Q19" s="646" t="s">
        <v>440</v>
      </c>
      <c r="R19" s="646" t="s">
        <v>440</v>
      </c>
      <c r="S19" s="646" t="s">
        <v>448</v>
      </c>
      <c r="T19" s="646" t="s">
        <v>440</v>
      </c>
      <c r="U19" s="646" t="s">
        <v>426</v>
      </c>
      <c r="V19" s="646" t="s">
        <v>426</v>
      </c>
      <c r="W19" s="646" t="s">
        <v>426</v>
      </c>
      <c r="X19" s="646" t="s">
        <v>440</v>
      </c>
      <c r="Y19" s="646" t="s">
        <v>440</v>
      </c>
      <c r="Z19" s="646" t="s">
        <v>440</v>
      </c>
      <c r="AA19" s="646" t="s">
        <v>440</v>
      </c>
      <c r="AB19" s="646" t="s">
        <v>426</v>
      </c>
      <c r="AC19" s="646" t="s">
        <v>426</v>
      </c>
      <c r="AD19" s="646" t="s">
        <v>426</v>
      </c>
      <c r="AE19" s="646" t="s">
        <v>440</v>
      </c>
      <c r="AF19" s="646" t="s">
        <v>440</v>
      </c>
      <c r="AG19" s="646" t="s">
        <v>440</v>
      </c>
      <c r="AH19" s="646" t="s">
        <v>426</v>
      </c>
      <c r="AI19" s="646" t="s">
        <v>426</v>
      </c>
      <c r="AJ19" s="646" t="s">
        <v>440</v>
      </c>
      <c r="AK19" s="646" t="s">
        <v>440</v>
      </c>
      <c r="AL19" s="646" t="s">
        <v>440</v>
      </c>
      <c r="AM19" s="646" t="s">
        <v>440</v>
      </c>
      <c r="AN19" s="646" t="s">
        <v>440</v>
      </c>
      <c r="AO19" s="646" t="s">
        <v>426</v>
      </c>
      <c r="AP19" s="646" t="s">
        <v>426</v>
      </c>
      <c r="AQ19" s="646" t="s">
        <v>448</v>
      </c>
      <c r="AR19" s="641"/>
      <c r="AS19" s="647">
        <f t="array" ref="AS19">SUM(COUNTIF(N19:AR19, {"◎","〇","☆","共","特","浴"}))</f>
        <v>12</v>
      </c>
      <c r="AT19" s="651"/>
      <c r="AU19" s="649"/>
      <c r="AV19" s="649"/>
      <c r="AW19" s="649"/>
      <c r="AX19" s="649"/>
      <c r="AY19" s="649"/>
      <c r="AZ19" s="649"/>
      <c r="BA19" s="649"/>
      <c r="BB19" s="653" t="s">
        <v>480</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v>
      </c>
      <c r="G20" s="200"/>
      <c r="H20" s="200"/>
      <c r="I20" s="172" t="b">
        <v>0</v>
      </c>
      <c r="J20" s="618"/>
      <c r="K20" s="638" t="s">
        <v>188</v>
      </c>
      <c r="L20" s="639" t="s">
        <v>479</v>
      </c>
      <c r="M20" s="645"/>
      <c r="N20" s="646" t="s">
        <v>440</v>
      </c>
      <c r="O20" s="646" t="s">
        <v>426</v>
      </c>
      <c r="P20" s="646" t="s">
        <v>440</v>
      </c>
      <c r="Q20" s="646" t="s">
        <v>426</v>
      </c>
      <c r="R20" s="646" t="s">
        <v>426</v>
      </c>
      <c r="S20" s="646" t="s">
        <v>426</v>
      </c>
      <c r="T20" s="646" t="s">
        <v>440</v>
      </c>
      <c r="U20" s="646" t="s">
        <v>440</v>
      </c>
      <c r="V20" s="646" t="s">
        <v>426</v>
      </c>
      <c r="W20" s="646" t="s">
        <v>440</v>
      </c>
      <c r="X20" s="646" t="s">
        <v>426</v>
      </c>
      <c r="Y20" s="646" t="s">
        <v>426</v>
      </c>
      <c r="Z20" s="646" t="s">
        <v>426</v>
      </c>
      <c r="AA20" s="646" t="s">
        <v>440</v>
      </c>
      <c r="AB20" s="646" t="s">
        <v>440</v>
      </c>
      <c r="AC20" s="646" t="s">
        <v>426</v>
      </c>
      <c r="AD20" s="646" t="s">
        <v>440</v>
      </c>
      <c r="AE20" s="646" t="s">
        <v>426</v>
      </c>
      <c r="AF20" s="646" t="s">
        <v>426</v>
      </c>
      <c r="AG20" s="646" t="s">
        <v>426</v>
      </c>
      <c r="AH20" s="646" t="s">
        <v>440</v>
      </c>
      <c r="AI20" s="646" t="s">
        <v>440</v>
      </c>
      <c r="AJ20" s="646" t="s">
        <v>426</v>
      </c>
      <c r="AK20" s="646" t="s">
        <v>440</v>
      </c>
      <c r="AL20" s="646" t="s">
        <v>426</v>
      </c>
      <c r="AM20" s="646" t="s">
        <v>426</v>
      </c>
      <c r="AN20" s="646" t="s">
        <v>426</v>
      </c>
      <c r="AO20" s="646" t="s">
        <v>440</v>
      </c>
      <c r="AP20" s="646" t="s">
        <v>440</v>
      </c>
      <c r="AQ20" s="646" t="s">
        <v>426</v>
      </c>
      <c r="AR20" s="646"/>
      <c r="AS20" s="647">
        <f t="array" ref="AS20">SUM(COUNTIF(N20:AR20, {"◎","〇","☆","共","特","浴"}))</f>
        <v>17</v>
      </c>
      <c r="AT20" s="651"/>
      <c r="AU20" s="649"/>
      <c r="AV20" s="649"/>
      <c r="AW20" s="649"/>
      <c r="AX20" s="649"/>
      <c r="AY20" s="649"/>
      <c r="AZ20" s="649"/>
      <c r="BA20" s="649"/>
      <c r="BB20" s="653" t="s">
        <v>482</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v>
      </c>
      <c r="D21" s="200"/>
      <c r="E21" s="636" t="str">
        <f t="shared" si="5"/>
        <v>エリー</v>
      </c>
      <c r="F21" s="637" t="str">
        <f t="shared" si="6"/>
        <v>☆</v>
      </c>
      <c r="G21" s="200"/>
      <c r="H21" s="200"/>
      <c r="I21" s="172" t="b">
        <v>0</v>
      </c>
      <c r="J21" s="618"/>
      <c r="K21" s="638" t="s">
        <v>483</v>
      </c>
      <c r="L21" s="639" t="s">
        <v>479</v>
      </c>
      <c r="M21" s="645"/>
      <c r="N21" s="646" t="s">
        <v>426</v>
      </c>
      <c r="O21" s="646" t="s">
        <v>440</v>
      </c>
      <c r="P21" s="646" t="s">
        <v>440</v>
      </c>
      <c r="Q21" s="646" t="s">
        <v>426</v>
      </c>
      <c r="R21" s="646" t="s">
        <v>426</v>
      </c>
      <c r="S21" s="646" t="s">
        <v>426</v>
      </c>
      <c r="T21" s="646" t="s">
        <v>440</v>
      </c>
      <c r="U21" s="646" t="s">
        <v>440</v>
      </c>
      <c r="V21" s="646" t="s">
        <v>440</v>
      </c>
      <c r="W21" s="646" t="s">
        <v>440</v>
      </c>
      <c r="X21" s="646" t="s">
        <v>426</v>
      </c>
      <c r="Y21" s="646" t="s">
        <v>440</v>
      </c>
      <c r="Z21" s="646" t="s">
        <v>426</v>
      </c>
      <c r="AA21" s="646" t="s">
        <v>440</v>
      </c>
      <c r="AB21" s="646" t="s">
        <v>426</v>
      </c>
      <c r="AC21" s="646" t="s">
        <v>440</v>
      </c>
      <c r="AD21" s="646" t="s">
        <v>440</v>
      </c>
      <c r="AE21" s="646" t="s">
        <v>426</v>
      </c>
      <c r="AF21" s="646" t="s">
        <v>426</v>
      </c>
      <c r="AG21" s="646" t="s">
        <v>426</v>
      </c>
      <c r="AH21" s="646" t="s">
        <v>440</v>
      </c>
      <c r="AI21" s="646" t="s">
        <v>440</v>
      </c>
      <c r="AJ21" s="646" t="s">
        <v>440</v>
      </c>
      <c r="AK21" s="646" t="s">
        <v>440</v>
      </c>
      <c r="AL21" s="646" t="s">
        <v>426</v>
      </c>
      <c r="AM21" s="646" t="s">
        <v>440</v>
      </c>
      <c r="AN21" s="646" t="s">
        <v>426</v>
      </c>
      <c r="AO21" s="646" t="s">
        <v>440</v>
      </c>
      <c r="AP21" s="646" t="s">
        <v>426</v>
      </c>
      <c r="AQ21" s="646" t="s">
        <v>440</v>
      </c>
      <c r="AR21" s="641"/>
      <c r="AS21" s="647">
        <f t="array" ref="AS21">SUM(COUNTIF(N21:AR21, {"◎","〇","☆","共","特","浴"}))</f>
        <v>13</v>
      </c>
      <c r="AT21" s="651"/>
      <c r="AU21" s="649"/>
      <c r="AV21" s="649"/>
      <c r="AW21" s="649"/>
      <c r="AX21" s="649"/>
      <c r="AY21" s="649"/>
      <c r="AZ21" s="649"/>
      <c r="BA21" s="649"/>
      <c r="BB21" s="653" t="s">
        <v>484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希</v>
      </c>
      <c r="D22" s="200"/>
      <c r="E22" s="636" t="str">
        <f t="shared" si="5"/>
        <v>梅澤</v>
      </c>
      <c r="F22" s="637" t="str">
        <f t="shared" si="6"/>
        <v>希</v>
      </c>
      <c r="G22" s="200"/>
      <c r="H22" s="200"/>
      <c r="I22" s="172" t="b">
        <v>0</v>
      </c>
      <c r="J22" s="618"/>
      <c r="K22" s="638" t="s">
        <v>198</v>
      </c>
      <c r="L22" s="639" t="s">
        <v>479</v>
      </c>
      <c r="M22" s="645"/>
      <c r="N22" s="646" t="s">
        <v>426</v>
      </c>
      <c r="O22" s="646" t="s">
        <v>448</v>
      </c>
      <c r="P22" s="646" t="s">
        <v>448</v>
      </c>
      <c r="Q22" s="646" t="s">
        <v>426</v>
      </c>
      <c r="R22" s="646" t="s">
        <v>426</v>
      </c>
      <c r="S22" s="646" t="s">
        <v>440</v>
      </c>
      <c r="T22" s="646" t="s">
        <v>440</v>
      </c>
      <c r="U22" s="646" t="s">
        <v>426</v>
      </c>
      <c r="V22" s="646" t="s">
        <v>448</v>
      </c>
      <c r="W22" s="646" t="s">
        <v>426</v>
      </c>
      <c r="X22" s="646" t="s">
        <v>426</v>
      </c>
      <c r="Y22" s="646" t="s">
        <v>426</v>
      </c>
      <c r="Z22" s="646" t="s">
        <v>440</v>
      </c>
      <c r="AA22" s="646" t="s">
        <v>440</v>
      </c>
      <c r="AB22" s="646" t="s">
        <v>426</v>
      </c>
      <c r="AC22" s="646" t="s">
        <v>426</v>
      </c>
      <c r="AD22" s="646" t="s">
        <v>426</v>
      </c>
      <c r="AE22" s="646" t="s">
        <v>448</v>
      </c>
      <c r="AF22" s="646" t="s">
        <v>448</v>
      </c>
      <c r="AG22" s="646" t="s">
        <v>440</v>
      </c>
      <c r="AH22" s="646" t="s">
        <v>448</v>
      </c>
      <c r="AI22" s="646" t="s">
        <v>426</v>
      </c>
      <c r="AJ22" s="646" t="s">
        <v>426</v>
      </c>
      <c r="AK22" s="646" t="s">
        <v>426</v>
      </c>
      <c r="AL22" s="646" t="s">
        <v>426</v>
      </c>
      <c r="AM22" s="646" t="s">
        <v>426</v>
      </c>
      <c r="AN22" s="646" t="s">
        <v>440</v>
      </c>
      <c r="AO22" s="646" t="s">
        <v>440</v>
      </c>
      <c r="AP22" s="646" t="s">
        <v>426</v>
      </c>
      <c r="AQ22" s="646" t="s">
        <v>426</v>
      </c>
      <c r="AR22" s="641"/>
      <c r="AS22" s="647">
        <f t="array" ref="AS22">SUM(COUNTIF(N22:AR22, {"◎","〇","☆","共","特","浴"}))</f>
        <v>17</v>
      </c>
      <c r="AT22" s="648"/>
      <c r="AU22" s="649"/>
      <c r="AV22" s="649"/>
      <c r="AW22" s="649"/>
      <c r="AX22" s="649"/>
      <c r="AY22" s="649"/>
      <c r="AZ22" s="649"/>
      <c r="BA22" s="649"/>
      <c r="BB22" s="653" t="s">
        <v>485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公</v>
      </c>
      <c r="G26" s="200"/>
      <c r="H26" s="200"/>
      <c r="I26" s="172" t="b">
        <v>0</v>
      </c>
      <c r="J26" s="618"/>
      <c r="K26" s="638" t="s">
        <v>486</v>
      </c>
      <c r="L26" s="639" t="s">
        <v>135</v>
      </c>
      <c r="M26" s="645"/>
      <c r="N26" s="646" t="s">
        <v>487</v>
      </c>
      <c r="O26" s="646" t="s">
        <v>487</v>
      </c>
      <c r="P26" s="646" t="s">
        <v>487</v>
      </c>
      <c r="Q26" s="646" t="s">
        <v>487</v>
      </c>
      <c r="R26" s="646" t="s">
        <v>487</v>
      </c>
      <c r="S26" s="646" t="s">
        <v>440</v>
      </c>
      <c r="T26" s="646" t="s">
        <v>440</v>
      </c>
      <c r="U26" s="646" t="s">
        <v>487</v>
      </c>
      <c r="V26" s="646" t="s">
        <v>487</v>
      </c>
      <c r="W26" s="646" t="s">
        <v>487</v>
      </c>
      <c r="X26" s="646" t="s">
        <v>487</v>
      </c>
      <c r="Y26" s="646" t="s">
        <v>487</v>
      </c>
      <c r="Z26" s="646" t="s">
        <v>440</v>
      </c>
      <c r="AA26" s="646" t="s">
        <v>440</v>
      </c>
      <c r="AB26" s="646" t="s">
        <v>487</v>
      </c>
      <c r="AC26" s="646" t="s">
        <v>487</v>
      </c>
      <c r="AD26" s="646" t="s">
        <v>487</v>
      </c>
      <c r="AE26" s="646" t="s">
        <v>487</v>
      </c>
      <c r="AF26" s="646" t="s">
        <v>440</v>
      </c>
      <c r="AG26" s="646" t="s">
        <v>440</v>
      </c>
      <c r="AH26" s="646" t="s">
        <v>440</v>
      </c>
      <c r="AI26" s="646" t="s">
        <v>487</v>
      </c>
      <c r="AJ26" s="646" t="s">
        <v>487</v>
      </c>
      <c r="AK26" s="646" t="s">
        <v>487</v>
      </c>
      <c r="AL26" s="646" t="s">
        <v>487</v>
      </c>
      <c r="AM26" s="646" t="s">
        <v>487</v>
      </c>
      <c r="AN26" s="646" t="s">
        <v>440</v>
      </c>
      <c r="AO26" s="646" t="s">
        <v>440</v>
      </c>
      <c r="AP26" s="646" t="s">
        <v>487</v>
      </c>
      <c r="AQ26" s="646" t="s">
        <v>487</v>
      </c>
      <c r="AR26" s="646"/>
      <c r="AS26" s="647">
        <f t="array" ref="AS26">SUM(COUNTIF(N26:AR26, {"◎","〇","☆","共","特","浴"}))</f>
        <v>0</v>
      </c>
      <c r="AT26" s="648"/>
      <c r="AU26" s="649"/>
      <c r="AV26" s="649"/>
      <c r="AW26" s="649"/>
      <c r="AX26" s="649"/>
      <c r="AY26" s="649"/>
      <c r="AZ26" s="649"/>
      <c r="BA26" s="649"/>
      <c r="BB26" s="653" t="s">
        <v>488</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3"/>
        <v>グレース</v>
      </c>
      <c r="C27" s="637" t="str">
        <f t="shared" si="4"/>
        <v>N</v>
      </c>
      <c r="D27" s="200"/>
      <c r="E27" s="636" t="str">
        <f t="shared" si="5"/>
        <v>グレース</v>
      </c>
      <c r="F27" s="637" t="str">
        <f t="shared" si="6"/>
        <v>公</v>
      </c>
      <c r="G27" s="200"/>
      <c r="H27" s="200"/>
      <c r="I27" s="172" t="b">
        <v>0</v>
      </c>
      <c r="J27" s="618"/>
      <c r="K27" s="638" t="s">
        <v>489</v>
      </c>
      <c r="L27" s="639" t="s">
        <v>135</v>
      </c>
      <c r="M27" s="645"/>
      <c r="N27" s="646" t="s">
        <v>440</v>
      </c>
      <c r="O27" s="646" t="s">
        <v>440</v>
      </c>
      <c r="P27" s="646" t="s">
        <v>440</v>
      </c>
      <c r="Q27" s="646" t="s">
        <v>487</v>
      </c>
      <c r="R27" s="646" t="s">
        <v>440</v>
      </c>
      <c r="S27" s="646" t="s">
        <v>487</v>
      </c>
      <c r="T27" s="646" t="s">
        <v>487</v>
      </c>
      <c r="U27" s="646" t="s">
        <v>440</v>
      </c>
      <c r="V27" s="646" t="s">
        <v>440</v>
      </c>
      <c r="W27" s="646" t="s">
        <v>440</v>
      </c>
      <c r="X27" s="646" t="s">
        <v>487</v>
      </c>
      <c r="Y27" s="646" t="s">
        <v>440</v>
      </c>
      <c r="Z27" s="646" t="s">
        <v>487</v>
      </c>
      <c r="AA27" s="646" t="s">
        <v>487</v>
      </c>
      <c r="AB27" s="646" t="s">
        <v>440</v>
      </c>
      <c r="AC27" s="646" t="s">
        <v>440</v>
      </c>
      <c r="AD27" s="646" t="s">
        <v>440</v>
      </c>
      <c r="AE27" s="646" t="s">
        <v>487</v>
      </c>
      <c r="AF27" s="646" t="s">
        <v>440</v>
      </c>
      <c r="AG27" s="646" t="s">
        <v>487</v>
      </c>
      <c r="AH27" s="646" t="s">
        <v>487</v>
      </c>
      <c r="AI27" s="646" t="s">
        <v>440</v>
      </c>
      <c r="AJ27" s="646" t="s">
        <v>440</v>
      </c>
      <c r="AK27" s="646" t="s">
        <v>440</v>
      </c>
      <c r="AL27" s="646" t="s">
        <v>487</v>
      </c>
      <c r="AM27" s="646" t="s">
        <v>440</v>
      </c>
      <c r="AN27" s="646" t="s">
        <v>487</v>
      </c>
      <c r="AO27" s="646" t="s">
        <v>487</v>
      </c>
      <c r="AP27" s="646" t="s">
        <v>440</v>
      </c>
      <c r="AQ27" s="646" t="s">
        <v>440</v>
      </c>
      <c r="AR27" s="641"/>
      <c r="AS27" s="647">
        <f t="array" ref="AS27">SUM(COUNTIF(N27:AR27, {"◎","〇","☆","共","特","浴"}))</f>
        <v>0</v>
      </c>
      <c r="AT27" s="648"/>
      <c r="AU27" s="649"/>
      <c r="AV27" s="649"/>
      <c r="AW27" s="649"/>
      <c r="AX27" s="649"/>
      <c r="AY27" s="649"/>
      <c r="AZ27" s="649"/>
      <c r="BA27" s="649"/>
      <c r="BB27" s="653" t="s">
        <v>490</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3"/>
        <v>メイド数</v>
      </c>
      <c r="C41" s="637">
        <f t="shared" si="4"/>
        <v>7</v>
      </c>
      <c r="D41" s="200"/>
      <c r="E41" s="636" t="str">
        <f t="shared" si="5"/>
        <v>メイド数</v>
      </c>
      <c r="F41" s="637">
        <f t="shared" si="6"/>
        <v>8</v>
      </c>
      <c r="G41" s="200"/>
      <c r="H41" s="200"/>
      <c r="I41" s="172" t="b">
        <v>0</v>
      </c>
      <c r="J41" s="618"/>
      <c r="K41" s="638" t="s">
        <v>491</v>
      </c>
      <c r="L41" s="639" t="s">
        <v>479</v>
      </c>
      <c r="M41" s="640" t="s">
        <v>217</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10</v>
      </c>
      <c r="AC41" s="641">
        <f t="shared" si="8"/>
        <v>7</v>
      </c>
      <c r="AD41" s="641">
        <f t="shared" si="8"/>
        <v>9</v>
      </c>
      <c r="AE41" s="641">
        <f t="shared" si="8"/>
        <v>7</v>
      </c>
      <c r="AF41" s="641">
        <f t="shared" si="8"/>
        <v>8</v>
      </c>
      <c r="AG41" s="641">
        <f t="shared" si="8"/>
        <v>10</v>
      </c>
      <c r="AH41" s="641">
        <f t="shared" si="8"/>
        <v>10</v>
      </c>
      <c r="AI41" s="641">
        <f t="shared" si="8"/>
        <v>11</v>
      </c>
      <c r="AJ41" s="641">
        <f t="shared" si="8"/>
        <v>9</v>
      </c>
      <c r="AK41" s="641">
        <f t="shared" si="8"/>
        <v>9</v>
      </c>
      <c r="AL41" s="641">
        <f t="shared" si="8"/>
        <v>5</v>
      </c>
      <c r="AM41" s="641">
        <f t="shared" si="8"/>
        <v>7</v>
      </c>
      <c r="AN41" s="641">
        <f t="shared" si="8"/>
        <v>10</v>
      </c>
      <c r="AO41" s="641">
        <f t="shared" si="8"/>
        <v>9</v>
      </c>
      <c r="AP41" s="641">
        <f t="shared" si="8"/>
        <v>10</v>
      </c>
      <c r="AQ41" s="641">
        <f t="shared" si="8"/>
        <v>8</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3"/>
        <v>パブリック数</v>
      </c>
      <c r="C42" s="637">
        <f t="shared" si="4"/>
        <v>0</v>
      </c>
      <c r="D42" s="200"/>
      <c r="E42" s="636" t="str">
        <f t="shared" si="5"/>
        <v>パブリック数</v>
      </c>
      <c r="F42" s="637">
        <f t="shared" si="6"/>
        <v>1</v>
      </c>
      <c r="G42" s="200"/>
      <c r="H42" s="200"/>
      <c r="I42" s="172" t="b">
        <v>0</v>
      </c>
      <c r="J42" s="618"/>
      <c r="K42" s="638" t="s">
        <v>492</v>
      </c>
      <c r="L42" s="639" t="s">
        <v>479</v>
      </c>
      <c r="M42" s="640" t="s">
        <v>429</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1</v>
      </c>
      <c r="AM42" s="646">
        <f t="shared" si="10"/>
        <v>0</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3"/>
        <v>合計清掃数</v>
      </c>
      <c r="C43" s="637">
        <f t="shared" si="4"/>
        <v>100</v>
      </c>
      <c r="D43" s="200"/>
      <c r="E43" s="636" t="str">
        <f t="shared" si="5"/>
        <v>合計清掃数</v>
      </c>
      <c r="F43" s="637">
        <f t="shared" si="6"/>
        <v>99</v>
      </c>
      <c r="G43" s="200"/>
      <c r="H43" s="200"/>
      <c r="I43" s="656" t="b">
        <v>0</v>
      </c>
      <c r="J43" s="618"/>
      <c r="K43" s="657" t="s">
        <v>493</v>
      </c>
      <c r="L43" s="658" t="s">
        <v>494</v>
      </c>
      <c r="M43" s="659"/>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113</v>
      </c>
      <c r="AQ43" s="641">
        <f t="shared" si="12"/>
        <v>86</v>
      </c>
      <c r="AR43" s="641">
        <f t="shared" si="12"/>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希</v>
      </c>
      <c r="G45" s="200"/>
      <c r="H45" s="200"/>
      <c r="I45" s="172" t="b">
        <v>0</v>
      </c>
      <c r="J45" s="618">
        <v>15.0</v>
      </c>
      <c r="K45" s="638" t="s">
        <v>497</v>
      </c>
      <c r="L45" s="639" t="s">
        <v>498</v>
      </c>
      <c r="M45" s="645"/>
      <c r="N45" s="646" t="s">
        <v>217</v>
      </c>
      <c r="O45" s="646" t="s">
        <v>217</v>
      </c>
      <c r="P45" s="646" t="s">
        <v>448</v>
      </c>
      <c r="Q45" s="646" t="s">
        <v>448</v>
      </c>
      <c r="R45" s="646" t="s">
        <v>448</v>
      </c>
      <c r="S45" s="646" t="s">
        <v>448</v>
      </c>
      <c r="T45" s="646" t="s">
        <v>448</v>
      </c>
      <c r="U45" s="646" t="s">
        <v>448</v>
      </c>
      <c r="V45" s="646" t="s">
        <v>448</v>
      </c>
      <c r="W45" s="646" t="s">
        <v>448</v>
      </c>
      <c r="X45" s="646" t="s">
        <v>448</v>
      </c>
      <c r="Y45" s="646" t="s">
        <v>448</v>
      </c>
      <c r="Z45" s="646" t="s">
        <v>448</v>
      </c>
      <c r="AA45" s="646" t="s">
        <v>448</v>
      </c>
      <c r="AB45" s="646" t="s">
        <v>448</v>
      </c>
      <c r="AC45" s="646" t="s">
        <v>448</v>
      </c>
      <c r="AD45" s="646" t="s">
        <v>448</v>
      </c>
      <c r="AE45" s="646" t="s">
        <v>448</v>
      </c>
      <c r="AF45" s="646" t="s">
        <v>448</v>
      </c>
      <c r="AG45" s="646" t="s">
        <v>217</v>
      </c>
      <c r="AH45" s="646" t="s">
        <v>217</v>
      </c>
      <c r="AI45" s="646" t="s">
        <v>217</v>
      </c>
      <c r="AJ45" s="646" t="s">
        <v>217</v>
      </c>
      <c r="AK45" s="646" t="s">
        <v>440</v>
      </c>
      <c r="AL45" s="646" t="s">
        <v>440</v>
      </c>
      <c r="AM45" s="646" t="s">
        <v>440</v>
      </c>
      <c r="AN45" s="646" t="s">
        <v>217</v>
      </c>
      <c r="AO45" s="646" t="s">
        <v>217</v>
      </c>
      <c r="AP45" s="646" t="s">
        <v>217</v>
      </c>
      <c r="AQ45" s="646" t="s">
        <v>217</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3"/>
        <v>大沼</v>
      </c>
      <c r="C46" s="637" t="str">
        <f t="shared" si="4"/>
        <v>〇</v>
      </c>
      <c r="D46" s="200"/>
      <c r="E46" s="636" t="str">
        <f t="shared" si="5"/>
        <v>大沼</v>
      </c>
      <c r="F46" s="637" t="str">
        <f t="shared" si="6"/>
        <v>公</v>
      </c>
      <c r="G46" s="200"/>
      <c r="H46" s="200"/>
      <c r="I46" s="172" t="b">
        <v>0</v>
      </c>
      <c r="J46" s="618">
        <v>15.0</v>
      </c>
      <c r="K46" s="638" t="s">
        <v>499</v>
      </c>
      <c r="L46" s="639" t="s">
        <v>498</v>
      </c>
      <c r="M46" s="645"/>
      <c r="N46" s="646" t="s">
        <v>217</v>
      </c>
      <c r="O46" s="646" t="s">
        <v>217</v>
      </c>
      <c r="P46" s="646" t="s">
        <v>217</v>
      </c>
      <c r="Q46" s="646" t="s">
        <v>440</v>
      </c>
      <c r="R46" s="646" t="s">
        <v>440</v>
      </c>
      <c r="S46" s="646" t="s">
        <v>217</v>
      </c>
      <c r="T46" s="646" t="s">
        <v>217</v>
      </c>
      <c r="U46" s="646" t="s">
        <v>217</v>
      </c>
      <c r="V46" s="646" t="s">
        <v>440</v>
      </c>
      <c r="W46" s="646" t="s">
        <v>217</v>
      </c>
      <c r="X46" s="646" t="s">
        <v>217</v>
      </c>
      <c r="Y46" s="646" t="s">
        <v>440</v>
      </c>
      <c r="Z46" s="646" t="s">
        <v>440</v>
      </c>
      <c r="AA46" s="646" t="s">
        <v>217</v>
      </c>
      <c r="AB46" s="646" t="s">
        <v>217</v>
      </c>
      <c r="AC46" s="646" t="s">
        <v>217</v>
      </c>
      <c r="AD46" s="646" t="s">
        <v>217</v>
      </c>
      <c r="AE46" s="646" t="s">
        <v>217</v>
      </c>
      <c r="AF46" s="646" t="s">
        <v>440</v>
      </c>
      <c r="AG46" s="646" t="s">
        <v>217</v>
      </c>
      <c r="AH46" s="646" t="s">
        <v>217</v>
      </c>
      <c r="AI46" s="646" t="s">
        <v>217</v>
      </c>
      <c r="AJ46" s="646" t="s">
        <v>217</v>
      </c>
      <c r="AK46" s="646" t="s">
        <v>217</v>
      </c>
      <c r="AL46" s="646" t="s">
        <v>440</v>
      </c>
      <c r="AM46" s="646" t="s">
        <v>440</v>
      </c>
      <c r="AN46" s="646" t="s">
        <v>217</v>
      </c>
      <c r="AO46" s="646" t="s">
        <v>217</v>
      </c>
      <c r="AP46" s="646" t="s">
        <v>217</v>
      </c>
      <c r="AQ46" s="646" t="s">
        <v>440</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498</v>
      </c>
      <c r="M47" s="645"/>
      <c r="N47" s="646" t="s">
        <v>440</v>
      </c>
      <c r="O47" s="646" t="s">
        <v>217</v>
      </c>
      <c r="P47" s="646" t="s">
        <v>217</v>
      </c>
      <c r="Q47" s="646" t="s">
        <v>217</v>
      </c>
      <c r="R47" s="646" t="s">
        <v>217</v>
      </c>
      <c r="S47" s="646" t="s">
        <v>217</v>
      </c>
      <c r="T47" s="646" t="s">
        <v>217</v>
      </c>
      <c r="U47" s="646" t="s">
        <v>440</v>
      </c>
      <c r="V47" s="646" t="s">
        <v>217</v>
      </c>
      <c r="W47" s="646" t="s">
        <v>217</v>
      </c>
      <c r="X47" s="646" t="s">
        <v>217</v>
      </c>
      <c r="Y47" s="646" t="s">
        <v>217</v>
      </c>
      <c r="Z47" s="646" t="s">
        <v>217</v>
      </c>
      <c r="AA47" s="646" t="s">
        <v>217</v>
      </c>
      <c r="AB47" s="646" t="s">
        <v>440</v>
      </c>
      <c r="AC47" s="646" t="s">
        <v>217</v>
      </c>
      <c r="AD47" s="646" t="s">
        <v>217</v>
      </c>
      <c r="AE47" s="646" t="s">
        <v>217</v>
      </c>
      <c r="AF47" s="646" t="s">
        <v>217</v>
      </c>
      <c r="AG47" s="646" t="s">
        <v>217</v>
      </c>
      <c r="AH47" s="646" t="s">
        <v>217</v>
      </c>
      <c r="AI47" s="646" t="s">
        <v>440</v>
      </c>
      <c r="AJ47" s="646" t="s">
        <v>217</v>
      </c>
      <c r="AK47" s="646" t="s">
        <v>217</v>
      </c>
      <c r="AL47" s="646" t="s">
        <v>217</v>
      </c>
      <c r="AM47" s="646" t="s">
        <v>217</v>
      </c>
      <c r="AN47" s="646" t="s">
        <v>217</v>
      </c>
      <c r="AO47" s="646" t="s">
        <v>217</v>
      </c>
      <c r="AP47" s="646" t="s">
        <v>440</v>
      </c>
      <c r="AQ47" s="646" t="s">
        <v>217</v>
      </c>
      <c r="AR47" s="641"/>
      <c r="AS47" s="647">
        <f t="array" ref="AS47">SUM(COUNTIF(N47:AR47, {"◎","〇","☆","共","特","浴"}))</f>
        <v>25</v>
      </c>
      <c r="AT47" s="648"/>
      <c r="AU47" s="649"/>
      <c r="AV47" s="649"/>
      <c r="AW47" s="649"/>
      <c r="AX47" s="649"/>
      <c r="AY47" s="649"/>
      <c r="AZ47" s="649"/>
      <c r="BA47" s="649"/>
      <c r="BB47" s="653" t="s">
        <v>500</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〇</v>
      </c>
      <c r="G48" s="200"/>
      <c r="H48" s="200"/>
      <c r="I48" s="172" t="b">
        <v>0</v>
      </c>
      <c r="J48" s="618">
        <v>16.0</v>
      </c>
      <c r="K48" s="638" t="s">
        <v>182</v>
      </c>
      <c r="L48" s="639" t="s">
        <v>498</v>
      </c>
      <c r="M48" s="645"/>
      <c r="N48" s="646" t="s">
        <v>217</v>
      </c>
      <c r="O48" s="646" t="s">
        <v>217</v>
      </c>
      <c r="P48" s="646" t="s">
        <v>217</v>
      </c>
      <c r="Q48" s="646" t="s">
        <v>217</v>
      </c>
      <c r="R48" s="646" t="s">
        <v>217</v>
      </c>
      <c r="S48" s="646" t="s">
        <v>440</v>
      </c>
      <c r="T48" s="646" t="s">
        <v>440</v>
      </c>
      <c r="U48" s="646" t="s">
        <v>217</v>
      </c>
      <c r="V48" s="646" t="s">
        <v>217</v>
      </c>
      <c r="W48" s="646" t="s">
        <v>217</v>
      </c>
      <c r="X48" s="646" t="s">
        <v>217</v>
      </c>
      <c r="Y48" s="646" t="s">
        <v>217</v>
      </c>
      <c r="Z48" s="646" t="s">
        <v>440</v>
      </c>
      <c r="AA48" s="646" t="s">
        <v>440</v>
      </c>
      <c r="AB48" s="646" t="s">
        <v>217</v>
      </c>
      <c r="AC48" s="646" t="s">
        <v>217</v>
      </c>
      <c r="AD48" s="646" t="s">
        <v>217</v>
      </c>
      <c r="AE48" s="646" t="s">
        <v>217</v>
      </c>
      <c r="AF48" s="646" t="s">
        <v>217</v>
      </c>
      <c r="AG48" s="646" t="s">
        <v>440</v>
      </c>
      <c r="AH48" s="646" t="s">
        <v>440</v>
      </c>
      <c r="AI48" s="646" t="s">
        <v>217</v>
      </c>
      <c r="AJ48" s="646" t="s">
        <v>217</v>
      </c>
      <c r="AK48" s="646" t="s">
        <v>217</v>
      </c>
      <c r="AL48" s="646" t="s">
        <v>217</v>
      </c>
      <c r="AM48" s="646" t="s">
        <v>217</v>
      </c>
      <c r="AN48" s="646" t="s">
        <v>440</v>
      </c>
      <c r="AO48" s="646" t="s">
        <v>440</v>
      </c>
      <c r="AP48" s="646" t="s">
        <v>217</v>
      </c>
      <c r="AQ48" s="646" t="s">
        <v>217</v>
      </c>
      <c r="AR48" s="641"/>
      <c r="AS48" s="647">
        <f t="array" ref="AS48">SUM(COUNTIF(N48:AR48, {"◎","〇","☆","共","特","浴"}))</f>
        <v>22</v>
      </c>
      <c r="AT48" s="651"/>
      <c r="AU48" s="649"/>
      <c r="AV48" s="649"/>
      <c r="AW48" s="649"/>
      <c r="AX48" s="649"/>
      <c r="AY48" s="649"/>
      <c r="AZ48" s="649"/>
      <c r="BA48" s="649"/>
      <c r="BB48" s="653" t="s">
        <v>488</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〇</v>
      </c>
      <c r="G49" s="200"/>
      <c r="H49" s="200"/>
      <c r="I49" s="172" t="b">
        <v>0</v>
      </c>
      <c r="J49" s="618">
        <v>14.0</v>
      </c>
      <c r="K49" s="638" t="s">
        <v>189</v>
      </c>
      <c r="L49" s="639" t="s">
        <v>498</v>
      </c>
      <c r="M49" s="645"/>
      <c r="N49" s="646" t="s">
        <v>217</v>
      </c>
      <c r="O49" s="646" t="s">
        <v>440</v>
      </c>
      <c r="P49" s="646" t="s">
        <v>440</v>
      </c>
      <c r="Q49" s="646" t="s">
        <v>217</v>
      </c>
      <c r="R49" s="646" t="s">
        <v>217</v>
      </c>
      <c r="S49" s="646" t="s">
        <v>217</v>
      </c>
      <c r="T49" s="646" t="s">
        <v>217</v>
      </c>
      <c r="U49" s="646" t="s">
        <v>217</v>
      </c>
      <c r="V49" s="646" t="s">
        <v>440</v>
      </c>
      <c r="W49" s="646" t="s">
        <v>440</v>
      </c>
      <c r="X49" s="646" t="s">
        <v>217</v>
      </c>
      <c r="Y49" s="646" t="s">
        <v>217</v>
      </c>
      <c r="Z49" s="646" t="s">
        <v>217</v>
      </c>
      <c r="AA49" s="646" t="s">
        <v>217</v>
      </c>
      <c r="AB49" s="646" t="s">
        <v>217</v>
      </c>
      <c r="AC49" s="646" t="s">
        <v>440</v>
      </c>
      <c r="AD49" s="646" t="s">
        <v>440</v>
      </c>
      <c r="AE49" s="646" t="s">
        <v>217</v>
      </c>
      <c r="AF49" s="646" t="s">
        <v>217</v>
      </c>
      <c r="AG49" s="646" t="s">
        <v>217</v>
      </c>
      <c r="AH49" s="646" t="s">
        <v>217</v>
      </c>
      <c r="AI49" s="646" t="s">
        <v>217</v>
      </c>
      <c r="AJ49" s="646" t="s">
        <v>440</v>
      </c>
      <c r="AK49" s="646" t="s">
        <v>448</v>
      </c>
      <c r="AL49" s="646" t="s">
        <v>448</v>
      </c>
      <c r="AM49" s="646" t="s">
        <v>448</v>
      </c>
      <c r="AN49" s="646" t="s">
        <v>448</v>
      </c>
      <c r="AO49" s="646" t="s">
        <v>448</v>
      </c>
      <c r="AP49" s="646" t="s">
        <v>448</v>
      </c>
      <c r="AQ49" s="646" t="s">
        <v>448</v>
      </c>
      <c r="AR49" s="641"/>
      <c r="AS49" s="647">
        <f t="array" ref="AS49">SUM(COUNTIF(N49:AR49, {"◎","〇","☆","共","特","浴"}))</f>
        <v>16</v>
      </c>
      <c r="AT49" s="651"/>
      <c r="AU49" s="649"/>
      <c r="AV49" s="649"/>
      <c r="AW49" s="649"/>
      <c r="AX49" s="649"/>
      <c r="AY49" s="649"/>
      <c r="AZ49" s="649"/>
      <c r="BA49" s="649"/>
      <c r="BB49" s="653" t="s">
        <v>501</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3"/>
        <v>ウィン</v>
      </c>
      <c r="C50" s="637" t="str">
        <f t="shared" si="4"/>
        <v>公</v>
      </c>
      <c r="D50" s="200"/>
      <c r="E50" s="636" t="str">
        <f t="shared" si="5"/>
        <v>ウィン</v>
      </c>
      <c r="F50" s="637" t="str">
        <f t="shared" si="6"/>
        <v>公</v>
      </c>
      <c r="G50" s="200"/>
      <c r="H50" s="200"/>
      <c r="I50" s="172" t="b">
        <v>0</v>
      </c>
      <c r="J50" s="618">
        <v>12.0</v>
      </c>
      <c r="K50" s="638" t="s">
        <v>502</v>
      </c>
      <c r="L50" s="639" t="s">
        <v>503</v>
      </c>
      <c r="M50" s="645"/>
      <c r="N50" s="646" t="s">
        <v>217</v>
      </c>
      <c r="O50" s="646" t="s">
        <v>217</v>
      </c>
      <c r="P50" s="646" t="s">
        <v>217</v>
      </c>
      <c r="Q50" s="646" t="s">
        <v>440</v>
      </c>
      <c r="R50" s="646" t="s">
        <v>440</v>
      </c>
      <c r="S50" s="646" t="s">
        <v>440</v>
      </c>
      <c r="T50" s="646" t="s">
        <v>440</v>
      </c>
      <c r="U50" s="646" t="s">
        <v>217</v>
      </c>
      <c r="V50" s="646" t="s">
        <v>217</v>
      </c>
      <c r="W50" s="646" t="s">
        <v>217</v>
      </c>
      <c r="X50" s="646" t="s">
        <v>440</v>
      </c>
      <c r="Y50" s="646" t="s">
        <v>440</v>
      </c>
      <c r="Z50" s="646" t="s">
        <v>440</v>
      </c>
      <c r="AA50" s="646" t="s">
        <v>440</v>
      </c>
      <c r="AB50" s="646" t="s">
        <v>217</v>
      </c>
      <c r="AC50" s="646" t="s">
        <v>217</v>
      </c>
      <c r="AD50" s="646" t="s">
        <v>217</v>
      </c>
      <c r="AE50" s="646" t="s">
        <v>440</v>
      </c>
      <c r="AF50" s="646" t="s">
        <v>440</v>
      </c>
      <c r="AG50" s="646" t="s">
        <v>440</v>
      </c>
      <c r="AH50" s="646" t="s">
        <v>440</v>
      </c>
      <c r="AI50" s="646" t="s">
        <v>217</v>
      </c>
      <c r="AJ50" s="646" t="s">
        <v>217</v>
      </c>
      <c r="AK50" s="646" t="s">
        <v>217</v>
      </c>
      <c r="AL50" s="646" t="s">
        <v>440</v>
      </c>
      <c r="AM50" s="646" t="s">
        <v>440</v>
      </c>
      <c r="AN50" s="646" t="s">
        <v>440</v>
      </c>
      <c r="AO50" s="646" t="s">
        <v>440</v>
      </c>
      <c r="AP50" s="646" t="s">
        <v>217</v>
      </c>
      <c r="AQ50" s="646" t="s">
        <v>217</v>
      </c>
      <c r="AR50" s="641"/>
      <c r="AS50" s="647">
        <f t="array" ref="AS50">SUM(COUNTIF(N50:AR50, {"◎","〇","☆","共","特","浴"}))</f>
        <v>14</v>
      </c>
      <c r="AT50" s="651"/>
      <c r="AU50" s="649"/>
      <c r="AV50" s="649"/>
      <c r="AW50" s="649"/>
      <c r="AX50" s="649"/>
      <c r="AY50" s="649"/>
      <c r="AZ50" s="649"/>
      <c r="BA50" s="649"/>
      <c r="BB50" s="653" t="s">
        <v>504</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3"/>
        <v>スレスタ</v>
      </c>
      <c r="C51" s="637" t="str">
        <f t="shared" si="4"/>
        <v>公</v>
      </c>
      <c r="D51" s="200"/>
      <c r="E51" s="636" t="str">
        <f t="shared" si="5"/>
        <v>スレスタ</v>
      </c>
      <c r="F51" s="637" t="str">
        <f t="shared" si="6"/>
        <v>公</v>
      </c>
      <c r="G51" s="200"/>
      <c r="H51" s="200"/>
      <c r="I51" s="172" t="b">
        <v>0</v>
      </c>
      <c r="J51" s="618">
        <v>13.0</v>
      </c>
      <c r="K51" s="638" t="s">
        <v>505</v>
      </c>
      <c r="L51" s="639" t="s">
        <v>498</v>
      </c>
      <c r="M51" s="645"/>
      <c r="N51" s="646" t="s">
        <v>217</v>
      </c>
      <c r="O51" s="646" t="s">
        <v>217</v>
      </c>
      <c r="P51" s="646" t="s">
        <v>440</v>
      </c>
      <c r="Q51" s="646" t="s">
        <v>440</v>
      </c>
      <c r="R51" s="646" t="s">
        <v>440</v>
      </c>
      <c r="S51" s="646" t="s">
        <v>217</v>
      </c>
      <c r="T51" s="646" t="s">
        <v>217</v>
      </c>
      <c r="U51" s="646" t="s">
        <v>217</v>
      </c>
      <c r="V51" s="646" t="s">
        <v>217</v>
      </c>
      <c r="W51" s="646" t="s">
        <v>440</v>
      </c>
      <c r="X51" s="646" t="s">
        <v>440</v>
      </c>
      <c r="Y51" s="646" t="s">
        <v>440</v>
      </c>
      <c r="Z51" s="646" t="s">
        <v>217</v>
      </c>
      <c r="AA51" s="646" t="s">
        <v>217</v>
      </c>
      <c r="AB51" s="646" t="s">
        <v>217</v>
      </c>
      <c r="AC51" s="646" t="s">
        <v>217</v>
      </c>
      <c r="AD51" s="646" t="s">
        <v>440</v>
      </c>
      <c r="AE51" s="646" t="s">
        <v>440</v>
      </c>
      <c r="AF51" s="646" t="s">
        <v>440</v>
      </c>
      <c r="AG51" s="646" t="s">
        <v>217</v>
      </c>
      <c r="AH51" s="646" t="s">
        <v>217</v>
      </c>
      <c r="AI51" s="646" t="s">
        <v>217</v>
      </c>
      <c r="AJ51" s="646" t="s">
        <v>217</v>
      </c>
      <c r="AK51" s="646" t="s">
        <v>440</v>
      </c>
      <c r="AL51" s="646" t="s">
        <v>440</v>
      </c>
      <c r="AM51" s="646" t="s">
        <v>440</v>
      </c>
      <c r="AN51" s="646" t="s">
        <v>217</v>
      </c>
      <c r="AO51" s="646" t="s">
        <v>217</v>
      </c>
      <c r="AP51" s="646" t="s">
        <v>217</v>
      </c>
      <c r="AQ51" s="646" t="s">
        <v>217</v>
      </c>
      <c r="AR51" s="641"/>
      <c r="AS51" s="647">
        <f t="array" ref="AS51">SUM(COUNTIF(N51:AR51, {"◎","〇","☆","共","特","浴"}))</f>
        <v>18</v>
      </c>
      <c r="AT51" s="651"/>
      <c r="AU51" s="649"/>
      <c r="AV51" s="649"/>
      <c r="AW51" s="649"/>
      <c r="AX51" s="649"/>
      <c r="AY51" s="649"/>
      <c r="AZ51" s="649"/>
      <c r="BA51" s="649"/>
      <c r="BB51" s="653" t="s">
        <v>506</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3"/>
        <v>バンダリ</v>
      </c>
      <c r="C52" s="637" t="str">
        <f t="shared" si="4"/>
        <v>公</v>
      </c>
      <c r="D52" s="200"/>
      <c r="E52" s="636" t="str">
        <f t="shared" si="5"/>
        <v>バンダリ</v>
      </c>
      <c r="F52" s="637" t="str">
        <f t="shared" si="6"/>
        <v>〇</v>
      </c>
      <c r="G52" s="200"/>
      <c r="H52" s="200"/>
      <c r="I52" s="172" t="b">
        <v>0</v>
      </c>
      <c r="J52" s="618">
        <v>14.0</v>
      </c>
      <c r="K52" s="638" t="s">
        <v>507</v>
      </c>
      <c r="L52" s="639" t="s">
        <v>498</v>
      </c>
      <c r="M52" s="640"/>
      <c r="N52" s="646" t="s">
        <v>440</v>
      </c>
      <c r="O52" s="646" t="s">
        <v>440</v>
      </c>
      <c r="P52" s="646" t="s">
        <v>440</v>
      </c>
      <c r="Q52" s="646" t="s">
        <v>440</v>
      </c>
      <c r="R52" s="646" t="s">
        <v>217</v>
      </c>
      <c r="S52" s="646" t="s">
        <v>217</v>
      </c>
      <c r="T52" s="646" t="s">
        <v>217</v>
      </c>
      <c r="U52" s="646" t="s">
        <v>440</v>
      </c>
      <c r="V52" s="646" t="s">
        <v>440</v>
      </c>
      <c r="W52" s="646" t="s">
        <v>440</v>
      </c>
      <c r="X52" s="646" t="s">
        <v>440</v>
      </c>
      <c r="Y52" s="646" t="s">
        <v>217</v>
      </c>
      <c r="Z52" s="646" t="s">
        <v>217</v>
      </c>
      <c r="AA52" s="646" t="s">
        <v>217</v>
      </c>
      <c r="AB52" s="646" t="s">
        <v>440</v>
      </c>
      <c r="AC52" s="646" t="s">
        <v>440</v>
      </c>
      <c r="AD52" s="646" t="s">
        <v>440</v>
      </c>
      <c r="AE52" s="646" t="s">
        <v>440</v>
      </c>
      <c r="AF52" s="646" t="s">
        <v>217</v>
      </c>
      <c r="AG52" s="646" t="s">
        <v>217</v>
      </c>
      <c r="AH52" s="646" t="s">
        <v>217</v>
      </c>
      <c r="AI52" s="646" t="s">
        <v>440</v>
      </c>
      <c r="AJ52" s="646" t="s">
        <v>440</v>
      </c>
      <c r="AK52" s="646" t="s">
        <v>440</v>
      </c>
      <c r="AL52" s="646" t="s">
        <v>440</v>
      </c>
      <c r="AM52" s="646" t="s">
        <v>217</v>
      </c>
      <c r="AN52" s="646" t="s">
        <v>217</v>
      </c>
      <c r="AO52" s="646" t="s">
        <v>217</v>
      </c>
      <c r="AP52" s="646" t="s">
        <v>440</v>
      </c>
      <c r="AQ52" s="646" t="s">
        <v>440</v>
      </c>
      <c r="AR52" s="641"/>
      <c r="AS52" s="647">
        <f t="array" ref="AS52">SUM(COUNTIF(N52:AR52, {"◎","〇","☆","共","特","浴"}))</f>
        <v>12</v>
      </c>
      <c r="AT52" s="648"/>
      <c r="AU52" s="649"/>
      <c r="AV52" s="649"/>
      <c r="AW52" s="649"/>
      <c r="AX52" s="649"/>
      <c r="AY52" s="649"/>
      <c r="AZ52" s="649"/>
      <c r="BA52" s="649"/>
      <c r="BB52" s="653" t="s">
        <v>508</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3"/>
        <v>カトリ</v>
      </c>
      <c r="C54" s="637" t="str">
        <f t="shared" si="4"/>
        <v>〇</v>
      </c>
      <c r="D54" s="200"/>
      <c r="E54" s="636" t="str">
        <f t="shared" si="5"/>
        <v>カトリ</v>
      </c>
      <c r="F54" s="637" t="str">
        <f t="shared" si="6"/>
        <v>〇</v>
      </c>
      <c r="G54" s="200"/>
      <c r="H54" s="200"/>
      <c r="I54" s="172" t="b">
        <v>0</v>
      </c>
      <c r="J54" s="618">
        <v>13.0</v>
      </c>
      <c r="K54" s="638" t="s">
        <v>125</v>
      </c>
      <c r="L54" s="639" t="s">
        <v>498</v>
      </c>
      <c r="M54" s="645"/>
      <c r="N54" s="646" t="s">
        <v>440</v>
      </c>
      <c r="O54" s="646" t="s">
        <v>440</v>
      </c>
      <c r="P54" s="646" t="s">
        <v>217</v>
      </c>
      <c r="Q54" s="646" t="s">
        <v>217</v>
      </c>
      <c r="R54" s="646" t="s">
        <v>217</v>
      </c>
      <c r="S54" s="646" t="s">
        <v>217</v>
      </c>
      <c r="T54" s="646" t="s">
        <v>440</v>
      </c>
      <c r="U54" s="646" t="s">
        <v>440</v>
      </c>
      <c r="V54" s="646" t="s">
        <v>440</v>
      </c>
      <c r="W54" s="646" t="s">
        <v>217</v>
      </c>
      <c r="X54" s="646" t="s">
        <v>217</v>
      </c>
      <c r="Y54" s="646" t="s">
        <v>217</v>
      </c>
      <c r="Z54" s="646" t="s">
        <v>217</v>
      </c>
      <c r="AA54" s="646" t="s">
        <v>440</v>
      </c>
      <c r="AB54" s="646" t="s">
        <v>440</v>
      </c>
      <c r="AC54" s="646" t="s">
        <v>440</v>
      </c>
      <c r="AD54" s="646" t="s">
        <v>217</v>
      </c>
      <c r="AE54" s="646" t="s">
        <v>217</v>
      </c>
      <c r="AF54" s="646" t="s">
        <v>217</v>
      </c>
      <c r="AG54" s="646" t="s">
        <v>217</v>
      </c>
      <c r="AH54" s="646" t="s">
        <v>440</v>
      </c>
      <c r="AI54" s="646" t="s">
        <v>440</v>
      </c>
      <c r="AJ54" s="646" t="s">
        <v>440</v>
      </c>
      <c r="AK54" s="646" t="s">
        <v>217</v>
      </c>
      <c r="AL54" s="646" t="s">
        <v>217</v>
      </c>
      <c r="AM54" s="646" t="s">
        <v>217</v>
      </c>
      <c r="AN54" s="646" t="s">
        <v>217</v>
      </c>
      <c r="AO54" s="646" t="s">
        <v>440</v>
      </c>
      <c r="AP54" s="646" t="s">
        <v>440</v>
      </c>
      <c r="AQ54" s="646" t="s">
        <v>440</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3"/>
        <v>GT</v>
      </c>
      <c r="C55" s="637" t="str">
        <f t="shared" si="4"/>
        <v>〇</v>
      </c>
      <c r="D55" s="200"/>
      <c r="E55" s="636" t="str">
        <f t="shared" si="5"/>
        <v>GT</v>
      </c>
      <c r="F55" s="637" t="str">
        <f t="shared" si="6"/>
        <v>〇</v>
      </c>
      <c r="G55" s="200"/>
      <c r="H55" s="200"/>
      <c r="I55" s="172" t="b">
        <v>0</v>
      </c>
      <c r="J55" s="618">
        <v>15.0</v>
      </c>
      <c r="K55" s="638" t="s">
        <v>509</v>
      </c>
      <c r="L55" s="639" t="s">
        <v>498</v>
      </c>
      <c r="M55" s="645"/>
      <c r="N55" s="646" t="s">
        <v>440</v>
      </c>
      <c r="O55" s="646" t="s">
        <v>440</v>
      </c>
      <c r="P55" s="646" t="s">
        <v>217</v>
      </c>
      <c r="Q55" s="646" t="s">
        <v>217</v>
      </c>
      <c r="R55" s="646" t="s">
        <v>217</v>
      </c>
      <c r="S55" s="646" t="s">
        <v>217</v>
      </c>
      <c r="T55" s="646" t="s">
        <v>440</v>
      </c>
      <c r="U55" s="646" t="s">
        <v>440</v>
      </c>
      <c r="V55" s="646" t="s">
        <v>440</v>
      </c>
      <c r="W55" s="646" t="s">
        <v>217</v>
      </c>
      <c r="X55" s="646" t="s">
        <v>217</v>
      </c>
      <c r="Y55" s="646" t="s">
        <v>217</v>
      </c>
      <c r="Z55" s="646" t="s">
        <v>217</v>
      </c>
      <c r="AA55" s="646" t="s">
        <v>440</v>
      </c>
      <c r="AB55" s="646" t="s">
        <v>440</v>
      </c>
      <c r="AC55" s="646" t="s">
        <v>440</v>
      </c>
      <c r="AD55" s="646" t="s">
        <v>217</v>
      </c>
      <c r="AE55" s="646" t="s">
        <v>217</v>
      </c>
      <c r="AF55" s="646" t="s">
        <v>217</v>
      </c>
      <c r="AG55" s="646" t="s">
        <v>217</v>
      </c>
      <c r="AH55" s="646" t="s">
        <v>440</v>
      </c>
      <c r="AI55" s="646" t="s">
        <v>440</v>
      </c>
      <c r="AJ55" s="646" t="s">
        <v>440</v>
      </c>
      <c r="AK55" s="646" t="s">
        <v>217</v>
      </c>
      <c r="AL55" s="646" t="s">
        <v>217</v>
      </c>
      <c r="AM55" s="646" t="s">
        <v>217</v>
      </c>
      <c r="AN55" s="646" t="s">
        <v>217</v>
      </c>
      <c r="AO55" s="646" t="s">
        <v>440</v>
      </c>
      <c r="AP55" s="646" t="s">
        <v>440</v>
      </c>
      <c r="AQ55" s="646" t="s">
        <v>440</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3"/>
        <v>ギミレ</v>
      </c>
      <c r="C56" s="637" t="str">
        <f t="shared" si="4"/>
        <v>〇</v>
      </c>
      <c r="D56" s="200"/>
      <c r="E56" s="636" t="str">
        <f t="shared" si="5"/>
        <v>ギミレ</v>
      </c>
      <c r="F56" s="637" t="str">
        <f t="shared" si="6"/>
        <v>公</v>
      </c>
      <c r="G56" s="200"/>
      <c r="H56" s="200"/>
      <c r="I56" s="172" t="b">
        <v>0</v>
      </c>
      <c r="J56" s="618">
        <v>10.0</v>
      </c>
      <c r="K56" s="638" t="s">
        <v>159</v>
      </c>
      <c r="L56" s="639" t="s">
        <v>498</v>
      </c>
      <c r="M56" s="645"/>
      <c r="N56" s="646" t="s">
        <v>217</v>
      </c>
      <c r="O56" s="646" t="s">
        <v>440</v>
      </c>
      <c r="P56" s="646" t="s">
        <v>217</v>
      </c>
      <c r="Q56" s="646" t="s">
        <v>217</v>
      </c>
      <c r="R56" s="646" t="s">
        <v>440</v>
      </c>
      <c r="S56" s="646" t="s">
        <v>440</v>
      </c>
      <c r="T56" s="646" t="s">
        <v>217</v>
      </c>
      <c r="U56" s="646" t="s">
        <v>217</v>
      </c>
      <c r="V56" s="646" t="s">
        <v>440</v>
      </c>
      <c r="W56" s="646" t="s">
        <v>217</v>
      </c>
      <c r="X56" s="646" t="s">
        <v>217</v>
      </c>
      <c r="Y56" s="646" t="s">
        <v>440</v>
      </c>
      <c r="Z56" s="646" t="s">
        <v>440</v>
      </c>
      <c r="AA56" s="646" t="s">
        <v>448</v>
      </c>
      <c r="AB56" s="646" t="s">
        <v>217</v>
      </c>
      <c r="AC56" s="646" t="s">
        <v>440</v>
      </c>
      <c r="AD56" s="646" t="s">
        <v>217</v>
      </c>
      <c r="AE56" s="646" t="s">
        <v>217</v>
      </c>
      <c r="AF56" s="646" t="s">
        <v>440</v>
      </c>
      <c r="AG56" s="646" t="s">
        <v>440</v>
      </c>
      <c r="AH56" s="646" t="s">
        <v>217</v>
      </c>
      <c r="AI56" s="646" t="s">
        <v>217</v>
      </c>
      <c r="AJ56" s="646" t="s">
        <v>440</v>
      </c>
      <c r="AK56" s="646" t="s">
        <v>217</v>
      </c>
      <c r="AL56" s="646" t="s">
        <v>217</v>
      </c>
      <c r="AM56" s="646" t="s">
        <v>440</v>
      </c>
      <c r="AN56" s="646" t="s">
        <v>440</v>
      </c>
      <c r="AO56" s="646" t="s">
        <v>217</v>
      </c>
      <c r="AP56" s="646" t="s">
        <v>217</v>
      </c>
      <c r="AQ56" s="646" t="s">
        <v>440</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3"/>
        <v>スザナ</v>
      </c>
      <c r="C57" s="637" t="str">
        <f t="shared" si="4"/>
        <v/>
      </c>
      <c r="D57" s="200"/>
      <c r="E57" s="636" t="str">
        <f t="shared" si="5"/>
        <v>スザナ</v>
      </c>
      <c r="F57" s="637" t="str">
        <f t="shared" si="6"/>
        <v/>
      </c>
      <c r="G57" s="200"/>
      <c r="H57" s="200"/>
      <c r="I57" s="172" t="b">
        <v>0</v>
      </c>
      <c r="J57" s="618">
        <v>7.0</v>
      </c>
      <c r="K57" s="638" t="s">
        <v>510</v>
      </c>
      <c r="L57" s="639" t="s">
        <v>503</v>
      </c>
      <c r="M57" s="645"/>
      <c r="N57" s="646" t="s">
        <v>217</v>
      </c>
      <c r="O57" s="646" t="s">
        <v>217</v>
      </c>
      <c r="P57" s="646" t="s">
        <v>217</v>
      </c>
      <c r="Q57" s="646"/>
      <c r="R57" s="646"/>
      <c r="S57" s="646" t="s">
        <v>217</v>
      </c>
      <c r="T57" s="646"/>
      <c r="U57" s="646" t="s">
        <v>217</v>
      </c>
      <c r="V57" s="646" t="s">
        <v>217</v>
      </c>
      <c r="W57" s="646" t="s">
        <v>217</v>
      </c>
      <c r="X57" s="646"/>
      <c r="Y57" s="646"/>
      <c r="Z57" s="646" t="s">
        <v>217</v>
      </c>
      <c r="AA57" s="646"/>
      <c r="AB57" s="646" t="s">
        <v>217</v>
      </c>
      <c r="AC57" s="646" t="s">
        <v>217</v>
      </c>
      <c r="AD57" s="646" t="s">
        <v>217</v>
      </c>
      <c r="AE57" s="646"/>
      <c r="AF57" s="646"/>
      <c r="AG57" s="646" t="s">
        <v>217</v>
      </c>
      <c r="AH57" s="646"/>
      <c r="AI57" s="646" t="s">
        <v>217</v>
      </c>
      <c r="AJ57" s="646" t="s">
        <v>217</v>
      </c>
      <c r="AK57" s="646" t="s">
        <v>217</v>
      </c>
      <c r="AL57" s="646"/>
      <c r="AM57" s="646"/>
      <c r="AN57" s="646" t="s">
        <v>217</v>
      </c>
      <c r="AO57" s="646"/>
      <c r="AP57" s="646" t="s">
        <v>217</v>
      </c>
      <c r="AQ57" s="646" t="s">
        <v>217</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
      </c>
      <c r="G58" s="200"/>
      <c r="H58" s="200"/>
      <c r="I58" s="172" t="b">
        <v>0</v>
      </c>
      <c r="J58" s="618">
        <v>9.0</v>
      </c>
      <c r="K58" s="638" t="s">
        <v>511</v>
      </c>
      <c r="L58" s="639" t="s">
        <v>503</v>
      </c>
      <c r="M58" s="645"/>
      <c r="N58" s="646"/>
      <c r="O58" s="646"/>
      <c r="P58" s="646"/>
      <c r="Q58" s="646"/>
      <c r="R58" s="646"/>
      <c r="S58" s="646"/>
      <c r="T58" s="646" t="s">
        <v>217</v>
      </c>
      <c r="U58" s="646" t="s">
        <v>217</v>
      </c>
      <c r="V58" s="646"/>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t="s">
        <v>217</v>
      </c>
      <c r="AP58" s="646" t="s">
        <v>217</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3"/>
        <v>アリ</v>
      </c>
      <c r="C59" s="637" t="str">
        <f t="shared" si="4"/>
        <v>公</v>
      </c>
      <c r="D59" s="200"/>
      <c r="E59" s="636" t="str">
        <f t="shared" si="5"/>
        <v>アリ</v>
      </c>
      <c r="F59" s="637" t="str">
        <f t="shared" si="6"/>
        <v>〇</v>
      </c>
      <c r="G59" s="200"/>
      <c r="H59" s="200"/>
      <c r="I59" s="172" t="b">
        <v>0</v>
      </c>
      <c r="J59" s="618">
        <v>10.0</v>
      </c>
      <c r="K59" s="638" t="s">
        <v>512</v>
      </c>
      <c r="L59" s="639" t="s">
        <v>503</v>
      </c>
      <c r="M59" s="645"/>
      <c r="N59" s="646" t="s">
        <v>440</v>
      </c>
      <c r="O59" s="646" t="s">
        <v>440</v>
      </c>
      <c r="P59" s="646" t="s">
        <v>440</v>
      </c>
      <c r="Q59" s="646" t="s">
        <v>440</v>
      </c>
      <c r="R59" s="646" t="s">
        <v>217</v>
      </c>
      <c r="S59" s="646" t="s">
        <v>440</v>
      </c>
      <c r="T59" s="646" t="s">
        <v>440</v>
      </c>
      <c r="U59" s="646" t="s">
        <v>440</v>
      </c>
      <c r="V59" s="646" t="s">
        <v>440</v>
      </c>
      <c r="W59" s="646" t="s">
        <v>440</v>
      </c>
      <c r="X59" s="646" t="s">
        <v>440</v>
      </c>
      <c r="Y59" s="646" t="s">
        <v>217</v>
      </c>
      <c r="Z59" s="646" t="s">
        <v>440</v>
      </c>
      <c r="AA59" s="646" t="s">
        <v>440</v>
      </c>
      <c r="AB59" s="646" t="s">
        <v>440</v>
      </c>
      <c r="AC59" s="646" t="s">
        <v>440</v>
      </c>
      <c r="AD59" s="646" t="s">
        <v>440</v>
      </c>
      <c r="AE59" s="646" t="s">
        <v>440</v>
      </c>
      <c r="AF59" s="646" t="s">
        <v>217</v>
      </c>
      <c r="AG59" s="646" t="s">
        <v>440</v>
      </c>
      <c r="AH59" s="646" t="s">
        <v>440</v>
      </c>
      <c r="AI59" s="646" t="s">
        <v>440</v>
      </c>
      <c r="AJ59" s="646" t="s">
        <v>440</v>
      </c>
      <c r="AK59" s="646" t="s">
        <v>440</v>
      </c>
      <c r="AL59" s="646" t="s">
        <v>440</v>
      </c>
      <c r="AM59" s="646" t="s">
        <v>217</v>
      </c>
      <c r="AN59" s="646" t="s">
        <v>440</v>
      </c>
      <c r="AO59" s="646" t="s">
        <v>440</v>
      </c>
      <c r="AP59" s="646" t="s">
        <v>217</v>
      </c>
      <c r="AQ59" s="646" t="s">
        <v>440</v>
      </c>
      <c r="AR59" s="641"/>
      <c r="AS59" s="647">
        <f t="array" ref="AS59">SUM(COUNTIF(N59:AR59, {"◎","〇","☆","共","特","浴"}))</f>
        <v>5</v>
      </c>
      <c r="AT59" s="651"/>
      <c r="AU59" s="649"/>
      <c r="AV59" s="649"/>
      <c r="AW59" s="649"/>
      <c r="AX59" s="649"/>
      <c r="AY59" s="649"/>
      <c r="AZ59" s="649"/>
      <c r="BA59" s="649"/>
      <c r="BB59" s="653" t="s">
        <v>513</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3"/>
        <v>アスミタ</v>
      </c>
      <c r="C60" s="637" t="str">
        <f t="shared" si="4"/>
        <v>公</v>
      </c>
      <c r="D60" s="200"/>
      <c r="E60" s="636" t="str">
        <f t="shared" si="5"/>
        <v>アスミタ</v>
      </c>
      <c r="F60" s="637" t="str">
        <f t="shared" si="6"/>
        <v>公</v>
      </c>
      <c r="G60" s="200"/>
      <c r="H60" s="200"/>
      <c r="I60" s="172" t="b">
        <v>0</v>
      </c>
      <c r="J60" s="618">
        <v>6.0</v>
      </c>
      <c r="K60" s="638" t="s">
        <v>514</v>
      </c>
      <c r="L60" s="639" t="s">
        <v>503</v>
      </c>
      <c r="M60" s="645"/>
      <c r="N60" s="646" t="s">
        <v>440</v>
      </c>
      <c r="O60" s="646" t="s">
        <v>440</v>
      </c>
      <c r="P60" s="646" t="s">
        <v>217</v>
      </c>
      <c r="Q60" s="646" t="s">
        <v>440</v>
      </c>
      <c r="R60" s="646" t="s">
        <v>440</v>
      </c>
      <c r="S60" s="646" t="s">
        <v>217</v>
      </c>
      <c r="T60" s="646" t="s">
        <v>217</v>
      </c>
      <c r="U60" s="646" t="s">
        <v>217</v>
      </c>
      <c r="V60" s="646" t="s">
        <v>217</v>
      </c>
      <c r="W60" s="646" t="s">
        <v>440</v>
      </c>
      <c r="X60" s="646" t="s">
        <v>440</v>
      </c>
      <c r="Y60" s="646" t="s">
        <v>440</v>
      </c>
      <c r="Z60" s="646" t="s">
        <v>217</v>
      </c>
      <c r="AA60" s="646" t="s">
        <v>217</v>
      </c>
      <c r="AB60" s="646" t="s">
        <v>217</v>
      </c>
      <c r="AC60" s="646" t="s">
        <v>217</v>
      </c>
      <c r="AD60" s="646" t="s">
        <v>440</v>
      </c>
      <c r="AE60" s="646" t="s">
        <v>440</v>
      </c>
      <c r="AF60" s="646" t="s">
        <v>440</v>
      </c>
      <c r="AG60" s="646" t="s">
        <v>217</v>
      </c>
      <c r="AH60" s="646" t="s">
        <v>217</v>
      </c>
      <c r="AI60" s="646" t="s">
        <v>217</v>
      </c>
      <c r="AJ60" s="646" t="s">
        <v>217</v>
      </c>
      <c r="AK60" s="646" t="s">
        <v>440</v>
      </c>
      <c r="AL60" s="646" t="s">
        <v>440</v>
      </c>
      <c r="AM60" s="646" t="s">
        <v>440</v>
      </c>
      <c r="AN60" s="646" t="s">
        <v>217</v>
      </c>
      <c r="AO60" s="646" t="s">
        <v>217</v>
      </c>
      <c r="AP60" s="646" t="s">
        <v>217</v>
      </c>
      <c r="AQ60" s="646" t="s">
        <v>217</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3"/>
        <v>ソノダ</v>
      </c>
      <c r="C63" s="637" t="str">
        <f t="shared" si="4"/>
        <v>公</v>
      </c>
      <c r="D63" s="200"/>
      <c r="E63" s="636" t="str">
        <f t="shared" si="5"/>
        <v>ソノダ</v>
      </c>
      <c r="F63" s="637" t="str">
        <f t="shared" si="6"/>
        <v>共</v>
      </c>
      <c r="G63" s="200"/>
      <c r="H63" s="200"/>
      <c r="I63" s="172" t="b">
        <v>0</v>
      </c>
      <c r="J63" s="618"/>
      <c r="K63" s="638" t="s">
        <v>515</v>
      </c>
      <c r="L63" s="639" t="s">
        <v>135</v>
      </c>
      <c r="M63" s="645"/>
      <c r="N63" s="646" t="s">
        <v>440</v>
      </c>
      <c r="O63" s="646" t="s">
        <v>429</v>
      </c>
      <c r="P63" s="646" t="s">
        <v>429</v>
      </c>
      <c r="Q63" s="646" t="s">
        <v>440</v>
      </c>
      <c r="R63" s="646" t="s">
        <v>429</v>
      </c>
      <c r="S63" s="646" t="s">
        <v>429</v>
      </c>
      <c r="T63" s="646" t="s">
        <v>440</v>
      </c>
      <c r="U63" s="646" t="s">
        <v>440</v>
      </c>
      <c r="V63" s="646" t="s">
        <v>429</v>
      </c>
      <c r="W63" s="646" t="s">
        <v>429</v>
      </c>
      <c r="X63" s="646" t="s">
        <v>440</v>
      </c>
      <c r="Y63" s="646" t="s">
        <v>429</v>
      </c>
      <c r="Z63" s="646" t="s">
        <v>429</v>
      </c>
      <c r="AA63" s="646" t="s">
        <v>440</v>
      </c>
      <c r="AB63" s="646" t="s">
        <v>440</v>
      </c>
      <c r="AC63" s="646" t="s">
        <v>429</v>
      </c>
      <c r="AD63" s="646" t="s">
        <v>429</v>
      </c>
      <c r="AE63" s="646" t="s">
        <v>440</v>
      </c>
      <c r="AF63" s="646" t="s">
        <v>429</v>
      </c>
      <c r="AG63" s="646" t="s">
        <v>429</v>
      </c>
      <c r="AH63" s="646" t="s">
        <v>440</v>
      </c>
      <c r="AI63" s="646" t="s">
        <v>440</v>
      </c>
      <c r="AJ63" s="646" t="s">
        <v>429</v>
      </c>
      <c r="AK63" s="646" t="s">
        <v>429</v>
      </c>
      <c r="AL63" s="646" t="s">
        <v>429</v>
      </c>
      <c r="AM63" s="646" t="s">
        <v>440</v>
      </c>
      <c r="AN63" s="646" t="s">
        <v>429</v>
      </c>
      <c r="AO63" s="646" t="s">
        <v>440</v>
      </c>
      <c r="AP63" s="646" t="s">
        <v>440</v>
      </c>
      <c r="AQ63" s="646" t="s">
        <v>429</v>
      </c>
      <c r="AR63" s="641"/>
      <c r="AS63" s="647">
        <f t="array" ref="AS63">SUM(COUNTIF(N63:AR63, {"◎","〇","☆","共","特","浴"}))</f>
        <v>17</v>
      </c>
      <c r="AT63" s="651"/>
      <c r="AU63" s="649"/>
      <c r="AV63" s="649"/>
      <c r="AW63" s="649"/>
      <c r="AX63" s="649"/>
      <c r="AY63" s="649"/>
      <c r="AZ63" s="649"/>
      <c r="BA63" s="649"/>
      <c r="BB63" s="653" t="s">
        <v>516</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公</v>
      </c>
      <c r="G64" s="200"/>
      <c r="H64" s="200"/>
      <c r="I64" s="172" t="b">
        <v>0</v>
      </c>
      <c r="J64" s="618"/>
      <c r="K64" s="638" t="s">
        <v>517</v>
      </c>
      <c r="L64" s="639" t="s">
        <v>135</v>
      </c>
      <c r="M64" s="645"/>
      <c r="N64" s="646" t="s">
        <v>429</v>
      </c>
      <c r="O64" s="646" t="s">
        <v>440</v>
      </c>
      <c r="P64" s="646" t="s">
        <v>440</v>
      </c>
      <c r="Q64" s="646" t="s">
        <v>440</v>
      </c>
      <c r="R64" s="646" t="s">
        <v>440</v>
      </c>
      <c r="S64" s="646" t="s">
        <v>440</v>
      </c>
      <c r="T64" s="646" t="s">
        <v>429</v>
      </c>
      <c r="U64" s="646" t="s">
        <v>429</v>
      </c>
      <c r="V64" s="646" t="s">
        <v>440</v>
      </c>
      <c r="W64" s="646" t="s">
        <v>440</v>
      </c>
      <c r="X64" s="646" t="s">
        <v>440</v>
      </c>
      <c r="Y64" s="646" t="s">
        <v>440</v>
      </c>
      <c r="Z64" s="646" t="s">
        <v>440</v>
      </c>
      <c r="AA64" s="646" t="s">
        <v>429</v>
      </c>
      <c r="AB64" s="646" t="s">
        <v>429</v>
      </c>
      <c r="AC64" s="646" t="s">
        <v>440</v>
      </c>
      <c r="AD64" s="646" t="s">
        <v>440</v>
      </c>
      <c r="AE64" s="646" t="s">
        <v>440</v>
      </c>
      <c r="AF64" s="646" t="s">
        <v>440</v>
      </c>
      <c r="AG64" s="646" t="s">
        <v>440</v>
      </c>
      <c r="AH64" s="646" t="s">
        <v>429</v>
      </c>
      <c r="AI64" s="646" t="s">
        <v>429</v>
      </c>
      <c r="AJ64" s="646" t="s">
        <v>440</v>
      </c>
      <c r="AK64" s="646" t="s">
        <v>440</v>
      </c>
      <c r="AL64" s="646" t="s">
        <v>440</v>
      </c>
      <c r="AM64" s="646" t="s">
        <v>440</v>
      </c>
      <c r="AN64" s="646" t="s">
        <v>440</v>
      </c>
      <c r="AO64" s="646" t="s">
        <v>429</v>
      </c>
      <c r="AP64" s="646" t="s">
        <v>429</v>
      </c>
      <c r="AQ64" s="646" t="s">
        <v>440</v>
      </c>
      <c r="AR64" s="641"/>
      <c r="AS64" s="647">
        <f t="array" ref="AS64">SUM(COUNTIF(N64:AR64, {"◎","〇","☆","共","特","浴"}))</f>
        <v>9</v>
      </c>
      <c r="AT64" s="651"/>
      <c r="AU64" s="649"/>
      <c r="AV64" s="649"/>
      <c r="AW64" s="649"/>
      <c r="AX64" s="649"/>
      <c r="AY64" s="649"/>
      <c r="AZ64" s="649"/>
      <c r="BA64" s="649"/>
      <c r="BB64" s="653" t="s">
        <v>518</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525</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46113.0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4</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t="48.0" hidden="1" customHeight="1" outlineLevel="1">
      <c r="A9" s="662"/>
      <c r="B9" s="719"/>
      <c r="C9" s="720">
        <f>D5</f>
        <v>46113</v>
      </c>
      <c r="D9" s="721" t="str">
        <f>TEXT(C9,"ddd")</f>
        <v>水</v>
      </c>
      <c r="E9" s="722"/>
      <c r="F9" s="723" t="s">
        <v>132</v>
      </c>
      <c r="G9" s="724" t="s">
        <v>543</v>
      </c>
      <c r="H9" s="725"/>
      <c r="I9" s="726">
        <v>0.625</v>
      </c>
      <c r="J9" s="725">
        <v>8.0</v>
      </c>
      <c r="K9" s="725">
        <v>2.0</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t="48.0" hidden="1" customHeight="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171</v>
      </c>
      <c r="W10" s="717"/>
      <c r="X10" s="718">
        <v>46113.0</v>
      </c>
      <c r="Y10" s="662"/>
      <c r="Z10" s="662"/>
    </row>
    <row r="11" ht="48.0" hidden="1" customHeight="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188</v>
      </c>
      <c r="W11" s="717"/>
      <c r="X11" s="718">
        <v>46143.0</v>
      </c>
      <c r="Y11" s="662"/>
      <c r="Z11" s="662"/>
    </row>
    <row r="12" ht="48.0" hidden="1" customHeight="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483</v>
      </c>
      <c r="W12" s="717"/>
      <c r="X12" s="718">
        <v>46174.0</v>
      </c>
      <c r="Y12" s="662"/>
      <c r="Z12" s="662"/>
    </row>
    <row r="13" ht="48.0" hidden="1" customHeight="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198</v>
      </c>
      <c r="W13" s="717"/>
      <c r="X13" s="718">
        <v>46204.0</v>
      </c>
      <c r="Y13" s="662"/>
      <c r="Z13" s="662"/>
    </row>
    <row r="14" ht="48.0" hidden="1" customHeight="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t="48.0" hidden="1" customHeight="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517</v>
      </c>
      <c r="W15" s="717"/>
      <c r="X15" s="718">
        <v>46266.0</v>
      </c>
      <c r="Y15" s="662"/>
      <c r="Z15" s="662"/>
    </row>
    <row r="16" ht="48.0" hidden="1" customHeight="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545</v>
      </c>
      <c r="W16" s="717"/>
      <c r="X16" s="718">
        <v>46296.0</v>
      </c>
      <c r="Y16" s="662"/>
      <c r="Z16" s="662"/>
    </row>
    <row r="17" ht="48.0" hidden="1" customHeight="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486</v>
      </c>
      <c r="W17" s="717"/>
      <c r="X17" s="718">
        <v>46327.0</v>
      </c>
      <c r="Y17" s="662"/>
      <c r="Z17" s="662"/>
    </row>
    <row r="18" ht="48.0" hidden="1" customHeight="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489</v>
      </c>
      <c r="W18" s="717"/>
      <c r="X18" s="718">
        <v>46357.0</v>
      </c>
      <c r="Y18" s="662"/>
      <c r="Z18" s="662"/>
    </row>
    <row r="19" ht="18.0" hidden="1" customHeight="1" outlineLevel="1">
      <c r="B19" s="739"/>
      <c r="C19" s="698"/>
      <c r="D19" s="698"/>
      <c r="E19" s="698"/>
      <c r="F19" s="740" t="s">
        <v>546</v>
      </c>
      <c r="G19" s="741" t="s">
        <v>547</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499</v>
      </c>
      <c r="W19" s="717"/>
      <c r="X19" s="718">
        <v>46388.0</v>
      </c>
      <c r="Y19" s="662"/>
      <c r="Z19" s="662"/>
    </row>
    <row r="20" ht="29.25" hidden="1" customHeight="1" outlineLevel="1">
      <c r="A20" s="662"/>
      <c r="B20" s="744"/>
      <c r="C20" s="745">
        <f>IF(C9="","",IF(DAY(C9+1)=1,"",C9+1))</f>
        <v>46114</v>
      </c>
      <c r="D20" s="746" t="str">
        <f>TEXT(C20,"ddd")</f>
        <v>木</v>
      </c>
      <c r="E20" s="747"/>
      <c r="F20" s="748" t="s">
        <v>142</v>
      </c>
      <c r="G20" s="749" t="s">
        <v>548</v>
      </c>
      <c r="H20" s="750"/>
      <c r="I20" s="751">
        <v>0.625</v>
      </c>
      <c r="J20" s="750">
        <v>8.0</v>
      </c>
      <c r="K20" s="750">
        <v>3.0</v>
      </c>
      <c r="L20" s="752" t="s">
        <v>112</v>
      </c>
      <c r="M20" s="752" t="s">
        <v>549</v>
      </c>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497</v>
      </c>
      <c r="W20" s="717"/>
      <c r="X20" s="718"/>
      <c r="Y20" s="662"/>
      <c r="Z20" s="662"/>
    </row>
    <row r="21" ht="29.2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113</v>
      </c>
      <c r="W21" s="717"/>
      <c r="X21" s="718"/>
      <c r="Y21" s="662"/>
      <c r="Z21" s="662"/>
    </row>
    <row r="22" ht="29.2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550</v>
      </c>
      <c r="W22" s="717"/>
      <c r="X22" s="718"/>
      <c r="Y22" s="662"/>
      <c r="Z22" s="662"/>
    </row>
    <row r="23" ht="29.2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29.2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502</v>
      </c>
      <c r="W24" s="662"/>
      <c r="X24" s="757"/>
      <c r="Y24" s="662"/>
      <c r="Z24" s="662"/>
    </row>
    <row r="25" ht="29.2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189</v>
      </c>
      <c r="W25" s="662"/>
      <c r="X25" s="757"/>
      <c r="Y25" s="662"/>
      <c r="Z25" s="662"/>
    </row>
    <row r="26" ht="29.2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182</v>
      </c>
      <c r="W26" s="662"/>
      <c r="X26" s="757"/>
      <c r="Y26" s="662"/>
      <c r="Z26" s="662"/>
    </row>
    <row r="27" ht="29.2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112</v>
      </c>
      <c r="W27" s="662"/>
      <c r="X27" s="757"/>
      <c r="Y27" s="662"/>
      <c r="Z27" s="662"/>
    </row>
    <row r="28" ht="29.2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505</v>
      </c>
      <c r="W28" s="662"/>
      <c r="X28" s="757"/>
      <c r="Y28" s="662"/>
      <c r="Z28" s="662"/>
    </row>
    <row r="29" ht="29.2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512</v>
      </c>
      <c r="W29" s="662"/>
      <c r="X29" s="757"/>
      <c r="Y29" s="662"/>
      <c r="Z29" s="662"/>
    </row>
    <row r="30" ht="18.0" hidden="1" customHeight="1" outlineLevel="1">
      <c r="A30" s="662"/>
      <c r="B30" s="739"/>
      <c r="C30" s="698"/>
      <c r="D30" s="698"/>
      <c r="E30" s="698"/>
      <c r="F30" s="758" t="s">
        <v>546</v>
      </c>
      <c r="G30" s="759" t="s">
        <v>551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165</v>
      </c>
      <c r="W30" s="662"/>
      <c r="X30" s="757"/>
      <c r="Y30" s="662"/>
      <c r="Z30" s="662"/>
    </row>
    <row r="31" ht="31.5" hidden="1" customHeight="1" outlineLevel="1">
      <c r="A31" s="662"/>
      <c r="B31" s="761"/>
      <c r="C31" s="762">
        <f>IF(C20="","",IF(DAY(C20+1)=1,"",C20+1))</f>
        <v>46115</v>
      </c>
      <c r="D31" s="763" t="str">
        <f>TEXT(C31,"ddd")</f>
        <v>金</v>
      </c>
      <c r="E31" s="764"/>
      <c r="F31" s="765" t="s">
        <v>132</v>
      </c>
      <c r="G31" s="766" t="s">
        <v>552</v>
      </c>
      <c r="H31" s="767">
        <v>1.0</v>
      </c>
      <c r="I31" s="768">
        <v>0.7083333333333334</v>
      </c>
      <c r="J31" s="767">
        <v>9.0</v>
      </c>
      <c r="K31" s="767">
        <v>1.0</v>
      </c>
      <c r="L31" s="769" t="s">
        <v>497</v>
      </c>
      <c r="M31" s="769" t="s">
        <v>553</v>
      </c>
      <c r="N31" s="765">
        <v>159.0</v>
      </c>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159</v>
      </c>
      <c r="W31" s="662"/>
      <c r="X31" s="757"/>
      <c r="Y31" s="662"/>
      <c r="Z31" s="662"/>
    </row>
    <row r="32" ht="31.5" hidden="1"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509</v>
      </c>
      <c r="W32" s="662"/>
      <c r="X32" s="757"/>
      <c r="Y32" s="662"/>
      <c r="Z32" s="662"/>
    </row>
    <row r="33" ht="31.5" hidden="1"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125</v>
      </c>
      <c r="W33" s="662"/>
      <c r="X33" s="757"/>
      <c r="Y33" s="662"/>
      <c r="Z33" s="662"/>
    </row>
    <row r="34" ht="31.5" hidden="1"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554</v>
      </c>
      <c r="W34" s="662"/>
      <c r="X34" s="757"/>
      <c r="Y34" s="662"/>
      <c r="Z34" s="662"/>
    </row>
    <row r="35" ht="31.5" hidden="1"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510</v>
      </c>
      <c r="W35" s="662"/>
      <c r="X35" s="757"/>
      <c r="Y35" s="662"/>
      <c r="Z35" s="662"/>
    </row>
    <row r="36" ht="31.5" hidden="1"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511</v>
      </c>
      <c r="W36" s="662"/>
      <c r="X36" s="757"/>
      <c r="Y36" s="662"/>
      <c r="Z36" s="662"/>
    </row>
    <row r="37" ht="31.5" hidden="1"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74" t="s">
        <v>514</v>
      </c>
      <c r="W37" s="662"/>
      <c r="X37" s="757"/>
      <c r="Y37" s="662"/>
      <c r="Z37" s="662"/>
    </row>
    <row r="38" ht="31.5" hidden="1"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555</v>
      </c>
      <c r="W38" s="662"/>
      <c r="X38" s="757"/>
      <c r="Y38" s="662"/>
      <c r="Z38" s="662"/>
    </row>
    <row r="39" ht="31.5" hidden="1"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t="s">
        <v>556</v>
      </c>
      <c r="W39" s="662"/>
      <c r="X39" s="757"/>
      <c r="Y39" s="662"/>
      <c r="Z39" s="662"/>
    </row>
    <row r="40" ht="31.5" hidden="1"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hidden="1" customHeight="1" outlineLevel="1">
      <c r="A41" s="662"/>
      <c r="B41" s="739"/>
      <c r="C41" s="698"/>
      <c r="D41" s="698"/>
      <c r="E41" s="698"/>
      <c r="F41" s="740" t="s">
        <v>546</v>
      </c>
      <c r="G41" s="741" t="s">
        <v>557</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idden="1" outlineLevel="1">
      <c r="A42" s="662"/>
      <c r="B42" s="744"/>
      <c r="C42" s="745">
        <f>IF(C31="","",IF(DAY(C31+1)=1,"",C31+1))</f>
        <v>46116</v>
      </c>
      <c r="D42" s="746" t="str">
        <f>TEXT(C42,"ddd")</f>
        <v>土</v>
      </c>
      <c r="E42" s="747"/>
      <c r="F42" s="775" t="s">
        <v>132</v>
      </c>
      <c r="G42" s="776" t="s">
        <v>558</v>
      </c>
      <c r="H42" s="777">
        <v>1.0</v>
      </c>
      <c r="I42" s="778">
        <v>0.65625</v>
      </c>
      <c r="J42" s="777">
        <v>6.0</v>
      </c>
      <c r="K42" s="777">
        <v>3.0</v>
      </c>
      <c r="L42" s="755" t="s">
        <v>165</v>
      </c>
      <c r="M42" s="755" t="s">
        <v>559</v>
      </c>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560</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41.25" hidden="1" customHeight="1" outlineLevel="1">
      <c r="A53" s="662"/>
      <c r="B53" s="761"/>
      <c r="C53" s="762">
        <f>IF(C42="","",IF(DAY(C42+1)=1,"",C42+1))</f>
        <v>46117</v>
      </c>
      <c r="D53" s="763" t="str">
        <f>TEXT(C53,"ddd")</f>
        <v>日</v>
      </c>
      <c r="E53" s="764"/>
      <c r="F53" s="765" t="s">
        <v>132</v>
      </c>
      <c r="G53" s="766" t="s">
        <v>561</v>
      </c>
      <c r="H53" s="767"/>
      <c r="I53" s="768">
        <v>0.6875</v>
      </c>
      <c r="J53" s="767">
        <v>7.0</v>
      </c>
      <c r="K53" s="767">
        <v>3.0</v>
      </c>
      <c r="L53" s="769" t="s">
        <v>165</v>
      </c>
      <c r="M53" s="769" t="s">
        <v>562</v>
      </c>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41.25" hidden="1" customHeight="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41.25" hidden="1"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41.25" hidden="1"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41.25" hidden="1"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41.25" hidden="1"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41.25" hidden="1"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41.25" hidden="1"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41.25" hidden="1"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41.25" hidden="1"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563</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t="21.0" hidden="1" customHeight="1" outlineLevel="1">
      <c r="A65" s="662"/>
      <c r="B65" s="744"/>
      <c r="C65" s="745">
        <f>IF(C53="","",IF(DAY(C53+1)=1,"",C53+1))</f>
        <v>46118</v>
      </c>
      <c r="D65" s="746" t="str">
        <f>TEXT(C65,"ddd")</f>
        <v>月</v>
      </c>
      <c r="E65" s="747"/>
      <c r="F65" s="775" t="s">
        <v>142</v>
      </c>
      <c r="G65" s="776" t="s">
        <v>565</v>
      </c>
      <c r="H65" s="777"/>
      <c r="I65" s="778">
        <v>0.6666666666666666</v>
      </c>
      <c r="J65" s="777" t="s">
        <v>566</v>
      </c>
      <c r="K65" s="777" t="s">
        <v>567</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t="21.0" hidden="1" customHeight="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t="21.0" hidden="1" customHeight="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t="21.0" hidden="1" customHeight="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t="21.0" hidden="1" customHeight="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t="21.0" hidden="1" customHeight="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t="21.0" hidden="1" customHeight="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t="21.0" hidden="1" customHeight="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t="21.0" hidden="1" customHeight="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t="21.0" hidden="1" customHeight="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568</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46119</v>
      </c>
      <c r="D76" s="763" t="str">
        <f>TEXT(C76,"ddd")</f>
        <v>火</v>
      </c>
      <c r="E76" s="764"/>
      <c r="F76" s="765" t="s">
        <v>142</v>
      </c>
      <c r="G76" s="766" t="s">
        <v>569</v>
      </c>
      <c r="H76" s="767"/>
      <c r="I76" s="767" t="s">
        <v>570</v>
      </c>
      <c r="J76" s="767" t="s">
        <v>566</v>
      </c>
      <c r="K76" s="767" t="s">
        <v>567</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t="s">
        <v>571</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54.75" hidden="1" customHeight="1" outlineLevel="1">
      <c r="A87" s="662"/>
      <c r="B87" s="744"/>
      <c r="C87" s="745">
        <f>IF(C76="","",IF(DAY(C76+1)=1,"",C76+1))</f>
        <v>46120</v>
      </c>
      <c r="D87" s="746" t="str">
        <f>TEXT(C87,"ddd")</f>
        <v>水</v>
      </c>
      <c r="E87" s="747"/>
      <c r="F87" s="775" t="s">
        <v>132</v>
      </c>
      <c r="G87" s="776" t="s">
        <v>572</v>
      </c>
      <c r="H87" s="777"/>
      <c r="I87" s="778">
        <v>0.6666666666666666</v>
      </c>
      <c r="J87" s="777">
        <v>9.0</v>
      </c>
      <c r="K87" s="777">
        <v>3.0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54.7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54.7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54.7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54.7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54.7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54.7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54.7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54.7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54.7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573</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61.5" hidden="1" customHeight="1" outlineLevel="1">
      <c r="A98" s="662"/>
      <c r="B98" s="761"/>
      <c r="C98" s="762">
        <f>IF(C87="","",IF(DAY(C87+1)=1,"",C87+1))</f>
        <v>46121</v>
      </c>
      <c r="D98" s="763" t="str">
        <f>TEXT(C98,"ddd")</f>
        <v>木</v>
      </c>
      <c r="E98" s="764"/>
      <c r="F98" s="765" t="s">
        <v>132</v>
      </c>
      <c r="G98" s="766" t="s">
        <v>574</v>
      </c>
      <c r="H98" s="767"/>
      <c r="I98" s="768">
        <v>0.6666666666666666</v>
      </c>
      <c r="J98" s="767">
        <v>7.0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61.5"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61.5"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61.5"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61.5"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61.5"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61.5"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61.5"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61.5"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61.5"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575</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19.5" hidden="1" customHeight="1" outlineLevel="1">
      <c r="A109" s="662"/>
      <c r="B109" s="744"/>
      <c r="C109" s="745">
        <f>IF(C98="","",IF(DAY(C98+1)=1,"",C98+1))</f>
        <v>46122</v>
      </c>
      <c r="D109" s="746" t="str">
        <f>TEXT(C109,"ddd")</f>
        <v>金</v>
      </c>
      <c r="E109" s="747"/>
      <c r="F109" s="775" t="s">
        <v>142</v>
      </c>
      <c r="G109" s="776" t="s">
        <v>576</v>
      </c>
      <c r="H109" s="777">
        <v>1.0</v>
      </c>
      <c r="I109" s="778">
        <v>0.6458333333333334</v>
      </c>
      <c r="J109" s="777">
        <v>8.0</v>
      </c>
      <c r="K109" s="777">
        <v>3.0</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19.5"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19.5"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19.5"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19.5"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19.5"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19.5"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19.5"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19.5"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19.5"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577</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45.0" hidden="1" customHeight="1" outlineLevel="1">
      <c r="A121" s="662"/>
      <c r="B121" s="761"/>
      <c r="C121" s="762">
        <f>IF(C109="","",IF(DAY(C109+1)=1,"",C109+1))</f>
        <v>46123</v>
      </c>
      <c r="D121" s="763" t="str">
        <f>TEXT(C121,"ddd")</f>
        <v>土</v>
      </c>
      <c r="E121" s="764"/>
      <c r="F121" s="765" t="s">
        <v>132</v>
      </c>
      <c r="G121" s="766" t="s">
        <v>579</v>
      </c>
      <c r="H121" s="767">
        <v>1.0</v>
      </c>
      <c r="I121" s="768">
        <v>0.6666666666666666</v>
      </c>
      <c r="J121" s="767">
        <v>8.0</v>
      </c>
      <c r="K121" s="767">
        <v>3.0</v>
      </c>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45.0"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45.0"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45.0"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45.0"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45.0"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45.0"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45.0"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45.0"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45.0"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580</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58.5" hidden="1" customHeight="1" outlineLevel="1">
      <c r="A132" s="662"/>
      <c r="B132" s="744"/>
      <c r="C132" s="745">
        <f>IF(C121="","",IF(DAY(C121+1)=1,"",C121+1))</f>
        <v>46124</v>
      </c>
      <c r="D132" s="746" t="str">
        <f>TEXT(C132,"ddd")</f>
        <v>日</v>
      </c>
      <c r="E132" s="747"/>
      <c r="F132" s="775" t="s">
        <v>132</v>
      </c>
      <c r="G132" s="776" t="s">
        <v>581</v>
      </c>
      <c r="H132" s="777">
        <v>1.0</v>
      </c>
      <c r="I132" s="778">
        <v>0.6458333333333334</v>
      </c>
      <c r="J132" s="777">
        <v>8.0</v>
      </c>
      <c r="K132" s="777">
        <v>2.0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58.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58.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58.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58.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58.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58.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58.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58.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58.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582</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37.5" hidden="1" customHeight="1" outlineLevel="1">
      <c r="A143" s="662"/>
      <c r="B143" s="761"/>
      <c r="C143" s="762">
        <f>IF(C132="","",IF(DAY(C132+1)=1,"",C132+1))</f>
        <v>46125</v>
      </c>
      <c r="D143" s="763" t="str">
        <f>TEXT(C143,"ddd")</f>
        <v>月</v>
      </c>
      <c r="E143" s="764"/>
      <c r="F143" s="765" t="s">
        <v>142</v>
      </c>
      <c r="G143" s="766" t="s">
        <v>583</v>
      </c>
      <c r="H143" s="767"/>
      <c r="I143" s="767" t="s">
        <v>584</v>
      </c>
      <c r="J143" s="767">
        <v>8.0</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37.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37.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37.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37.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37.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37.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37.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37.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37.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586</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41.25" hidden="1" customHeight="1" outlineLevel="1">
      <c r="A154" s="662"/>
      <c r="B154" s="744"/>
      <c r="C154" s="745">
        <f>IF(C143="","",IF(DAY(C143+1)=1,"",C143+1))</f>
        <v>46126</v>
      </c>
      <c r="D154" s="746" t="str">
        <f>TEXT(C154,"ddd")</f>
        <v>火</v>
      </c>
      <c r="E154" s="747"/>
      <c r="F154" s="775" t="s">
        <v>132</v>
      </c>
      <c r="G154" s="776" t="s">
        <v>587</v>
      </c>
      <c r="H154" s="777"/>
      <c r="I154" s="778">
        <v>0.6458333333333334</v>
      </c>
      <c r="J154" s="777">
        <v>8.0</v>
      </c>
      <c r="K154" s="777">
        <v>2.0</v>
      </c>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t="41.25"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41.25"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41.25"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41.25"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41.25"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41.25"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41.25"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41.25"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41.25"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31.5" hidden="1" customHeight="1" outlineLevel="1">
      <c r="A164" s="662"/>
      <c r="B164" s="739"/>
      <c r="C164" s="698"/>
      <c r="D164" s="698"/>
      <c r="E164" s="698"/>
      <c r="F164" s="758" t="s">
        <v>546</v>
      </c>
      <c r="G164" s="759" t="s">
        <v>588</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24.0" hidden="1" customHeight="1" outlineLevel="1">
      <c r="A165" s="662"/>
      <c r="B165" s="761"/>
      <c r="C165" s="762">
        <f>IF(C154="","",IF(DAY(C154+1)=1,"",C154+1))</f>
        <v>46127</v>
      </c>
      <c r="D165" s="763" t="str">
        <f>TEXT(C165,"ddd")</f>
        <v>水</v>
      </c>
      <c r="E165" s="764"/>
      <c r="F165" s="765" t="s">
        <v>132</v>
      </c>
      <c r="G165" s="766" t="s">
        <v>589</v>
      </c>
      <c r="H165" s="767"/>
      <c r="I165" s="768">
        <v>0.6875</v>
      </c>
      <c r="J165" s="767">
        <v>10.0</v>
      </c>
      <c r="K165" s="767">
        <v>3.0</v>
      </c>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24.0"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24.0"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24.0"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24.0"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24.0"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24.0"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24.0"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24.0"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24.0"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590</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21.0" customHeight="1" outlineLevel="1">
      <c r="A177" s="662"/>
      <c r="B177" s="744"/>
      <c r="C177" s="745">
        <f>IF(C165="","",IF(DAY(C165+1)=1,"",C165+1))</f>
        <v>46128</v>
      </c>
      <c r="D177" s="746" t="str">
        <f>TEXT(C177,"ddd")</f>
        <v>木</v>
      </c>
      <c r="E177" s="747"/>
      <c r="F177" s="775" t="s">
        <v>132</v>
      </c>
      <c r="G177" s="776" t="s">
        <v>592</v>
      </c>
      <c r="H177" s="777"/>
      <c r="I177" s="778">
        <v>0.6666666666666666</v>
      </c>
      <c r="J177" s="777">
        <v>8.0</v>
      </c>
      <c r="K177" s="777">
        <v>4.0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21.0"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21.0"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21.0"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21.0"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21.0"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21.0"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21.0"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21.0"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21.0"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outlineLevel="1">
      <c r="A187" s="662"/>
      <c r="B187" s="739"/>
      <c r="C187" s="698"/>
      <c r="D187" s="698"/>
      <c r="E187" s="698"/>
      <c r="F187" s="758" t="s">
        <v>546</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19.5" customHeight="1" outlineLevel="1">
      <c r="A188" s="662"/>
      <c r="B188" s="761"/>
      <c r="C188" s="762">
        <f>IF(C177="","",IF(DAY(C177+1)=1,"",C177+1))</f>
        <v>46129</v>
      </c>
      <c r="D188" s="763" t="str">
        <f>TEXT(C188,"ddd")</f>
        <v>金</v>
      </c>
      <c r="E188" s="764"/>
      <c r="F188" s="765" t="s">
        <v>142</v>
      </c>
      <c r="G188" s="766" t="s">
        <v>593</v>
      </c>
      <c r="H188" s="767"/>
      <c r="I188" s="768">
        <v>0.625</v>
      </c>
      <c r="J188" s="767">
        <v>9.0</v>
      </c>
      <c r="K188" s="767">
        <v>4.0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t="19.5"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19.5"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19.5"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19.5"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19.5"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19.5"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19.5"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19.5"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19.5"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outlineLevel="1">
      <c r="A198" s="662"/>
      <c r="B198" s="739"/>
      <c r="C198" s="698"/>
      <c r="D198" s="698"/>
      <c r="E198" s="698"/>
      <c r="F198" s="740" t="s">
        <v>546</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outlineLevel="1">
      <c r="A199" s="662"/>
      <c r="B199" s="744"/>
      <c r="C199" s="745">
        <f>IF(C188="","",IF(DAY(C188+1)=1,"",C188+1))</f>
        <v>46130</v>
      </c>
      <c r="D199" s="746" t="str">
        <f>TEXT(C199,"ddd")</f>
        <v>土</v>
      </c>
      <c r="E199" s="747"/>
      <c r="F199" s="775" t="s">
        <v>594</v>
      </c>
      <c r="G199" s="776" t="s">
        <v>595</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outlineLevel="1">
      <c r="A210" s="662"/>
      <c r="B210" s="761"/>
      <c r="C210" s="762">
        <f>IF(C199="","",IF(DAY(C199+1)=1,"",C199+1))</f>
        <v>46131</v>
      </c>
      <c r="D210" s="763" t="str">
        <f>TEXT(C210,"ddd")</f>
        <v>日</v>
      </c>
      <c r="E210" s="764"/>
      <c r="F210" s="765" t="s">
        <v>594</v>
      </c>
      <c r="G210" s="766" t="s">
        <v>595</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outlineLevel="1">
      <c r="A221" s="662"/>
      <c r="B221" s="744"/>
      <c r="C221" s="745">
        <f>IF(C210="","",IF(DAY(C210+1)=1,"",C210+1))</f>
        <v>46132</v>
      </c>
      <c r="D221" s="746" t="str">
        <f>TEXT(C221,"ddd")</f>
        <v>月</v>
      </c>
      <c r="E221" s="747"/>
      <c r="F221" s="775" t="s">
        <v>594</v>
      </c>
      <c r="G221" s="776" t="s">
        <v>595</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596</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46133</v>
      </c>
      <c r="D233" s="763" t="str">
        <f>TEXT(C233,"ddd")</f>
        <v>火</v>
      </c>
      <c r="E233" s="764"/>
      <c r="F233" s="765" t="s">
        <v>594</v>
      </c>
      <c r="G233" s="766" t="s">
        <v>595</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46134</v>
      </c>
      <c r="D244" s="746" t="str">
        <f>TEXT(C244,"ddd")</f>
        <v>水</v>
      </c>
      <c r="E244" s="747"/>
      <c r="F244" s="775" t="s">
        <v>594</v>
      </c>
      <c r="G244" s="776" t="s">
        <v>595</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46135</v>
      </c>
      <c r="D255" s="763" t="str">
        <f>TEXT(C255,"ddd")</f>
        <v>木</v>
      </c>
      <c r="E255" s="764"/>
      <c r="F255" s="765" t="s">
        <v>594</v>
      </c>
      <c r="G255" s="766" t="s">
        <v>595</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46136</v>
      </c>
      <c r="D266" s="746" t="str">
        <f>TEXT(C266,"ddd")</f>
        <v>金</v>
      </c>
      <c r="E266" s="747"/>
      <c r="F266" s="775" t="s">
        <v>594</v>
      </c>
      <c r="G266" s="776" t="s">
        <v>595</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46137</v>
      </c>
      <c r="D277" s="763" t="str">
        <f>TEXT(C277,"ddd")</f>
        <v>土</v>
      </c>
      <c r="E277" s="764"/>
      <c r="F277" s="765" t="s">
        <v>594</v>
      </c>
      <c r="G277" s="766" t="s">
        <v>595</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597</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46138</v>
      </c>
      <c r="D289" s="746" t="str">
        <f>TEXT(C289,"ddd")</f>
        <v>日</v>
      </c>
      <c r="E289" s="747"/>
      <c r="F289" s="775" t="s">
        <v>594</v>
      </c>
      <c r="G289" s="776" t="s">
        <v>595</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46139</v>
      </c>
      <c r="D300" s="763" t="str">
        <f>TEXT(C300,"ddd")</f>
        <v>月</v>
      </c>
      <c r="E300" s="764"/>
      <c r="F300" s="765" t="s">
        <v>594</v>
      </c>
      <c r="G300" s="766" t="s">
        <v>595</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46140</v>
      </c>
      <c r="D311" s="746" t="str">
        <f>TEXT(C311,"ddd")</f>
        <v>火</v>
      </c>
      <c r="E311" s="747"/>
      <c r="F311" s="775" t="s">
        <v>594</v>
      </c>
      <c r="G311" s="776" t="s">
        <v>595</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f>IF(C311="","",IF(DAY(C311+1)=1,"",C311+1))</f>
        <v>46141</v>
      </c>
      <c r="D322" s="763" t="str">
        <f>TEXT(C322,"ddd")</f>
        <v>水</v>
      </c>
      <c r="E322" s="764"/>
      <c r="F322" s="765" t="s">
        <v>594</v>
      </c>
      <c r="G322" s="766" t="s">
        <v>595</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f>IF(C322="","",IF(DAY(C322+1)=1,"",C322+1))</f>
        <v>46142</v>
      </c>
      <c r="D333" s="746" t="str">
        <f>TEXT(C333,"ddd")</f>
        <v>木</v>
      </c>
      <c r="E333" s="747"/>
      <c r="F333" s="775" t="s">
        <v>594</v>
      </c>
      <c r="G333" s="776" t="s">
        <v>595</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594</v>
      </c>
      <c r="G344" s="766" t="s">
        <v>595</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598</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599</v>
      </c>
      <c r="C4" s="806"/>
      <c r="D4" s="807" t="s">
        <v>600</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34</v>
      </c>
      <c r="C5" s="809" t="s">
        <v>84</v>
      </c>
      <c r="D5" s="810"/>
      <c r="E5" s="811" t="b">
        <v>0</v>
      </c>
      <c r="F5" s="809" t="s">
        <v>601</v>
      </c>
      <c r="G5" s="812"/>
      <c r="H5" s="813" t="b">
        <v>0</v>
      </c>
      <c r="J5" s="814"/>
      <c r="K5" s="798"/>
      <c r="L5" s="815" t="s">
        <v>602</v>
      </c>
      <c r="T5" s="814"/>
      <c r="U5" s="816" t="s">
        <v>603</v>
      </c>
      <c r="AC5" s="799"/>
      <c r="AD5" s="817" t="s">
        <v>96</v>
      </c>
      <c r="AE5" s="817" t="s">
        <v>604</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605</v>
      </c>
      <c r="M7" s="236"/>
      <c r="N7" s="236"/>
      <c r="O7" s="236"/>
      <c r="P7" s="236"/>
      <c r="Q7" s="236"/>
      <c r="R7" s="236"/>
      <c r="S7" s="113"/>
      <c r="T7" s="821" t="s">
        <v>606</v>
      </c>
      <c r="U7" s="822" t="s">
        <v>607</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608</v>
      </c>
      <c r="C8" s="824"/>
      <c r="D8" s="825" t="s">
        <v>51</v>
      </c>
      <c r="E8" s="826" t="str">
        <f>IFERROR(__xludf.DUMMYFUNCTION("IFERROR(INDEX(FILTER($AE$6:$AE$200, $AD$6:$AD$200=$B$5, REGEXMATCH($AE$6:$AE$200, ""集計"")), 1), """")
"),"①R8_4集計")</f>
        <v>①R8_4集計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0.2177682582</v>
      </c>
      <c r="D10" s="833">
        <f t="array" ref="D10">INDIRECT($E$8 &amp; "!E8")</f>
        <v>0.6125551544</v>
      </c>
      <c r="E10" s="833">
        <f t="array" ref="E10">INDIRECT($E$8 &amp; "!G8")</f>
        <v>0.8843697479</v>
      </c>
      <c r="F10" s="834">
        <f t="array" ref="F10">INDIRECT($E$8 &amp; "!H8")</f>
        <v>2891880</v>
      </c>
      <c r="G10" s="834">
        <f t="array" ref="G10">INDIRECT($E$8 &amp; "!K8")</f>
        <v>0</v>
      </c>
      <c r="H10" s="834">
        <f t="array" ref="H10">INDIRECT($E$8 &amp; "!M8")</f>
        <v>629759.6705</v>
      </c>
      <c r="I10" s="833">
        <f t="array" ref="I10">INDIRECT($E$8 &amp; "!AT7")</f>
        <v>0.001680672269</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0.2692947531</v>
      </c>
      <c r="D11" s="837"/>
      <c r="E11" s="838"/>
      <c r="F11" s="839">
        <f t="array" ref="F11">INDIRECT($E$8 &amp; "!H7")</f>
        <v>4628325</v>
      </c>
      <c r="G11" s="837"/>
      <c r="H11" s="840">
        <f t="array" ref="H11">INDIRECT($E$8 &amp; "!M7")</f>
        <v>1246383.638</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609</v>
      </c>
      <c r="C13" s="844"/>
      <c r="D13" s="845" t="s">
        <v>51</v>
      </c>
      <c r="E13" s="846" t="s">
        <v>610</v>
      </c>
      <c r="F13" s="200"/>
      <c r="G13" s="200"/>
      <c r="H13" s="847" t="s">
        <v>35</v>
      </c>
      <c r="I13" s="848">
        <f t="array" ref="I13">xlookup($B$5,'🔵クレーム'!$C$10:$C$21,'🔵クレーム'!X$10:X$21)</f>
        <v>0.001835535977</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611</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3</v>
      </c>
      <c r="G15" s="851">
        <f t="array" ref="G15">xlookup($B$5,'🔵クレーム'!$C$10:$C$21,'🔵クレーム'!I$10:I$21)</f>
        <v>1</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0</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1</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612</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613</v>
      </c>
      <c r="C20" s="830" t="s">
        <v>614</v>
      </c>
      <c r="D20" s="830" t="s">
        <v>89</v>
      </c>
      <c r="E20" s="830" t="s">
        <v>90</v>
      </c>
      <c r="F20" s="830" t="s">
        <v>615</v>
      </c>
      <c r="G20" s="830" t="s">
        <v>135</v>
      </c>
      <c r="H20" s="830" t="s">
        <v>135</v>
      </c>
      <c r="I20" s="830" t="s">
        <v>616</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617</v>
      </c>
      <c r="M21" s="232"/>
      <c r="N21" s="232"/>
      <c r="O21" s="232"/>
      <c r="P21" s="232"/>
      <c r="Q21" s="232"/>
      <c r="R21" s="232"/>
      <c r="S21" s="3"/>
      <c r="T21" s="821" t="s">
        <v>606</v>
      </c>
      <c r="U21" s="822" t="s">
        <v>618</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619</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620</v>
      </c>
      <c r="C25" s="870" t="s">
        <v>621</v>
      </c>
      <c r="D25" s="3"/>
      <c r="E25" s="870" t="s">
        <v>622</v>
      </c>
      <c r="F25" s="232"/>
      <c r="G25" s="232"/>
      <c r="H25" s="870" t="s">
        <v>623</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624</v>
      </c>
      <c r="M35" s="232"/>
      <c r="N35" s="232"/>
      <c r="O35" s="232"/>
      <c r="P35" s="232"/>
      <c r="Q35" s="232"/>
      <c r="R35" s="232"/>
      <c r="S35" s="3"/>
      <c r="T35" s="821" t="s">
        <v>606</v>
      </c>
      <c r="U35" s="822" t="s">
        <v>624</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625</v>
      </c>
      <c r="C37" s="877"/>
      <c r="D37" s="878">
        <f>counta(C39:D48)</f>
        <v>0</v>
      </c>
      <c r="E37" s="879" t="s">
        <v>626</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622</v>
      </c>
      <c r="F38" s="883"/>
      <c r="G38" s="882" t="s">
        <v>627</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628</v>
      </c>
      <c r="M49" s="232"/>
      <c r="N49" s="232"/>
      <c r="O49" s="232"/>
      <c r="P49" s="232"/>
      <c r="Q49" s="232"/>
      <c r="R49" s="232"/>
      <c r="S49" s="3"/>
      <c r="T49" s="821" t="s">
        <v>606</v>
      </c>
      <c r="U49" s="822" t="s">
        <v>629</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630</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631</v>
      </c>
      <c r="C51" s="882" t="s">
        <v>465</v>
      </c>
      <c r="D51" s="883"/>
      <c r="E51" s="881" t="s">
        <v>632</v>
      </c>
      <c r="F51" s="881" t="s">
        <v>633</v>
      </c>
      <c r="G51" s="881" t="s">
        <v>634</v>
      </c>
      <c r="H51" s="882" t="s">
        <v>635</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636</v>
      </c>
      <c r="M63" s="232"/>
      <c r="N63" s="232"/>
      <c r="O63" s="232"/>
      <c r="P63" s="232"/>
      <c r="Q63" s="232"/>
      <c r="R63" s="232"/>
      <c r="S63" s="3"/>
      <c r="T63" s="821" t="s">
        <v>606</v>
      </c>
      <c r="U63" s="822" t="s">
        <v>637</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638</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631</v>
      </c>
      <c r="C65" s="882" t="s">
        <v>465</v>
      </c>
      <c r="D65" s="883"/>
      <c r="E65" s="881" t="s">
        <v>639</v>
      </c>
      <c r="F65" s="882" t="s">
        <v>640</v>
      </c>
      <c r="G65" s="883"/>
      <c r="H65" s="882" t="s">
        <v>635</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641</v>
      </c>
      <c r="M77" s="232"/>
      <c r="N77" s="232"/>
      <c r="O77" s="232"/>
      <c r="P77" s="232"/>
      <c r="Q77" s="232"/>
      <c r="R77" s="232"/>
      <c r="S77" s="3"/>
      <c r="T77" s="814"/>
      <c r="U77" s="906" t="s">
        <v>642</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643</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46082.0</v>
      </c>
      <c r="E5" s="77"/>
      <c r="F5" s="322" t="s">
        <v>295</v>
      </c>
      <c r="G5" s="323">
        <f>DAY(EOMONTH(D5,0))</f>
        <v>31</v>
      </c>
      <c r="H5" s="324" t="s">
        <v>296</v>
      </c>
      <c r="I5" s="322" t="s">
        <v>297</v>
      </c>
      <c r="J5" s="325" t="b">
        <v>1</v>
      </c>
      <c r="K5" s="322" t="s">
        <v>298</v>
      </c>
      <c r="L5" s="326" t="b">
        <v>1</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312</v>
      </c>
      <c r="H7" s="348">
        <f t="array" ref="H7">xlookup($D$5,'🌟目標数値'!$A$3:$A$14,'🌟目標数値'!E$3:E14)</f>
        <v>4938757.5</v>
      </c>
      <c r="I7" s="348" t="s">
        <v>312</v>
      </c>
      <c r="J7" s="349" t="s">
        <v>312</v>
      </c>
      <c r="K7" s="350" t="s">
        <v>312</v>
      </c>
      <c r="L7" s="350" t="s">
        <v>312</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313</v>
      </c>
      <c r="BG7" s="355"/>
      <c r="BL7" s="343"/>
    </row>
    <row r="8" ht="15.75" customHeight="1" outlineLevel="1">
      <c r="B8" s="356" t="s">
        <v>314</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4620127.984</v>
      </c>
      <c r="I9" s="374" t="s">
        <v>312</v>
      </c>
      <c r="J9" s="375" t="s">
        <v>312</v>
      </c>
      <c r="K9" s="376" t="s">
        <v>312</v>
      </c>
      <c r="L9" s="376" t="s">
        <v>312</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46082</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364</v>
      </c>
      <c r="BI12" s="222"/>
      <c r="BJ12" s="222"/>
      <c r="BL12" s="222"/>
      <c r="BM12" s="222"/>
    </row>
    <row r="13" ht="15.75" customHeight="1">
      <c r="A13" s="314" t="s">
        <v>365</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644</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371</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376</v>
      </c>
      <c r="AZ23" s="442">
        <f>AR44</f>
        <v>0</v>
      </c>
      <c r="BA23" s="77"/>
      <c r="BB23" s="443">
        <f>AZ23-AZ24</f>
        <v>0</v>
      </c>
      <c r="BC23" s="315"/>
      <c r="BD23" s="444" t="s">
        <v>377</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378</v>
      </c>
      <c r="AZ24" s="442">
        <f>BE36</f>
        <v>0</v>
      </c>
      <c r="BA24" s="77"/>
      <c r="BB24" s="446"/>
      <c r="BC24" s="315"/>
      <c r="BD24" s="441" t="s">
        <v>379</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385</v>
      </c>
      <c r="AZ30" s="445">
        <f>AS46</f>
        <v>4803520</v>
      </c>
      <c r="BA30" s="456" t="s">
        <v>312</v>
      </c>
      <c r="BB30" s="443">
        <f>SUM(AZ30:AZ36)</f>
        <v>5290320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395</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396</v>
      </c>
      <c r="AZ36" s="423">
        <f>BB40</f>
        <v>189200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365</v>
      </c>
      <c r="AY40" s="471" t="s">
        <v>645</v>
      </c>
      <c r="AZ40" s="462">
        <v>113950.0</v>
      </c>
      <c r="BA40" s="910">
        <v>46092.0</v>
      </c>
      <c r="BB40" s="443">
        <f>SUM(AZ40:AZ45)</f>
        <v>189200</v>
      </c>
      <c r="BC40" s="315"/>
      <c r="BD40" s="473" t="s">
        <v>391</v>
      </c>
      <c r="BE40" s="474">
        <v>60000.0</v>
      </c>
      <c r="BF40" s="472" t="s">
        <v>404</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365</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365</v>
      </c>
      <c r="AY41" s="471" t="s">
        <v>646</v>
      </c>
      <c r="AZ41" s="462">
        <v>75250.0</v>
      </c>
      <c r="BA41" s="910">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365</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365</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1"/>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647</v>
      </c>
      <c r="O2" s="534"/>
      <c r="P2" s="535"/>
      <c r="Q2" s="536"/>
      <c r="R2" s="536"/>
      <c r="S2" s="537"/>
      <c r="T2" s="536"/>
      <c r="U2" s="536"/>
      <c r="V2" s="536"/>
      <c r="W2" s="536"/>
      <c r="X2" s="536"/>
      <c r="Y2" s="538"/>
      <c r="Z2" s="281"/>
      <c r="AA2" s="281"/>
      <c r="AB2" s="281"/>
      <c r="AC2" s="281"/>
      <c r="AD2" s="281"/>
      <c r="AE2" s="281"/>
      <c r="AF2" s="539"/>
      <c r="AG2" s="540"/>
      <c r="AH2" s="541"/>
      <c r="AI2" s="542" t="s">
        <v>648</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119</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436</v>
      </c>
      <c r="BK4" s="250"/>
      <c r="BL4" s="564">
        <v>46143.0</v>
      </c>
      <c r="BT4" s="526"/>
      <c r="BU4" s="526"/>
      <c r="BV4" s="526"/>
      <c r="BW4" s="526"/>
      <c r="BX4" s="526"/>
    </row>
    <row r="5" ht="24.75" customHeight="1">
      <c r="A5" s="529"/>
      <c r="B5" s="589" t="s">
        <v>437</v>
      </c>
      <c r="C5" s="590"/>
      <c r="D5" s="529"/>
      <c r="E5" s="591" t="s">
        <v>438</v>
      </c>
      <c r="F5" s="590"/>
      <c r="G5" s="529"/>
      <c r="H5" s="529"/>
      <c r="I5" s="592" t="b">
        <v>1</v>
      </c>
      <c r="J5" s="3"/>
      <c r="K5" s="593" t="s">
        <v>132</v>
      </c>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452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46130</v>
      </c>
      <c r="C7" s="614"/>
      <c r="D7" s="529"/>
      <c r="E7" s="615">
        <f>today()+1</f>
        <v>46131</v>
      </c>
      <c r="F7" s="616"/>
      <c r="G7" s="529"/>
      <c r="H7" s="529"/>
      <c r="I7" s="617" t="s">
        <v>453</v>
      </c>
      <c r="J7" s="618" t="s">
        <v>454</v>
      </c>
      <c r="K7" s="619">
        <v>46082.0</v>
      </c>
      <c r="L7" s="620" t="s">
        <v>455</v>
      </c>
      <c r="M7" s="621" t="s">
        <v>456</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1">
        <f t="shared" si="2"/>
        <v>46112</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318</v>
      </c>
      <c r="C8" s="912" t="str">
        <f>TEXT(B7,"ddd")</f>
        <v>土</v>
      </c>
      <c r="D8" s="200"/>
      <c r="E8" s="913" t="s">
        <v>318</v>
      </c>
      <c r="F8" s="914" t="str">
        <f>TEXT(E7,"ddd")</f>
        <v>日</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467</v>
      </c>
      <c r="L9" s="639" t="s">
        <v>135</v>
      </c>
      <c r="M9" s="640" t="s">
        <v>468</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472</v>
      </c>
      <c r="M11" s="645"/>
      <c r="N11" s="646" t="s">
        <v>448</v>
      </c>
      <c r="O11" s="646" t="s">
        <v>448</v>
      </c>
      <c r="P11" s="646" t="s">
        <v>424</v>
      </c>
      <c r="Q11" s="646" t="s">
        <v>424</v>
      </c>
      <c r="R11" s="646" t="s">
        <v>424</v>
      </c>
      <c r="S11" s="646" t="s">
        <v>424</v>
      </c>
      <c r="T11" s="646" t="s">
        <v>440</v>
      </c>
      <c r="U11" s="646" t="s">
        <v>424</v>
      </c>
      <c r="V11" s="646" t="s">
        <v>440</v>
      </c>
      <c r="W11" s="646" t="s">
        <v>440</v>
      </c>
      <c r="X11" s="646" t="s">
        <v>424</v>
      </c>
      <c r="Y11" s="646" t="s">
        <v>424</v>
      </c>
      <c r="Z11" s="646" t="s">
        <v>424</v>
      </c>
      <c r="AA11" s="646" t="s">
        <v>424</v>
      </c>
      <c r="AB11" s="646" t="s">
        <v>424</v>
      </c>
      <c r="AC11" s="646" t="s">
        <v>424</v>
      </c>
      <c r="AD11" s="646" t="s">
        <v>440</v>
      </c>
      <c r="AE11" s="646" t="s">
        <v>424</v>
      </c>
      <c r="AF11" s="646" t="s">
        <v>424</v>
      </c>
      <c r="AG11" s="646" t="s">
        <v>424</v>
      </c>
      <c r="AH11" s="646" t="s">
        <v>424</v>
      </c>
      <c r="AI11" s="646" t="s">
        <v>424</v>
      </c>
      <c r="AJ11" s="646" t="s">
        <v>424</v>
      </c>
      <c r="AK11" s="646" t="s">
        <v>440</v>
      </c>
      <c r="AL11" s="646" t="s">
        <v>424</v>
      </c>
      <c r="AM11" s="646" t="s">
        <v>424</v>
      </c>
      <c r="AN11" s="646" t="s">
        <v>424</v>
      </c>
      <c r="AO11" s="646" t="s">
        <v>424</v>
      </c>
      <c r="AP11" s="646" t="s">
        <v>448</v>
      </c>
      <c r="AQ11" s="646" t="s">
        <v>448</v>
      </c>
      <c r="AR11" s="646" t="s">
        <v>424</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915" t="s">
        <v>426</v>
      </c>
      <c r="O12" s="916" t="s">
        <v>426</v>
      </c>
      <c r="P12" s="916" t="s">
        <v>426</v>
      </c>
      <c r="Q12" s="916" t="s">
        <v>440</v>
      </c>
      <c r="R12" s="916" t="s">
        <v>440</v>
      </c>
      <c r="S12" s="916" t="s">
        <v>426</v>
      </c>
      <c r="T12" s="917" t="s">
        <v>426</v>
      </c>
      <c r="U12" s="915" t="s">
        <v>426</v>
      </c>
      <c r="V12" s="916" t="s">
        <v>426</v>
      </c>
      <c r="W12" s="916" t="s">
        <v>426</v>
      </c>
      <c r="X12" s="916" t="s">
        <v>448</v>
      </c>
      <c r="Y12" s="916" t="s">
        <v>448</v>
      </c>
      <c r="Z12" s="916" t="s">
        <v>426</v>
      </c>
      <c r="AA12" s="917" t="s">
        <v>426</v>
      </c>
      <c r="AB12" s="915" t="s">
        <v>426</v>
      </c>
      <c r="AC12" s="916" t="s">
        <v>440</v>
      </c>
      <c r="AD12" s="916" t="s">
        <v>426</v>
      </c>
      <c r="AE12" s="916" t="s">
        <v>426</v>
      </c>
      <c r="AF12" s="916" t="s">
        <v>440</v>
      </c>
      <c r="AG12" s="916" t="s">
        <v>426</v>
      </c>
      <c r="AH12" s="917" t="s">
        <v>426</v>
      </c>
      <c r="AI12" s="915" t="s">
        <v>426</v>
      </c>
      <c r="AJ12" s="916" t="s">
        <v>440</v>
      </c>
      <c r="AK12" s="916" t="s">
        <v>426</v>
      </c>
      <c r="AL12" s="916" t="s">
        <v>426</v>
      </c>
      <c r="AM12" s="916" t="s">
        <v>440</v>
      </c>
      <c r="AN12" s="916" t="s">
        <v>426</v>
      </c>
      <c r="AO12" s="917" t="s">
        <v>426</v>
      </c>
      <c r="AP12" s="646" t="s">
        <v>426</v>
      </c>
      <c r="AQ12" s="646" t="s">
        <v>426</v>
      </c>
      <c r="AR12" s="646" t="s">
        <v>440</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472</v>
      </c>
      <c r="M13" s="645"/>
      <c r="N13" s="918"/>
      <c r="O13" s="919"/>
      <c r="P13" s="916" t="s">
        <v>426</v>
      </c>
      <c r="Q13" s="919"/>
      <c r="R13" s="919"/>
      <c r="S13" s="916"/>
      <c r="T13" s="920"/>
      <c r="U13" s="918"/>
      <c r="V13" s="916" t="s">
        <v>426</v>
      </c>
      <c r="W13" s="916" t="s">
        <v>426</v>
      </c>
      <c r="X13" s="919"/>
      <c r="Y13" s="919"/>
      <c r="Z13" s="916" t="s">
        <v>426</v>
      </c>
      <c r="AA13" s="920"/>
      <c r="AB13" s="918"/>
      <c r="AC13" s="919"/>
      <c r="AD13" s="916" t="s">
        <v>426</v>
      </c>
      <c r="AE13" s="919"/>
      <c r="AF13" s="919"/>
      <c r="AG13" s="916" t="s">
        <v>426</v>
      </c>
      <c r="AH13" s="920"/>
      <c r="AI13" s="918"/>
      <c r="AJ13" s="921"/>
      <c r="AK13" s="916" t="s">
        <v>426</v>
      </c>
      <c r="AL13" s="919"/>
      <c r="AM13" s="919"/>
      <c r="AN13" s="916"/>
      <c r="AO13" s="920"/>
      <c r="AP13" s="646"/>
      <c r="AQ13" s="646"/>
      <c r="AR13" s="646" t="s">
        <v>426</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1"/>
      <c r="AB14" s="916"/>
      <c r="AC14" s="646"/>
      <c r="AD14" s="652"/>
      <c r="AE14" s="916" t="s">
        <v>649</v>
      </c>
      <c r="AF14" s="646"/>
      <c r="AG14" s="646"/>
      <c r="AH14" s="921"/>
      <c r="AI14" s="916"/>
      <c r="AJ14" s="646"/>
      <c r="AK14" s="646"/>
      <c r="AL14" s="646"/>
      <c r="AM14" s="916"/>
      <c r="AN14" s="921"/>
      <c r="AO14" s="921"/>
      <c r="AP14" s="646" t="s">
        <v>649</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650</v>
      </c>
      <c r="L15" s="639" t="s">
        <v>472</v>
      </c>
      <c r="M15" s="645"/>
      <c r="N15" s="646"/>
      <c r="O15" s="646"/>
      <c r="P15" s="646"/>
      <c r="Q15" s="646"/>
      <c r="R15" s="646"/>
      <c r="S15" s="646"/>
      <c r="T15" s="646"/>
      <c r="U15" s="646"/>
      <c r="V15" s="646"/>
      <c r="W15" s="646"/>
      <c r="X15" s="646" t="s">
        <v>433</v>
      </c>
      <c r="Y15" s="646" t="s">
        <v>433</v>
      </c>
      <c r="Z15" s="646" t="s">
        <v>433</v>
      </c>
      <c r="AA15" s="646"/>
      <c r="AB15" s="646"/>
      <c r="AC15" s="646"/>
      <c r="AD15" s="646"/>
      <c r="AE15" s="646" t="s">
        <v>433</v>
      </c>
      <c r="AF15" s="646" t="s">
        <v>433</v>
      </c>
      <c r="AG15" s="646" t="s">
        <v>433</v>
      </c>
      <c r="AH15" s="646"/>
      <c r="AI15" s="24"/>
      <c r="AJ15" s="646"/>
      <c r="AK15" s="646"/>
      <c r="AL15" s="646" t="s">
        <v>433</v>
      </c>
      <c r="AM15" s="646" t="s">
        <v>433</v>
      </c>
      <c r="AN15" s="646"/>
      <c r="AO15" s="646"/>
      <c r="AP15" s="646"/>
      <c r="AQ15" s="652" t="s">
        <v>433</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t="s">
        <v>440</v>
      </c>
      <c r="O17" s="646" t="s">
        <v>448</v>
      </c>
      <c r="P17" s="646" t="s">
        <v>448</v>
      </c>
      <c r="Q17" s="646" t="s">
        <v>426</v>
      </c>
      <c r="R17" s="646" t="s">
        <v>440</v>
      </c>
      <c r="S17" s="646" t="s">
        <v>426</v>
      </c>
      <c r="T17" s="646" t="s">
        <v>440</v>
      </c>
      <c r="U17" s="646" t="s">
        <v>440</v>
      </c>
      <c r="V17" s="646" t="s">
        <v>426</v>
      </c>
      <c r="W17" s="646" t="s">
        <v>426</v>
      </c>
      <c r="X17" s="646" t="s">
        <v>426</v>
      </c>
      <c r="Y17" s="646" t="s">
        <v>440</v>
      </c>
      <c r="Z17" s="646" t="s">
        <v>426</v>
      </c>
      <c r="AA17" s="646" t="s">
        <v>440</v>
      </c>
      <c r="AB17" s="646" t="s">
        <v>440</v>
      </c>
      <c r="AC17" s="646" t="s">
        <v>440</v>
      </c>
      <c r="AD17" s="646" t="s">
        <v>426</v>
      </c>
      <c r="AE17" s="646" t="s">
        <v>426</v>
      </c>
      <c r="AF17" s="646" t="s">
        <v>440</v>
      </c>
      <c r="AG17" s="646" t="s">
        <v>440</v>
      </c>
      <c r="AH17" s="646" t="s">
        <v>440</v>
      </c>
      <c r="AI17" s="646" t="s">
        <v>440</v>
      </c>
      <c r="AJ17" s="646" t="s">
        <v>440</v>
      </c>
      <c r="AK17" s="646" t="s">
        <v>426</v>
      </c>
      <c r="AL17" s="646" t="s">
        <v>426</v>
      </c>
      <c r="AM17" s="646" t="s">
        <v>440</v>
      </c>
      <c r="AN17" s="646" t="s">
        <v>426</v>
      </c>
      <c r="AO17" s="646" t="s">
        <v>440</v>
      </c>
      <c r="AP17" s="646" t="s">
        <v>440</v>
      </c>
      <c r="AQ17" s="646" t="s">
        <v>440</v>
      </c>
      <c r="AR17" s="646" t="s">
        <v>426</v>
      </c>
      <c r="AS17" s="647">
        <f t="array" ref="AS17">SUM(COUNTIF(N17:AR17, {"◎","〇","☆","共","特","浴"}))</f>
        <v>12</v>
      </c>
      <c r="AT17" s="651"/>
      <c r="AU17" s="649"/>
      <c r="AV17" s="649"/>
      <c r="AW17" s="649"/>
      <c r="AX17" s="649"/>
      <c r="AY17" s="649"/>
      <c r="AZ17" s="649"/>
      <c r="BA17" s="649"/>
      <c r="BB17" s="653" t="s">
        <v>651</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t="s">
        <v>440</v>
      </c>
      <c r="O18" s="646" t="s">
        <v>426</v>
      </c>
      <c r="P18" s="646" t="s">
        <v>426</v>
      </c>
      <c r="Q18" s="646" t="s">
        <v>440</v>
      </c>
      <c r="R18" s="646" t="s">
        <v>426</v>
      </c>
      <c r="S18" s="646" t="s">
        <v>440</v>
      </c>
      <c r="T18" s="646" t="s">
        <v>440</v>
      </c>
      <c r="U18" s="646" t="s">
        <v>440</v>
      </c>
      <c r="V18" s="646" t="s">
        <v>448</v>
      </c>
      <c r="W18" s="646" t="s">
        <v>448</v>
      </c>
      <c r="X18" s="646" t="s">
        <v>440</v>
      </c>
      <c r="Y18" s="646" t="s">
        <v>426</v>
      </c>
      <c r="Z18" s="646" t="s">
        <v>440</v>
      </c>
      <c r="AA18" s="646" t="s">
        <v>440</v>
      </c>
      <c r="AB18" s="646" t="s">
        <v>440</v>
      </c>
      <c r="AC18" s="646" t="s">
        <v>426</v>
      </c>
      <c r="AD18" s="646" t="s">
        <v>426</v>
      </c>
      <c r="AE18" s="646" t="s">
        <v>440</v>
      </c>
      <c r="AF18" s="646" t="s">
        <v>426</v>
      </c>
      <c r="AG18" s="646" t="s">
        <v>440</v>
      </c>
      <c r="AH18" s="646" t="s">
        <v>440</v>
      </c>
      <c r="AI18" s="646" t="s">
        <v>440</v>
      </c>
      <c r="AJ18" s="646" t="s">
        <v>426</v>
      </c>
      <c r="AK18" s="646" t="s">
        <v>426</v>
      </c>
      <c r="AL18" s="646" t="s">
        <v>440</v>
      </c>
      <c r="AM18" s="646" t="s">
        <v>426</v>
      </c>
      <c r="AN18" s="646" t="s">
        <v>440</v>
      </c>
      <c r="AO18" s="646" t="s">
        <v>440</v>
      </c>
      <c r="AP18" s="646" t="s">
        <v>440</v>
      </c>
      <c r="AQ18" s="646" t="s">
        <v>448</v>
      </c>
      <c r="AR18" s="646" t="s">
        <v>426</v>
      </c>
      <c r="AS18" s="647">
        <f t="array" ref="AS18">SUM(COUNTIF(N18:AR18, {"◎","〇","☆","共","特","浴"}))</f>
        <v>11</v>
      </c>
      <c r="AT18" s="648"/>
      <c r="AU18" s="649"/>
      <c r="AV18" s="649"/>
      <c r="AW18" s="649"/>
      <c r="AX18" s="649"/>
      <c r="AY18" s="649"/>
      <c r="AZ18" s="649"/>
      <c r="BA18" s="649"/>
      <c r="BB18" s="653" t="s">
        <v>652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t="s">
        <v>440</v>
      </c>
      <c r="O19" s="646" t="s">
        <v>440</v>
      </c>
      <c r="P19" s="646" t="s">
        <v>440</v>
      </c>
      <c r="Q19" s="646" t="s">
        <v>426</v>
      </c>
      <c r="R19" s="646" t="s">
        <v>426</v>
      </c>
      <c r="S19" s="646" t="s">
        <v>426</v>
      </c>
      <c r="T19" s="646" t="s">
        <v>440</v>
      </c>
      <c r="U19" s="646" t="s">
        <v>440</v>
      </c>
      <c r="V19" s="646" t="s">
        <v>440</v>
      </c>
      <c r="W19" s="646" t="s">
        <v>426</v>
      </c>
      <c r="X19" s="646" t="s">
        <v>426</v>
      </c>
      <c r="Y19" s="646" t="s">
        <v>426</v>
      </c>
      <c r="Z19" s="646" t="s">
        <v>440</v>
      </c>
      <c r="AA19" s="646" t="s">
        <v>440</v>
      </c>
      <c r="AB19" s="646" t="s">
        <v>440</v>
      </c>
      <c r="AC19" s="646" t="s">
        <v>440</v>
      </c>
      <c r="AD19" s="646" t="s">
        <v>426</v>
      </c>
      <c r="AE19" s="646" t="s">
        <v>426</v>
      </c>
      <c r="AF19" s="646" t="s">
        <v>426</v>
      </c>
      <c r="AG19" s="646" t="s">
        <v>440</v>
      </c>
      <c r="AH19" s="646" t="s">
        <v>440</v>
      </c>
      <c r="AI19" s="646" t="s">
        <v>440</v>
      </c>
      <c r="AJ19" s="646" t="s">
        <v>440</v>
      </c>
      <c r="AK19" s="646" t="s">
        <v>426</v>
      </c>
      <c r="AL19" s="646" t="s">
        <v>426</v>
      </c>
      <c r="AM19" s="646" t="s">
        <v>426</v>
      </c>
      <c r="AN19" s="646" t="s">
        <v>440</v>
      </c>
      <c r="AO19" s="646" t="s">
        <v>440</v>
      </c>
      <c r="AP19" s="646" t="s">
        <v>440</v>
      </c>
      <c r="AQ19" s="646" t="s">
        <v>440</v>
      </c>
      <c r="AR19" s="646" t="s">
        <v>448</v>
      </c>
      <c r="AS19" s="647">
        <f t="array" ref="AS19">SUM(COUNTIF(N19:AR19, {"◎","〇","☆","共","特","浴"}))</f>
        <v>12</v>
      </c>
      <c r="AT19" s="651"/>
      <c r="AU19" s="649"/>
      <c r="AV19" s="649"/>
      <c r="AW19" s="649"/>
      <c r="AX19" s="649"/>
      <c r="AY19" s="649"/>
      <c r="AZ19" s="649"/>
      <c r="BA19" s="649"/>
      <c r="BB19" s="653" t="s">
        <v>653</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t="s">
        <v>426</v>
      </c>
      <c r="O20" s="646" t="s">
        <v>426</v>
      </c>
      <c r="P20" s="646" t="s">
        <v>440</v>
      </c>
      <c r="Q20" s="646" t="s">
        <v>440</v>
      </c>
      <c r="R20" s="646" t="s">
        <v>426</v>
      </c>
      <c r="S20" s="646" t="s">
        <v>440</v>
      </c>
      <c r="T20" s="646" t="s">
        <v>426</v>
      </c>
      <c r="U20" s="646" t="s">
        <v>426</v>
      </c>
      <c r="V20" s="646" t="s">
        <v>426</v>
      </c>
      <c r="W20" s="646" t="s">
        <v>440</v>
      </c>
      <c r="X20" s="646" t="s">
        <v>440</v>
      </c>
      <c r="Y20" s="646" t="s">
        <v>426</v>
      </c>
      <c r="Z20" s="646" t="s">
        <v>440</v>
      </c>
      <c r="AA20" s="646" t="s">
        <v>426</v>
      </c>
      <c r="AB20" s="646" t="s">
        <v>426</v>
      </c>
      <c r="AC20" s="646" t="s">
        <v>426</v>
      </c>
      <c r="AD20" s="646" t="s">
        <v>440</v>
      </c>
      <c r="AE20" s="646" t="s">
        <v>440</v>
      </c>
      <c r="AF20" s="646" t="s">
        <v>426</v>
      </c>
      <c r="AG20" s="646" t="s">
        <v>440</v>
      </c>
      <c r="AH20" s="646" t="s">
        <v>426</v>
      </c>
      <c r="AI20" s="646" t="s">
        <v>426</v>
      </c>
      <c r="AJ20" s="646" t="s">
        <v>426</v>
      </c>
      <c r="AK20" s="646" t="s">
        <v>440</v>
      </c>
      <c r="AL20" s="646" t="s">
        <v>440</v>
      </c>
      <c r="AM20" s="646" t="s">
        <v>426</v>
      </c>
      <c r="AN20" s="646" t="s">
        <v>440</v>
      </c>
      <c r="AO20" s="646" t="s">
        <v>426</v>
      </c>
      <c r="AP20" s="646" t="s">
        <v>426</v>
      </c>
      <c r="AQ20" s="646" t="s">
        <v>426</v>
      </c>
      <c r="AR20" s="646" t="s">
        <v>440</v>
      </c>
      <c r="AS20" s="647">
        <f t="array" ref="AS20">SUM(COUNTIF(N20:AR20, {"◎","〇","☆","共","特","浴"}))</f>
        <v>18</v>
      </c>
      <c r="AT20" s="651"/>
      <c r="AU20" s="649"/>
      <c r="AV20" s="649"/>
      <c r="AW20" s="649"/>
      <c r="AX20" s="649"/>
      <c r="AY20" s="649"/>
      <c r="AZ20" s="649"/>
      <c r="BA20" s="649"/>
      <c r="BB20" s="922" t="s">
        <v>654</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t="s">
        <v>426</v>
      </c>
      <c r="O21" s="646" t="s">
        <v>426</v>
      </c>
      <c r="P21" s="646" t="s">
        <v>440</v>
      </c>
      <c r="Q21" s="646" t="s">
        <v>448</v>
      </c>
      <c r="R21" s="646" t="s">
        <v>440</v>
      </c>
      <c r="S21" s="646" t="s">
        <v>440</v>
      </c>
      <c r="T21" s="646" t="s">
        <v>426</v>
      </c>
      <c r="U21" s="646" t="s">
        <v>440</v>
      </c>
      <c r="V21" s="646" t="s">
        <v>426</v>
      </c>
      <c r="W21" s="646" t="s">
        <v>440</v>
      </c>
      <c r="X21" s="925" t="s">
        <v>426</v>
      </c>
      <c r="Y21" s="646" t="s">
        <v>440</v>
      </c>
      <c r="Z21" s="646" t="s">
        <v>440</v>
      </c>
      <c r="AA21" s="646" t="s">
        <v>426</v>
      </c>
      <c r="AB21" s="646" t="s">
        <v>426</v>
      </c>
      <c r="AC21" s="646" t="s">
        <v>426</v>
      </c>
      <c r="AD21" s="646" t="s">
        <v>440</v>
      </c>
      <c r="AE21" s="646" t="s">
        <v>448</v>
      </c>
      <c r="AF21" s="646" t="s">
        <v>440</v>
      </c>
      <c r="AG21" s="646" t="s">
        <v>440</v>
      </c>
      <c r="AH21" s="646" t="s">
        <v>426</v>
      </c>
      <c r="AI21" s="646" t="s">
        <v>440</v>
      </c>
      <c r="AJ21" s="646" t="s">
        <v>426</v>
      </c>
      <c r="AK21" s="646" t="s">
        <v>440</v>
      </c>
      <c r="AL21" s="646" t="s">
        <v>426</v>
      </c>
      <c r="AM21" s="646" t="s">
        <v>440</v>
      </c>
      <c r="AN21" s="646" t="s">
        <v>440</v>
      </c>
      <c r="AO21" s="646" t="s">
        <v>426</v>
      </c>
      <c r="AP21" s="646" t="s">
        <v>440</v>
      </c>
      <c r="AQ21" s="646" t="s">
        <v>426</v>
      </c>
      <c r="AR21" s="646" t="s">
        <v>440</v>
      </c>
      <c r="AS21" s="647">
        <f t="array" ref="AS21">SUM(COUNTIF(N21:AR21, {"◎","〇","☆","共","特","浴"}))</f>
        <v>13</v>
      </c>
      <c r="AT21" s="651"/>
      <c r="AU21" s="649"/>
      <c r="AV21" s="649"/>
      <c r="AW21" s="649"/>
      <c r="AX21" s="649"/>
      <c r="AY21" s="649"/>
      <c r="AZ21" s="649"/>
      <c r="BA21" s="649"/>
      <c r="BB21" s="653" t="s">
        <v>655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t="s">
        <v>448</v>
      </c>
      <c r="O22" s="646" t="s">
        <v>440</v>
      </c>
      <c r="P22" s="646" t="s">
        <v>426</v>
      </c>
      <c r="Q22" s="646" t="s">
        <v>426</v>
      </c>
      <c r="R22" s="646" t="s">
        <v>448</v>
      </c>
      <c r="S22" s="646" t="s">
        <v>426</v>
      </c>
      <c r="T22" s="646" t="s">
        <v>426</v>
      </c>
      <c r="U22" s="646" t="s">
        <v>426</v>
      </c>
      <c r="V22" s="646" t="s">
        <v>440</v>
      </c>
      <c r="W22" s="926" t="s">
        <v>426</v>
      </c>
      <c r="X22" s="927" t="s">
        <v>440</v>
      </c>
      <c r="Y22" s="928" t="s">
        <v>448</v>
      </c>
      <c r="Z22" s="646" t="s">
        <v>448</v>
      </c>
      <c r="AA22" s="646" t="s">
        <v>440</v>
      </c>
      <c r="AB22" s="646" t="s">
        <v>426</v>
      </c>
      <c r="AC22" s="646" t="s">
        <v>440</v>
      </c>
      <c r="AD22" s="646" t="s">
        <v>440</v>
      </c>
      <c r="AE22" s="646" t="s">
        <v>440</v>
      </c>
      <c r="AF22" s="646" t="s">
        <v>440</v>
      </c>
      <c r="AG22" s="646" t="s">
        <v>426</v>
      </c>
      <c r="AH22" s="646" t="s">
        <v>440</v>
      </c>
      <c r="AI22" s="646" t="s">
        <v>440</v>
      </c>
      <c r="AJ22" s="646" t="s">
        <v>440</v>
      </c>
      <c r="AK22" s="646" t="s">
        <v>440</v>
      </c>
      <c r="AL22" s="646" t="s">
        <v>426</v>
      </c>
      <c r="AM22" s="646" t="s">
        <v>440</v>
      </c>
      <c r="AN22" s="646" t="s">
        <v>426</v>
      </c>
      <c r="AO22" s="646" t="s">
        <v>426</v>
      </c>
      <c r="AP22" s="646" t="s">
        <v>426</v>
      </c>
      <c r="AQ22" s="646" t="s">
        <v>440</v>
      </c>
      <c r="AR22" s="646" t="s">
        <v>426</v>
      </c>
      <c r="AS22" s="647">
        <f t="array" ref="AS22">SUM(COUNTIF(N22:AR22, {"◎","〇","☆","共","特","浴"}))</f>
        <v>13</v>
      </c>
      <c r="AT22" s="648"/>
      <c r="AU22" s="649"/>
      <c r="AV22" s="649"/>
      <c r="AW22" s="649"/>
      <c r="AX22" s="649"/>
      <c r="AY22" s="649"/>
      <c r="AZ22" s="649"/>
      <c r="BA22" s="649"/>
      <c r="BB22" s="653" t="s">
        <v>656</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486</v>
      </c>
      <c r="L26" s="639" t="s">
        <v>644</v>
      </c>
      <c r="M26" s="645"/>
      <c r="N26" s="646" t="s">
        <v>487</v>
      </c>
      <c r="O26" s="646" t="s">
        <v>440</v>
      </c>
      <c r="P26" s="646" t="s">
        <v>440</v>
      </c>
      <c r="Q26" s="646" t="s">
        <v>487</v>
      </c>
      <c r="R26" s="646" t="s">
        <v>487</v>
      </c>
      <c r="S26" s="646" t="s">
        <v>487</v>
      </c>
      <c r="T26" s="646" t="s">
        <v>487</v>
      </c>
      <c r="U26" s="646" t="s">
        <v>487</v>
      </c>
      <c r="V26" s="646" t="s">
        <v>440</v>
      </c>
      <c r="W26" s="646" t="s">
        <v>440</v>
      </c>
      <c r="X26" s="646" t="s">
        <v>487</v>
      </c>
      <c r="Y26" s="646" t="s">
        <v>487</v>
      </c>
      <c r="Z26" s="646" t="s">
        <v>487</v>
      </c>
      <c r="AA26" s="646" t="s">
        <v>487</v>
      </c>
      <c r="AB26" s="646" t="s">
        <v>487</v>
      </c>
      <c r="AC26" s="646" t="s">
        <v>440</v>
      </c>
      <c r="AD26" s="646" t="s">
        <v>440</v>
      </c>
      <c r="AE26" s="646" t="s">
        <v>487</v>
      </c>
      <c r="AF26" s="646" t="s">
        <v>487</v>
      </c>
      <c r="AG26" s="646" t="s">
        <v>487</v>
      </c>
      <c r="AH26" s="646" t="s">
        <v>487</v>
      </c>
      <c r="AI26" s="646" t="s">
        <v>487</v>
      </c>
      <c r="AJ26" s="646" t="s">
        <v>440</v>
      </c>
      <c r="AK26" s="646" t="s">
        <v>440</v>
      </c>
      <c r="AL26" s="646" t="s">
        <v>487</v>
      </c>
      <c r="AM26" s="646" t="s">
        <v>487</v>
      </c>
      <c r="AN26" s="646" t="s">
        <v>487</v>
      </c>
      <c r="AO26" s="646" t="s">
        <v>487</v>
      </c>
      <c r="AP26" s="646" t="s">
        <v>487</v>
      </c>
      <c r="AQ26" s="646" t="s">
        <v>440</v>
      </c>
      <c r="AR26" s="646" t="s">
        <v>440</v>
      </c>
      <c r="AS26" s="647">
        <f t="array" ref="AS26">SUM(COUNTIF(N26:AR26, {"◎","〇","☆","共","特","浴"}))</f>
        <v>0</v>
      </c>
      <c r="AT26" s="648"/>
      <c r="AU26" s="649"/>
      <c r="AV26" s="649"/>
      <c r="AW26" s="649"/>
      <c r="AX26" s="649"/>
      <c r="AY26" s="649"/>
      <c r="AZ26" s="649"/>
      <c r="BA26" s="649"/>
      <c r="BB26" s="653" t="s">
        <v>657</v>
      </c>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489</v>
      </c>
      <c r="L27" s="639" t="s">
        <v>644</v>
      </c>
      <c r="M27" s="645"/>
      <c r="N27" s="646" t="s">
        <v>440</v>
      </c>
      <c r="O27" s="646" t="s">
        <v>487</v>
      </c>
      <c r="P27" s="646" t="s">
        <v>487</v>
      </c>
      <c r="Q27" s="646" t="s">
        <v>440</v>
      </c>
      <c r="R27" s="646" t="s">
        <v>440</v>
      </c>
      <c r="S27" s="646" t="s">
        <v>440</v>
      </c>
      <c r="T27" s="646" t="s">
        <v>440</v>
      </c>
      <c r="U27" s="646" t="s">
        <v>440</v>
      </c>
      <c r="V27" s="646" t="s">
        <v>487</v>
      </c>
      <c r="W27" s="646" t="s">
        <v>487</v>
      </c>
      <c r="X27" s="646" t="s">
        <v>440</v>
      </c>
      <c r="Y27" s="646" t="s">
        <v>440</v>
      </c>
      <c r="Z27" s="646" t="s">
        <v>440</v>
      </c>
      <c r="AA27" s="646" t="s">
        <v>440</v>
      </c>
      <c r="AB27" s="646" t="s">
        <v>440</v>
      </c>
      <c r="AC27" s="646" t="s">
        <v>487</v>
      </c>
      <c r="AD27" s="646" t="s">
        <v>487</v>
      </c>
      <c r="AE27" s="646" t="s">
        <v>440</v>
      </c>
      <c r="AF27" s="646" t="s">
        <v>440</v>
      </c>
      <c r="AG27" s="646" t="s">
        <v>440</v>
      </c>
      <c r="AH27" s="646" t="s">
        <v>440</v>
      </c>
      <c r="AI27" s="646" t="s">
        <v>440</v>
      </c>
      <c r="AJ27" s="646" t="s">
        <v>487</v>
      </c>
      <c r="AK27" s="646" t="s">
        <v>487</v>
      </c>
      <c r="AL27" s="646" t="s">
        <v>440</v>
      </c>
      <c r="AM27" s="646" t="s">
        <v>440</v>
      </c>
      <c r="AN27" s="646" t="s">
        <v>440</v>
      </c>
      <c r="AO27" s="646" t="s">
        <v>440</v>
      </c>
      <c r="AP27" s="646" t="s">
        <v>440</v>
      </c>
      <c r="AQ27" s="646" t="s">
        <v>487</v>
      </c>
      <c r="AR27" s="646" t="s">
        <v>487</v>
      </c>
      <c r="AS27" s="647">
        <f t="array" ref="AS27">SUM(COUNTIF(N27:AR27, {"◎","〇","☆","共","特","浴"}))</f>
        <v>0</v>
      </c>
      <c r="AT27" s="648"/>
      <c r="AU27" s="649"/>
      <c r="AV27" s="649"/>
      <c r="AW27" s="649"/>
      <c r="AX27" s="649"/>
      <c r="AY27" s="649"/>
      <c r="AZ27" s="649"/>
      <c r="BA27" s="649"/>
      <c r="BB27" s="653" t="s">
        <v>658</v>
      </c>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491</v>
      </c>
      <c r="L42" s="639" t="s">
        <v>479</v>
      </c>
      <c r="M42" s="640" t="s">
        <v>217</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492</v>
      </c>
      <c r="L43" s="639" t="s">
        <v>479</v>
      </c>
      <c r="M43" s="640" t="s">
        <v>429</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6" t="b">
        <v>0</v>
      </c>
      <c r="J44" s="618"/>
      <c r="K44" s="657" t="s">
        <v>493</v>
      </c>
      <c r="L44" s="658" t="s">
        <v>494</v>
      </c>
      <c r="M44" s="659"/>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60"/>
      <c r="AV44" s="660"/>
      <c r="AW44" s="660"/>
      <c r="AX44" s="660"/>
      <c r="AY44" s="660"/>
      <c r="AZ44" s="660"/>
      <c r="BA44" s="660"/>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497</v>
      </c>
      <c r="L46" s="639" t="s">
        <v>498</v>
      </c>
      <c r="M46" s="645"/>
      <c r="N46" s="646" t="s">
        <v>440</v>
      </c>
      <c r="O46" s="646" t="s">
        <v>217</v>
      </c>
      <c r="P46" s="646" t="s">
        <v>217</v>
      </c>
      <c r="Q46" s="646" t="s">
        <v>217</v>
      </c>
      <c r="R46" s="646" t="s">
        <v>440</v>
      </c>
      <c r="S46" s="646" t="s">
        <v>217</v>
      </c>
      <c r="T46" s="646" t="s">
        <v>217</v>
      </c>
      <c r="U46" s="646" t="s">
        <v>440</v>
      </c>
      <c r="V46" s="646" t="s">
        <v>217</v>
      </c>
      <c r="W46" s="646" t="s">
        <v>217</v>
      </c>
      <c r="X46" s="646" t="s">
        <v>448</v>
      </c>
      <c r="Y46" s="646" t="s">
        <v>440</v>
      </c>
      <c r="Z46" s="646" t="s">
        <v>217</v>
      </c>
      <c r="AA46" s="646" t="s">
        <v>217</v>
      </c>
      <c r="AB46" s="646" t="s">
        <v>440</v>
      </c>
      <c r="AC46" s="646" t="s">
        <v>217</v>
      </c>
      <c r="AD46" s="646" t="s">
        <v>440</v>
      </c>
      <c r="AE46" s="646" t="s">
        <v>217</v>
      </c>
      <c r="AF46" s="646" t="s">
        <v>217</v>
      </c>
      <c r="AG46" s="646" t="s">
        <v>217</v>
      </c>
      <c r="AH46" s="646" t="s">
        <v>217</v>
      </c>
      <c r="AI46" s="646" t="s">
        <v>440</v>
      </c>
      <c r="AJ46" s="646" t="s">
        <v>217</v>
      </c>
      <c r="AK46" s="646" t="s">
        <v>217</v>
      </c>
      <c r="AL46" s="646" t="s">
        <v>217</v>
      </c>
      <c r="AM46" s="646" t="s">
        <v>440</v>
      </c>
      <c r="AN46" s="646" t="s">
        <v>217</v>
      </c>
      <c r="AO46" s="646" t="s">
        <v>217</v>
      </c>
      <c r="AP46" s="646" t="s">
        <v>440</v>
      </c>
      <c r="AQ46" s="646" t="s">
        <v>217</v>
      </c>
      <c r="AR46" s="646" t="s">
        <v>659</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499</v>
      </c>
      <c r="L47" s="639" t="s">
        <v>498</v>
      </c>
      <c r="M47" s="645"/>
      <c r="N47" s="646" t="s">
        <v>440</v>
      </c>
      <c r="O47" s="646" t="s">
        <v>217</v>
      </c>
      <c r="P47" s="646" t="s">
        <v>217</v>
      </c>
      <c r="Q47" s="646" t="s">
        <v>217</v>
      </c>
      <c r="R47" s="646" t="s">
        <v>440</v>
      </c>
      <c r="S47" s="646" t="s">
        <v>217</v>
      </c>
      <c r="T47" s="646" t="s">
        <v>217</v>
      </c>
      <c r="U47" s="646" t="s">
        <v>440</v>
      </c>
      <c r="V47" s="646" t="s">
        <v>440</v>
      </c>
      <c r="W47" s="646" t="s">
        <v>217</v>
      </c>
      <c r="X47" s="646" t="s">
        <v>217</v>
      </c>
      <c r="Y47" s="646" t="s">
        <v>217</v>
      </c>
      <c r="Z47" s="646" t="s">
        <v>217</v>
      </c>
      <c r="AA47" s="646" t="s">
        <v>217</v>
      </c>
      <c r="AB47" s="646" t="s">
        <v>440</v>
      </c>
      <c r="AC47" s="646" t="s">
        <v>217</v>
      </c>
      <c r="AD47" s="646" t="s">
        <v>217</v>
      </c>
      <c r="AE47" s="646" t="s">
        <v>440</v>
      </c>
      <c r="AF47" s="646" t="s">
        <v>217</v>
      </c>
      <c r="AG47" s="646" t="s">
        <v>217</v>
      </c>
      <c r="AH47" s="646" t="s">
        <v>217</v>
      </c>
      <c r="AI47" s="646" t="s">
        <v>440</v>
      </c>
      <c r="AJ47" s="646" t="s">
        <v>217</v>
      </c>
      <c r="AK47" s="646" t="s">
        <v>217</v>
      </c>
      <c r="AL47" s="646" t="s">
        <v>217</v>
      </c>
      <c r="AM47" s="646" t="s">
        <v>217</v>
      </c>
      <c r="AN47" s="646" t="s">
        <v>217</v>
      </c>
      <c r="AO47" s="646" t="s">
        <v>440</v>
      </c>
      <c r="AP47" s="646" t="s">
        <v>440</v>
      </c>
      <c r="AQ47" s="646" t="s">
        <v>217</v>
      </c>
      <c r="AR47" s="646" t="s">
        <v>217</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498</v>
      </c>
      <c r="M48" s="645"/>
      <c r="N48" s="646" t="s">
        <v>217</v>
      </c>
      <c r="O48" s="646" t="s">
        <v>217</v>
      </c>
      <c r="P48" s="646" t="s">
        <v>217</v>
      </c>
      <c r="Q48" s="646" t="s">
        <v>440</v>
      </c>
      <c r="R48" s="646" t="s">
        <v>217</v>
      </c>
      <c r="S48" s="646" t="s">
        <v>217</v>
      </c>
      <c r="T48" s="646" t="s">
        <v>217</v>
      </c>
      <c r="U48" s="646" t="s">
        <v>217</v>
      </c>
      <c r="V48" s="646" t="s">
        <v>217</v>
      </c>
      <c r="W48" s="646" t="s">
        <v>217</v>
      </c>
      <c r="X48" s="646" t="s">
        <v>440</v>
      </c>
      <c r="Y48" s="646" t="s">
        <v>217</v>
      </c>
      <c r="Z48" s="646" t="s">
        <v>217</v>
      </c>
      <c r="AA48" s="646" t="s">
        <v>217</v>
      </c>
      <c r="AB48" s="646" t="s">
        <v>217</v>
      </c>
      <c r="AC48" s="646" t="s">
        <v>217</v>
      </c>
      <c r="AD48" s="646" t="s">
        <v>217</v>
      </c>
      <c r="AE48" s="646" t="s">
        <v>440</v>
      </c>
      <c r="AF48" s="646" t="s">
        <v>217</v>
      </c>
      <c r="AG48" s="646" t="s">
        <v>217</v>
      </c>
      <c r="AH48" s="646" t="s">
        <v>217</v>
      </c>
      <c r="AI48" s="646" t="s">
        <v>217</v>
      </c>
      <c r="AJ48" s="646" t="s">
        <v>217</v>
      </c>
      <c r="AK48" s="646" t="s">
        <v>217</v>
      </c>
      <c r="AL48" s="646" t="s">
        <v>440</v>
      </c>
      <c r="AM48" s="646" t="s">
        <v>217</v>
      </c>
      <c r="AN48" s="646" t="s">
        <v>217</v>
      </c>
      <c r="AO48" s="646" t="s">
        <v>217</v>
      </c>
      <c r="AP48" s="646" t="s">
        <v>217</v>
      </c>
      <c r="AQ48" s="646" t="s">
        <v>217</v>
      </c>
      <c r="AR48" s="646" t="s">
        <v>217</v>
      </c>
      <c r="AS48" s="647">
        <f t="array" ref="AS48">SUM(COUNTIF(N48:AR48, {"◎","〇","☆","共","特","浴"}))</f>
        <v>27</v>
      </c>
      <c r="AT48" s="648"/>
      <c r="AU48" s="649"/>
      <c r="AV48" s="649"/>
      <c r="AW48" s="649"/>
      <c r="AX48" s="649"/>
      <c r="AY48" s="649"/>
      <c r="AZ48" s="649"/>
      <c r="BA48" s="649"/>
      <c r="BB48" s="653" t="s">
        <v>660</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189</v>
      </c>
      <c r="L49" s="639" t="s">
        <v>498</v>
      </c>
      <c r="M49" s="645"/>
      <c r="N49" s="646" t="s">
        <v>217</v>
      </c>
      <c r="O49" s="646" t="s">
        <v>217</v>
      </c>
      <c r="P49" s="646" t="s">
        <v>217</v>
      </c>
      <c r="Q49" s="646" t="s">
        <v>217</v>
      </c>
      <c r="R49" s="646" t="s">
        <v>217</v>
      </c>
      <c r="S49" s="646" t="s">
        <v>440</v>
      </c>
      <c r="T49" s="646" t="s">
        <v>217</v>
      </c>
      <c r="U49" s="646" t="s">
        <v>217</v>
      </c>
      <c r="V49" s="646" t="s">
        <v>217</v>
      </c>
      <c r="W49" s="646" t="s">
        <v>217</v>
      </c>
      <c r="X49" s="646" t="s">
        <v>217</v>
      </c>
      <c r="Y49" s="646" t="s">
        <v>440</v>
      </c>
      <c r="Z49" s="646" t="s">
        <v>440</v>
      </c>
      <c r="AA49" s="646" t="s">
        <v>217</v>
      </c>
      <c r="AB49" s="646" t="s">
        <v>217</v>
      </c>
      <c r="AC49" s="646" t="s">
        <v>217</v>
      </c>
      <c r="AD49" s="646" t="s">
        <v>217</v>
      </c>
      <c r="AE49" s="646" t="s">
        <v>217</v>
      </c>
      <c r="AF49" s="646" t="s">
        <v>440</v>
      </c>
      <c r="AG49" s="646" t="s">
        <v>440</v>
      </c>
      <c r="AH49" s="646" t="s">
        <v>217</v>
      </c>
      <c r="AI49" s="646" t="s">
        <v>217</v>
      </c>
      <c r="AJ49" s="646" t="s">
        <v>217</v>
      </c>
      <c r="AK49" s="646" t="s">
        <v>217</v>
      </c>
      <c r="AL49" s="646" t="s">
        <v>217</v>
      </c>
      <c r="AM49" s="646" t="s">
        <v>440</v>
      </c>
      <c r="AN49" s="646" t="s">
        <v>440</v>
      </c>
      <c r="AO49" s="646" t="s">
        <v>217</v>
      </c>
      <c r="AP49" s="646" t="s">
        <v>217</v>
      </c>
      <c r="AQ49" s="646" t="s">
        <v>217</v>
      </c>
      <c r="AR49" s="646" t="s">
        <v>217</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182</v>
      </c>
      <c r="L50" s="639" t="s">
        <v>498</v>
      </c>
      <c r="M50" s="645"/>
      <c r="N50" s="646" t="s">
        <v>217</v>
      </c>
      <c r="O50" s="646" t="s">
        <v>440</v>
      </c>
      <c r="P50" s="646" t="s">
        <v>440</v>
      </c>
      <c r="Q50" s="646" t="s">
        <v>217</v>
      </c>
      <c r="R50" s="646" t="s">
        <v>217</v>
      </c>
      <c r="S50" s="646" t="s">
        <v>217</v>
      </c>
      <c r="T50" s="646" t="s">
        <v>217</v>
      </c>
      <c r="U50" s="646" t="s">
        <v>217</v>
      </c>
      <c r="V50" s="646" t="s">
        <v>440</v>
      </c>
      <c r="W50" s="646" t="s">
        <v>440</v>
      </c>
      <c r="X50" s="646" t="s">
        <v>217</v>
      </c>
      <c r="Y50" s="646" t="s">
        <v>217</v>
      </c>
      <c r="Z50" s="646" t="s">
        <v>217</v>
      </c>
      <c r="AA50" s="646" t="s">
        <v>217</v>
      </c>
      <c r="AB50" s="646" t="s">
        <v>217</v>
      </c>
      <c r="AC50" s="646" t="s">
        <v>440</v>
      </c>
      <c r="AD50" s="646" t="s">
        <v>440</v>
      </c>
      <c r="AE50" s="646" t="s">
        <v>217</v>
      </c>
      <c r="AF50" s="646" t="s">
        <v>217</v>
      </c>
      <c r="AG50" s="646" t="s">
        <v>217</v>
      </c>
      <c r="AH50" s="646" t="s">
        <v>217</v>
      </c>
      <c r="AI50" s="646" t="s">
        <v>217</v>
      </c>
      <c r="AJ50" s="646" t="s">
        <v>440</v>
      </c>
      <c r="AK50" s="646" t="s">
        <v>440</v>
      </c>
      <c r="AL50" s="646" t="s">
        <v>217</v>
      </c>
      <c r="AM50" s="646" t="s">
        <v>217</v>
      </c>
      <c r="AN50" s="646" t="s">
        <v>217</v>
      </c>
      <c r="AO50" s="646" t="s">
        <v>217</v>
      </c>
      <c r="AP50" s="646" t="s">
        <v>217</v>
      </c>
      <c r="AQ50" s="646" t="s">
        <v>440</v>
      </c>
      <c r="AR50" s="646" t="s">
        <v>440</v>
      </c>
      <c r="AS50" s="647">
        <f t="array" ref="AS50">SUM(COUNTIF(N50:AR50, {"◎","〇","☆","共","特","浴"}))</f>
        <v>21</v>
      </c>
      <c r="AT50" s="651"/>
      <c r="AU50" s="649"/>
      <c r="AV50" s="649"/>
      <c r="AW50" s="649"/>
      <c r="AX50" s="649"/>
      <c r="AY50" s="649"/>
      <c r="AZ50" s="649"/>
      <c r="BA50" s="649"/>
      <c r="BB50" s="653" t="s">
        <v>661</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505</v>
      </c>
      <c r="L51" s="639" t="s">
        <v>498</v>
      </c>
      <c r="M51" s="645"/>
      <c r="N51" s="646" t="s">
        <v>440</v>
      </c>
      <c r="O51" s="646" t="s">
        <v>217</v>
      </c>
      <c r="P51" s="646" t="s">
        <v>217</v>
      </c>
      <c r="Q51" s="646" t="s">
        <v>217</v>
      </c>
      <c r="R51" s="646" t="s">
        <v>217</v>
      </c>
      <c r="S51" s="646" t="s">
        <v>440</v>
      </c>
      <c r="T51" s="646" t="s">
        <v>440</v>
      </c>
      <c r="U51" s="646" t="s">
        <v>440</v>
      </c>
      <c r="V51" s="646" t="s">
        <v>217</v>
      </c>
      <c r="W51" s="646" t="s">
        <v>217</v>
      </c>
      <c r="X51" s="646" t="s">
        <v>217</v>
      </c>
      <c r="Y51" s="646" t="s">
        <v>217</v>
      </c>
      <c r="Z51" s="646" t="s">
        <v>440</v>
      </c>
      <c r="AA51" s="646" t="s">
        <v>440</v>
      </c>
      <c r="AB51" s="646" t="s">
        <v>440</v>
      </c>
      <c r="AC51" s="646" t="s">
        <v>217</v>
      </c>
      <c r="AD51" s="646" t="s">
        <v>217</v>
      </c>
      <c r="AE51" s="646" t="s">
        <v>217</v>
      </c>
      <c r="AF51" s="646" t="s">
        <v>217</v>
      </c>
      <c r="AG51" s="646" t="s">
        <v>440</v>
      </c>
      <c r="AH51" s="646" t="s">
        <v>440</v>
      </c>
      <c r="AI51" s="646" t="s">
        <v>440</v>
      </c>
      <c r="AJ51" s="646" t="s">
        <v>217</v>
      </c>
      <c r="AK51" s="646" t="s">
        <v>217</v>
      </c>
      <c r="AL51" s="646" t="s">
        <v>217</v>
      </c>
      <c r="AM51" s="646" t="s">
        <v>217</v>
      </c>
      <c r="AN51" s="646" t="s">
        <v>440</v>
      </c>
      <c r="AO51" s="646" t="s">
        <v>440</v>
      </c>
      <c r="AP51" s="646" t="s">
        <v>440</v>
      </c>
      <c r="AQ51" s="646" t="s">
        <v>217</v>
      </c>
      <c r="AR51" s="646" t="s">
        <v>217</v>
      </c>
      <c r="AS51" s="647">
        <f t="array" ref="AS51">SUM(COUNTIF(N51:AR51, {"◎","〇","☆","共","特","浴"}))</f>
        <v>18</v>
      </c>
      <c r="AT51" s="651"/>
      <c r="AU51" s="649"/>
      <c r="AV51" s="649"/>
      <c r="AW51" s="649"/>
      <c r="AX51" s="649"/>
      <c r="AY51" s="649"/>
      <c r="AZ51" s="649"/>
      <c r="BA51" s="649"/>
      <c r="BB51" s="653" t="s">
        <v>662</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512</v>
      </c>
      <c r="L52" s="639" t="s">
        <v>503</v>
      </c>
      <c r="M52" s="640"/>
      <c r="N52" s="646" t="s">
        <v>217</v>
      </c>
      <c r="O52" s="646" t="s">
        <v>440</v>
      </c>
      <c r="P52" s="646" t="s">
        <v>440</v>
      </c>
      <c r="Q52" s="646" t="s">
        <v>440</v>
      </c>
      <c r="R52" s="646" t="s">
        <v>440</v>
      </c>
      <c r="S52" s="646" t="s">
        <v>440</v>
      </c>
      <c r="T52" s="646" t="s">
        <v>440</v>
      </c>
      <c r="U52" s="646" t="s">
        <v>217</v>
      </c>
      <c r="V52" s="646" t="s">
        <v>440</v>
      </c>
      <c r="W52" s="646" t="s">
        <v>440</v>
      </c>
      <c r="X52" s="646" t="s">
        <v>440</v>
      </c>
      <c r="Y52" s="646" t="s">
        <v>440</v>
      </c>
      <c r="Z52" s="646" t="s">
        <v>440</v>
      </c>
      <c r="AA52" s="646" t="s">
        <v>440</v>
      </c>
      <c r="AB52" s="646" t="s">
        <v>217</v>
      </c>
      <c r="AC52" s="646" t="s">
        <v>440</v>
      </c>
      <c r="AD52" s="646" t="s">
        <v>440</v>
      </c>
      <c r="AE52" s="646" t="s">
        <v>440</v>
      </c>
      <c r="AF52" s="646" t="s">
        <v>440</v>
      </c>
      <c r="AG52" s="646" t="s">
        <v>440</v>
      </c>
      <c r="AH52" s="646" t="s">
        <v>440</v>
      </c>
      <c r="AI52" s="646" t="s">
        <v>217</v>
      </c>
      <c r="AJ52" s="646" t="s">
        <v>440</v>
      </c>
      <c r="AK52" s="646" t="s">
        <v>440</v>
      </c>
      <c r="AL52" s="646" t="s">
        <v>440</v>
      </c>
      <c r="AM52" s="646" t="s">
        <v>440</v>
      </c>
      <c r="AN52" s="646" t="s">
        <v>440</v>
      </c>
      <c r="AO52" s="646" t="s">
        <v>440</v>
      </c>
      <c r="AP52" s="646" t="s">
        <v>217</v>
      </c>
      <c r="AQ52" s="646" t="s">
        <v>440</v>
      </c>
      <c r="AR52" s="646" t="s">
        <v>217</v>
      </c>
      <c r="AS52" s="647">
        <f t="array" ref="AS52">SUM(COUNTIF(N52:AR52, {"◎","〇","☆","共","特","浴"}))</f>
        <v>6</v>
      </c>
      <c r="AT52" s="648"/>
      <c r="AU52" s="649"/>
      <c r="AV52" s="649"/>
      <c r="AW52" s="649"/>
      <c r="AX52" s="649"/>
      <c r="AY52" s="649"/>
      <c r="AZ52" s="649"/>
      <c r="BA52" s="649"/>
      <c r="BB52" s="653"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507</v>
      </c>
      <c r="L53" s="639" t="s">
        <v>498</v>
      </c>
      <c r="M53" s="640"/>
      <c r="N53" s="646" t="s">
        <v>217</v>
      </c>
      <c r="O53" s="646" t="s">
        <v>217</v>
      </c>
      <c r="P53" s="646" t="s">
        <v>217</v>
      </c>
      <c r="Q53" s="646" t="s">
        <v>440</v>
      </c>
      <c r="R53" s="646" t="s">
        <v>440</v>
      </c>
      <c r="S53" s="646" t="s">
        <v>440</v>
      </c>
      <c r="T53" s="646" t="s">
        <v>440</v>
      </c>
      <c r="U53" s="646" t="s">
        <v>217</v>
      </c>
      <c r="V53" s="646" t="s">
        <v>217</v>
      </c>
      <c r="W53" s="646" t="s">
        <v>217</v>
      </c>
      <c r="X53" s="646" t="s">
        <v>440</v>
      </c>
      <c r="Y53" s="646" t="s">
        <v>440</v>
      </c>
      <c r="Z53" s="646" t="s">
        <v>440</v>
      </c>
      <c r="AA53" s="646" t="s">
        <v>440</v>
      </c>
      <c r="AB53" s="646" t="s">
        <v>217</v>
      </c>
      <c r="AC53" s="646" t="s">
        <v>217</v>
      </c>
      <c r="AD53" s="646" t="s">
        <v>217</v>
      </c>
      <c r="AE53" s="646" t="s">
        <v>440</v>
      </c>
      <c r="AF53" s="646" t="s">
        <v>440</v>
      </c>
      <c r="AG53" s="646" t="s">
        <v>440</v>
      </c>
      <c r="AH53" s="646" t="s">
        <v>440</v>
      </c>
      <c r="AI53" s="646" t="s">
        <v>217</v>
      </c>
      <c r="AJ53" s="646" t="s">
        <v>217</v>
      </c>
      <c r="AK53" s="646" t="s">
        <v>217</v>
      </c>
      <c r="AL53" s="646" t="s">
        <v>440</v>
      </c>
      <c r="AM53" s="646" t="s">
        <v>440</v>
      </c>
      <c r="AN53" s="646" t="s">
        <v>440</v>
      </c>
      <c r="AO53" s="646" t="s">
        <v>440</v>
      </c>
      <c r="AP53" s="646" t="s">
        <v>217</v>
      </c>
      <c r="AQ53" s="646" t="s">
        <v>217</v>
      </c>
      <c r="AS53" s="647">
        <f t="array" ref="AS53">SUM(COUNTIF(N53:AR53, {"◎","〇","☆","共","特","浴"}))</f>
        <v>14</v>
      </c>
      <c r="AT53" s="648"/>
      <c r="AU53" s="649"/>
      <c r="AV53" s="649"/>
      <c r="AW53" s="649"/>
      <c r="AX53" s="649"/>
      <c r="AY53" s="649"/>
      <c r="AZ53" s="649"/>
      <c r="BA53" s="649"/>
      <c r="BB53" s="653" t="s">
        <v>663</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503</v>
      </c>
      <c r="M54" s="645"/>
      <c r="N54" s="646" t="s">
        <v>217</v>
      </c>
      <c r="O54" s="646" t="s">
        <v>440</v>
      </c>
      <c r="P54" s="646" t="s">
        <v>217</v>
      </c>
      <c r="Q54" s="646" t="s">
        <v>440</v>
      </c>
      <c r="R54" s="646" t="s">
        <v>440</v>
      </c>
      <c r="S54" s="646" t="s">
        <v>440</v>
      </c>
      <c r="T54" s="646" t="s">
        <v>217</v>
      </c>
      <c r="U54" s="646" t="s">
        <v>217</v>
      </c>
      <c r="V54" s="646" t="s">
        <v>440</v>
      </c>
      <c r="W54" s="646" t="s">
        <v>217</v>
      </c>
      <c r="X54" s="646" t="s">
        <v>440</v>
      </c>
      <c r="Y54" s="646" t="s">
        <v>440</v>
      </c>
      <c r="Z54" s="646" t="s">
        <v>440</v>
      </c>
      <c r="AA54" s="646" t="s">
        <v>217</v>
      </c>
      <c r="AB54" s="646" t="s">
        <v>217</v>
      </c>
      <c r="AC54" s="646" t="s">
        <v>440</v>
      </c>
      <c r="AD54" s="646" t="s">
        <v>217</v>
      </c>
      <c r="AE54" s="646" t="s">
        <v>217</v>
      </c>
      <c r="AF54" s="646" t="s">
        <v>440</v>
      </c>
      <c r="AG54" s="646" t="s">
        <v>440</v>
      </c>
      <c r="AH54" s="646" t="s">
        <v>217</v>
      </c>
      <c r="AI54" s="646" t="s">
        <v>217</v>
      </c>
      <c r="AJ54" s="646" t="s">
        <v>440</v>
      </c>
      <c r="AK54" s="646" t="s">
        <v>217</v>
      </c>
      <c r="AL54" s="646" t="s">
        <v>440</v>
      </c>
      <c r="AM54" s="646" t="s">
        <v>440</v>
      </c>
      <c r="AN54" s="646" t="s">
        <v>440</v>
      </c>
      <c r="AO54" s="646" t="s">
        <v>217</v>
      </c>
      <c r="AP54" s="646" t="s">
        <v>217</v>
      </c>
      <c r="AQ54" s="646" t="s">
        <v>440</v>
      </c>
      <c r="AR54" s="646" t="s">
        <v>217</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502</v>
      </c>
      <c r="L55" s="639" t="s">
        <v>503</v>
      </c>
      <c r="M55" s="645"/>
      <c r="N55" s="646" t="s">
        <v>440</v>
      </c>
      <c r="O55" s="646" t="s">
        <v>440</v>
      </c>
      <c r="P55" s="646" t="s">
        <v>440</v>
      </c>
      <c r="Q55" s="646" t="s">
        <v>217</v>
      </c>
      <c r="R55" s="646" t="s">
        <v>217</v>
      </c>
      <c r="S55" s="646" t="s">
        <v>217</v>
      </c>
      <c r="T55" s="646" t="s">
        <v>440</v>
      </c>
      <c r="U55" s="646" t="s">
        <v>440</v>
      </c>
      <c r="V55" s="646" t="s">
        <v>440</v>
      </c>
      <c r="W55" s="646" t="s">
        <v>440</v>
      </c>
      <c r="X55" s="646" t="s">
        <v>217</v>
      </c>
      <c r="Y55" s="646" t="s">
        <v>217</v>
      </c>
      <c r="Z55" s="646" t="s">
        <v>217</v>
      </c>
      <c r="AA55" s="646" t="s">
        <v>440</v>
      </c>
      <c r="AB55" s="646" t="s">
        <v>440</v>
      </c>
      <c r="AC55" s="646" t="s">
        <v>440</v>
      </c>
      <c r="AD55" s="646" t="s">
        <v>440</v>
      </c>
      <c r="AE55" s="646" t="s">
        <v>217</v>
      </c>
      <c r="AF55" s="646" t="s">
        <v>217</v>
      </c>
      <c r="AG55" s="646" t="s">
        <v>217</v>
      </c>
      <c r="AH55" s="646" t="s">
        <v>440</v>
      </c>
      <c r="AI55" s="646" t="s">
        <v>440</v>
      </c>
      <c r="AJ55" s="646" t="s">
        <v>440</v>
      </c>
      <c r="AK55" s="646" t="s">
        <v>440</v>
      </c>
      <c r="AL55" s="646" t="s">
        <v>217</v>
      </c>
      <c r="AM55" s="646" t="s">
        <v>217</v>
      </c>
      <c r="AN55" s="646" t="s">
        <v>217</v>
      </c>
      <c r="AO55" s="646" t="s">
        <v>440</v>
      </c>
      <c r="AP55" s="646" t="s">
        <v>440</v>
      </c>
      <c r="AQ55" s="646" t="s">
        <v>440</v>
      </c>
      <c r="AR55" s="646" t="s">
        <v>440</v>
      </c>
      <c r="AS55" s="647">
        <f t="array" ref="AS55">SUM(COUNTIF(N55:AR55, {"◎","〇","☆","共","特","浴"}))</f>
        <v>12</v>
      </c>
      <c r="AT55" s="651"/>
      <c r="AU55" s="649"/>
      <c r="AV55" s="649"/>
      <c r="AW55" s="649"/>
      <c r="AX55" s="649"/>
      <c r="AY55" s="649"/>
      <c r="AZ55" s="649"/>
      <c r="BA55" s="649"/>
      <c r="BB55" s="653" t="s">
        <v>664</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503</v>
      </c>
      <c r="M56" s="645"/>
      <c r="N56" s="646" t="s">
        <v>440</v>
      </c>
      <c r="O56" s="646" t="s">
        <v>440</v>
      </c>
      <c r="P56" s="646" t="s">
        <v>217</v>
      </c>
      <c r="Q56" s="646" t="s">
        <v>217</v>
      </c>
      <c r="R56" s="646" t="s">
        <v>440</v>
      </c>
      <c r="S56" s="646" t="s">
        <v>217</v>
      </c>
      <c r="T56" s="646" t="s">
        <v>217</v>
      </c>
      <c r="U56" s="646" t="s">
        <v>440</v>
      </c>
      <c r="V56" s="646" t="s">
        <v>440</v>
      </c>
      <c r="W56" s="646" t="s">
        <v>217</v>
      </c>
      <c r="X56" s="646" t="s">
        <v>217</v>
      </c>
      <c r="Y56" s="646" t="s">
        <v>440</v>
      </c>
      <c r="Z56" s="646" t="s">
        <v>217</v>
      </c>
      <c r="AA56" s="646" t="s">
        <v>217</v>
      </c>
      <c r="AB56" s="646" t="s">
        <v>440</v>
      </c>
      <c r="AC56" s="646" t="s">
        <v>440</v>
      </c>
      <c r="AD56" s="646" t="s">
        <v>217</v>
      </c>
      <c r="AE56" s="646" t="s">
        <v>217</v>
      </c>
      <c r="AF56" s="646" t="s">
        <v>440</v>
      </c>
      <c r="AG56" s="646" t="s">
        <v>217</v>
      </c>
      <c r="AH56" s="646" t="s">
        <v>217</v>
      </c>
      <c r="AI56" s="646" t="s">
        <v>440</v>
      </c>
      <c r="AJ56" s="646" t="s">
        <v>440</v>
      </c>
      <c r="AK56" s="646"/>
      <c r="AL56" s="646" t="s">
        <v>217</v>
      </c>
      <c r="AM56" s="646" t="s">
        <v>440</v>
      </c>
      <c r="AN56" s="646" t="s">
        <v>217</v>
      </c>
      <c r="AO56" s="646" t="s">
        <v>217</v>
      </c>
      <c r="AP56" s="646" t="s">
        <v>440</v>
      </c>
      <c r="AQ56" s="646" t="s">
        <v>440</v>
      </c>
      <c r="AR56" s="646" t="s">
        <v>217</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509</v>
      </c>
      <c r="L57" s="639" t="s">
        <v>503</v>
      </c>
      <c r="M57" s="645"/>
      <c r="N57" s="646" t="s">
        <v>217</v>
      </c>
      <c r="O57" s="646" t="s">
        <v>440</v>
      </c>
      <c r="P57" s="646" t="s">
        <v>217</v>
      </c>
      <c r="Q57" s="646" t="s">
        <v>440</v>
      </c>
      <c r="R57" s="646" t="s">
        <v>217</v>
      </c>
      <c r="S57" s="646" t="s">
        <v>217</v>
      </c>
      <c r="T57" s="646" t="s">
        <v>217</v>
      </c>
      <c r="U57" s="646" t="s">
        <v>217</v>
      </c>
      <c r="V57" s="646" t="s">
        <v>440</v>
      </c>
      <c r="W57" s="646" t="s">
        <v>217</v>
      </c>
      <c r="X57" s="646" t="s">
        <v>440</v>
      </c>
      <c r="Y57" s="646" t="s">
        <v>217</v>
      </c>
      <c r="Z57" s="646" t="s">
        <v>217</v>
      </c>
      <c r="AA57" s="646" t="s">
        <v>217</v>
      </c>
      <c r="AB57" s="646" t="s">
        <v>217</v>
      </c>
      <c r="AC57" s="646" t="s">
        <v>440</v>
      </c>
      <c r="AD57" s="646" t="s">
        <v>217</v>
      </c>
      <c r="AE57" s="646" t="s">
        <v>440</v>
      </c>
      <c r="AF57" s="646" t="s">
        <v>217</v>
      </c>
      <c r="AG57" s="646" t="s">
        <v>217</v>
      </c>
      <c r="AH57" s="646" t="s">
        <v>217</v>
      </c>
      <c r="AI57" s="646" t="s">
        <v>217</v>
      </c>
      <c r="AJ57" s="646" t="s">
        <v>440</v>
      </c>
      <c r="AK57" s="646" t="s">
        <v>217</v>
      </c>
      <c r="AL57" s="646" t="s">
        <v>440</v>
      </c>
      <c r="AM57" s="646" t="s">
        <v>217</v>
      </c>
      <c r="AN57" s="646" t="s">
        <v>217</v>
      </c>
      <c r="AO57" s="646" t="s">
        <v>217</v>
      </c>
      <c r="AP57" s="646" t="s">
        <v>217</v>
      </c>
      <c r="AQ57" s="646" t="s">
        <v>440</v>
      </c>
      <c r="AR57" s="646" t="s">
        <v>217</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503</v>
      </c>
      <c r="M58" s="645"/>
      <c r="N58" s="646" t="s">
        <v>217</v>
      </c>
      <c r="O58" s="646" t="s">
        <v>217</v>
      </c>
      <c r="P58" s="646" t="s">
        <v>440</v>
      </c>
      <c r="Q58" s="646" t="s">
        <v>440</v>
      </c>
      <c r="R58" s="646" t="s">
        <v>217</v>
      </c>
      <c r="S58" s="646" t="s">
        <v>440</v>
      </c>
      <c r="T58" s="646" t="s">
        <v>450</v>
      </c>
      <c r="U58" s="646" t="s">
        <v>450</v>
      </c>
      <c r="V58" s="646" t="s">
        <v>450</v>
      </c>
      <c r="W58" s="646" t="s">
        <v>440</v>
      </c>
      <c r="X58" s="646" t="s">
        <v>440</v>
      </c>
      <c r="Y58" s="646" t="s">
        <v>217</v>
      </c>
      <c r="Z58" s="646" t="s">
        <v>440</v>
      </c>
      <c r="AA58" s="646" t="s">
        <v>217</v>
      </c>
      <c r="AB58" s="646" t="s">
        <v>217</v>
      </c>
      <c r="AC58" s="646" t="s">
        <v>217</v>
      </c>
      <c r="AD58" s="646" t="s">
        <v>440</v>
      </c>
      <c r="AE58" s="646" t="s">
        <v>440</v>
      </c>
      <c r="AF58" s="646" t="s">
        <v>217</v>
      </c>
      <c r="AG58" s="646" t="s">
        <v>440</v>
      </c>
      <c r="AH58" s="646" t="s">
        <v>217</v>
      </c>
      <c r="AI58" s="646" t="s">
        <v>217</v>
      </c>
      <c r="AJ58" s="646" t="s">
        <v>217</v>
      </c>
      <c r="AK58" s="646" t="s">
        <v>440</v>
      </c>
      <c r="AL58" s="646" t="s">
        <v>440</v>
      </c>
      <c r="AM58" s="646" t="s">
        <v>217</v>
      </c>
      <c r="AN58" s="646" t="s">
        <v>440</v>
      </c>
      <c r="AO58" s="646" t="s">
        <v>217</v>
      </c>
      <c r="AP58" s="646" t="s">
        <v>217</v>
      </c>
      <c r="AQ58" s="646" t="s">
        <v>217</v>
      </c>
      <c r="AR58" s="646" t="s">
        <v>440</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503</v>
      </c>
      <c r="M59" s="645"/>
      <c r="N59" s="646" t="s">
        <v>217</v>
      </c>
      <c r="O59" s="646" t="s">
        <v>217</v>
      </c>
      <c r="P59" s="646" t="s">
        <v>440</v>
      </c>
      <c r="Q59" s="646" t="s">
        <v>440</v>
      </c>
      <c r="R59" s="646" t="s">
        <v>440</v>
      </c>
      <c r="S59" s="646" t="s">
        <v>217</v>
      </c>
      <c r="T59" s="646" t="s">
        <v>217</v>
      </c>
      <c r="U59" s="646" t="s">
        <v>217</v>
      </c>
      <c r="V59" s="646" t="s">
        <v>217</v>
      </c>
      <c r="W59" s="646" t="s">
        <v>440</v>
      </c>
      <c r="X59" s="646" t="s">
        <v>440</v>
      </c>
      <c r="Y59" s="646" t="s">
        <v>440</v>
      </c>
      <c r="Z59" s="646" t="s">
        <v>217</v>
      </c>
      <c r="AA59" s="646" t="s">
        <v>217</v>
      </c>
      <c r="AB59" s="646" t="s">
        <v>217</v>
      </c>
      <c r="AC59" s="646" t="s">
        <v>217</v>
      </c>
      <c r="AD59" s="646" t="s">
        <v>440</v>
      </c>
      <c r="AE59" s="646" t="s">
        <v>440</v>
      </c>
      <c r="AF59" s="646" t="s">
        <v>440</v>
      </c>
      <c r="AG59" s="646" t="s">
        <v>217</v>
      </c>
      <c r="AH59" s="646" t="s">
        <v>217</v>
      </c>
      <c r="AI59" s="646" t="s">
        <v>217</v>
      </c>
      <c r="AJ59" s="646" t="s">
        <v>217</v>
      </c>
      <c r="AK59" s="646" t="s">
        <v>440</v>
      </c>
      <c r="AL59" s="646" t="s">
        <v>440</v>
      </c>
      <c r="AM59" s="646" t="s">
        <v>440</v>
      </c>
      <c r="AN59" s="646" t="s">
        <v>217</v>
      </c>
      <c r="AO59" s="646" t="s">
        <v>217</v>
      </c>
      <c r="AP59" s="646" t="s">
        <v>217</v>
      </c>
      <c r="AQ59" s="646" t="s">
        <v>217</v>
      </c>
      <c r="AR59" s="646" t="s">
        <v>440</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554</v>
      </c>
      <c r="L60" s="639" t="s">
        <v>503</v>
      </c>
      <c r="M60" s="645"/>
      <c r="N60" s="646" t="s">
        <v>440</v>
      </c>
      <c r="O60" s="646" t="s">
        <v>440</v>
      </c>
      <c r="P60" s="646" t="s">
        <v>440</v>
      </c>
      <c r="Q60" s="646" t="s">
        <v>440</v>
      </c>
      <c r="R60" s="646" t="s">
        <v>217</v>
      </c>
      <c r="S60" s="646" t="s">
        <v>217</v>
      </c>
      <c r="T60" s="646" t="s">
        <v>217</v>
      </c>
      <c r="U60" s="646" t="s">
        <v>440</v>
      </c>
      <c r="V60" s="646" t="s">
        <v>440</v>
      </c>
      <c r="W60" s="646" t="s">
        <v>440</v>
      </c>
      <c r="X60" s="646" t="s">
        <v>440</v>
      </c>
      <c r="Y60" s="646" t="s">
        <v>217</v>
      </c>
      <c r="Z60" s="646" t="s">
        <v>217</v>
      </c>
      <c r="AA60" s="646" t="s">
        <v>217</v>
      </c>
      <c r="AB60" s="646" t="s">
        <v>440</v>
      </c>
      <c r="AC60" s="646" t="s">
        <v>440</v>
      </c>
      <c r="AD60" s="646" t="s">
        <v>440</v>
      </c>
      <c r="AE60" s="646" t="s">
        <v>440</v>
      </c>
      <c r="AF60" s="646" t="s">
        <v>217</v>
      </c>
      <c r="AG60" s="646" t="s">
        <v>217</v>
      </c>
      <c r="AH60" s="646" t="s">
        <v>217</v>
      </c>
      <c r="AI60" s="646" t="s">
        <v>440</v>
      </c>
      <c r="AJ60" s="646" t="s">
        <v>440</v>
      </c>
      <c r="AK60" s="646" t="s">
        <v>440</v>
      </c>
      <c r="AL60" s="646" t="s">
        <v>440</v>
      </c>
      <c r="AM60" s="646" t="s">
        <v>217</v>
      </c>
      <c r="AN60" s="646" t="s">
        <v>217</v>
      </c>
      <c r="AO60" s="646" t="s">
        <v>217</v>
      </c>
      <c r="AP60" s="646" t="s">
        <v>440</v>
      </c>
      <c r="AQ60" s="646" t="s">
        <v>440</v>
      </c>
      <c r="AR60" s="646" t="s">
        <v>440</v>
      </c>
      <c r="AS60" s="647">
        <f t="array" ref="AS60">SUM(COUNTIF(N60:AR60, {"◎","〇","☆","共","特","浴"}))</f>
        <v>12</v>
      </c>
      <c r="AT60" s="651"/>
      <c r="AU60" s="649"/>
      <c r="AV60" s="649"/>
      <c r="AW60" s="649"/>
      <c r="AX60" s="649"/>
      <c r="AY60" s="649"/>
      <c r="AZ60" s="649"/>
      <c r="BA60" s="649"/>
      <c r="BB60" s="653" t="s">
        <v>665</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510</v>
      </c>
      <c r="L61" s="639" t="s">
        <v>503</v>
      </c>
      <c r="M61" s="640"/>
      <c r="N61" s="646"/>
      <c r="O61" s="646"/>
      <c r="P61" s="646"/>
      <c r="Q61" s="646"/>
      <c r="R61" s="646"/>
      <c r="S61" s="646"/>
      <c r="T61" s="646"/>
      <c r="U61" s="646"/>
      <c r="V61" s="646"/>
      <c r="W61" s="646"/>
      <c r="X61" s="646"/>
      <c r="Y61" s="646"/>
      <c r="Z61" s="646" t="s">
        <v>217</v>
      </c>
      <c r="AA61" s="646"/>
      <c r="AB61" s="646"/>
      <c r="AC61" s="646" t="s">
        <v>217</v>
      </c>
      <c r="AD61" s="646"/>
      <c r="AE61" s="646" t="s">
        <v>217</v>
      </c>
      <c r="AF61" s="646" t="s">
        <v>217</v>
      </c>
      <c r="AG61" s="646" t="s">
        <v>217</v>
      </c>
      <c r="AH61" s="646"/>
      <c r="AI61" s="646"/>
      <c r="AJ61" s="646" t="s">
        <v>217</v>
      </c>
      <c r="AK61" s="646"/>
      <c r="AL61" s="646"/>
      <c r="AM61" s="646"/>
      <c r="AN61" s="646" t="s">
        <v>217</v>
      </c>
      <c r="AO61" s="646"/>
      <c r="AP61" s="646"/>
      <c r="AQ61" s="646" t="s">
        <v>217</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511</v>
      </c>
      <c r="L62" s="639" t="s">
        <v>503</v>
      </c>
      <c r="M62" s="645"/>
      <c r="N62" s="646"/>
      <c r="O62" s="646"/>
      <c r="P62" s="646"/>
      <c r="Q62" s="646"/>
      <c r="R62" s="646"/>
      <c r="S62" s="646"/>
      <c r="T62" s="646"/>
      <c r="U62" s="646"/>
      <c r="V62" s="646"/>
      <c r="W62" s="646"/>
      <c r="X62" s="646"/>
      <c r="Y62" s="646"/>
      <c r="Z62" s="646"/>
      <c r="AA62" s="646"/>
      <c r="AB62" s="646"/>
      <c r="AC62" s="646"/>
      <c r="AD62" s="646" t="s">
        <v>217</v>
      </c>
      <c r="AE62" s="646"/>
      <c r="AF62" s="646"/>
      <c r="AG62" s="646"/>
      <c r="AH62" s="646"/>
      <c r="AI62" s="646"/>
      <c r="AJ62" s="646"/>
      <c r="AK62" s="646" t="s">
        <v>217</v>
      </c>
      <c r="AL62" s="646" t="s">
        <v>217</v>
      </c>
      <c r="AM62" s="646"/>
      <c r="AN62" s="646"/>
      <c r="AO62" s="646"/>
      <c r="AP62" s="646"/>
      <c r="AQ62" s="646"/>
      <c r="AR62" s="646" t="s">
        <v>217</v>
      </c>
      <c r="AS62" s="647">
        <f t="array" ref="AS62">SUM(COUNTIF(N62:AR62, {"◎","〇","☆","共","特","浴"}))</f>
        <v>4</v>
      </c>
      <c r="AT62" s="651"/>
      <c r="AU62" s="649"/>
      <c r="AV62" s="649"/>
      <c r="AW62" s="649"/>
      <c r="AX62" s="649"/>
      <c r="AY62" s="649"/>
      <c r="AZ62" s="649"/>
      <c r="BA62" s="649"/>
      <c r="BB62" s="653" t="s">
        <v>666</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545</v>
      </c>
      <c r="L63" s="639"/>
      <c r="M63" s="645"/>
      <c r="N63" s="646" t="s">
        <v>446</v>
      </c>
      <c r="O63" s="646" t="s">
        <v>440</v>
      </c>
      <c r="P63" s="646" t="s">
        <v>440</v>
      </c>
      <c r="Q63" s="646" t="s">
        <v>440</v>
      </c>
      <c r="R63" s="646" t="s">
        <v>440</v>
      </c>
      <c r="S63" s="646" t="s">
        <v>440</v>
      </c>
      <c r="T63" s="646" t="s">
        <v>667</v>
      </c>
      <c r="U63" s="646" t="s">
        <v>667</v>
      </c>
      <c r="V63" s="646" t="s">
        <v>440</v>
      </c>
      <c r="W63" s="646" t="s">
        <v>440</v>
      </c>
      <c r="X63" s="646" t="s">
        <v>440</v>
      </c>
      <c r="Y63" s="646" t="s">
        <v>440</v>
      </c>
      <c r="Z63" s="646" t="s">
        <v>440</v>
      </c>
      <c r="AA63" s="646" t="s">
        <v>667</v>
      </c>
      <c r="AB63" s="646" t="s">
        <v>667</v>
      </c>
      <c r="AC63" s="646" t="s">
        <v>440</v>
      </c>
      <c r="AD63" s="646" t="s">
        <v>440</v>
      </c>
      <c r="AE63" s="646" t="s">
        <v>440</v>
      </c>
      <c r="AF63" s="646" t="s">
        <v>440</v>
      </c>
      <c r="AG63" s="646" t="s">
        <v>440</v>
      </c>
      <c r="AH63" s="646" t="s">
        <v>667</v>
      </c>
      <c r="AI63" s="646" t="s">
        <v>667</v>
      </c>
      <c r="AJ63" s="646" t="s">
        <v>440</v>
      </c>
      <c r="AK63" s="646" t="s">
        <v>440</v>
      </c>
      <c r="AL63" s="646" t="s">
        <v>440</v>
      </c>
      <c r="AM63" s="646" t="s">
        <v>440</v>
      </c>
      <c r="AN63" s="646" t="s">
        <v>440</v>
      </c>
      <c r="AO63" s="646" t="s">
        <v>667</v>
      </c>
      <c r="AP63" s="646" t="s">
        <v>667</v>
      </c>
      <c r="AQ63" s="646" t="s">
        <v>440</v>
      </c>
      <c r="AR63" s="646" t="s">
        <v>440</v>
      </c>
      <c r="AS63" s="647">
        <f t="array" ref="AS63">SUM(COUNTIF(N63:AR63, {"◎","〇","☆","共","特","浴"}))</f>
        <v>0</v>
      </c>
      <c r="AT63" s="651"/>
      <c r="AU63" s="649"/>
      <c r="AV63" s="649"/>
      <c r="AW63" s="649"/>
      <c r="AX63" s="649"/>
      <c r="AY63" s="649"/>
      <c r="AZ63" s="649"/>
      <c r="BA63" s="649"/>
      <c r="BB63" s="653" t="s">
        <v>668</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515</v>
      </c>
      <c r="L64" s="639"/>
      <c r="M64" s="645"/>
      <c r="N64" s="646" t="s">
        <v>669</v>
      </c>
      <c r="O64" s="646" t="s">
        <v>669</v>
      </c>
      <c r="P64" s="646" t="s">
        <v>440</v>
      </c>
      <c r="Q64" s="646" t="s">
        <v>440</v>
      </c>
      <c r="R64" s="646" t="s">
        <v>669</v>
      </c>
      <c r="S64" s="646" t="s">
        <v>669</v>
      </c>
      <c r="T64" s="646" t="s">
        <v>440</v>
      </c>
      <c r="U64" s="646" t="s">
        <v>669</v>
      </c>
      <c r="V64" s="646" t="s">
        <v>669</v>
      </c>
      <c r="W64" s="646" t="s">
        <v>440</v>
      </c>
      <c r="X64" s="646" t="s">
        <v>440</v>
      </c>
      <c r="Y64" s="646" t="s">
        <v>669</v>
      </c>
      <c r="Z64" s="646" t="s">
        <v>669</v>
      </c>
      <c r="AA64" s="646" t="s">
        <v>440</v>
      </c>
      <c r="AB64" s="646" t="s">
        <v>669</v>
      </c>
      <c r="AC64" s="646" t="s">
        <v>669</v>
      </c>
      <c r="AD64" s="646" t="s">
        <v>440</v>
      </c>
      <c r="AE64" s="646" t="s">
        <v>440</v>
      </c>
      <c r="AF64" s="646" t="s">
        <v>669</v>
      </c>
      <c r="AG64" s="646" t="s">
        <v>669</v>
      </c>
      <c r="AH64" s="646" t="s">
        <v>440</v>
      </c>
      <c r="AI64" s="646" t="s">
        <v>669</v>
      </c>
      <c r="AJ64" s="646" t="s">
        <v>669</v>
      </c>
      <c r="AK64" s="646" t="s">
        <v>440</v>
      </c>
      <c r="AL64" s="646" t="s">
        <v>440</v>
      </c>
      <c r="AM64" s="646" t="s">
        <v>669</v>
      </c>
      <c r="AN64" s="646" t="s">
        <v>669</v>
      </c>
      <c r="AO64" s="646" t="s">
        <v>440</v>
      </c>
      <c r="AP64" s="646" t="s">
        <v>669</v>
      </c>
      <c r="AQ64" s="646" t="s">
        <v>669</v>
      </c>
      <c r="AR64" s="646" t="s">
        <v>440</v>
      </c>
      <c r="AS64" s="647">
        <f t="array" ref="AS64">SUM(COUNTIF(N64:AR64, {"◎","〇","☆","共","特","浴"}))</f>
        <v>0</v>
      </c>
      <c r="AT64" s="651"/>
      <c r="AU64" s="649"/>
      <c r="AV64" s="649"/>
      <c r="AW64" s="649"/>
      <c r="AX64" s="649"/>
      <c r="AY64" s="649"/>
      <c r="AZ64" s="649"/>
      <c r="BA64" s="649"/>
      <c r="BB64" s="653" t="s">
        <v>670</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517</v>
      </c>
      <c r="L65" s="639"/>
      <c r="M65" s="640" t="s">
        <v>671</v>
      </c>
      <c r="N65" s="646" t="s">
        <v>440</v>
      </c>
      <c r="O65" s="646" t="s">
        <v>440</v>
      </c>
      <c r="P65" s="646" t="s">
        <v>669</v>
      </c>
      <c r="Q65" s="646" t="s">
        <v>669</v>
      </c>
      <c r="R65" s="646" t="s">
        <v>440</v>
      </c>
      <c r="S65" s="646" t="s">
        <v>440</v>
      </c>
      <c r="T65" s="646" t="s">
        <v>440</v>
      </c>
      <c r="U65" s="646" t="s">
        <v>440</v>
      </c>
      <c r="V65" s="646" t="s">
        <v>440</v>
      </c>
      <c r="W65" s="646" t="s">
        <v>669</v>
      </c>
      <c r="X65" s="646" t="s">
        <v>669</v>
      </c>
      <c r="Y65" s="646" t="s">
        <v>440</v>
      </c>
      <c r="Z65" s="646" t="s">
        <v>440</v>
      </c>
      <c r="AA65" s="646" t="s">
        <v>440</v>
      </c>
      <c r="AB65" s="646" t="s">
        <v>440</v>
      </c>
      <c r="AC65" s="646" t="s">
        <v>440</v>
      </c>
      <c r="AD65" s="646" t="s">
        <v>669</v>
      </c>
      <c r="AE65" s="646" t="s">
        <v>669</v>
      </c>
      <c r="AF65" s="646" t="s">
        <v>440</v>
      </c>
      <c r="AG65" s="646" t="s">
        <v>440</v>
      </c>
      <c r="AH65" s="646" t="s">
        <v>440</v>
      </c>
      <c r="AI65" s="646" t="s">
        <v>440</v>
      </c>
      <c r="AJ65" s="646" t="s">
        <v>440</v>
      </c>
      <c r="AK65" s="646" t="s">
        <v>669</v>
      </c>
      <c r="AL65" s="646" t="s">
        <v>669</v>
      </c>
      <c r="AM65" s="646" t="s">
        <v>440</v>
      </c>
      <c r="AN65" s="646" t="s">
        <v>440</v>
      </c>
      <c r="AO65" s="646" t="s">
        <v>440</v>
      </c>
      <c r="AP65" s="646" t="s">
        <v>440</v>
      </c>
      <c r="AQ65" s="646" t="s">
        <v>440</v>
      </c>
      <c r="AR65" s="646" t="s">
        <v>669</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t="s">
        <v>521</v>
      </c>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672</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46082.0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3</v>
      </c>
      <c r="W7" s="705"/>
      <c r="X7" s="696" t="s">
        <v>541</v>
      </c>
      <c r="Y7" s="662"/>
      <c r="Z7" s="662"/>
    </row>
    <row r="8" ht="17.25" customHeight="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3">xlookup(V7, '🏆皆勤アワード'!P2:DV2,'🏆皆勤アワード'!R5:DX100)</f>
        <v>宇佐見</v>
      </c>
      <c r="W8" s="717"/>
      <c r="X8" s="718">
        <v>46054.0</v>
      </c>
      <c r="Y8" s="662"/>
      <c r="Z8" s="662"/>
    </row>
    <row r="9" outlineLevel="1">
      <c r="A9" s="662"/>
      <c r="B9" s="719"/>
      <c r="C9" s="720">
        <f>D5</f>
        <v>46082</v>
      </c>
      <c r="D9" s="721" t="str">
        <f>TEXT(C9,"ddd")</f>
        <v>日</v>
      </c>
      <c r="E9" s="722"/>
      <c r="F9" s="723" t="s">
        <v>142</v>
      </c>
      <c r="G9" s="724" t="s">
        <v>673</v>
      </c>
      <c r="H9" s="725"/>
      <c r="I9" s="726">
        <v>0.7083333333333334</v>
      </c>
      <c r="J9" s="725" t="s">
        <v>674</v>
      </c>
      <c r="K9" s="725" t="s">
        <v>585</v>
      </c>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171</v>
      </c>
      <c r="W9" s="717"/>
      <c r="X9" s="718">
        <v>46082.0</v>
      </c>
      <c r="Y9" s="662"/>
      <c r="Z9" s="662"/>
    </row>
    <row r="10"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188</v>
      </c>
      <c r="W10" s="717"/>
      <c r="X10" s="718">
        <v>46113.0</v>
      </c>
      <c r="Y10" s="662"/>
      <c r="Z10" s="662"/>
    </row>
    <row r="1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483</v>
      </c>
      <c r="W11" s="717"/>
      <c r="X11" s="718">
        <v>46143.0</v>
      </c>
      <c r="Y11" s="662"/>
      <c r="Z11" s="662"/>
    </row>
    <row r="12"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198</v>
      </c>
      <c r="W12" s="717"/>
      <c r="X12" s="718">
        <v>46174.0</v>
      </c>
      <c r="Y12" s="662"/>
      <c r="Z12" s="662"/>
    </row>
    <row r="13"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544</v>
      </c>
      <c r="W13" s="717"/>
      <c r="X13" s="718">
        <v>46204.0</v>
      </c>
      <c r="Y13" s="662"/>
      <c r="Z13" s="662"/>
    </row>
    <row r="14"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517</v>
      </c>
      <c r="W14" s="717"/>
      <c r="X14" s="718">
        <v>46235.0</v>
      </c>
      <c r="Y14" s="662"/>
      <c r="Z14" s="662"/>
    </row>
    <row r="15"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486</v>
      </c>
      <c r="W15" s="717"/>
      <c r="X15" s="718">
        <v>46266.0</v>
      </c>
      <c r="Y15" s="662"/>
      <c r="Z15" s="662"/>
    </row>
    <row r="16"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489</v>
      </c>
      <c r="W16" s="717"/>
      <c r="X16" s="718">
        <v>46296.0</v>
      </c>
      <c r="Y16" s="662"/>
      <c r="Z16" s="662"/>
    </row>
    <row r="17"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499</v>
      </c>
      <c r="W17" s="717"/>
      <c r="X17" s="718">
        <v>46327.0</v>
      </c>
      <c r="Y17" s="662"/>
      <c r="Z17" s="662"/>
    </row>
    <row r="18"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497</v>
      </c>
      <c r="W18" s="717"/>
      <c r="X18" s="718">
        <v>46357.0</v>
      </c>
      <c r="Y18" s="662"/>
      <c r="Z18" s="662"/>
    </row>
    <row r="19" ht="18.0" customHeight="1" outlineLevel="1">
      <c r="B19" s="739"/>
      <c r="C19" s="698"/>
      <c r="D19" s="698"/>
      <c r="E19" s="698"/>
      <c r="F19" s="740" t="s">
        <v>546</v>
      </c>
      <c r="G19" s="741" t="s">
        <v>675</v>
      </c>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113</v>
      </c>
      <c r="W19" s="717"/>
      <c r="X19" s="718">
        <v>46388.0</v>
      </c>
      <c r="Y19" s="662"/>
      <c r="Z19" s="662"/>
    </row>
    <row r="20" ht="24.0" customHeight="1" outlineLevel="1">
      <c r="A20" s="662"/>
      <c r="B20" s="744"/>
      <c r="C20" s="745">
        <f>IF(C9="","",IF(DAY(C9+1)=1,"",C9+1))</f>
        <v>46083</v>
      </c>
      <c r="D20" s="746" t="str">
        <f>TEXT(C20,"ddd")</f>
        <v>月</v>
      </c>
      <c r="E20" s="747"/>
      <c r="F20" s="748" t="s">
        <v>142</v>
      </c>
      <c r="G20" s="749" t="s">
        <v>676</v>
      </c>
      <c r="H20" s="750"/>
      <c r="I20" s="751">
        <v>0.6458333333333334</v>
      </c>
      <c r="J20" s="750">
        <v>9.0</v>
      </c>
      <c r="K20" s="750">
        <v>3.0</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507</v>
      </c>
      <c r="W20" s="717"/>
      <c r="X20" s="718"/>
      <c r="Y20" s="662"/>
      <c r="Z20" s="662"/>
    </row>
    <row r="21" ht="24.0"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502</v>
      </c>
      <c r="W21" s="717"/>
      <c r="X21" s="718"/>
      <c r="Y21" s="662"/>
      <c r="Z21" s="662"/>
    </row>
    <row r="22" ht="24.0"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189</v>
      </c>
      <c r="W22" s="717"/>
      <c r="X22" s="718"/>
      <c r="Y22" s="662"/>
      <c r="Z22" s="662"/>
    </row>
    <row r="23" ht="24.0"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182</v>
      </c>
      <c r="W23" s="662"/>
      <c r="X23" s="757"/>
      <c r="Y23" s="662"/>
      <c r="Z23" s="662"/>
    </row>
    <row r="24" ht="24.0"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112</v>
      </c>
      <c r="W24" s="662"/>
      <c r="X24" s="757"/>
      <c r="Y24" s="662"/>
      <c r="Z24" s="662"/>
    </row>
    <row r="25" ht="24.0"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505</v>
      </c>
      <c r="W25" s="662"/>
      <c r="X25" s="757"/>
      <c r="Y25" s="662"/>
      <c r="Z25" s="662"/>
    </row>
    <row r="26" ht="24.0"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512</v>
      </c>
      <c r="W26" s="662"/>
      <c r="X26" s="757"/>
      <c r="Y26" s="662"/>
      <c r="Z26" s="662"/>
    </row>
    <row r="27" ht="24.0"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165</v>
      </c>
      <c r="W27" s="662"/>
      <c r="X27" s="757"/>
      <c r="Y27" s="662"/>
      <c r="Z27" s="662"/>
    </row>
    <row r="28" ht="24.0"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159</v>
      </c>
      <c r="W28" s="662"/>
      <c r="X28" s="757"/>
      <c r="Y28" s="662"/>
      <c r="Z28" s="662"/>
    </row>
    <row r="29" ht="24.0"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509</v>
      </c>
      <c r="W29" s="662"/>
      <c r="X29" s="757"/>
      <c r="Y29" s="662"/>
      <c r="Z29" s="662"/>
    </row>
    <row r="30" ht="18.0" customHeight="1" outlineLevel="1">
      <c r="A30" s="662"/>
      <c r="B30" s="739"/>
      <c r="C30" s="698"/>
      <c r="D30" s="698"/>
      <c r="E30" s="698"/>
      <c r="F30" s="758" t="s">
        <v>546</v>
      </c>
      <c r="G30" s="759" t="s">
        <v>677</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125</v>
      </c>
      <c r="W30" s="662"/>
      <c r="X30" s="757"/>
      <c r="Y30" s="662"/>
      <c r="Z30" s="662"/>
    </row>
    <row r="31" ht="17.25" customHeight="1" outlineLevel="1">
      <c r="A31" s="662"/>
      <c r="B31" s="761"/>
      <c r="C31" s="762">
        <f>IF(C20="","",IF(DAY(C20+1)=1,"",C20+1))</f>
        <v>46084</v>
      </c>
      <c r="D31" s="763" t="str">
        <f>TEXT(C31,"ddd")</f>
        <v>火</v>
      </c>
      <c r="E31" s="764"/>
      <c r="F31" s="765" t="s">
        <v>142</v>
      </c>
      <c r="G31" s="766" t="s">
        <v>678</v>
      </c>
      <c r="H31" s="767"/>
      <c r="I31" s="768">
        <v>0.0</v>
      </c>
      <c r="J31" s="767" t="s">
        <v>566</v>
      </c>
      <c r="K31" s="767" t="s">
        <v>567</v>
      </c>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510</v>
      </c>
      <c r="W31" s="662"/>
      <c r="X31" s="757"/>
      <c r="Y31" s="662"/>
      <c r="Z31" s="662"/>
    </row>
    <row r="32" ht="17.25" customHeight="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74" t="s">
        <v>511</v>
      </c>
      <c r="W32" s="662"/>
      <c r="X32" s="757"/>
      <c r="Y32" s="662"/>
      <c r="Z32" s="662"/>
    </row>
    <row r="33" ht="17.25" customHeight="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545</v>
      </c>
      <c r="W33" s="662"/>
      <c r="X33" s="757"/>
      <c r="Y33" s="662"/>
      <c r="Z33" s="662"/>
    </row>
    <row r="34" ht="17.25" customHeight="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550</v>
      </c>
      <c r="W34" s="662"/>
      <c r="X34" s="757"/>
      <c r="Y34" s="662"/>
      <c r="Z34" s="662"/>
    </row>
    <row r="35" ht="17.25" customHeight="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16" t="s">
        <v>554</v>
      </c>
      <c r="W35" s="662"/>
      <c r="X35" s="757"/>
      <c r="Y35" s="662"/>
      <c r="Z35" s="662"/>
    </row>
    <row r="36" ht="17.25" customHeight="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16" t="s">
        <v>679</v>
      </c>
      <c r="W36" s="662"/>
      <c r="X36" s="757"/>
      <c r="Y36" s="662"/>
      <c r="Z36" s="662"/>
    </row>
    <row r="37" ht="17.25" customHeight="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120</v>
      </c>
      <c r="W37" s="662"/>
      <c r="X37" s="757"/>
      <c r="Y37" s="662"/>
      <c r="Z37" s="662"/>
    </row>
    <row r="38" ht="17.25" customHeight="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c r="W38" s="662"/>
      <c r="X38" s="757"/>
      <c r="Y38" s="662"/>
      <c r="Z38" s="662"/>
    </row>
    <row r="39" ht="17.25" customHeight="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74"/>
      <c r="W39" s="662"/>
      <c r="X39" s="757"/>
      <c r="Y39" s="662"/>
      <c r="Z39" s="662"/>
    </row>
    <row r="40" ht="17.25" customHeight="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74"/>
      <c r="W40" s="662"/>
      <c r="X40" s="757"/>
      <c r="Y40" s="662"/>
      <c r="Z40" s="662"/>
    </row>
    <row r="41" ht="18.0" customHeight="1" outlineLevel="1">
      <c r="A41" s="662"/>
      <c r="B41" s="739"/>
      <c r="C41" s="698"/>
      <c r="D41" s="698"/>
      <c r="E41" s="698"/>
      <c r="F41" s="740" t="s">
        <v>546</v>
      </c>
      <c r="G41" s="741" t="s">
        <v>680</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74"/>
      <c r="W41" s="662"/>
      <c r="X41" s="757"/>
      <c r="Y41" s="662"/>
      <c r="Z41" s="662"/>
    </row>
    <row r="42" ht="49.5" customHeight="1" outlineLevel="1">
      <c r="A42" s="662"/>
      <c r="B42" s="744"/>
      <c r="C42" s="745">
        <f>IF(C31="","",IF(DAY(C31+1)=1,"",C31+1))</f>
        <v>46085</v>
      </c>
      <c r="D42" s="746" t="str">
        <f>TEXT(C42,"ddd")</f>
        <v>水</v>
      </c>
      <c r="E42" s="747"/>
      <c r="F42" s="775" t="s">
        <v>132</v>
      </c>
      <c r="G42" s="776" t="s">
        <v>681</v>
      </c>
      <c r="H42" s="777"/>
      <c r="I42" s="778">
        <v>0.65625</v>
      </c>
      <c r="J42" s="777">
        <v>6.0</v>
      </c>
      <c r="K42" s="777">
        <v>3.0</v>
      </c>
      <c r="L42" s="755" t="s">
        <v>499</v>
      </c>
      <c r="M42" s="755" t="s">
        <v>682</v>
      </c>
      <c r="N42" s="775" t="s">
        <v>683</v>
      </c>
      <c r="O42" s="779"/>
      <c r="P42" s="771"/>
      <c r="Q42" s="772"/>
      <c r="R42" s="662"/>
      <c r="S42" s="228" t="str">
        <f t="array" ref="S42">IFERROR(INDEX('💻シート作成'!$D$6:$D1001, MATCH(T42, '💻シート作成'!$E$6:$E1001, 0)), "")</f>
        <v>6月</v>
      </c>
      <c r="T42" s="172" t="str">
        <f>IFERROR(__xludf.DUMMYFUNCTION("""COMPUTED_VALUE"""),"③R8_6日報")</f>
        <v>③R8_6日報</v>
      </c>
      <c r="U42" s="665"/>
      <c r="V42" s="774"/>
      <c r="W42" s="662"/>
      <c r="X42" s="757"/>
      <c r="Y42" s="662"/>
      <c r="Z42" s="662"/>
    </row>
    <row r="43" ht="49.5" customHeight="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c r="W43" s="662"/>
      <c r="X43" s="757"/>
      <c r="Y43" s="662"/>
      <c r="Z43" s="662"/>
    </row>
    <row r="44" ht="49.5" customHeight="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74"/>
      <c r="W44" s="662"/>
      <c r="X44" s="757"/>
      <c r="Y44" s="662"/>
      <c r="Z44" s="662"/>
    </row>
    <row r="45" ht="49.5" customHeight="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t="49.5" customHeight="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t="49.5" customHeight="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t="49.5" customHeight="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t="49.5" customHeight="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t="49.5" customHeight="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t="49.5" customHeight="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customHeight="1" outlineLevel="1">
      <c r="A52" s="662"/>
      <c r="B52" s="739"/>
      <c r="C52" s="698"/>
      <c r="D52" s="698"/>
      <c r="E52" s="698"/>
      <c r="F52" s="758" t="s">
        <v>546</v>
      </c>
      <c r="G52" s="759" t="s">
        <v>684</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t="65.25" customHeight="1" outlineLevel="1">
      <c r="A53" s="662"/>
      <c r="B53" s="761"/>
      <c r="C53" s="762">
        <f>IF(C42="","",IF(DAY(C42+1)=1,"",C42+1))</f>
        <v>46086</v>
      </c>
      <c r="D53" s="763" t="str">
        <f>TEXT(C53,"ddd")</f>
        <v>木</v>
      </c>
      <c r="E53" s="764"/>
      <c r="F53" s="765" t="s">
        <v>132</v>
      </c>
      <c r="G53" s="766" t="s">
        <v>685</v>
      </c>
      <c r="H53" s="767"/>
      <c r="I53" s="768">
        <v>0.6666666666666666</v>
      </c>
      <c r="J53" s="767">
        <v>6.0</v>
      </c>
      <c r="K53" s="767">
        <v>3.0</v>
      </c>
      <c r="L53" s="769" t="s">
        <v>554</v>
      </c>
      <c r="M53" s="769" t="s">
        <v>686</v>
      </c>
      <c r="N53" s="765" t="s">
        <v>687</v>
      </c>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t="65.25" customHeight="1" outlineLevel="1">
      <c r="A54" s="662"/>
      <c r="B54" s="730"/>
      <c r="C54" s="731"/>
      <c r="D54" s="731"/>
      <c r="E54" s="731"/>
      <c r="F54" s="731"/>
      <c r="G54" s="732"/>
      <c r="H54" s="731"/>
      <c r="I54" s="731"/>
      <c r="J54" s="731"/>
      <c r="K54" s="731"/>
      <c r="L54" s="769" t="s">
        <v>509</v>
      </c>
      <c r="M54" s="769" t="s">
        <v>688</v>
      </c>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t="65.25" customHeight="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t="65.25" customHeight="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t="65.25" customHeight="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t="65.25" customHeight="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t="65.25" customHeight="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t="65.25" customHeight="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t="65.25" customHeight="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65.25" customHeight="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customHeight="1" outlineLevel="1">
      <c r="A63" s="662"/>
      <c r="B63" s="739"/>
      <c r="C63" s="698"/>
      <c r="D63" s="698"/>
      <c r="E63" s="698"/>
      <c r="F63" s="740" t="s">
        <v>546</v>
      </c>
      <c r="G63" s="741" t="s">
        <v>689</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outlineLevel="1">
      <c r="A65" s="662"/>
      <c r="B65" s="744"/>
      <c r="C65" s="745">
        <f>IF(C53="","",IF(DAY(C53+1)=1,"",C53+1))</f>
        <v>46087</v>
      </c>
      <c r="D65" s="746" t="str">
        <f>TEXT(C65,"ddd")</f>
        <v>金</v>
      </c>
      <c r="E65" s="747"/>
      <c r="F65" s="775" t="s">
        <v>142</v>
      </c>
      <c r="G65" s="776" t="s">
        <v>690</v>
      </c>
      <c r="H65" s="777"/>
      <c r="I65" s="778">
        <v>0.5833333333333334</v>
      </c>
      <c r="J65" s="777">
        <v>9.0</v>
      </c>
      <c r="K65" s="777">
        <v>4.0</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customHeight="1" outlineLevel="1">
      <c r="A75" s="662"/>
      <c r="B75" s="739"/>
      <c r="C75" s="698"/>
      <c r="D75" s="698"/>
      <c r="E75" s="698"/>
      <c r="F75" s="758" t="s">
        <v>546</v>
      </c>
      <c r="G75" s="759" t="s">
        <v>691</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19.5" customHeight="1" outlineLevel="1">
      <c r="A76" s="662"/>
      <c r="B76" s="761"/>
      <c r="C76" s="762">
        <f>IF(C65="","",IF(DAY(C65+1)=1,"",C65+1))</f>
        <v>46088</v>
      </c>
      <c r="D76" s="763" t="str">
        <f>TEXT(C76,"ddd")</f>
        <v>土</v>
      </c>
      <c r="E76" s="764"/>
      <c r="F76" s="765" t="s">
        <v>142</v>
      </c>
      <c r="G76" s="766" t="s">
        <v>692</v>
      </c>
      <c r="H76" s="767"/>
      <c r="I76" s="768">
        <v>0.6666666666666666</v>
      </c>
      <c r="J76" s="767">
        <v>9.0</v>
      </c>
      <c r="K76" s="767">
        <v>3.0</v>
      </c>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t="19.5" customHeight="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t="19.5"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19.5"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19.5"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19.5"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19.5"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19.5"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19.5"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19.5"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customHeight="1" outlineLevel="1">
      <c r="A86" s="662"/>
      <c r="B86" s="739"/>
      <c r="C86" s="698"/>
      <c r="D86" s="698"/>
      <c r="E86" s="698"/>
      <c r="F86" s="740" t="s">
        <v>546</v>
      </c>
      <c r="G86" s="741" t="s">
        <v>693</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45.0" customHeight="1" outlineLevel="1">
      <c r="A87" s="662"/>
      <c r="B87" s="744"/>
      <c r="C87" s="745">
        <f>IF(C76="","",IF(DAY(C76+1)=1,"",C76+1))</f>
        <v>46089</v>
      </c>
      <c r="D87" s="746" t="str">
        <f>TEXT(C87,"ddd")</f>
        <v>日</v>
      </c>
      <c r="E87" s="747"/>
      <c r="F87" s="775" t="s">
        <v>132</v>
      </c>
      <c r="G87" s="776" t="s">
        <v>694</v>
      </c>
      <c r="H87" s="777"/>
      <c r="I87" s="778">
        <v>0.65625</v>
      </c>
      <c r="J87" s="777">
        <v>8.0</v>
      </c>
      <c r="K87" s="777">
        <v>2.0</v>
      </c>
      <c r="L87" s="755"/>
      <c r="M87" s="755"/>
      <c r="N87" s="775" t="s">
        <v>687</v>
      </c>
      <c r="O87" s="779"/>
      <c r="P87" s="771"/>
      <c r="Q87" s="772"/>
      <c r="R87" s="662"/>
      <c r="S87" s="228" t="str">
        <f t="array" ref="S87">IFERROR(INDEX('💻シート作成'!$D$6:$D1001, MATCH(T87, '💻シート作成'!$E$6:$E1001, 0)), "")</f>
        <v/>
      </c>
      <c r="T87" s="172"/>
      <c r="U87" s="665"/>
      <c r="V87" s="774"/>
      <c r="W87" s="662"/>
      <c r="X87" s="757"/>
      <c r="Y87" s="662"/>
      <c r="Z87" s="662"/>
    </row>
    <row r="88" ht="45.0"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45.0"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45.0"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45.0"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45.0"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45.0"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45.0"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45.0"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45.0"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31.5" customHeight="1" outlineLevel="1">
      <c r="A97" s="662"/>
      <c r="B97" s="739"/>
      <c r="C97" s="698"/>
      <c r="D97" s="698"/>
      <c r="E97" s="698"/>
      <c r="F97" s="758" t="s">
        <v>546</v>
      </c>
      <c r="G97" s="759" t="s">
        <v>695</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outlineLevel="1">
      <c r="A98" s="662"/>
      <c r="B98" s="761"/>
      <c r="C98" s="762">
        <f>IF(C87="","",IF(DAY(C87+1)=1,"",C87+1))</f>
        <v>46090</v>
      </c>
      <c r="D98" s="763" t="str">
        <f>TEXT(C98,"ddd")</f>
        <v>月</v>
      </c>
      <c r="E98" s="764"/>
      <c r="F98" s="765" t="s">
        <v>142</v>
      </c>
      <c r="G98" s="766" t="s">
        <v>696</v>
      </c>
      <c r="H98" s="767"/>
      <c r="I98" s="768">
        <v>0.625</v>
      </c>
      <c r="J98" s="767">
        <v>9.0</v>
      </c>
      <c r="K98" s="767">
        <v>3.0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customHeight="1" outlineLevel="1">
      <c r="A108" s="662"/>
      <c r="B108" s="739"/>
      <c r="C108" s="698"/>
      <c r="D108" s="698"/>
      <c r="E108" s="698"/>
      <c r="F108" s="740" t="s">
        <v>546</v>
      </c>
      <c r="G108" s="741" t="s">
        <v>697</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outlineLevel="1">
      <c r="A109" s="662"/>
      <c r="B109" s="744"/>
      <c r="C109" s="745">
        <f>IF(C98="","",IF(DAY(C98+1)=1,"",C98+1))</f>
        <v>46091</v>
      </c>
      <c r="D109" s="746" t="str">
        <f>TEXT(C109,"ddd")</f>
        <v>火</v>
      </c>
      <c r="E109" s="747"/>
      <c r="F109" s="775" t="s">
        <v>142</v>
      </c>
      <c r="G109" s="776" t="s">
        <v>698</v>
      </c>
      <c r="H109" s="777">
        <v>1.0</v>
      </c>
      <c r="I109" s="778">
        <v>0.625</v>
      </c>
      <c r="J109" s="777" t="s">
        <v>674</v>
      </c>
      <c r="K109" s="777" t="s">
        <v>585</v>
      </c>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customHeight="1" outlineLevel="1">
      <c r="A119" s="662"/>
      <c r="B119" s="739"/>
      <c r="C119" s="698"/>
      <c r="D119" s="698"/>
      <c r="E119" s="698"/>
      <c r="F119" s="758" t="s">
        <v>546</v>
      </c>
      <c r="G119" s="759" t="s">
        <v>699</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customHeight="1" outlineLevel="1">
      <c r="A121" s="662"/>
      <c r="B121" s="761"/>
      <c r="C121" s="762">
        <f>IF(C109="","",IF(DAY(C109+1)=1,"",C109+1))</f>
        <v>46092</v>
      </c>
      <c r="D121" s="763" t="str">
        <f>TEXT(C121,"ddd")</f>
        <v>水</v>
      </c>
      <c r="E121" s="764"/>
      <c r="F121" s="765" t="s">
        <v>132</v>
      </c>
      <c r="G121" s="766" t="s">
        <v>700</v>
      </c>
      <c r="H121" s="767">
        <v>1.0</v>
      </c>
      <c r="I121" s="768">
        <v>0.7083333333333334</v>
      </c>
      <c r="J121" s="767">
        <v>6.0</v>
      </c>
      <c r="K121" s="767">
        <v>3.0</v>
      </c>
      <c r="L121" s="769" t="s">
        <v>113</v>
      </c>
      <c r="M121" s="769" t="s">
        <v>701</v>
      </c>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customHeight="1" outlineLevel="1">
      <c r="A131" s="662"/>
      <c r="B131" s="739"/>
      <c r="C131" s="698"/>
      <c r="D131" s="698"/>
      <c r="E131" s="698"/>
      <c r="F131" s="740" t="s">
        <v>546</v>
      </c>
      <c r="G131" s="741" t="s">
        <v>702</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75.0" customHeight="1" outlineLevel="1">
      <c r="A132" s="662"/>
      <c r="B132" s="744"/>
      <c r="C132" s="745">
        <f>IF(C121="","",IF(DAY(C121+1)=1,"",C121+1))</f>
        <v>46093</v>
      </c>
      <c r="D132" s="746" t="str">
        <f>TEXT(C132,"ddd")</f>
        <v>木</v>
      </c>
      <c r="E132" s="747"/>
      <c r="F132" s="775" t="s">
        <v>132</v>
      </c>
      <c r="G132" s="776" t="s">
        <v>703</v>
      </c>
      <c r="H132" s="777"/>
      <c r="I132" s="778">
        <v>0.6666666666666666</v>
      </c>
      <c r="J132" s="777">
        <v>7.0</v>
      </c>
      <c r="K132" s="777">
        <v>3.0</v>
      </c>
      <c r="L132" s="755" t="s">
        <v>554</v>
      </c>
      <c r="M132" s="755" t="s">
        <v>704</v>
      </c>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75.0"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75.0"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75.0"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75.0"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75.0"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75.0"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75.0"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75.0"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75.0"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customHeight="1" outlineLevel="1">
      <c r="A142" s="662"/>
      <c r="B142" s="739"/>
      <c r="C142" s="698"/>
      <c r="D142" s="698"/>
      <c r="E142" s="698"/>
      <c r="F142" s="758" t="s">
        <v>546</v>
      </c>
      <c r="G142" s="759" t="s">
        <v>705</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45.0" customHeight="1" outlineLevel="1">
      <c r="A143" s="662"/>
      <c r="B143" s="761"/>
      <c r="C143" s="762">
        <f>IF(C132="","",IF(DAY(C132+1)=1,"",C132+1))</f>
        <v>46094</v>
      </c>
      <c r="D143" s="763" t="str">
        <f>TEXT(C143,"ddd")</f>
        <v>金</v>
      </c>
      <c r="E143" s="764"/>
      <c r="F143" s="765" t="s">
        <v>132</v>
      </c>
      <c r="G143" s="766" t="s">
        <v>706</v>
      </c>
      <c r="H143" s="767"/>
      <c r="I143" s="768">
        <v>0.65625</v>
      </c>
      <c r="J143" s="767">
        <v>9.0</v>
      </c>
      <c r="K143" s="767">
        <v>1.0</v>
      </c>
      <c r="L143" s="769" t="s">
        <v>554</v>
      </c>
      <c r="M143" s="769" t="s">
        <v>707</v>
      </c>
      <c r="N143" s="775" t="s">
        <v>708</v>
      </c>
      <c r="O143" s="770"/>
      <c r="P143" s="771"/>
      <c r="Q143" s="772"/>
      <c r="R143" s="662"/>
      <c r="S143" s="228" t="str">
        <f t="array" ref="S143">IFERROR(INDEX('💻シート作成'!$D$6:$D1001, MATCH(T143, '💻シート作成'!$E$6:$E1001, 0)), "")</f>
        <v/>
      </c>
      <c r="T143" s="184"/>
      <c r="U143" s="665"/>
      <c r="V143" s="774"/>
      <c r="W143" s="662"/>
      <c r="X143" s="757"/>
      <c r="Y143" s="662"/>
      <c r="Z143" s="662"/>
    </row>
    <row r="144" ht="45.0"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45.0"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45.0"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45.0"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45.0"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45.0"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45.0"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45.0"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45.0"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customHeight="1" outlineLevel="1">
      <c r="A153" s="662"/>
      <c r="B153" s="739"/>
      <c r="C153" s="698"/>
      <c r="D153" s="698"/>
      <c r="E153" s="698"/>
      <c r="F153" s="740" t="s">
        <v>546</v>
      </c>
      <c r="G153" s="741" t="s">
        <v>709</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76.5" customHeight="1" outlineLevel="1">
      <c r="A154" s="662"/>
      <c r="B154" s="744"/>
      <c r="C154" s="745">
        <f>IF(C143="","",IF(DAY(C143+1)=1,"",C143+1))</f>
        <v>46095</v>
      </c>
      <c r="D154" s="746" t="str">
        <f>TEXT(C154,"ddd")</f>
        <v>土</v>
      </c>
      <c r="E154" s="747"/>
      <c r="F154" s="775" t="s">
        <v>132</v>
      </c>
      <c r="G154" s="776" t="s">
        <v>710</v>
      </c>
      <c r="H154" s="777">
        <v>1.0</v>
      </c>
      <c r="I154" s="778">
        <v>0.6666666666666666</v>
      </c>
      <c r="J154" s="777">
        <v>10.0</v>
      </c>
      <c r="K154" s="777">
        <v>2.0</v>
      </c>
      <c r="L154" s="755"/>
      <c r="M154" s="755"/>
      <c r="N154" s="775" t="s">
        <v>711</v>
      </c>
      <c r="O154" s="779"/>
      <c r="P154" s="771"/>
      <c r="Q154" s="772"/>
      <c r="R154" s="662"/>
      <c r="S154" s="228" t="str">
        <f t="array" ref="S154">IFERROR(INDEX('💻シート作成'!$D$6:$D1001, MATCH(T154, '💻シート作成'!$E$6:$E1001, 0)), "")</f>
        <v/>
      </c>
      <c r="T154" s="184"/>
      <c r="U154" s="665"/>
      <c r="V154" s="774"/>
      <c r="W154" s="662"/>
      <c r="X154" s="757"/>
      <c r="Y154" s="662"/>
      <c r="Z154" s="662"/>
    </row>
    <row r="155" ht="76.5"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76.5"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76.5"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76.5"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76.5"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76.5"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76.5"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76.5"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76.5"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customHeight="1" outlineLevel="1">
      <c r="A164" s="662"/>
      <c r="B164" s="739"/>
      <c r="C164" s="698"/>
      <c r="D164" s="698"/>
      <c r="E164" s="698"/>
      <c r="F164" s="758" t="s">
        <v>546</v>
      </c>
      <c r="G164" s="759" t="s">
        <v>712</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102.0" customHeight="1" outlineLevel="1">
      <c r="A165" s="662"/>
      <c r="B165" s="761"/>
      <c r="C165" s="762">
        <f>IF(C154="","",IF(DAY(C154+1)=1,"",C154+1))</f>
        <v>46096</v>
      </c>
      <c r="D165" s="763" t="str">
        <f>TEXT(C165,"ddd")</f>
        <v>日</v>
      </c>
      <c r="E165" s="764"/>
      <c r="F165" s="765" t="s">
        <v>132</v>
      </c>
      <c r="G165" s="766" t="s">
        <v>713</v>
      </c>
      <c r="H165" s="767"/>
      <c r="I165" s="768">
        <v>0.6458333333333334</v>
      </c>
      <c r="J165" s="767">
        <v>8.0</v>
      </c>
      <c r="K165" s="767">
        <v>3.0</v>
      </c>
      <c r="L165" s="769" t="s">
        <v>112</v>
      </c>
      <c r="M165" s="769" t="s">
        <v>714</v>
      </c>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t="102.0"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102.0"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102.0"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102.0"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102.0"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102.0"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102.0"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102.0"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102.0"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customHeight="1" outlineLevel="1">
      <c r="A175" s="662"/>
      <c r="B175" s="739"/>
      <c r="C175" s="698"/>
      <c r="D175" s="698"/>
      <c r="E175" s="698"/>
      <c r="F175" s="740" t="s">
        <v>546</v>
      </c>
      <c r="G175" s="741" t="s">
        <v>715</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87.0" hidden="1" customHeight="1" outlineLevel="1">
      <c r="A177" s="662"/>
      <c r="B177" s="744"/>
      <c r="C177" s="745">
        <f>IF(C165="","",IF(DAY(C165+1)=1,"",C165+1))</f>
        <v>46097</v>
      </c>
      <c r="D177" s="746" t="str">
        <f>TEXT(C177,"ddd")</f>
        <v>月</v>
      </c>
      <c r="E177" s="747"/>
      <c r="F177" s="775" t="s">
        <v>132</v>
      </c>
      <c r="G177" s="776" t="s">
        <v>716</v>
      </c>
      <c r="H177" s="777"/>
      <c r="I177" s="778">
        <v>0.6666666666666666</v>
      </c>
      <c r="J177" s="777">
        <v>8.0</v>
      </c>
      <c r="K177" s="777">
        <v>3.0</v>
      </c>
      <c r="L177" s="755" t="s">
        <v>112</v>
      </c>
      <c r="M177" s="755" t="s">
        <v>714</v>
      </c>
      <c r="N177" s="775" t="s">
        <v>717</v>
      </c>
      <c r="O177" s="779"/>
      <c r="P177" s="771"/>
      <c r="Q177" s="772"/>
      <c r="R177" s="662"/>
      <c r="S177" s="228" t="str">
        <f t="array" ref="S177">IFERROR(INDEX('💻シート作成'!$D$6:$D1001, MATCH(T177, '💻シート作成'!$E$6:$E1001, 0)), "")</f>
        <v/>
      </c>
      <c r="T177" s="184"/>
      <c r="U177" s="665"/>
      <c r="V177" s="774"/>
      <c r="W177" s="662"/>
      <c r="X177" s="757"/>
      <c r="Y177" s="662"/>
      <c r="Z177" s="662"/>
    </row>
    <row r="178" ht="87.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87.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87.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87.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87.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87.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87.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87.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87.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718</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46098</v>
      </c>
      <c r="D188" s="763" t="str">
        <f>TEXT(C188,"ddd")</f>
        <v>火</v>
      </c>
      <c r="E188" s="764"/>
      <c r="F188" s="765" t="s">
        <v>142</v>
      </c>
      <c r="G188" s="766" t="s">
        <v>719</v>
      </c>
      <c r="H188" s="767">
        <v>1.0</v>
      </c>
      <c r="I188" s="768">
        <v>0.6458333333333334</v>
      </c>
      <c r="J188" s="767">
        <v>8.0</v>
      </c>
      <c r="K188" s="767">
        <v>3.0</v>
      </c>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720</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64.5" hidden="1" customHeight="1" outlineLevel="1">
      <c r="A199" s="662"/>
      <c r="B199" s="744"/>
      <c r="C199" s="745">
        <f>IF(C188="","",IF(DAY(C188+1)=1,"",C188+1))</f>
        <v>46099</v>
      </c>
      <c r="D199" s="746" t="str">
        <f>TEXT(C199,"ddd")</f>
        <v>水</v>
      </c>
      <c r="E199" s="747"/>
      <c r="F199" s="775" t="s">
        <v>132</v>
      </c>
      <c r="G199" s="776" t="s">
        <v>721</v>
      </c>
      <c r="H199" s="777"/>
      <c r="I199" s="778">
        <v>0.6458333333333334</v>
      </c>
      <c r="J199" s="777">
        <v>8.0</v>
      </c>
      <c r="K199" s="777">
        <v>2.0</v>
      </c>
      <c r="L199" s="755"/>
      <c r="M199" s="755"/>
      <c r="N199" s="775" t="s">
        <v>722</v>
      </c>
      <c r="O199" s="779"/>
      <c r="P199" s="771"/>
      <c r="Q199" s="772"/>
      <c r="R199" s="662"/>
      <c r="S199" s="228" t="str">
        <f t="array" ref="S199">IFERROR(INDEX('💻シート作成'!$D$6:$D1001, MATCH(T199, '💻シート作成'!$E$6:$E1001, 0)), "")</f>
        <v/>
      </c>
      <c r="T199" s="184"/>
      <c r="U199" s="665"/>
      <c r="V199" s="774"/>
      <c r="W199" s="662"/>
      <c r="X199" s="757"/>
      <c r="Y199" s="662"/>
      <c r="Z199" s="662"/>
    </row>
    <row r="200" ht="64.5"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64.5"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64.5"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64.5"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64.5"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64.5"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64.5"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64.5"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64.5"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723</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57.75" hidden="1" customHeight="1" outlineLevel="1">
      <c r="A210" s="662"/>
      <c r="B210" s="761"/>
      <c r="C210" s="762">
        <f>IF(C199="","",IF(DAY(C199+1)=1,"",C199+1))</f>
        <v>46100</v>
      </c>
      <c r="D210" s="763" t="str">
        <f>TEXT(C210,"ddd")</f>
        <v>木</v>
      </c>
      <c r="E210" s="764"/>
      <c r="F210" s="765" t="s">
        <v>132</v>
      </c>
      <c r="G210" s="766" t="s">
        <v>724</v>
      </c>
      <c r="H210" s="767"/>
      <c r="I210" s="768">
        <v>0.6666666666666666</v>
      </c>
      <c r="J210" s="767">
        <v>8.0</v>
      </c>
      <c r="K210" s="767">
        <v>3.0</v>
      </c>
      <c r="L210" s="769"/>
      <c r="M210" s="769"/>
      <c r="N210" s="765" t="s">
        <v>725</v>
      </c>
      <c r="O210" s="770"/>
      <c r="P210" s="771"/>
      <c r="Q210" s="772"/>
      <c r="R210" s="662"/>
      <c r="S210" s="228" t="str">
        <f t="array" ref="S210">IFERROR(INDEX('💻シート作成'!$D$6:$D1001, MATCH(T210, '💻シート作成'!$E$6:$E1001, 0)), "")</f>
        <v/>
      </c>
      <c r="T210" s="184"/>
      <c r="U210" s="665"/>
      <c r="V210" s="774"/>
      <c r="W210" s="662"/>
      <c r="X210" s="757"/>
      <c r="Y210" s="662"/>
      <c r="Z210" s="662"/>
    </row>
    <row r="211" ht="57.75"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57.75"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57.75"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57.75"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57.75"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57.75"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57.75"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57.75"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57.75"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726</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18.0" hidden="1" customHeight="1" outlineLevel="1">
      <c r="A221" s="662"/>
      <c r="B221" s="744"/>
      <c r="C221" s="745">
        <f>IF(C210="","",IF(DAY(C210+1)=1,"",C210+1))</f>
        <v>46101</v>
      </c>
      <c r="D221" s="746" t="str">
        <f>TEXT(C221,"ddd")</f>
        <v>金</v>
      </c>
      <c r="E221" s="747"/>
      <c r="F221" s="775" t="s">
        <v>132</v>
      </c>
      <c r="G221" s="776" t="s">
        <v>727</v>
      </c>
      <c r="H221" s="777"/>
      <c r="I221" s="778">
        <v>0.7083333333333334</v>
      </c>
      <c r="J221" s="777">
        <v>8.0</v>
      </c>
      <c r="K221" s="777">
        <v>1.0</v>
      </c>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t="18.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18.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18.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18.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18.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18.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18.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18.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18.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728</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596</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30.75" hidden="1" customHeight="1" outlineLevel="1">
      <c r="A233" s="662"/>
      <c r="B233" s="761"/>
      <c r="C233" s="762">
        <f>IF(C221="","",IF(DAY(C221+1)=1,"",C221+1))</f>
        <v>46102</v>
      </c>
      <c r="D233" s="763" t="str">
        <f>TEXT(C233,"ddd")</f>
        <v>土</v>
      </c>
      <c r="E233" s="764"/>
      <c r="F233" s="765" t="s">
        <v>132</v>
      </c>
      <c r="G233" s="766" t="s">
        <v>729</v>
      </c>
      <c r="H233" s="767">
        <v>1.0</v>
      </c>
      <c r="I233" s="768">
        <v>0.625</v>
      </c>
      <c r="J233" s="767">
        <v>9.0</v>
      </c>
      <c r="K233" s="767">
        <v>2.0</v>
      </c>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t="30.75" hidden="1"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30.75" hidden="1"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30.75" hidden="1"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30.75" hidden="1"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30.75" hidden="1"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30.75" hidden="1"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30.75" hidden="1"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30.75" hidden="1"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30.75" hidden="1"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hidden="1" customHeight="1" outlineLevel="1">
      <c r="A243" s="662"/>
      <c r="B243" s="739"/>
      <c r="C243" s="698"/>
      <c r="D243" s="698"/>
      <c r="E243" s="698"/>
      <c r="F243" s="740" t="s">
        <v>546</v>
      </c>
      <c r="G243" s="741" t="s">
        <v>730</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27.75" hidden="1" customHeight="1" outlineLevel="1">
      <c r="A244" s="662"/>
      <c r="B244" s="744"/>
      <c r="C244" s="745">
        <f>IF(C233="","",IF(DAY(C233+1)=1,"",C233+1))</f>
        <v>46103</v>
      </c>
      <c r="D244" s="746" t="str">
        <f>TEXT(C244,"ddd")</f>
        <v>日</v>
      </c>
      <c r="E244" s="747"/>
      <c r="F244" s="775" t="s">
        <v>132</v>
      </c>
      <c r="G244" s="776" t="s">
        <v>731</v>
      </c>
      <c r="H244" s="777"/>
      <c r="I244" s="778">
        <v>0.6666666666666666</v>
      </c>
      <c r="J244" s="777">
        <v>8.0</v>
      </c>
      <c r="K244" s="777">
        <v>1.0</v>
      </c>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t="27.75" hidden="1"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27.75" hidden="1"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27.75" hidden="1"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27.75" hidden="1"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27.75" hidden="1"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27.75" hidden="1"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27.75" hidden="1"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27.75" hidden="1"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27.75" hidden="1"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hidden="1" customHeight="1" outlineLevel="1">
      <c r="A254" s="662"/>
      <c r="B254" s="739"/>
      <c r="C254" s="698"/>
      <c r="D254" s="698"/>
      <c r="E254" s="698"/>
      <c r="F254" s="758" t="s">
        <v>546</v>
      </c>
      <c r="G254" s="759" t="s">
        <v>732</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92.25" hidden="1" customHeight="1" outlineLevel="1">
      <c r="A255" s="662"/>
      <c r="B255" s="761"/>
      <c r="C255" s="762">
        <f>IF(C244="","",IF(DAY(C244+1)=1,"",C244+1))</f>
        <v>46104</v>
      </c>
      <c r="D255" s="763" t="str">
        <f>TEXT(C255,"ddd")</f>
        <v>月</v>
      </c>
      <c r="E255" s="764"/>
      <c r="F255" s="765" t="s">
        <v>132</v>
      </c>
      <c r="G255" s="766" t="s">
        <v>733</v>
      </c>
      <c r="H255" s="767"/>
      <c r="I255" s="768">
        <v>0.625</v>
      </c>
      <c r="J255" s="767">
        <v>8.0</v>
      </c>
      <c r="K255" s="767">
        <v>3.0</v>
      </c>
      <c r="L255" s="769" t="s">
        <v>510</v>
      </c>
      <c r="M255" s="769" t="s">
        <v>559</v>
      </c>
      <c r="N255" s="765" t="s">
        <v>734</v>
      </c>
      <c r="O255" s="770"/>
      <c r="P255" s="771"/>
      <c r="Q255" s="772"/>
      <c r="R255" s="662"/>
      <c r="S255" s="228" t="str">
        <f t="array" ref="S255">IFERROR(INDEX('💻シート作成'!$D$6:$D1001, MATCH(T255, '💻シート作成'!$E$6:$E1001, 0)), "")</f>
        <v/>
      </c>
      <c r="T255" s="184"/>
      <c r="U255" s="665"/>
      <c r="V255" s="774"/>
      <c r="W255" s="662"/>
      <c r="X255" s="757"/>
      <c r="Y255" s="662"/>
      <c r="Z255" s="662"/>
    </row>
    <row r="256" ht="92.25" hidden="1"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92.25" hidden="1"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92.25" hidden="1"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92.25" hidden="1"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92.25" hidden="1"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92.25" hidden="1"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92.25" hidden="1"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92.25" hidden="1"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92.25" hidden="1"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hidden="1" customHeight="1" outlineLevel="1">
      <c r="A265" s="662"/>
      <c r="B265" s="739"/>
      <c r="C265" s="698"/>
      <c r="D265" s="698"/>
      <c r="E265" s="698"/>
      <c r="F265" s="740" t="s">
        <v>546</v>
      </c>
      <c r="G265" s="741" t="s">
        <v>735</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46105</v>
      </c>
      <c r="D266" s="746" t="str">
        <f>TEXT(C266,"ddd")</f>
        <v>火</v>
      </c>
      <c r="E266" s="747"/>
      <c r="F266" s="775" t="s">
        <v>142</v>
      </c>
      <c r="G266" s="776" t="s">
        <v>736</v>
      </c>
      <c r="H266" s="777"/>
      <c r="I266" s="777" t="s">
        <v>570</v>
      </c>
      <c r="J266" s="777" t="s">
        <v>674</v>
      </c>
      <c r="K266" s="777">
        <v>3.0</v>
      </c>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hidden="1" customHeight="1" outlineLevel="1">
      <c r="A276" s="662"/>
      <c r="B276" s="739"/>
      <c r="C276" s="698"/>
      <c r="D276" s="698"/>
      <c r="E276" s="698"/>
      <c r="F276" s="758" t="s">
        <v>546</v>
      </c>
      <c r="G276" s="759" t="s">
        <v>737</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34.5" hidden="1" customHeight="1" outlineLevel="1">
      <c r="A277" s="662"/>
      <c r="B277" s="761"/>
      <c r="C277" s="762">
        <f>IF(C266="","",IF(DAY(C266+1)=1,"",C266+1))</f>
        <v>46106</v>
      </c>
      <c r="D277" s="763" t="str">
        <f>TEXT(C277,"ddd")</f>
        <v>水</v>
      </c>
      <c r="E277" s="764"/>
      <c r="F277" s="765" t="s">
        <v>132</v>
      </c>
      <c r="G277" s="766" t="s">
        <v>738</v>
      </c>
      <c r="H277" s="767"/>
      <c r="I277" s="768">
        <v>0.6770833333333334</v>
      </c>
      <c r="J277" s="767">
        <v>8.0</v>
      </c>
      <c r="K277" s="767">
        <v>4.0</v>
      </c>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34.5" hidden="1"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34.5" hidden="1"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34.5" hidden="1"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34.5" hidden="1"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34.5" hidden="1"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34.5" hidden="1"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34.5" hidden="1"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34.5" hidden="1"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34.5" hidden="1"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hidden="1" customHeight="1" outlineLevel="1">
      <c r="A287" s="662"/>
      <c r="B287" s="739"/>
      <c r="C287" s="698"/>
      <c r="D287" s="698"/>
      <c r="E287" s="698"/>
      <c r="F287" s="740" t="s">
        <v>546</v>
      </c>
      <c r="G287" s="741" t="s">
        <v>739</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597</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26.25" customHeight="1" outlineLevel="1">
      <c r="A289" s="662"/>
      <c r="B289" s="744"/>
      <c r="C289" s="745">
        <f>IF(C277="","",IF(DAY(C277+1)=1,"",C277+1))</f>
        <v>46107</v>
      </c>
      <c r="D289" s="746" t="str">
        <f>TEXT(C289,"ddd")</f>
        <v>木</v>
      </c>
      <c r="E289" s="747"/>
      <c r="F289" s="775" t="s">
        <v>132</v>
      </c>
      <c r="G289" s="776" t="s">
        <v>740</v>
      </c>
      <c r="H289" s="777"/>
      <c r="I289" s="778">
        <v>0.7083333333333334</v>
      </c>
      <c r="J289" s="777">
        <v>6.0</v>
      </c>
      <c r="K289" s="777">
        <v>3.0</v>
      </c>
      <c r="L289" s="755"/>
      <c r="M289" s="755"/>
      <c r="N289" s="775"/>
      <c r="O289" s="779"/>
      <c r="P289" s="771"/>
      <c r="Q289" s="772"/>
      <c r="R289" s="662"/>
      <c r="S289" s="662"/>
      <c r="T289" s="662"/>
      <c r="U289" s="665"/>
      <c r="V289" s="666"/>
      <c r="W289" s="662"/>
      <c r="X289" s="662"/>
      <c r="Y289" s="662"/>
      <c r="Z289" s="662"/>
    </row>
    <row r="290" ht="26.2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26.2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26.2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26.2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26.2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26.2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26.2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26.2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26.2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741</v>
      </c>
      <c r="H299" s="742"/>
      <c r="I299" s="742"/>
      <c r="J299" s="742"/>
      <c r="K299" s="742"/>
      <c r="L299" s="759"/>
      <c r="M299" s="759"/>
      <c r="N299" s="759"/>
      <c r="O299" s="759"/>
      <c r="P299" s="759"/>
      <c r="Q299" s="760"/>
      <c r="R299" s="662"/>
      <c r="S299" s="662"/>
      <c r="T299" s="662"/>
      <c r="U299" s="665"/>
      <c r="V299" s="666"/>
      <c r="W299" s="662"/>
      <c r="X299" s="662"/>
      <c r="Y299" s="662"/>
      <c r="Z299" s="662"/>
    </row>
    <row r="300" ht="29.25" customHeight="1" outlineLevel="1">
      <c r="A300" s="662"/>
      <c r="B300" s="761"/>
      <c r="C300" s="762">
        <f>IF(C289="","",IF(DAY(C289+1)=1,"",C289+1))</f>
        <v>46108</v>
      </c>
      <c r="D300" s="763" t="str">
        <f>TEXT(C300,"ddd")</f>
        <v>金</v>
      </c>
      <c r="E300" s="764"/>
      <c r="F300" s="765" t="s">
        <v>132</v>
      </c>
      <c r="G300" s="766" t="s">
        <v>742</v>
      </c>
      <c r="H300" s="767"/>
      <c r="I300" s="768">
        <v>0.6458333333333334</v>
      </c>
      <c r="J300" s="767">
        <v>8.0</v>
      </c>
      <c r="K300" s="767">
        <v>2.0</v>
      </c>
      <c r="L300" s="769"/>
      <c r="M300" s="769"/>
      <c r="N300" s="765"/>
      <c r="O300" s="770"/>
      <c r="P300" s="771"/>
      <c r="Q300" s="772"/>
      <c r="R300" s="662"/>
      <c r="S300" s="662"/>
      <c r="T300" s="662"/>
      <c r="U300" s="665"/>
      <c r="V300" s="666"/>
      <c r="W300" s="662"/>
      <c r="X300" s="662"/>
      <c r="Y300" s="662"/>
      <c r="Z300" s="662"/>
    </row>
    <row r="301" ht="29.2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29.2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29.2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29.2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29.2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29.2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29.2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29.2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29.2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743</v>
      </c>
      <c r="H310" s="742"/>
      <c r="I310" s="742"/>
      <c r="J310" s="742"/>
      <c r="K310" s="742"/>
      <c r="L310" s="741"/>
      <c r="M310" s="741"/>
      <c r="N310" s="741"/>
      <c r="O310" s="741"/>
      <c r="P310" s="741"/>
      <c r="Q310" s="743"/>
      <c r="R310" s="662"/>
      <c r="S310" s="662"/>
      <c r="T310" s="662"/>
      <c r="U310" s="665"/>
      <c r="V310" s="666"/>
      <c r="W310" s="662"/>
      <c r="X310" s="662"/>
      <c r="Y310" s="662"/>
      <c r="Z310" s="662"/>
    </row>
    <row r="311" ht="51.75" customHeight="1" outlineLevel="1">
      <c r="A311" s="662"/>
      <c r="B311" s="744"/>
      <c r="C311" s="745">
        <f>IF(C300="","",IF(DAY(C300+1)=1,"",C300+1))</f>
        <v>46109</v>
      </c>
      <c r="D311" s="746" t="str">
        <f>TEXT(C311,"ddd")</f>
        <v>土</v>
      </c>
      <c r="E311" s="747"/>
      <c r="F311" s="775" t="s">
        <v>132</v>
      </c>
      <c r="G311" s="776" t="s">
        <v>744</v>
      </c>
      <c r="H311" s="777"/>
      <c r="I311" s="778">
        <v>0.65625</v>
      </c>
      <c r="J311" s="777">
        <v>7.0</v>
      </c>
      <c r="K311" s="777">
        <v>3.0</v>
      </c>
      <c r="L311" s="755" t="s">
        <v>182</v>
      </c>
      <c r="M311" s="755" t="s">
        <v>745</v>
      </c>
      <c r="N311" s="775"/>
      <c r="O311" s="779"/>
      <c r="P311" s="771"/>
      <c r="Q311" s="772"/>
      <c r="R311" s="662"/>
      <c r="S311" s="662"/>
      <c r="T311" s="662"/>
      <c r="U311" s="665"/>
      <c r="V311" s="666"/>
      <c r="W311" s="662"/>
      <c r="X311" s="662"/>
      <c r="Y311" s="662"/>
      <c r="Z311" s="662"/>
    </row>
    <row r="312" ht="51.7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51.7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51.7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51.7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51.7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51.7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51.7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51.7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51.7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746</v>
      </c>
      <c r="H321" s="742"/>
      <c r="I321" s="742"/>
      <c r="J321" s="742"/>
      <c r="K321" s="742"/>
      <c r="L321" s="759"/>
      <c r="M321" s="759"/>
      <c r="N321" s="759"/>
      <c r="O321" s="759"/>
      <c r="P321" s="759"/>
      <c r="Q321" s="760"/>
      <c r="R321" s="662"/>
      <c r="S321" s="662"/>
      <c r="T321" s="662"/>
      <c r="U321" s="665"/>
      <c r="V321" s="666"/>
      <c r="W321" s="662"/>
      <c r="X321" s="662"/>
      <c r="Y321" s="662"/>
      <c r="Z321" s="662"/>
    </row>
    <row r="322" ht="17.25" customHeight="1" outlineLevel="1">
      <c r="A322" s="662"/>
      <c r="B322" s="761"/>
      <c r="C322" s="762">
        <f>IF(C311="","",IF(DAY(C311+1)=1,"",C311+1))</f>
        <v>46110</v>
      </c>
      <c r="D322" s="763" t="str">
        <f>TEXT(C322,"ddd")</f>
        <v>日</v>
      </c>
      <c r="E322" s="764"/>
      <c r="F322" s="765" t="s">
        <v>594</v>
      </c>
      <c r="G322" s="766" t="s">
        <v>747</v>
      </c>
      <c r="H322" s="767"/>
      <c r="I322" s="768">
        <v>0.6666666666666666</v>
      </c>
      <c r="J322" s="767">
        <v>8.0</v>
      </c>
      <c r="K322" s="767">
        <v>3.0</v>
      </c>
      <c r="L322" s="769"/>
      <c r="M322" s="769"/>
      <c r="N322" s="765"/>
      <c r="O322" s="770"/>
      <c r="P322" s="771"/>
      <c r="Q322" s="772"/>
      <c r="R322" s="662"/>
      <c r="S322" s="662"/>
      <c r="T322" s="662"/>
      <c r="U322" s="665"/>
      <c r="V322" s="666"/>
      <c r="W322" s="662"/>
      <c r="X322" s="662"/>
      <c r="Y322" s="662"/>
      <c r="Z322" s="662"/>
    </row>
    <row r="323" ht="17.25" customHeight="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t="17.25" customHeight="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t="17.25" customHeight="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t="17.25" customHeight="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t="17.25" customHeight="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t="17.25" customHeight="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t="17.25" customHeight="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t="17.25" customHeight="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t="17.25" customHeight="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t="18.0" customHeight="1" outlineLevel="1">
      <c r="A332" s="662"/>
      <c r="B332" s="739"/>
      <c r="C332" s="698"/>
      <c r="D332" s="698"/>
      <c r="E332" s="698"/>
      <c r="F332" s="740" t="s">
        <v>546</v>
      </c>
      <c r="G332" s="741" t="s">
        <v>748</v>
      </c>
      <c r="H332" s="742"/>
      <c r="I332" s="742"/>
      <c r="J332" s="742"/>
      <c r="K332" s="742"/>
      <c r="L332" s="741"/>
      <c r="M332" s="741"/>
      <c r="N332" s="741"/>
      <c r="O332" s="741"/>
      <c r="P332" s="741"/>
      <c r="Q332" s="743"/>
      <c r="R332" s="662"/>
      <c r="S332" s="662"/>
      <c r="T332" s="662"/>
      <c r="U332" s="665"/>
      <c r="V332" s="666"/>
      <c r="W332" s="662"/>
      <c r="X332" s="662"/>
      <c r="Y332" s="662"/>
      <c r="Z332" s="662"/>
    </row>
    <row r="333" ht="22.5" customHeight="1" outlineLevel="1">
      <c r="A333" s="662"/>
      <c r="B333" s="744"/>
      <c r="C333" s="745">
        <f>IF(C322="","",IF(DAY(C322+1)=1,"",C322+1))</f>
        <v>46111</v>
      </c>
      <c r="D333" s="746" t="str">
        <f>TEXT(C333,"ddd")</f>
        <v>月</v>
      </c>
      <c r="E333" s="747"/>
      <c r="F333" s="775" t="s">
        <v>142</v>
      </c>
      <c r="G333" s="776" t="s">
        <v>749</v>
      </c>
      <c r="H333" s="777"/>
      <c r="I333" s="778">
        <v>0.6979166666666666</v>
      </c>
      <c r="J333" s="777">
        <v>8.0</v>
      </c>
      <c r="K333" s="777">
        <v>3.0</v>
      </c>
      <c r="L333" s="755" t="s">
        <v>497</v>
      </c>
      <c r="M333" s="755" t="s">
        <v>750</v>
      </c>
      <c r="N333" s="775"/>
      <c r="O333" s="779"/>
      <c r="P333" s="771"/>
      <c r="Q333" s="772"/>
      <c r="R333" s="662"/>
      <c r="S333" s="662"/>
      <c r="T333" s="662"/>
      <c r="U333" s="665"/>
      <c r="V333" s="666"/>
      <c r="W333" s="662"/>
      <c r="X333" s="662"/>
      <c r="Y333" s="662"/>
      <c r="Z333" s="662"/>
    </row>
    <row r="334" ht="22.5" customHeight="1" outlineLevel="1">
      <c r="A334" s="662"/>
      <c r="B334" s="730"/>
      <c r="C334" s="731"/>
      <c r="D334" s="731"/>
      <c r="E334" s="731"/>
      <c r="F334" s="731"/>
      <c r="G334" s="732"/>
      <c r="H334" s="731"/>
      <c r="I334" s="731"/>
      <c r="J334" s="731"/>
      <c r="K334" s="731"/>
      <c r="L334" s="755" t="s">
        <v>499</v>
      </c>
      <c r="M334" s="755" t="s">
        <v>751</v>
      </c>
      <c r="N334" s="731"/>
      <c r="O334" s="734"/>
      <c r="Q334" s="729"/>
      <c r="R334" s="662"/>
      <c r="S334" s="662"/>
      <c r="T334" s="662"/>
      <c r="U334" s="665"/>
      <c r="V334" s="666"/>
      <c r="W334" s="662"/>
      <c r="X334" s="662"/>
      <c r="Y334" s="662"/>
      <c r="Z334" s="662"/>
    </row>
    <row r="335" ht="22.5" customHeight="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t="22.5" customHeight="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t="22.5" customHeight="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t="22.5" customHeight="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t="22.5" customHeight="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t="22.5" customHeight="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t="22.5" customHeight="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t="22.5" customHeight="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t="18.0" customHeight="1" outlineLevel="1">
      <c r="A343" s="662"/>
      <c r="B343" s="739"/>
      <c r="C343" s="698"/>
      <c r="D343" s="698"/>
      <c r="E343" s="698"/>
      <c r="F343" s="758" t="s">
        <v>546</v>
      </c>
      <c r="G343" s="759" t="s">
        <v>752</v>
      </c>
      <c r="H343" s="742"/>
      <c r="I343" s="742"/>
      <c r="J343" s="742"/>
      <c r="K343" s="742"/>
      <c r="L343" s="759"/>
      <c r="M343" s="759"/>
      <c r="N343" s="759"/>
      <c r="O343" s="759"/>
      <c r="P343" s="759"/>
      <c r="Q343" s="760"/>
      <c r="R343" s="662"/>
      <c r="S343" s="662"/>
      <c r="T343" s="662"/>
      <c r="U343" s="665"/>
      <c r="V343" s="666"/>
      <c r="W343" s="662"/>
      <c r="X343" s="662"/>
      <c r="Y343" s="662"/>
      <c r="Z343" s="662"/>
    </row>
    <row r="344" ht="53.25" customHeight="1" outlineLevel="1">
      <c r="A344" s="662"/>
      <c r="B344" s="761"/>
      <c r="C344" s="762">
        <f>IF(C333="","",IF(DAY(C333+1)=1,"",C333+1))</f>
        <v>46112</v>
      </c>
      <c r="D344" s="763" t="str">
        <f>TEXT(C344,"ddd")</f>
        <v>火</v>
      </c>
      <c r="E344" s="764"/>
      <c r="F344" s="765" t="s">
        <v>132</v>
      </c>
      <c r="G344" s="766" t="s">
        <v>753</v>
      </c>
      <c r="H344" s="767"/>
      <c r="I344" s="768">
        <v>0.6875</v>
      </c>
      <c r="J344" s="767">
        <v>8.0</v>
      </c>
      <c r="K344" s="767">
        <v>3.0</v>
      </c>
      <c r="L344" s="769" t="s">
        <v>505</v>
      </c>
      <c r="M344" s="769" t="s">
        <v>754</v>
      </c>
      <c r="N344" s="765"/>
      <c r="O344" s="770"/>
      <c r="P344" s="771"/>
      <c r="Q344" s="772"/>
      <c r="R344" s="662"/>
      <c r="S344" s="662"/>
      <c r="T344" s="662"/>
      <c r="U344" s="665"/>
      <c r="V344" s="666"/>
      <c r="W344" s="662"/>
      <c r="X344" s="662"/>
      <c r="Y344" s="662"/>
      <c r="Z344" s="662"/>
    </row>
    <row r="345" ht="53.25" customHeight="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t="53.25" customHeight="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t="53.25" customHeight="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t="53.25" customHeight="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t="53.25" customHeight="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t="53.25" customHeight="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t="53.25" customHeight="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t="53.25" customHeight="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t="53.25" customHeight="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t="18.0" customHeight="1" outlineLevel="1">
      <c r="A354" s="662"/>
      <c r="B354" s="789"/>
      <c r="C354" s="790"/>
      <c r="D354" s="790"/>
      <c r="E354" s="790"/>
      <c r="F354" s="791" t="s">
        <v>546</v>
      </c>
      <c r="G354" s="792" t="s">
        <v>755</v>
      </c>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598</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599</v>
      </c>
      <c r="C4" s="806"/>
      <c r="D4" s="807" t="s">
        <v>600</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54</v>
      </c>
      <c r="C5" s="809" t="s">
        <v>84</v>
      </c>
      <c r="D5" s="810" t="s">
        <v>132</v>
      </c>
      <c r="E5" s="811" t="b">
        <v>1</v>
      </c>
      <c r="F5" s="809" t="s">
        <v>601</v>
      </c>
      <c r="G5" s="812" t="s">
        <v>213</v>
      </c>
      <c r="H5" s="813" t="b">
        <v>1</v>
      </c>
      <c r="J5" s="814"/>
      <c r="K5" s="798"/>
      <c r="L5" s="815" t="s">
        <v>602</v>
      </c>
      <c r="T5" s="814"/>
      <c r="U5" s="816" t="s">
        <v>603</v>
      </c>
      <c r="AC5" s="799"/>
      <c r="AD5" s="817" t="s">
        <v>96</v>
      </c>
      <c r="AE5" s="817" t="s">
        <v>604</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605</v>
      </c>
      <c r="M7" s="236"/>
      <c r="N7" s="236"/>
      <c r="O7" s="236"/>
      <c r="P7" s="236"/>
      <c r="Q7" s="236"/>
      <c r="R7" s="236"/>
      <c r="S7" s="113"/>
      <c r="T7" s="821" t="s">
        <v>606</v>
      </c>
      <c r="U7" s="822" t="s">
        <v>607</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608</v>
      </c>
      <c r="C8" s="824"/>
      <c r="D8" s="825" t="s">
        <v>51</v>
      </c>
      <c r="E8" s="826" t="str">
        <f>IFERROR(__xludf.DUMMYFUNCTION("IFERROR(INDEX(FILTER($AE$6:$AE$200, $AD$6:$AD$200=$B$5, REGEXMATCH($AE$6:$AE$200, ""集計"")), 1), """")
"),"①R8_3集計")</f>
        <v>①R8_3集計</v>
      </c>
      <c r="F8" s="526"/>
      <c r="G8" s="223"/>
      <c r="H8" s="223"/>
      <c r="I8" s="200"/>
      <c r="J8" s="814"/>
      <c r="K8" s="798"/>
      <c r="L8" s="827" t="s">
        <v>756</v>
      </c>
      <c r="M8" s="247"/>
      <c r="N8" s="247"/>
      <c r="O8" s="247"/>
      <c r="P8" s="247"/>
      <c r="Q8" s="247"/>
      <c r="R8" s="247"/>
      <c r="S8" s="250"/>
      <c r="U8" s="827" t="s">
        <v>757</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0.2340111708</v>
      </c>
      <c r="D10" s="833">
        <f t="array" ref="D10">INDIRECT($E$8 &amp; "!E8")</f>
        <v>0.6011474731</v>
      </c>
      <c r="E10" s="833">
        <f t="array" ref="E10">INDIRECT($E$8 &amp; "!G8")</f>
        <v>0.8882949309</v>
      </c>
      <c r="F10" s="834">
        <f t="array" ref="F10">INDIRECT($E$8 &amp; "!H8")</f>
        <v>5290320</v>
      </c>
      <c r="G10" s="834">
        <f t="array" ref="G10">INDIRECT($E$8 &amp; "!K8")</f>
        <v>0</v>
      </c>
      <c r="H10" s="834">
        <f t="array" ref="H10">INDIRECT($E$8 &amp; "!M8")</f>
        <v>1237993.977</v>
      </c>
      <c r="I10" s="833">
        <f t="array" ref="I10">INDIRECT($E$8 &amp; "!AT7")</f>
        <v>0.0009216589862</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0.271283732</v>
      </c>
      <c r="D11" s="837"/>
      <c r="E11" s="838"/>
      <c r="F11" s="839">
        <f t="array" ref="F11">INDIRECT($E$8 &amp; "!H7")</f>
        <v>4938757.5</v>
      </c>
      <c r="G11" s="837"/>
      <c r="H11" s="840">
        <f t="array" ref="H11">INDIRECT($E$8 &amp; "!M7")</f>
        <v>1339804.566</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609</v>
      </c>
      <c r="C13" s="844"/>
      <c r="D13" s="845" t="s">
        <v>51</v>
      </c>
      <c r="E13" s="846" t="s">
        <v>610</v>
      </c>
      <c r="F13" s="200"/>
      <c r="G13" s="200"/>
      <c r="H13" s="847" t="s">
        <v>35</v>
      </c>
      <c r="I13" s="848">
        <f t="array" ref="I13">xlookup($B$5,'🔵クレーム'!$C$10:$C$21,'🔵クレーム'!X$10:X$21)</f>
        <v>0.001004823151</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611</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0</v>
      </c>
      <c r="F15" s="851">
        <f t="array" ref="F15">xlookup($B$5,'🔵クレーム'!$C$10:$C$21,'🔵クレーム'!H$10:H$21)</f>
        <v>0</v>
      </c>
      <c r="G15" s="851">
        <f t="array" ref="G15">xlookup($B$5,'🔵クレーム'!$C$10:$C$21,'🔵クレーム'!I$10:I$21)</f>
        <v>4</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5</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0</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612</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613</v>
      </c>
      <c r="C20" s="830" t="s">
        <v>614</v>
      </c>
      <c r="D20" s="830" t="s">
        <v>89</v>
      </c>
      <c r="E20" s="830" t="s">
        <v>90</v>
      </c>
      <c r="F20" s="830" t="s">
        <v>615</v>
      </c>
      <c r="G20" s="830" t="s">
        <v>644</v>
      </c>
      <c r="H20" s="830" t="s">
        <v>135</v>
      </c>
      <c r="I20" s="830" t="s">
        <v>616</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15.0</v>
      </c>
      <c r="F21" s="862">
        <v>3.0</v>
      </c>
      <c r="G21" s="862">
        <v>2.0</v>
      </c>
      <c r="H21" s="863"/>
      <c r="I21" s="864">
        <f>sum(B21:G21)</f>
        <v>29</v>
      </c>
      <c r="J21" s="814"/>
      <c r="K21" s="798"/>
      <c r="L21" s="865" t="s">
        <v>617</v>
      </c>
      <c r="M21" s="232"/>
      <c r="N21" s="232"/>
      <c r="O21" s="232"/>
      <c r="P21" s="232"/>
      <c r="Q21" s="232"/>
      <c r="R21" s="232"/>
      <c r="S21" s="3"/>
      <c r="T21" s="821" t="s">
        <v>606</v>
      </c>
      <c r="U21" s="822" t="s">
        <v>618</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758</v>
      </c>
      <c r="M22" s="247"/>
      <c r="N22" s="247"/>
      <c r="O22" s="247"/>
      <c r="P22" s="247"/>
      <c r="Q22" s="247"/>
      <c r="R22" s="247"/>
      <c r="S22" s="250"/>
      <c r="U22" s="827" t="s">
        <v>759</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619</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620</v>
      </c>
      <c r="C25" s="870" t="s">
        <v>621</v>
      </c>
      <c r="D25" s="3"/>
      <c r="E25" s="870" t="s">
        <v>622</v>
      </c>
      <c r="F25" s="232"/>
      <c r="G25" s="232"/>
      <c r="H25" s="870" t="s">
        <v>623</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760</v>
      </c>
      <c r="C26" s="872" t="s">
        <v>90</v>
      </c>
      <c r="D26" s="3"/>
      <c r="E26" s="872" t="s">
        <v>761</v>
      </c>
      <c r="F26" s="232"/>
      <c r="G26" s="232"/>
      <c r="H26" s="873" t="s">
        <v>762</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624</v>
      </c>
      <c r="M35" s="232"/>
      <c r="N35" s="232"/>
      <c r="O35" s="232"/>
      <c r="P35" s="232"/>
      <c r="Q35" s="232"/>
      <c r="R35" s="232"/>
      <c r="S35" s="3"/>
      <c r="T35" s="821" t="s">
        <v>606</v>
      </c>
      <c r="U35" s="822" t="s">
        <v>624</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763</v>
      </c>
      <c r="M36" s="247"/>
      <c r="N36" s="247"/>
      <c r="O36" s="247"/>
      <c r="P36" s="247"/>
      <c r="Q36" s="247"/>
      <c r="R36" s="247"/>
      <c r="S36" s="250"/>
      <c r="U36" s="827" t="s">
        <v>764</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625</v>
      </c>
      <c r="C37" s="877"/>
      <c r="D37" s="878">
        <f>counta(C39:D48)</f>
        <v>8</v>
      </c>
      <c r="E37" s="879" t="s">
        <v>626</v>
      </c>
      <c r="F37" s="880"/>
      <c r="G37" s="878">
        <f>D37 - COUNTIF(E39:E48,"採用")</f>
        <v>7</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622</v>
      </c>
      <c r="F38" s="883"/>
      <c r="G38" s="882" t="s">
        <v>627</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930">
        <v>46083.0</v>
      </c>
      <c r="C39" s="886" t="s">
        <v>765</v>
      </c>
      <c r="D39" s="883"/>
      <c r="E39" s="887" t="s">
        <v>766</v>
      </c>
      <c r="F39" s="883"/>
      <c r="G39" s="931"/>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930">
        <v>46086.0</v>
      </c>
      <c r="C40" s="886" t="s">
        <v>767</v>
      </c>
      <c r="D40" s="883"/>
      <c r="E40" s="887" t="s">
        <v>768</v>
      </c>
      <c r="F40" s="883"/>
      <c r="G40" s="931" t="s">
        <v>769</v>
      </c>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930">
        <v>46090.0</v>
      </c>
      <c r="C41" s="886" t="s">
        <v>507</v>
      </c>
      <c r="D41" s="883"/>
      <c r="E41" s="887" t="s">
        <v>766</v>
      </c>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930">
        <v>46097.0</v>
      </c>
      <c r="C42" s="886" t="s">
        <v>770</v>
      </c>
      <c r="D42" s="883"/>
      <c r="E42" s="887" t="s">
        <v>771</v>
      </c>
      <c r="F42" s="883"/>
      <c r="G42" s="931" t="s">
        <v>772</v>
      </c>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930">
        <v>46098.0</v>
      </c>
      <c r="C43" s="886" t="s">
        <v>773</v>
      </c>
      <c r="D43" s="883"/>
      <c r="E43" s="887" t="s">
        <v>771</v>
      </c>
      <c r="F43" s="883"/>
      <c r="G43" s="931" t="s">
        <v>774</v>
      </c>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930">
        <v>46098.0</v>
      </c>
      <c r="C44" s="886" t="s">
        <v>775</v>
      </c>
      <c r="D44" s="883"/>
      <c r="E44" s="887" t="s">
        <v>766</v>
      </c>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930">
        <v>46104.0</v>
      </c>
      <c r="C45" s="886" t="s">
        <v>776</v>
      </c>
      <c r="D45" s="883"/>
      <c r="E45" s="887" t="s">
        <v>771</v>
      </c>
      <c r="F45" s="883"/>
      <c r="G45" s="931" t="s">
        <v>777</v>
      </c>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930">
        <v>46104.0</v>
      </c>
      <c r="C46" s="886" t="s">
        <v>514</v>
      </c>
      <c r="D46" s="883"/>
      <c r="E46" s="887" t="s">
        <v>778</v>
      </c>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628</v>
      </c>
      <c r="M49" s="232"/>
      <c r="N49" s="232"/>
      <c r="O49" s="232"/>
      <c r="P49" s="232"/>
      <c r="Q49" s="232"/>
      <c r="R49" s="232"/>
      <c r="S49" s="3"/>
      <c r="T49" s="821" t="s">
        <v>606</v>
      </c>
      <c r="U49" s="822" t="s">
        <v>629</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630</v>
      </c>
      <c r="C50" s="896"/>
      <c r="D50" s="897">
        <f>COUNTA(C52:D62)</f>
        <v>2</v>
      </c>
      <c r="E50" s="860"/>
      <c r="F50" s="860"/>
      <c r="G50" s="860"/>
      <c r="H50" s="860"/>
      <c r="I50" s="799"/>
      <c r="J50" s="799"/>
      <c r="K50" s="798"/>
      <c r="L50" s="827" t="s">
        <v>779</v>
      </c>
      <c r="M50" s="247"/>
      <c r="N50" s="247"/>
      <c r="O50" s="247"/>
      <c r="P50" s="247"/>
      <c r="Q50" s="247"/>
      <c r="R50" s="247"/>
      <c r="S50" s="250"/>
      <c r="U50" s="827" t="s">
        <v>780</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631</v>
      </c>
      <c r="C51" s="882" t="s">
        <v>465</v>
      </c>
      <c r="D51" s="883"/>
      <c r="E51" s="881" t="s">
        <v>632</v>
      </c>
      <c r="F51" s="881" t="s">
        <v>633</v>
      </c>
      <c r="G51" s="881" t="s">
        <v>634</v>
      </c>
      <c r="H51" s="882" t="s">
        <v>635</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2405.0</v>
      </c>
      <c r="C52" s="886" t="s">
        <v>510</v>
      </c>
      <c r="D52" s="883"/>
      <c r="E52" s="932">
        <v>46094.0</v>
      </c>
      <c r="F52" s="900" t="s">
        <v>781</v>
      </c>
      <c r="G52" s="900" t="s">
        <v>782</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2406.0</v>
      </c>
      <c r="C53" s="886" t="s">
        <v>511</v>
      </c>
      <c r="D53" s="883"/>
      <c r="E53" s="932">
        <v>46098.0</v>
      </c>
      <c r="F53" s="900" t="s">
        <v>781</v>
      </c>
      <c r="G53" s="900" t="s">
        <v>783</v>
      </c>
      <c r="H53" s="901" t="s">
        <v>90</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636</v>
      </c>
      <c r="M63" s="232"/>
      <c r="N63" s="232"/>
      <c r="O63" s="232"/>
      <c r="P63" s="232"/>
      <c r="Q63" s="232"/>
      <c r="R63" s="232"/>
      <c r="S63" s="3"/>
      <c r="T63" s="821" t="s">
        <v>606</v>
      </c>
      <c r="U63" s="822" t="s">
        <v>637</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638</v>
      </c>
      <c r="C64" s="903"/>
      <c r="D64" s="897">
        <f>COUNTA(C66:D76)</f>
        <v>2</v>
      </c>
      <c r="E64" s="860"/>
      <c r="F64" s="860"/>
      <c r="G64" s="860"/>
      <c r="H64" s="860"/>
      <c r="I64" s="860"/>
      <c r="J64" s="799"/>
      <c r="K64" s="798"/>
      <c r="L64" s="827" t="s">
        <v>784</v>
      </c>
      <c r="M64" s="247"/>
      <c r="N64" s="247"/>
      <c r="O64" s="247"/>
      <c r="P64" s="247"/>
      <c r="Q64" s="247"/>
      <c r="R64" s="247"/>
      <c r="S64" s="250"/>
      <c r="U64" s="827" t="s">
        <v>785</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631</v>
      </c>
      <c r="C65" s="882" t="s">
        <v>465</v>
      </c>
      <c r="D65" s="883"/>
      <c r="E65" s="881" t="s">
        <v>639</v>
      </c>
      <c r="F65" s="882" t="s">
        <v>640</v>
      </c>
      <c r="G65" s="883"/>
      <c r="H65" s="882" t="s">
        <v>635</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1187.0</v>
      </c>
      <c r="C66" s="886" t="s">
        <v>786</v>
      </c>
      <c r="D66" s="883"/>
      <c r="E66" s="934">
        <v>46112.0</v>
      </c>
      <c r="F66" s="931" t="s">
        <v>787</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933">
        <v>2340.0</v>
      </c>
      <c r="C67" s="886" t="s">
        <v>554</v>
      </c>
      <c r="D67" s="883"/>
      <c r="E67" s="934">
        <v>46112.0</v>
      </c>
      <c r="F67" s="931" t="s">
        <v>788</v>
      </c>
      <c r="G67" s="883"/>
      <c r="H67" s="905" t="s">
        <v>90</v>
      </c>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641</v>
      </c>
      <c r="M77" s="232"/>
      <c r="N77" s="232"/>
      <c r="O77" s="232"/>
      <c r="P77" s="232"/>
      <c r="Q77" s="232"/>
      <c r="R77" s="232"/>
      <c r="S77" s="3"/>
      <c r="T77" s="814"/>
      <c r="U77" s="906" t="s">
        <v>642</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789</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643</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790</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39.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314</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4642325</v>
      </c>
      <c r="I9" s="374" t="s">
        <v>312</v>
      </c>
      <c r="J9" s="375" t="s">
        <v>312</v>
      </c>
      <c r="K9" s="376" t="s">
        <v>312</v>
      </c>
      <c r="L9" s="376" t="s">
        <v>312</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364</v>
      </c>
      <c r="BI12" s="222"/>
      <c r="BJ12" s="222"/>
      <c r="BL12" s="222"/>
      <c r="BM12" s="222"/>
    </row>
    <row r="13" ht="15.75" customHeight="1">
      <c r="A13" s="314" t="s">
        <v>365</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365</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365</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365</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365</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644</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365</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365</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365</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IFERROR(__xludf.DUMMYFUNCTION("IMPORTRANGE(""https://docs.google.com/spreadsheets/d/1QbHfX9wvC_RRupa4CCe_ZxA6O4e2Ap9vqX5hrZPeQRg/edit?gid=284905409#gid=284905409"",""date2_1!B17"")/G5*COUNTIFS($E$13:$E$43,""&gt;0"")+sum(AZ14:BA19)"),853150.0)</f>
        <v>853150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365</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365</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365</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365</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365</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365</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365</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365</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365</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365</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385</v>
      </c>
      <c r="AZ30" s="445">
        <f>AS46</f>
        <v>4401450</v>
      </c>
      <c r="BA30" s="456" t="s">
        <v>312</v>
      </c>
      <c r="BB30" s="443">
        <f>SUM(AZ30:AZ36)</f>
        <v>4791800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365</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389</v>
      </c>
      <c r="AZ31" s="445">
        <f t="shared" ref="AZ31:AZ32" si="12">BA31/$G$5*COUNTIFS($E$13:$E$43,"&gt;0")</f>
        <v>182400</v>
      </c>
      <c r="BA31" s="462">
        <v>182400.0</v>
      </c>
      <c r="BB31" s="446"/>
      <c r="BC31" s="315"/>
      <c r="BD31" s="463" t="s">
        <v>390</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365</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391</v>
      </c>
      <c r="AZ32" s="445">
        <f t="shared" si="12"/>
        <v>100000</v>
      </c>
      <c r="BA32" s="462">
        <v>100000.0</v>
      </c>
      <c r="BB32" s="446"/>
      <c r="BC32" s="315"/>
      <c r="BD32" s="463" t="s">
        <v>392</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365</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393</v>
      </c>
      <c r="AZ33" s="462">
        <v>0.0</v>
      </c>
      <c r="BA33" s="462">
        <v>105000.0</v>
      </c>
      <c r="BB33" s="446"/>
      <c r="BC33" s="315"/>
      <c r="BD33" s="466" t="s">
        <v>394</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365</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395</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365</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365</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396</v>
      </c>
      <c r="AZ36" s="423">
        <f>BB40</f>
        <v>92750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365</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365</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365</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365</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791</v>
      </c>
      <c r="AZ40" s="462">
        <v>92750.0</v>
      </c>
      <c r="BA40" s="936"/>
      <c r="BB40" s="443">
        <f>SUM(AZ40:AZ45)</f>
        <v>92750</v>
      </c>
      <c r="BC40" s="315"/>
      <c r="BD40" s="473" t="s">
        <v>391</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412</v>
      </c>
      <c r="M2" s="532"/>
      <c r="N2" s="533" t="s">
        <v>792</v>
      </c>
      <c r="O2" s="534"/>
      <c r="P2" s="535"/>
      <c r="Q2" s="536"/>
      <c r="R2" s="536"/>
      <c r="S2" s="537"/>
      <c r="T2" s="536"/>
      <c r="U2" s="536"/>
      <c r="V2" s="536"/>
      <c r="W2" s="536"/>
      <c r="X2" s="536"/>
      <c r="Y2" s="538"/>
      <c r="Z2" s="281"/>
      <c r="AA2" s="281"/>
      <c r="AB2" s="281"/>
      <c r="AC2" s="281"/>
      <c r="AD2" s="281"/>
      <c r="AE2" s="281"/>
      <c r="AF2" s="539"/>
      <c r="AG2" s="540"/>
      <c r="AH2" s="541"/>
      <c r="AI2" s="542" t="s">
        <v>793</v>
      </c>
      <c r="AJ2" s="281"/>
      <c r="AK2" s="281"/>
      <c r="AT2" s="281"/>
      <c r="AU2" s="543" t="s">
        <v>415</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417</v>
      </c>
      <c r="AV3" s="559"/>
      <c r="AW3" s="560" t="s">
        <v>52</v>
      </c>
      <c r="AX3" s="560" t="s">
        <v>54</v>
      </c>
      <c r="AY3" s="560" t="s">
        <v>34</v>
      </c>
      <c r="AZ3" s="560" t="s">
        <v>57</v>
      </c>
      <c r="BA3" s="560" t="s">
        <v>59</v>
      </c>
      <c r="BB3" s="560" t="s">
        <v>61</v>
      </c>
      <c r="BC3" s="560" t="s">
        <v>63</v>
      </c>
      <c r="BD3" s="560" t="s">
        <v>65</v>
      </c>
      <c r="BE3" s="560" t="s">
        <v>67</v>
      </c>
      <c r="BF3" s="560" t="s">
        <v>69</v>
      </c>
      <c r="BG3" s="560" t="s">
        <v>71</v>
      </c>
      <c r="BH3" s="561" t="s">
        <v>73</v>
      </c>
      <c r="BI3" s="562" t="s">
        <v>371</v>
      </c>
      <c r="BJ3" s="200"/>
      <c r="BK3" s="563" t="s">
        <v>418</v>
      </c>
      <c r="BL3" s="3"/>
      <c r="BM3" s="564">
        <v>46113.0</v>
      </c>
      <c r="BU3" s="200"/>
      <c r="BV3" s="200"/>
      <c r="BW3" s="200"/>
      <c r="BX3" s="200"/>
      <c r="BY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938"/>
      <c r="AL4" s="576" t="s">
        <v>434</v>
      </c>
      <c r="AM4" s="574"/>
      <c r="AN4" s="580"/>
      <c r="AO4" s="581"/>
      <c r="AP4" s="581"/>
      <c r="AQ4" s="555"/>
      <c r="AR4" s="582"/>
      <c r="AS4" s="557"/>
      <c r="AT4" s="200"/>
      <c r="AU4" s="583" t="s">
        <v>119</v>
      </c>
      <c r="AV4" s="584" t="s">
        <v>238</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436</v>
      </c>
      <c r="BL4" s="250"/>
      <c r="BM4" s="564">
        <v>46143.0</v>
      </c>
      <c r="BU4" s="526"/>
      <c r="BV4" s="526"/>
      <c r="BW4" s="526"/>
      <c r="BX4" s="526"/>
      <c r="BY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939"/>
      <c r="AL5" s="576" t="s">
        <v>451</v>
      </c>
      <c r="AM5" s="574"/>
      <c r="AN5" s="580"/>
      <c r="AO5" s="581"/>
      <c r="AP5" s="581"/>
      <c r="AQ5" s="555"/>
      <c r="AR5" s="582"/>
      <c r="AS5" s="557"/>
      <c r="AT5" s="200"/>
      <c r="AU5" s="598" t="s">
        <v>452</v>
      </c>
      <c r="AV5" s="584" t="s">
        <v>240</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46130</v>
      </c>
      <c r="C7" s="614"/>
      <c r="D7" s="529"/>
      <c r="E7" s="615">
        <f>today()+1</f>
        <v>46131</v>
      </c>
      <c r="F7" s="616"/>
      <c r="G7" s="529"/>
      <c r="H7" s="529"/>
      <c r="I7" s="617" t="s">
        <v>453</v>
      </c>
      <c r="J7" s="618" t="s">
        <v>454</v>
      </c>
      <c r="K7" s="619">
        <v>46054.0</v>
      </c>
      <c r="L7" s="620" t="s">
        <v>455</v>
      </c>
      <c r="M7" s="621" t="s">
        <v>456</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457</v>
      </c>
      <c r="AU7" s="625" t="s">
        <v>458</v>
      </c>
      <c r="AV7" s="626" t="s">
        <v>81</v>
      </c>
      <c r="AW7" s="626" t="s">
        <v>459</v>
      </c>
      <c r="AX7" s="626" t="s">
        <v>460</v>
      </c>
      <c r="AY7" s="626" t="s">
        <v>461</v>
      </c>
      <c r="AZ7" s="626" t="s">
        <v>462</v>
      </c>
      <c r="BA7" s="626" t="s">
        <v>463</v>
      </c>
      <c r="BB7" s="626" t="s">
        <v>82</v>
      </c>
      <c r="BC7" s="627" t="s">
        <v>369</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318</v>
      </c>
      <c r="C8" s="912" t="str">
        <f>TEXT(B7,"ddd")</f>
        <v>土</v>
      </c>
      <c r="D8" s="200"/>
      <c r="E8" s="913" t="s">
        <v>318</v>
      </c>
      <c r="F8" s="914" t="str">
        <f>TEXT(E7,"ddd")</f>
        <v>日</v>
      </c>
      <c r="G8" s="200"/>
      <c r="H8" s="200"/>
      <c r="I8" s="617"/>
      <c r="J8" s="632" t="s">
        <v>464</v>
      </c>
      <c r="K8" s="620" t="s">
        <v>465</v>
      </c>
      <c r="L8" s="633" t="s">
        <v>466</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467</v>
      </c>
      <c r="L9" s="639" t="s">
        <v>135</v>
      </c>
      <c r="M9" s="640" t="s">
        <v>468</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469</v>
      </c>
      <c r="L10" s="639" t="s">
        <v>135</v>
      </c>
      <c r="M10" s="640" t="s">
        <v>470</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426</v>
      </c>
      <c r="O11" s="646" t="s">
        <v>440</v>
      </c>
      <c r="P11" s="646" t="s">
        <v>440</v>
      </c>
      <c r="Q11" s="646" t="s">
        <v>440</v>
      </c>
      <c r="R11" s="646" t="s">
        <v>426</v>
      </c>
      <c r="S11" s="646" t="s">
        <v>440</v>
      </c>
      <c r="T11" s="646" t="s">
        <v>426</v>
      </c>
      <c r="U11" s="646" t="s">
        <v>426</v>
      </c>
      <c r="V11" s="646" t="s">
        <v>440</v>
      </c>
      <c r="W11" s="646" t="s">
        <v>440</v>
      </c>
      <c r="X11" s="646" t="s">
        <v>426</v>
      </c>
      <c r="Y11" s="646" t="s">
        <v>426</v>
      </c>
      <c r="Z11" s="646" t="s">
        <v>440</v>
      </c>
      <c r="AA11" s="646" t="s">
        <v>426</v>
      </c>
      <c r="AB11" s="646" t="s">
        <v>426</v>
      </c>
      <c r="AC11" s="646" t="s">
        <v>440</v>
      </c>
      <c r="AD11" s="646" t="s">
        <v>442</v>
      </c>
      <c r="AE11" s="646" t="s">
        <v>442</v>
      </c>
      <c r="AF11" s="646" t="s">
        <v>426</v>
      </c>
      <c r="AG11" s="646" t="s">
        <v>442</v>
      </c>
      <c r="AH11" s="646" t="s">
        <v>442</v>
      </c>
      <c r="AI11" s="646" t="s">
        <v>442</v>
      </c>
      <c r="AJ11" s="646" t="s">
        <v>442</v>
      </c>
      <c r="AK11" s="646"/>
      <c r="AL11" s="646" t="s">
        <v>442</v>
      </c>
      <c r="AM11" s="646" t="s">
        <v>442</v>
      </c>
      <c r="AN11" s="646" t="s">
        <v>426</v>
      </c>
      <c r="AO11" s="646" t="s">
        <v>442</v>
      </c>
      <c r="AP11" s="646" t="s">
        <v>426</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794</v>
      </c>
      <c r="O12" s="921" t="s">
        <v>426</v>
      </c>
      <c r="P12" s="921" t="s">
        <v>426</v>
      </c>
      <c r="Q12" s="921" t="s">
        <v>426</v>
      </c>
      <c r="R12" s="921" t="s">
        <v>426</v>
      </c>
      <c r="S12" s="921" t="s">
        <v>795</v>
      </c>
      <c r="T12" s="941" t="s">
        <v>440</v>
      </c>
      <c r="U12" s="940" t="s">
        <v>794</v>
      </c>
      <c r="V12" s="921" t="s">
        <v>426</v>
      </c>
      <c r="W12" s="921" t="s">
        <v>440</v>
      </c>
      <c r="X12" s="921" t="s">
        <v>426</v>
      </c>
      <c r="Y12" s="921" t="s">
        <v>440</v>
      </c>
      <c r="Z12" s="921" t="s">
        <v>426</v>
      </c>
      <c r="AA12" s="941" t="s">
        <v>794</v>
      </c>
      <c r="AB12" s="940" t="s">
        <v>794</v>
      </c>
      <c r="AC12" s="921" t="s">
        <v>426</v>
      </c>
      <c r="AD12" s="921" t="s">
        <v>440</v>
      </c>
      <c r="AE12" s="921" t="s">
        <v>426</v>
      </c>
      <c r="AF12" s="921" t="s">
        <v>440</v>
      </c>
      <c r="AG12" s="921" t="s">
        <v>426</v>
      </c>
      <c r="AH12" s="941" t="s">
        <v>426</v>
      </c>
      <c r="AI12" s="940" t="s">
        <v>426</v>
      </c>
      <c r="AJ12" s="921" t="s">
        <v>426</v>
      </c>
      <c r="AK12" s="921"/>
      <c r="AL12" s="921" t="s">
        <v>440</v>
      </c>
      <c r="AM12" s="921" t="s">
        <v>426</v>
      </c>
      <c r="AN12" s="921" t="s">
        <v>440</v>
      </c>
      <c r="AO12" s="921" t="s">
        <v>426</v>
      </c>
      <c r="AP12" s="941" t="s">
        <v>426</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8"/>
      <c r="O13" s="919"/>
      <c r="P13" s="921" t="s">
        <v>426</v>
      </c>
      <c r="Q13" s="919"/>
      <c r="R13" s="919"/>
      <c r="S13" s="921" t="s">
        <v>446</v>
      </c>
      <c r="T13" s="920"/>
      <c r="U13" s="918"/>
      <c r="V13" s="921" t="s">
        <v>426</v>
      </c>
      <c r="W13" s="921" t="s">
        <v>426</v>
      </c>
      <c r="X13" s="919"/>
      <c r="Y13" s="919"/>
      <c r="Z13" s="921" t="s">
        <v>426</v>
      </c>
      <c r="AA13" s="920"/>
      <c r="AB13" s="918"/>
      <c r="AC13" s="919"/>
      <c r="AD13" s="921" t="s">
        <v>426</v>
      </c>
      <c r="AE13" s="919"/>
      <c r="AF13" s="919"/>
      <c r="AG13" s="921" t="s">
        <v>426</v>
      </c>
      <c r="AH13" s="920"/>
      <c r="AI13" s="918"/>
      <c r="AJ13" s="921" t="s">
        <v>426</v>
      </c>
      <c r="AK13" s="921"/>
      <c r="AL13" s="921" t="s">
        <v>426</v>
      </c>
      <c r="AM13" s="919"/>
      <c r="AN13" s="919"/>
      <c r="AO13" s="921" t="s">
        <v>426</v>
      </c>
      <c r="AP13" s="920"/>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426</v>
      </c>
      <c r="Z14" s="646" t="s">
        <v>440</v>
      </c>
      <c r="AA14" s="921" t="s">
        <v>426</v>
      </c>
      <c r="AB14" s="921" t="s">
        <v>426</v>
      </c>
      <c r="AC14" s="646" t="s">
        <v>440</v>
      </c>
      <c r="AD14" s="652" t="s">
        <v>426</v>
      </c>
      <c r="AE14" s="921" t="s">
        <v>426</v>
      </c>
      <c r="AF14" s="646" t="s">
        <v>426</v>
      </c>
      <c r="AG14" s="646" t="s">
        <v>426</v>
      </c>
      <c r="AH14" s="921" t="s">
        <v>426</v>
      </c>
      <c r="AI14" s="921" t="s">
        <v>426</v>
      </c>
      <c r="AJ14" s="646" t="s">
        <v>440</v>
      </c>
      <c r="AK14" s="646"/>
      <c r="AL14" s="646" t="s">
        <v>440</v>
      </c>
      <c r="AM14" s="646" t="s">
        <v>796</v>
      </c>
      <c r="AN14" s="916" t="s">
        <v>440</v>
      </c>
      <c r="AO14" s="921" t="s">
        <v>426</v>
      </c>
      <c r="AP14" s="921" t="s">
        <v>426</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797</v>
      </c>
      <c r="Q15" s="646"/>
      <c r="R15" s="646" t="s">
        <v>798</v>
      </c>
      <c r="S15" s="646"/>
      <c r="T15" s="646"/>
      <c r="U15" s="646"/>
      <c r="V15" s="646"/>
      <c r="W15" s="646"/>
      <c r="X15" s="646"/>
      <c r="Y15" s="646"/>
      <c r="Z15" s="646"/>
      <c r="AA15" s="646"/>
      <c r="AB15" s="646"/>
      <c r="AC15" s="646"/>
      <c r="AD15" s="646"/>
      <c r="AE15" s="646"/>
      <c r="AF15" s="646" t="s">
        <v>799</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800</v>
      </c>
      <c r="Q16" s="646"/>
      <c r="R16" s="646" t="s">
        <v>801</v>
      </c>
      <c r="S16" s="646"/>
      <c r="T16" s="646"/>
      <c r="U16" s="646"/>
      <c r="V16" s="646"/>
      <c r="W16" s="646"/>
      <c r="X16" s="646"/>
      <c r="Y16" s="646"/>
      <c r="Z16" s="646"/>
      <c r="AA16" s="646"/>
      <c r="AB16" s="646"/>
      <c r="AC16" s="646"/>
      <c r="AD16" s="646"/>
      <c r="AE16" s="646"/>
      <c r="AF16" s="646" t="s">
        <v>800</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478</v>
      </c>
      <c r="L17" s="639" t="s">
        <v>479</v>
      </c>
      <c r="M17" s="645"/>
      <c r="N17" s="646" t="s">
        <v>446</v>
      </c>
      <c r="O17" s="646" t="s">
        <v>426</v>
      </c>
      <c r="P17" s="646" t="s">
        <v>426</v>
      </c>
      <c r="Q17" s="646"/>
      <c r="R17" s="646"/>
      <c r="S17" s="646" t="s">
        <v>426</v>
      </c>
      <c r="T17" s="646" t="s">
        <v>446</v>
      </c>
      <c r="U17" s="646" t="s">
        <v>446</v>
      </c>
      <c r="V17" s="646" t="s">
        <v>426</v>
      </c>
      <c r="W17" s="646" t="s">
        <v>426</v>
      </c>
      <c r="X17" s="646" t="s">
        <v>446</v>
      </c>
      <c r="Y17" s="646"/>
      <c r="Z17" s="646" t="s">
        <v>446</v>
      </c>
      <c r="AA17" s="646" t="s">
        <v>446</v>
      </c>
      <c r="AB17" s="646" t="s">
        <v>446</v>
      </c>
      <c r="AC17" s="646" t="s">
        <v>426</v>
      </c>
      <c r="AD17" s="646" t="s">
        <v>426</v>
      </c>
      <c r="AE17" s="646"/>
      <c r="AF17" s="646" t="s">
        <v>426</v>
      </c>
      <c r="AG17" s="646"/>
      <c r="AH17" s="646" t="s">
        <v>446</v>
      </c>
      <c r="AI17" s="646" t="s">
        <v>446</v>
      </c>
      <c r="AJ17" s="646" t="s">
        <v>446</v>
      </c>
      <c r="AK17" s="646"/>
      <c r="AL17" s="646" t="s">
        <v>426</v>
      </c>
      <c r="AM17" s="646" t="s">
        <v>426</v>
      </c>
      <c r="AN17" s="646" t="s">
        <v>426</v>
      </c>
      <c r="AO17" s="646" t="s">
        <v>446</v>
      </c>
      <c r="AP17" s="646" t="s">
        <v>446</v>
      </c>
      <c r="AQ17" s="646"/>
      <c r="AR17" s="646"/>
      <c r="AS17" s="641"/>
      <c r="AT17" s="647">
        <f t="array" ref="AT17">SUM(COUNTIF(N17:AS17, {"◎","〇","☆","共","特","浴"}))</f>
        <v>11</v>
      </c>
      <c r="AU17" s="651"/>
      <c r="AV17" s="649"/>
      <c r="AW17" s="649"/>
      <c r="AX17" s="649"/>
      <c r="AY17" s="649"/>
      <c r="AZ17" s="649"/>
      <c r="BA17" s="649"/>
      <c r="BB17" s="649"/>
      <c r="BC17" s="653" t="s">
        <v>651</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481</v>
      </c>
      <c r="L18" s="639" t="s">
        <v>479</v>
      </c>
      <c r="M18" s="645"/>
      <c r="N18" s="646"/>
      <c r="O18" s="646" t="s">
        <v>426</v>
      </c>
      <c r="P18" s="646" t="s">
        <v>426</v>
      </c>
      <c r="Q18" s="646"/>
      <c r="R18" s="646" t="s">
        <v>426</v>
      </c>
      <c r="S18" s="646"/>
      <c r="T18" s="646"/>
      <c r="U18" s="646"/>
      <c r="V18" s="646" t="s">
        <v>426</v>
      </c>
      <c r="W18" s="646" t="s">
        <v>426</v>
      </c>
      <c r="X18" s="646"/>
      <c r="Y18" s="646" t="s">
        <v>426</v>
      </c>
      <c r="Z18" s="646"/>
      <c r="AA18" s="646"/>
      <c r="AB18" s="646"/>
      <c r="AC18" s="646" t="s">
        <v>426</v>
      </c>
      <c r="AD18" s="646" t="s">
        <v>426</v>
      </c>
      <c r="AE18" s="646"/>
      <c r="AF18" s="646" t="s">
        <v>426</v>
      </c>
      <c r="AG18" s="646"/>
      <c r="AH18" s="646"/>
      <c r="AI18" s="646"/>
      <c r="AJ18" s="646" t="s">
        <v>426</v>
      </c>
      <c r="AK18" s="646"/>
      <c r="AL18" s="646" t="s">
        <v>426</v>
      </c>
      <c r="AM18" s="646"/>
      <c r="AN18" s="646" t="s">
        <v>426</v>
      </c>
      <c r="AO18" s="646"/>
      <c r="AP18" s="646"/>
      <c r="AQ18" s="646"/>
      <c r="AR18" s="646"/>
      <c r="AS18" s="641"/>
      <c r="AT18" s="647">
        <f t="array" ref="AT18">SUM(COUNTIF(N18:AS18, {"◎","〇","☆","共","特","浴"}))</f>
        <v>12</v>
      </c>
      <c r="AU18" s="648"/>
      <c r="AV18" s="649"/>
      <c r="AW18" s="649"/>
      <c r="AX18" s="649"/>
      <c r="AY18" s="649"/>
      <c r="AZ18" s="649"/>
      <c r="BA18" s="649"/>
      <c r="BB18" s="649"/>
      <c r="BC18" s="653" t="s">
        <v>652</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479</v>
      </c>
      <c r="M19" s="645"/>
      <c r="N19" s="646"/>
      <c r="O19" s="646"/>
      <c r="P19" s="646" t="s">
        <v>446</v>
      </c>
      <c r="Q19" s="646" t="s">
        <v>426</v>
      </c>
      <c r="R19" s="646" t="s">
        <v>426</v>
      </c>
      <c r="S19" s="646" t="s">
        <v>426</v>
      </c>
      <c r="T19" s="646"/>
      <c r="U19" s="646"/>
      <c r="V19" s="646"/>
      <c r="W19" s="646"/>
      <c r="X19" s="646" t="s">
        <v>446</v>
      </c>
      <c r="Y19" s="646" t="s">
        <v>426</v>
      </c>
      <c r="Z19" s="646" t="s">
        <v>426</v>
      </c>
      <c r="AA19" s="646"/>
      <c r="AB19" s="646"/>
      <c r="AC19" s="646" t="s">
        <v>426</v>
      </c>
      <c r="AD19" s="646" t="s">
        <v>446</v>
      </c>
      <c r="AE19" s="646" t="s">
        <v>426</v>
      </c>
      <c r="AF19" s="646" t="s">
        <v>426</v>
      </c>
      <c r="AG19" s="646" t="s">
        <v>426</v>
      </c>
      <c r="AH19" s="646"/>
      <c r="AI19" s="646"/>
      <c r="AJ19" s="646" t="s">
        <v>446</v>
      </c>
      <c r="AK19" s="646"/>
      <c r="AL19" s="646" t="s">
        <v>426</v>
      </c>
      <c r="AM19" s="646" t="s">
        <v>426</v>
      </c>
      <c r="AN19" s="646"/>
      <c r="AO19" s="646" t="s">
        <v>426</v>
      </c>
      <c r="AP19" s="646"/>
      <c r="AQ19" s="646"/>
      <c r="AR19" s="646"/>
      <c r="AS19" s="641"/>
      <c r="AT19" s="647">
        <f t="array" ref="AT19">SUM(COUNTIF(N19:AS19, {"◎","〇","☆","共","特","浴"}))</f>
        <v>12</v>
      </c>
      <c r="AU19" s="651"/>
      <c r="AV19" s="649"/>
      <c r="AW19" s="649"/>
      <c r="AX19" s="649"/>
      <c r="AY19" s="649"/>
      <c r="AZ19" s="649"/>
      <c r="BA19" s="649"/>
      <c r="BB19" s="649"/>
      <c r="BC19" s="653" t="s">
        <v>653</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426</v>
      </c>
      <c r="AQ20" s="646"/>
      <c r="AR20" s="646"/>
      <c r="AS20" s="646"/>
      <c r="AT20" s="647">
        <f t="array" ref="AT20">SUM(COUNTIF(N20:AS20, {"◎","〇","☆","共","特","浴"}))</f>
        <v>1</v>
      </c>
      <c r="AU20" s="651"/>
      <c r="AV20" s="649"/>
      <c r="AW20" s="649"/>
      <c r="AX20" s="649"/>
      <c r="AY20" s="649"/>
      <c r="AZ20" s="649"/>
      <c r="BA20" s="649"/>
      <c r="BB20" s="649"/>
      <c r="BC20" s="942" t="s">
        <v>802</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483</v>
      </c>
      <c r="L21" s="639" t="s">
        <v>479</v>
      </c>
      <c r="M21" s="645"/>
      <c r="N21" s="646" t="s">
        <v>446</v>
      </c>
      <c r="O21" s="646" t="s">
        <v>426</v>
      </c>
      <c r="P21" s="646"/>
      <c r="Q21" s="646" t="s">
        <v>426</v>
      </c>
      <c r="R21" s="646"/>
      <c r="S21" s="646"/>
      <c r="T21" s="646" t="s">
        <v>426</v>
      </c>
      <c r="U21" s="646" t="s">
        <v>426</v>
      </c>
      <c r="V21" s="646"/>
      <c r="W21" s="646"/>
      <c r="X21" s="646" t="s">
        <v>426</v>
      </c>
      <c r="Y21" s="646"/>
      <c r="Z21" s="646"/>
      <c r="AA21" s="646" t="s">
        <v>426</v>
      </c>
      <c r="AB21" s="646" t="s">
        <v>426</v>
      </c>
      <c r="AC21" s="646"/>
      <c r="AD21" s="646"/>
      <c r="AE21" s="646" t="s">
        <v>426</v>
      </c>
      <c r="AF21" s="646"/>
      <c r="AG21" s="646"/>
      <c r="AH21" s="646" t="s">
        <v>426</v>
      </c>
      <c r="AI21" s="646" t="s">
        <v>426</v>
      </c>
      <c r="AJ21" s="646" t="s">
        <v>426</v>
      </c>
      <c r="AK21" s="646"/>
      <c r="AL21" s="646"/>
      <c r="AM21" s="646" t="s">
        <v>426</v>
      </c>
      <c r="AN21" s="646"/>
      <c r="AO21" s="646"/>
      <c r="AP21" s="646" t="s">
        <v>426</v>
      </c>
      <c r="AQ21" s="646"/>
      <c r="AR21" s="646"/>
      <c r="AS21" s="641"/>
      <c r="AT21" s="647">
        <f t="array" ref="AT21">SUM(COUNTIF(N21:AS21, {"◎","〇","☆","共","特","浴"}))</f>
        <v>13</v>
      </c>
      <c r="AU21" s="651"/>
      <c r="AV21" s="649"/>
      <c r="AW21" s="649"/>
      <c r="AX21" s="649"/>
      <c r="AY21" s="649"/>
      <c r="AZ21" s="649"/>
      <c r="BA21" s="649"/>
      <c r="BB21" s="649"/>
      <c r="BC21" s="653" t="s">
        <v>655</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550</v>
      </c>
      <c r="L22" s="639" t="s">
        <v>803</v>
      </c>
      <c r="M22" s="645"/>
      <c r="N22" s="646" t="s">
        <v>246</v>
      </c>
      <c r="O22" s="646"/>
      <c r="P22" s="646"/>
      <c r="Q22" s="646"/>
      <c r="R22" s="646"/>
      <c r="S22" s="646"/>
      <c r="T22" s="646" t="s">
        <v>246</v>
      </c>
      <c r="U22" s="646" t="s">
        <v>246</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503</v>
      </c>
      <c r="M23" s="645"/>
      <c r="N23" s="646" t="s">
        <v>426</v>
      </c>
      <c r="O23" s="646" t="s">
        <v>217</v>
      </c>
      <c r="P23" s="646" t="s">
        <v>217</v>
      </c>
      <c r="Q23" s="646" t="s">
        <v>217</v>
      </c>
      <c r="R23" s="646" t="s">
        <v>217</v>
      </c>
      <c r="S23" s="646"/>
      <c r="T23" s="646" t="s">
        <v>426</v>
      </c>
      <c r="U23" s="646" t="s">
        <v>426</v>
      </c>
      <c r="V23" s="646" t="s">
        <v>217</v>
      </c>
      <c r="W23" s="646" t="s">
        <v>217</v>
      </c>
      <c r="X23" s="646" t="s">
        <v>217</v>
      </c>
      <c r="Y23" s="646" t="s">
        <v>217</v>
      </c>
      <c r="Z23" s="646"/>
      <c r="AA23" s="646" t="s">
        <v>426</v>
      </c>
      <c r="AB23" s="646" t="s">
        <v>426</v>
      </c>
      <c r="AC23" s="646" t="s">
        <v>217</v>
      </c>
      <c r="AD23" s="646" t="s">
        <v>217</v>
      </c>
      <c r="AE23" s="646" t="s">
        <v>217</v>
      </c>
      <c r="AF23" s="646"/>
      <c r="AG23" s="646"/>
      <c r="AH23" s="646" t="s">
        <v>426</v>
      </c>
      <c r="AI23" s="646" t="s">
        <v>426</v>
      </c>
      <c r="AJ23" s="646" t="s">
        <v>217</v>
      </c>
      <c r="AK23" s="646"/>
      <c r="AL23" s="646"/>
      <c r="AM23" s="646" t="s">
        <v>217</v>
      </c>
      <c r="AN23" s="646" t="s">
        <v>217</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198</v>
      </c>
      <c r="C24" s="637"/>
      <c r="D24" s="200"/>
      <c r="E24" s="636" t="s">
        <v>198</v>
      </c>
      <c r="F24" s="637"/>
      <c r="G24" s="200"/>
      <c r="H24" s="200"/>
      <c r="I24" s="172" t="b">
        <v>0</v>
      </c>
      <c r="J24" s="618"/>
      <c r="K24" s="638" t="s">
        <v>198</v>
      </c>
      <c r="L24" s="639" t="s">
        <v>479</v>
      </c>
      <c r="M24" s="645"/>
      <c r="N24" s="646"/>
      <c r="O24" s="646"/>
      <c r="P24" s="646"/>
      <c r="Q24" s="646"/>
      <c r="R24" s="646"/>
      <c r="S24" s="646"/>
      <c r="T24" s="646"/>
      <c r="U24" s="646"/>
      <c r="V24" s="646"/>
      <c r="W24" s="646"/>
      <c r="X24" s="646"/>
      <c r="Y24" s="646" t="s">
        <v>217</v>
      </c>
      <c r="Z24" s="646"/>
      <c r="AA24" s="646"/>
      <c r="AB24" s="646"/>
      <c r="AC24" s="646"/>
      <c r="AD24" s="646"/>
      <c r="AE24" s="646"/>
      <c r="AF24" s="646" t="s">
        <v>217</v>
      </c>
      <c r="AG24" s="646"/>
      <c r="AH24" s="646"/>
      <c r="AI24" s="646"/>
      <c r="AJ24" s="646"/>
      <c r="AK24" s="646"/>
      <c r="AL24" s="646"/>
      <c r="AM24" s="646"/>
      <c r="AN24" s="646" t="s">
        <v>217</v>
      </c>
      <c r="AO24" s="646"/>
      <c r="AP24" s="646" t="s">
        <v>217</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486</v>
      </c>
      <c r="L26" s="639" t="s">
        <v>644</v>
      </c>
      <c r="M26" s="645"/>
      <c r="N26" s="646" t="s">
        <v>487</v>
      </c>
      <c r="O26" s="646"/>
      <c r="P26" s="646"/>
      <c r="Q26" s="646" t="s">
        <v>487</v>
      </c>
      <c r="R26" s="646" t="s">
        <v>487</v>
      </c>
      <c r="S26" s="646" t="s">
        <v>487</v>
      </c>
      <c r="T26" s="646" t="s">
        <v>487</v>
      </c>
      <c r="U26" s="646" t="s">
        <v>487</v>
      </c>
      <c r="V26" s="646"/>
      <c r="W26" s="646"/>
      <c r="X26" s="646" t="s">
        <v>487</v>
      </c>
      <c r="Y26" s="646" t="s">
        <v>487</v>
      </c>
      <c r="Z26" s="646" t="s">
        <v>487</v>
      </c>
      <c r="AA26" s="646" t="s">
        <v>487</v>
      </c>
      <c r="AB26" s="646" t="s">
        <v>487</v>
      </c>
      <c r="AC26" s="646"/>
      <c r="AD26" s="646"/>
      <c r="AE26" s="646" t="s">
        <v>487</v>
      </c>
      <c r="AF26" s="646" t="s">
        <v>487</v>
      </c>
      <c r="AG26" s="646" t="s">
        <v>487</v>
      </c>
      <c r="AH26" s="646" t="s">
        <v>487</v>
      </c>
      <c r="AI26" s="646" t="s">
        <v>487</v>
      </c>
      <c r="AJ26" s="646"/>
      <c r="AK26" s="646"/>
      <c r="AL26" s="646"/>
      <c r="AM26" s="646" t="s">
        <v>487</v>
      </c>
      <c r="AN26" s="646" t="s">
        <v>487</v>
      </c>
      <c r="AO26" s="646" t="s">
        <v>487</v>
      </c>
      <c r="AP26" s="646" t="s">
        <v>487</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4"/>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489</v>
      </c>
      <c r="L27" s="639" t="s">
        <v>644</v>
      </c>
      <c r="M27" s="645"/>
      <c r="N27" s="646"/>
      <c r="O27" s="646" t="s">
        <v>487</v>
      </c>
      <c r="P27" s="646" t="s">
        <v>487</v>
      </c>
      <c r="Q27" s="646"/>
      <c r="R27" s="646"/>
      <c r="S27" s="646"/>
      <c r="T27" s="646"/>
      <c r="U27" s="646"/>
      <c r="V27" s="646" t="s">
        <v>487</v>
      </c>
      <c r="W27" s="646" t="s">
        <v>487</v>
      </c>
      <c r="X27" s="646"/>
      <c r="Y27" s="646"/>
      <c r="Z27" s="646"/>
      <c r="AA27" s="646"/>
      <c r="AB27" s="646"/>
      <c r="AC27" s="646" t="s">
        <v>487</v>
      </c>
      <c r="AD27" s="646" t="s">
        <v>487</v>
      </c>
      <c r="AE27" s="646"/>
      <c r="AF27" s="646"/>
      <c r="AG27" s="646"/>
      <c r="AH27" s="646"/>
      <c r="AI27" s="646"/>
      <c r="AJ27" s="646" t="s">
        <v>487</v>
      </c>
      <c r="AK27" s="646"/>
      <c r="AL27" s="646" t="s">
        <v>487</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4"/>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4"/>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4"/>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4"/>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4"/>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4"/>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4"/>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4"/>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5"/>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4"/>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5"/>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4"/>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4"/>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4"/>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4"/>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4"/>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5"/>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4"/>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491</v>
      </c>
      <c r="L42" s="639" t="s">
        <v>479</v>
      </c>
      <c r="M42" s="640" t="s">
        <v>217</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4"/>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492</v>
      </c>
      <c r="L43" s="639" t="s">
        <v>479</v>
      </c>
      <c r="M43" s="640" t="s">
        <v>429</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4"/>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6" t="b">
        <v>0</v>
      </c>
      <c r="J44" s="618"/>
      <c r="K44" s="657" t="s">
        <v>493</v>
      </c>
      <c r="L44" s="658" t="s">
        <v>494</v>
      </c>
      <c r="M44" s="659"/>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60"/>
      <c r="AW44" s="660"/>
      <c r="AX44" s="660"/>
      <c r="AY44" s="660"/>
      <c r="AZ44" s="660"/>
      <c r="BA44" s="660"/>
      <c r="BB44" s="660"/>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4"/>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495</v>
      </c>
      <c r="L45" s="639" t="s">
        <v>494</v>
      </c>
      <c r="M45" s="640" t="s">
        <v>496</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4"/>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497</v>
      </c>
      <c r="L46" s="639" t="s">
        <v>498</v>
      </c>
      <c r="M46" s="645"/>
      <c r="N46" s="646"/>
      <c r="O46" s="646" t="s">
        <v>217</v>
      </c>
      <c r="P46" s="646"/>
      <c r="Q46" s="646" t="s">
        <v>217</v>
      </c>
      <c r="R46" s="646" t="s">
        <v>217</v>
      </c>
      <c r="S46" s="646" t="s">
        <v>217</v>
      </c>
      <c r="T46" s="646" t="s">
        <v>217</v>
      </c>
      <c r="U46" s="646"/>
      <c r="V46" s="646" t="s">
        <v>217</v>
      </c>
      <c r="W46" s="646"/>
      <c r="X46" s="646" t="s">
        <v>217</v>
      </c>
      <c r="Y46" s="646" t="s">
        <v>217</v>
      </c>
      <c r="Z46" s="646" t="s">
        <v>217</v>
      </c>
      <c r="AA46" s="646" t="s">
        <v>217</v>
      </c>
      <c r="AB46" s="646"/>
      <c r="AC46" s="646" t="s">
        <v>217</v>
      </c>
      <c r="AD46" s="646" t="s">
        <v>217</v>
      </c>
      <c r="AE46" s="646"/>
      <c r="AF46" s="646" t="s">
        <v>217</v>
      </c>
      <c r="AG46" s="646" t="s">
        <v>217</v>
      </c>
      <c r="AH46" s="646" t="s">
        <v>217</v>
      </c>
      <c r="AI46" s="646"/>
      <c r="AJ46" s="646" t="s">
        <v>217</v>
      </c>
      <c r="AK46" s="646"/>
      <c r="AL46" s="646" t="s">
        <v>217</v>
      </c>
      <c r="AM46" s="646" t="s">
        <v>217</v>
      </c>
      <c r="AN46" s="646" t="s">
        <v>217</v>
      </c>
      <c r="AO46" s="646" t="s">
        <v>217</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4"/>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499</v>
      </c>
      <c r="L47" s="639" t="s">
        <v>498</v>
      </c>
      <c r="M47" s="645"/>
      <c r="N47" s="646"/>
      <c r="O47" s="646" t="s">
        <v>217</v>
      </c>
      <c r="P47" s="646" t="s">
        <v>217</v>
      </c>
      <c r="Q47" s="646" t="s">
        <v>217</v>
      </c>
      <c r="R47" s="646" t="s">
        <v>217</v>
      </c>
      <c r="S47" s="646" t="s">
        <v>217</v>
      </c>
      <c r="T47" s="646"/>
      <c r="U47" s="646"/>
      <c r="V47" s="646" t="s">
        <v>217</v>
      </c>
      <c r="W47" s="646" t="s">
        <v>217</v>
      </c>
      <c r="X47" s="646"/>
      <c r="Y47" s="646" t="s">
        <v>217</v>
      </c>
      <c r="Z47" s="646" t="s">
        <v>217</v>
      </c>
      <c r="AA47" s="646" t="s">
        <v>217</v>
      </c>
      <c r="AB47" s="646"/>
      <c r="AC47" s="646"/>
      <c r="AD47" s="646"/>
      <c r="AE47" s="646" t="s">
        <v>217</v>
      </c>
      <c r="AF47" s="646" t="s">
        <v>217</v>
      </c>
      <c r="AG47" s="646" t="s">
        <v>217</v>
      </c>
      <c r="AH47" s="646" t="s">
        <v>217</v>
      </c>
      <c r="AI47" s="646"/>
      <c r="AJ47" s="646"/>
      <c r="AK47" s="646"/>
      <c r="AL47" s="646" t="s">
        <v>217</v>
      </c>
      <c r="AM47" s="646" t="s">
        <v>217</v>
      </c>
      <c r="AN47" s="646" t="s">
        <v>217</v>
      </c>
      <c r="AO47" s="646" t="s">
        <v>217</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4"/>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498</v>
      </c>
      <c r="M48" s="645"/>
      <c r="N48" s="646" t="s">
        <v>217</v>
      </c>
      <c r="O48" s="646" t="s">
        <v>217</v>
      </c>
      <c r="P48" s="646" t="s">
        <v>217</v>
      </c>
      <c r="Q48" s="646"/>
      <c r="R48" s="646" t="s">
        <v>217</v>
      </c>
      <c r="S48" s="646" t="s">
        <v>217</v>
      </c>
      <c r="T48" s="646" t="s">
        <v>217</v>
      </c>
      <c r="U48" s="646" t="s">
        <v>217</v>
      </c>
      <c r="V48" s="646" t="s">
        <v>217</v>
      </c>
      <c r="W48" s="646" t="s">
        <v>217</v>
      </c>
      <c r="X48" s="646"/>
      <c r="Y48" s="646" t="s">
        <v>217</v>
      </c>
      <c r="Z48" s="646" t="s">
        <v>217</v>
      </c>
      <c r="AA48" s="646" t="s">
        <v>217</v>
      </c>
      <c r="AB48" s="646" t="s">
        <v>217</v>
      </c>
      <c r="AC48" s="646" t="s">
        <v>217</v>
      </c>
      <c r="AD48" s="646" t="s">
        <v>217</v>
      </c>
      <c r="AE48" s="646"/>
      <c r="AF48" s="646" t="s">
        <v>217</v>
      </c>
      <c r="AG48" s="646" t="s">
        <v>217</v>
      </c>
      <c r="AH48" s="646" t="s">
        <v>217</v>
      </c>
      <c r="AI48" s="646" t="s">
        <v>217</v>
      </c>
      <c r="AJ48" s="646" t="s">
        <v>217</v>
      </c>
      <c r="AK48" s="646"/>
      <c r="AL48" s="646" t="s">
        <v>217</v>
      </c>
      <c r="AM48" s="646"/>
      <c r="AN48" s="646" t="s">
        <v>217</v>
      </c>
      <c r="AO48" s="646" t="s">
        <v>217</v>
      </c>
      <c r="AP48" s="646" t="s">
        <v>217</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4"/>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189</v>
      </c>
      <c r="L49" s="639" t="s">
        <v>498</v>
      </c>
      <c r="M49" s="645"/>
      <c r="N49" s="646" t="s">
        <v>217</v>
      </c>
      <c r="O49" s="646" t="s">
        <v>217</v>
      </c>
      <c r="P49" s="646" t="s">
        <v>217</v>
      </c>
      <c r="Q49" s="646" t="s">
        <v>217</v>
      </c>
      <c r="R49" s="646" t="s">
        <v>217</v>
      </c>
      <c r="S49" s="646"/>
      <c r="T49" s="646" t="s">
        <v>217</v>
      </c>
      <c r="U49" s="646" t="s">
        <v>217</v>
      </c>
      <c r="V49" s="646" t="s">
        <v>217</v>
      </c>
      <c r="W49" s="646" t="s">
        <v>217</v>
      </c>
      <c r="X49" s="646" t="s">
        <v>217</v>
      </c>
      <c r="Y49" s="646" t="s">
        <v>217</v>
      </c>
      <c r="Z49" s="646"/>
      <c r="AA49" s="646" t="s">
        <v>217</v>
      </c>
      <c r="AB49" s="646" t="s">
        <v>217</v>
      </c>
      <c r="AC49" s="646" t="s">
        <v>217</v>
      </c>
      <c r="AD49" s="646" t="s">
        <v>217</v>
      </c>
      <c r="AE49" s="646" t="s">
        <v>217</v>
      </c>
      <c r="AF49" s="646" t="s">
        <v>217</v>
      </c>
      <c r="AG49" s="646"/>
      <c r="AH49" s="646"/>
      <c r="AI49" s="646" t="s">
        <v>217</v>
      </c>
      <c r="AJ49" s="646" t="s">
        <v>217</v>
      </c>
      <c r="AK49" s="646"/>
      <c r="AL49" s="646" t="s">
        <v>217</v>
      </c>
      <c r="AM49" s="646" t="s">
        <v>217</v>
      </c>
      <c r="AN49" s="646" t="s">
        <v>217</v>
      </c>
      <c r="AO49" s="646"/>
      <c r="AP49" s="646" t="s">
        <v>217</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4"/>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182</v>
      </c>
      <c r="L50" s="639" t="s">
        <v>498</v>
      </c>
      <c r="M50" s="645"/>
      <c r="N50" s="646" t="s">
        <v>217</v>
      </c>
      <c r="O50" s="641"/>
      <c r="P50" s="641"/>
      <c r="Q50" s="646" t="s">
        <v>217</v>
      </c>
      <c r="R50" s="646" t="s">
        <v>217</v>
      </c>
      <c r="S50" s="646" t="s">
        <v>217</v>
      </c>
      <c r="T50" s="646" t="s">
        <v>217</v>
      </c>
      <c r="U50" s="646" t="s">
        <v>217</v>
      </c>
      <c r="V50" s="641"/>
      <c r="W50" s="641"/>
      <c r="X50" s="646" t="s">
        <v>217</v>
      </c>
      <c r="Y50" s="646" t="s">
        <v>217</v>
      </c>
      <c r="Z50" s="646" t="s">
        <v>217</v>
      </c>
      <c r="AA50" s="646" t="s">
        <v>217</v>
      </c>
      <c r="AB50" s="646" t="s">
        <v>217</v>
      </c>
      <c r="AC50" s="641"/>
      <c r="AD50" s="641"/>
      <c r="AE50" s="646" t="s">
        <v>217</v>
      </c>
      <c r="AF50" s="646" t="s">
        <v>217</v>
      </c>
      <c r="AG50" s="646" t="s">
        <v>217</v>
      </c>
      <c r="AH50" s="646" t="s">
        <v>217</v>
      </c>
      <c r="AI50" s="646" t="s">
        <v>217</v>
      </c>
      <c r="AJ50" s="646" t="s">
        <v>217</v>
      </c>
      <c r="AK50" s="646"/>
      <c r="AL50" s="641"/>
      <c r="AM50" s="646" t="s">
        <v>217</v>
      </c>
      <c r="AN50" s="646" t="s">
        <v>217</v>
      </c>
      <c r="AO50" s="646" t="s">
        <v>217</v>
      </c>
      <c r="AP50" s="646" t="s">
        <v>217</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4"/>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505</v>
      </c>
      <c r="L51" s="639" t="s">
        <v>498</v>
      </c>
      <c r="M51" s="645"/>
      <c r="N51" s="646"/>
      <c r="O51" s="646" t="s">
        <v>217</v>
      </c>
      <c r="P51" s="646" t="s">
        <v>217</v>
      </c>
      <c r="Q51" s="646" t="s">
        <v>217</v>
      </c>
      <c r="R51" s="646" t="s">
        <v>217</v>
      </c>
      <c r="S51" s="646"/>
      <c r="T51" s="646"/>
      <c r="U51" s="646"/>
      <c r="V51" s="646" t="s">
        <v>217</v>
      </c>
      <c r="W51" s="646" t="s">
        <v>217</v>
      </c>
      <c r="X51" s="646" t="s">
        <v>217</v>
      </c>
      <c r="Y51" s="646" t="s">
        <v>217</v>
      </c>
      <c r="Z51" s="646"/>
      <c r="AA51" s="646"/>
      <c r="AB51" s="646"/>
      <c r="AC51" s="646" t="s">
        <v>217</v>
      </c>
      <c r="AD51" s="646" t="s">
        <v>217</v>
      </c>
      <c r="AE51" s="646" t="s">
        <v>217</v>
      </c>
      <c r="AF51" s="646" t="s">
        <v>217</v>
      </c>
      <c r="AG51" s="646"/>
      <c r="AH51" s="646"/>
      <c r="AI51" s="646"/>
      <c r="AJ51" s="646" t="s">
        <v>217</v>
      </c>
      <c r="AK51" s="646"/>
      <c r="AL51" s="646" t="s">
        <v>217</v>
      </c>
      <c r="AM51" s="646" t="s">
        <v>217</v>
      </c>
      <c r="AN51" s="646" t="s">
        <v>217</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4"/>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512</v>
      </c>
      <c r="L52" s="639" t="s">
        <v>503</v>
      </c>
      <c r="M52" s="640"/>
      <c r="N52" s="646" t="s">
        <v>217</v>
      </c>
      <c r="O52" s="646"/>
      <c r="P52" s="646"/>
      <c r="Q52" s="646"/>
      <c r="R52" s="646"/>
      <c r="S52" s="646"/>
      <c r="T52" s="646"/>
      <c r="U52" s="646" t="s">
        <v>217</v>
      </c>
      <c r="V52" s="646"/>
      <c r="W52" s="646"/>
      <c r="X52" s="646" t="s">
        <v>217</v>
      </c>
      <c r="Y52" s="646"/>
      <c r="Z52" s="646"/>
      <c r="AA52" s="646"/>
      <c r="AB52" s="646" t="s">
        <v>217</v>
      </c>
      <c r="AC52" s="646"/>
      <c r="AD52" s="646"/>
      <c r="AE52" s="646"/>
      <c r="AF52" s="646"/>
      <c r="AG52" s="646"/>
      <c r="AH52" s="646"/>
      <c r="AI52" s="646" t="s">
        <v>217</v>
      </c>
      <c r="AJ52" s="646" t="s">
        <v>217</v>
      </c>
      <c r="AK52" s="646"/>
      <c r="AL52" s="646"/>
      <c r="AM52" s="646"/>
      <c r="AN52" s="646"/>
      <c r="AO52" s="646"/>
      <c r="AP52" s="646" t="s">
        <v>217</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4"/>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507</v>
      </c>
      <c r="L53" s="639" t="s">
        <v>498</v>
      </c>
      <c r="M53" s="640"/>
      <c r="N53" s="646" t="s">
        <v>217</v>
      </c>
      <c r="O53" s="646" t="s">
        <v>217</v>
      </c>
      <c r="P53" s="646" t="s">
        <v>217</v>
      </c>
      <c r="Q53" s="646"/>
      <c r="R53" s="646"/>
      <c r="S53" s="646"/>
      <c r="T53" s="646"/>
      <c r="U53" s="646" t="s">
        <v>217</v>
      </c>
      <c r="V53" s="646" t="s">
        <v>217</v>
      </c>
      <c r="W53" s="646" t="s">
        <v>217</v>
      </c>
      <c r="X53" s="646"/>
      <c r="Y53" s="646"/>
      <c r="Z53" s="646"/>
      <c r="AA53" s="646"/>
      <c r="AB53" s="646" t="s">
        <v>217</v>
      </c>
      <c r="AC53" s="646" t="s">
        <v>217</v>
      </c>
      <c r="AD53" s="646" t="s">
        <v>217</v>
      </c>
      <c r="AE53" s="646"/>
      <c r="AF53" s="646"/>
      <c r="AG53" s="646"/>
      <c r="AH53" s="646"/>
      <c r="AI53" s="646" t="s">
        <v>217</v>
      </c>
      <c r="AJ53" s="646" t="s">
        <v>217</v>
      </c>
      <c r="AK53" s="646"/>
      <c r="AL53" s="646" t="s">
        <v>217</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4"/>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503</v>
      </c>
      <c r="M54" s="645"/>
      <c r="N54" s="646" t="s">
        <v>217</v>
      </c>
      <c r="O54" s="646"/>
      <c r="P54" s="646" t="s">
        <v>217</v>
      </c>
      <c r="Q54" s="646" t="s">
        <v>217</v>
      </c>
      <c r="R54" s="646"/>
      <c r="S54" s="646"/>
      <c r="T54" s="646" t="s">
        <v>217</v>
      </c>
      <c r="U54" s="646" t="s">
        <v>217</v>
      </c>
      <c r="V54" s="646"/>
      <c r="W54" s="646" t="s">
        <v>217</v>
      </c>
      <c r="X54" s="646" t="s">
        <v>217</v>
      </c>
      <c r="Y54" s="646"/>
      <c r="Z54" s="646"/>
      <c r="AA54" s="646" t="s">
        <v>217</v>
      </c>
      <c r="AB54" s="646" t="s">
        <v>217</v>
      </c>
      <c r="AC54" s="646"/>
      <c r="AD54" s="646" t="s">
        <v>217</v>
      </c>
      <c r="AE54" s="646" t="s">
        <v>217</v>
      </c>
      <c r="AF54" s="646"/>
      <c r="AG54" s="646"/>
      <c r="AH54" s="646" t="s">
        <v>217</v>
      </c>
      <c r="AI54" s="646" t="s">
        <v>217</v>
      </c>
      <c r="AJ54" s="646"/>
      <c r="AK54" s="646"/>
      <c r="AL54" s="646" t="s">
        <v>217</v>
      </c>
      <c r="AM54" s="646" t="s">
        <v>217</v>
      </c>
      <c r="AN54" s="646"/>
      <c r="AO54" s="646"/>
      <c r="AP54" s="646" t="s">
        <v>217</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4"/>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502</v>
      </c>
      <c r="L55" s="639" t="s">
        <v>503</v>
      </c>
      <c r="M55" s="645"/>
      <c r="N55" s="646"/>
      <c r="O55" s="646"/>
      <c r="P55" s="646"/>
      <c r="Q55" s="646" t="s">
        <v>217</v>
      </c>
      <c r="R55" s="646" t="s">
        <v>217</v>
      </c>
      <c r="S55" s="646" t="s">
        <v>217</v>
      </c>
      <c r="T55" s="646"/>
      <c r="U55" s="646"/>
      <c r="V55" s="646"/>
      <c r="W55" s="646"/>
      <c r="X55" s="646" t="s">
        <v>217</v>
      </c>
      <c r="Y55" s="646" t="s">
        <v>217</v>
      </c>
      <c r="Z55" s="646" t="s">
        <v>217</v>
      </c>
      <c r="AA55" s="646"/>
      <c r="AB55" s="646"/>
      <c r="AC55" s="646"/>
      <c r="AD55" s="646"/>
      <c r="AE55" s="646" t="s">
        <v>217</v>
      </c>
      <c r="AF55" s="646" t="s">
        <v>217</v>
      </c>
      <c r="AG55" s="646" t="s">
        <v>217</v>
      </c>
      <c r="AH55" s="646"/>
      <c r="AI55" s="646"/>
      <c r="AJ55" s="646"/>
      <c r="AK55" s="646"/>
      <c r="AL55" s="646"/>
      <c r="AM55" s="646" t="s">
        <v>217</v>
      </c>
      <c r="AN55" s="646" t="s">
        <v>217</v>
      </c>
      <c r="AO55" s="646" t="s">
        <v>217</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4"/>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503</v>
      </c>
      <c r="M56" s="645"/>
      <c r="N56" s="646"/>
      <c r="O56" s="646"/>
      <c r="P56" s="646" t="s">
        <v>217</v>
      </c>
      <c r="Q56" s="646" t="s">
        <v>217</v>
      </c>
      <c r="R56" s="646" t="s">
        <v>217</v>
      </c>
      <c r="S56" s="646"/>
      <c r="T56" s="646" t="s">
        <v>217</v>
      </c>
      <c r="U56" s="646"/>
      <c r="V56" s="646"/>
      <c r="W56" s="646" t="s">
        <v>217</v>
      </c>
      <c r="X56" s="646" t="s">
        <v>217</v>
      </c>
      <c r="Y56" s="646" t="s">
        <v>217</v>
      </c>
      <c r="Z56" s="646" t="s">
        <v>217</v>
      </c>
      <c r="AA56" s="646" t="s">
        <v>217</v>
      </c>
      <c r="AB56" s="646"/>
      <c r="AC56" s="646"/>
      <c r="AD56" s="646" t="s">
        <v>217</v>
      </c>
      <c r="AE56" s="646" t="s">
        <v>217</v>
      </c>
      <c r="AF56" s="646" t="s">
        <v>448</v>
      </c>
      <c r="AG56" s="646" t="s">
        <v>217</v>
      </c>
      <c r="AH56" s="646" t="s">
        <v>217</v>
      </c>
      <c r="AI56" s="646"/>
      <c r="AJ56" s="646"/>
      <c r="AK56" s="646"/>
      <c r="AL56" s="646"/>
      <c r="AM56" s="646" t="s">
        <v>217</v>
      </c>
      <c r="AN56" s="646" t="s">
        <v>217</v>
      </c>
      <c r="AO56" s="646" t="s">
        <v>217</v>
      </c>
      <c r="AP56" s="646" t="s">
        <v>217</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4"/>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509</v>
      </c>
      <c r="L57" s="639" t="s">
        <v>503</v>
      </c>
      <c r="M57" s="645"/>
      <c r="N57" s="646" t="s">
        <v>217</v>
      </c>
      <c r="O57" s="646"/>
      <c r="P57" s="646" t="s">
        <v>217</v>
      </c>
      <c r="Q57" s="646" t="s">
        <v>217</v>
      </c>
      <c r="R57" s="646" t="s">
        <v>217</v>
      </c>
      <c r="S57" s="646" t="s">
        <v>217</v>
      </c>
      <c r="T57" s="646"/>
      <c r="U57" s="646" t="s">
        <v>217</v>
      </c>
      <c r="V57" s="646"/>
      <c r="W57" s="646" t="s">
        <v>217</v>
      </c>
      <c r="X57" s="646" t="s">
        <v>217</v>
      </c>
      <c r="Y57" s="646" t="s">
        <v>217</v>
      </c>
      <c r="Z57" s="646" t="s">
        <v>217</v>
      </c>
      <c r="AA57" s="646"/>
      <c r="AB57" s="646" t="s">
        <v>217</v>
      </c>
      <c r="AC57" s="646"/>
      <c r="AD57" s="646" t="s">
        <v>217</v>
      </c>
      <c r="AE57" s="646" t="s">
        <v>217</v>
      </c>
      <c r="AF57" s="646" t="s">
        <v>217</v>
      </c>
      <c r="AG57" s="646"/>
      <c r="AH57" s="646" t="s">
        <v>217</v>
      </c>
      <c r="AI57" s="646" t="s">
        <v>217</v>
      </c>
      <c r="AJ57" s="646"/>
      <c r="AK57" s="646"/>
      <c r="AL57" s="646" t="s">
        <v>217</v>
      </c>
      <c r="AM57" s="646" t="s">
        <v>217</v>
      </c>
      <c r="AN57" s="646" t="s">
        <v>217</v>
      </c>
      <c r="AO57" s="646" t="s">
        <v>217</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4"/>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498</v>
      </c>
      <c r="M58" s="645"/>
      <c r="N58" s="646" t="s">
        <v>217</v>
      </c>
      <c r="O58" s="641"/>
      <c r="P58" s="646"/>
      <c r="Q58" s="646"/>
      <c r="R58" s="646"/>
      <c r="S58" s="646"/>
      <c r="T58" s="646" t="s">
        <v>217</v>
      </c>
      <c r="U58" s="646" t="s">
        <v>217</v>
      </c>
      <c r="V58" s="641"/>
      <c r="W58" s="646"/>
      <c r="X58" s="646"/>
      <c r="Y58" s="646"/>
      <c r="Z58" s="646"/>
      <c r="AA58" s="646" t="s">
        <v>217</v>
      </c>
      <c r="AB58" s="646" t="s">
        <v>217</v>
      </c>
      <c r="AC58" s="646"/>
      <c r="AD58" s="646"/>
      <c r="AE58" s="646"/>
      <c r="AF58" s="646"/>
      <c r="AG58" s="646"/>
      <c r="AH58" s="646" t="s">
        <v>217</v>
      </c>
      <c r="AI58" s="646" t="s">
        <v>217</v>
      </c>
      <c r="AJ58" s="646"/>
      <c r="AK58" s="646"/>
      <c r="AL58" s="646"/>
      <c r="AM58" s="646"/>
      <c r="AN58" s="646"/>
      <c r="AO58" s="646"/>
      <c r="AP58" s="646" t="s">
        <v>217</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4"/>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503</v>
      </c>
      <c r="M59" s="645"/>
      <c r="N59" s="646" t="s">
        <v>217</v>
      </c>
      <c r="O59" s="646"/>
      <c r="P59" s="646"/>
      <c r="Q59" s="646"/>
      <c r="R59" s="641"/>
      <c r="S59" s="646" t="s">
        <v>217</v>
      </c>
      <c r="T59" s="646" t="s">
        <v>217</v>
      </c>
      <c r="U59" s="646" t="s">
        <v>217</v>
      </c>
      <c r="V59" s="646" t="s">
        <v>217</v>
      </c>
      <c r="W59" s="646" t="s">
        <v>217</v>
      </c>
      <c r="X59" s="646"/>
      <c r="Y59" s="641"/>
      <c r="Z59" s="646" t="s">
        <v>217</v>
      </c>
      <c r="AA59" s="646" t="s">
        <v>217</v>
      </c>
      <c r="AB59" s="646" t="s">
        <v>217</v>
      </c>
      <c r="AC59" s="646" t="s">
        <v>217</v>
      </c>
      <c r="AD59" s="646"/>
      <c r="AE59" s="646"/>
      <c r="AF59" s="641"/>
      <c r="AG59" s="646" t="s">
        <v>217</v>
      </c>
      <c r="AH59" s="646" t="s">
        <v>217</v>
      </c>
      <c r="AI59" s="646" t="s">
        <v>217</v>
      </c>
      <c r="AJ59" s="646" t="s">
        <v>217</v>
      </c>
      <c r="AK59" s="646"/>
      <c r="AL59" s="646" t="s">
        <v>217</v>
      </c>
      <c r="AM59" s="646"/>
      <c r="AN59" s="641"/>
      <c r="AO59" s="646" t="s">
        <v>217</v>
      </c>
      <c r="AP59" s="646" t="s">
        <v>217</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4"/>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554</v>
      </c>
      <c r="L60" s="639" t="s">
        <v>503</v>
      </c>
      <c r="M60" s="645"/>
      <c r="N60" s="646"/>
      <c r="O60" s="646"/>
      <c r="P60" s="646" t="s">
        <v>217</v>
      </c>
      <c r="Q60" s="646"/>
      <c r="R60" s="646"/>
      <c r="S60" s="646" t="s">
        <v>217</v>
      </c>
      <c r="T60" s="646"/>
      <c r="U60" s="646"/>
      <c r="V60" s="646" t="s">
        <v>217</v>
      </c>
      <c r="W60" s="646" t="s">
        <v>217</v>
      </c>
      <c r="X60" s="646"/>
      <c r="Y60" s="646" t="s">
        <v>217</v>
      </c>
      <c r="Z60" s="646" t="s">
        <v>217</v>
      </c>
      <c r="AA60" s="646" t="s">
        <v>217</v>
      </c>
      <c r="AB60" s="646"/>
      <c r="AC60" s="646"/>
      <c r="AD60" s="646"/>
      <c r="AE60" s="646"/>
      <c r="AF60" s="646" t="s">
        <v>217</v>
      </c>
      <c r="AG60" s="646" t="s">
        <v>217</v>
      </c>
      <c r="AH60" s="646" t="s">
        <v>217</v>
      </c>
      <c r="AI60" s="646"/>
      <c r="AJ60" s="646"/>
      <c r="AK60" s="646"/>
      <c r="AL60" s="646"/>
      <c r="AM60" s="646"/>
      <c r="AN60" s="646" t="s">
        <v>217</v>
      </c>
      <c r="AO60" s="646" t="s">
        <v>217</v>
      </c>
      <c r="AP60" s="646" t="s">
        <v>217</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4"/>
      <c r="BN60" s="200"/>
      <c r="BO60" s="200"/>
      <c r="BP60" s="200"/>
      <c r="BQ60" s="200"/>
      <c r="BR60" s="200"/>
      <c r="BS60" s="200"/>
      <c r="BT60" s="200"/>
      <c r="BU60" s="200"/>
      <c r="BV60" s="200"/>
      <c r="BW60" s="200"/>
      <c r="BX60" s="200"/>
      <c r="BY60" s="200"/>
    </row>
    <row r="61">
      <c r="A61" s="200"/>
      <c r="B61" s="636" t="s">
        <v>804</v>
      </c>
      <c r="C61" s="637"/>
      <c r="D61" s="200"/>
      <c r="E61" s="636" t="s">
        <v>804</v>
      </c>
      <c r="F61" s="637"/>
      <c r="G61" s="200"/>
      <c r="H61" s="200"/>
      <c r="I61" s="172" t="b">
        <v>0</v>
      </c>
      <c r="J61" s="618">
        <v>4.0</v>
      </c>
      <c r="K61" s="638" t="s">
        <v>804</v>
      </c>
      <c r="L61" s="639" t="s">
        <v>503</v>
      </c>
      <c r="M61" s="645"/>
      <c r="N61" s="646"/>
      <c r="O61" s="646" t="s">
        <v>217</v>
      </c>
      <c r="P61" s="646"/>
      <c r="Q61" s="646"/>
      <c r="R61" s="646"/>
      <c r="S61" s="646"/>
      <c r="T61" s="646" t="s">
        <v>217</v>
      </c>
      <c r="U61" s="646" t="s">
        <v>217</v>
      </c>
      <c r="V61" s="646" t="s">
        <v>217</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4"/>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545</v>
      </c>
      <c r="L62" s="639"/>
      <c r="M62" s="645"/>
      <c r="N62" s="646" t="s">
        <v>805</v>
      </c>
      <c r="O62" s="646"/>
      <c r="P62" s="646"/>
      <c r="Q62" s="646"/>
      <c r="R62" s="646"/>
      <c r="S62" s="646"/>
      <c r="T62" s="646" t="s">
        <v>805</v>
      </c>
      <c r="U62" s="646" t="s">
        <v>805</v>
      </c>
      <c r="V62" s="646"/>
      <c r="W62" s="646"/>
      <c r="X62" s="646" t="s">
        <v>667</v>
      </c>
      <c r="Y62" s="646"/>
      <c r="Z62" s="646"/>
      <c r="AA62" s="646" t="s">
        <v>805</v>
      </c>
      <c r="AB62" s="646" t="s">
        <v>805</v>
      </c>
      <c r="AC62" s="646"/>
      <c r="AD62" s="646"/>
      <c r="AE62" s="646"/>
      <c r="AF62" s="646"/>
      <c r="AG62" s="646"/>
      <c r="AH62" s="646" t="s">
        <v>805</v>
      </c>
      <c r="AI62" s="646" t="s">
        <v>805</v>
      </c>
      <c r="AJ62" s="646" t="s">
        <v>805</v>
      </c>
      <c r="AK62" s="646"/>
      <c r="AL62" s="646"/>
      <c r="AM62" s="646"/>
      <c r="AN62" s="646"/>
      <c r="AO62" s="646"/>
      <c r="AP62" s="646" t="s">
        <v>805</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4"/>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515</v>
      </c>
      <c r="L63" s="639"/>
      <c r="M63" s="645"/>
      <c r="N63" s="646" t="s">
        <v>806</v>
      </c>
      <c r="O63" s="646" t="s">
        <v>806</v>
      </c>
      <c r="P63" s="646"/>
      <c r="Q63" s="646"/>
      <c r="R63" s="646" t="s">
        <v>806</v>
      </c>
      <c r="S63" s="646" t="s">
        <v>806</v>
      </c>
      <c r="T63" s="646"/>
      <c r="U63" s="646" t="s">
        <v>806</v>
      </c>
      <c r="V63" s="646" t="s">
        <v>806</v>
      </c>
      <c r="W63" s="646"/>
      <c r="X63" s="646"/>
      <c r="Y63" s="646" t="s">
        <v>806</v>
      </c>
      <c r="Z63" s="646" t="s">
        <v>806</v>
      </c>
      <c r="AA63" s="646"/>
      <c r="AB63" s="646" t="s">
        <v>806</v>
      </c>
      <c r="AC63" s="646" t="s">
        <v>806</v>
      </c>
      <c r="AD63" s="646"/>
      <c r="AE63" s="646"/>
      <c r="AF63" s="646" t="s">
        <v>806</v>
      </c>
      <c r="AG63" s="646" t="s">
        <v>806</v>
      </c>
      <c r="AH63" s="646"/>
      <c r="AI63" s="646" t="s">
        <v>806</v>
      </c>
      <c r="AJ63" s="646" t="s">
        <v>806</v>
      </c>
      <c r="AK63" s="646"/>
      <c r="AL63" s="646"/>
      <c r="AM63" s="646"/>
      <c r="AN63" s="646" t="s">
        <v>806</v>
      </c>
      <c r="AO63" s="646" t="s">
        <v>806</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4"/>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517</v>
      </c>
      <c r="L64" s="639"/>
      <c r="M64" s="645"/>
      <c r="N64" s="646"/>
      <c r="O64" s="646"/>
      <c r="P64" s="646" t="s">
        <v>806</v>
      </c>
      <c r="Q64" s="646" t="s">
        <v>806</v>
      </c>
      <c r="R64" s="646"/>
      <c r="S64" s="646"/>
      <c r="T64" s="646"/>
      <c r="U64" s="646"/>
      <c r="V64" s="646"/>
      <c r="W64" s="646" t="s">
        <v>806</v>
      </c>
      <c r="X64" s="646" t="s">
        <v>806</v>
      </c>
      <c r="Y64" s="646"/>
      <c r="Z64" s="646"/>
      <c r="AA64" s="646"/>
      <c r="AB64" s="646"/>
      <c r="AC64" s="646"/>
      <c r="AD64" s="646" t="s">
        <v>806</v>
      </c>
      <c r="AE64" s="646" t="s">
        <v>806</v>
      </c>
      <c r="AF64" s="646"/>
      <c r="AG64" s="646"/>
      <c r="AH64" s="646"/>
      <c r="AI64" s="646"/>
      <c r="AJ64" s="646"/>
      <c r="AK64" s="646"/>
      <c r="AL64" s="646" t="s">
        <v>806</v>
      </c>
      <c r="AM64" s="646" t="s">
        <v>806</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4"/>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4"/>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4"/>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4"/>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4"/>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4"/>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4"/>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4"/>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4"/>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4"/>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4"/>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4"/>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4"/>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4"/>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4"/>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4"/>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4"/>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4"/>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4"/>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4"/>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4"/>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4"/>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4"/>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4"/>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4"/>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4"/>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4"/>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4"/>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4"/>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4"/>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4"/>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4"/>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4"/>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4"/>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4"/>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4"/>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4"/>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4"/>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4"/>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4"/>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4"/>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4"/>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4"/>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4"/>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4"/>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4"/>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4"/>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4"/>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4"/>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4"/>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4"/>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4"/>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4"/>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4"/>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4"/>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4"/>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4"/>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4"/>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4"/>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4"/>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4"/>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4"/>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4"/>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4"/>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4"/>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4"/>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4"/>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4"/>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4"/>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4"/>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4"/>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4"/>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4"/>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4"/>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4"/>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4"/>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4"/>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4"/>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4"/>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4"/>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4"/>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4"/>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4"/>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4"/>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4"/>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4"/>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4"/>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4"/>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4"/>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4"/>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4"/>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4"/>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4"/>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4"/>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4"/>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4"/>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4"/>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4"/>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4"/>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4"/>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4"/>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4"/>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4"/>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4"/>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4"/>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4"/>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4"/>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4"/>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t="s">
        <v>807</v>
      </c>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594</v>
      </c>
      <c r="G9" s="724"/>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t="19.5" hidden="1" customHeight="1" outlineLevel="1">
      <c r="A20" s="662"/>
      <c r="B20" s="744"/>
      <c r="C20" s="745">
        <f>IF(C9="","",IF(DAY(C9+1)=1,"",C9+1))</f>
        <v>46055</v>
      </c>
      <c r="D20" s="746" t="str">
        <f>TEXT(C20,"ddd")</f>
        <v>月</v>
      </c>
      <c r="E20" s="747"/>
      <c r="F20" s="748" t="s">
        <v>142</v>
      </c>
      <c r="G20" s="749" t="s">
        <v>808</v>
      </c>
      <c r="H20" s="750"/>
      <c r="I20" s="750" t="s">
        <v>584</v>
      </c>
      <c r="J20" s="750" t="s">
        <v>809</v>
      </c>
      <c r="K20" s="750" t="s">
        <v>567</v>
      </c>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t="19.5" hidden="1" customHeight="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t="19.5" hidden="1" customHeight="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t="19.5" hidden="1" customHeight="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t="19.5" hidden="1" customHeight="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810</v>
      </c>
      <c r="W24" s="662"/>
      <c r="X24" s="757"/>
      <c r="Y24" s="662"/>
      <c r="Z24" s="662"/>
    </row>
    <row r="25" ht="19.5" hidden="1" customHeight="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t="19.5" hidden="1" customHeight="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t="19.5" hidden="1" customHeight="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t="19.5" hidden="1" customHeight="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t="19.5" hidden="1" customHeight="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t="18.0" hidden="1" customHeight="1" outlineLevel="1">
      <c r="A30" s="662"/>
      <c r="B30" s="739"/>
      <c r="C30" s="698"/>
      <c r="D30" s="698"/>
      <c r="E30" s="698"/>
      <c r="F30" s="758" t="s">
        <v>546</v>
      </c>
      <c r="G30" s="759" t="s">
        <v>811</v>
      </c>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142</v>
      </c>
      <c r="G31" s="766" t="s">
        <v>812</v>
      </c>
      <c r="H31" s="767"/>
      <c r="I31" s="767" t="s">
        <v>584</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813</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814</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815</v>
      </c>
      <c r="W40" s="662"/>
      <c r="X40" s="757"/>
      <c r="Y40" s="662"/>
      <c r="Z40" s="662"/>
    </row>
    <row r="41" ht="18.0" hidden="1" customHeight="1" outlineLevel="1">
      <c r="A41" s="662"/>
      <c r="B41" s="739"/>
      <c r="C41" s="698"/>
      <c r="D41" s="698"/>
      <c r="E41" s="698"/>
      <c r="F41" s="740" t="s">
        <v>546</v>
      </c>
      <c r="G41" s="741" t="s">
        <v>816</v>
      </c>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817</v>
      </c>
      <c r="W41" s="662"/>
      <c r="X41" s="757"/>
      <c r="Y41" s="662"/>
      <c r="Z41" s="662"/>
    </row>
    <row r="42" hidden="1" outlineLevel="1">
      <c r="A42" s="662"/>
      <c r="B42" s="744"/>
      <c r="C42" s="745">
        <f>IF(C31="","",IF(DAY(C31+1)=1,"",C31+1))</f>
        <v>46057</v>
      </c>
      <c r="D42" s="746" t="str">
        <f>TEXT(C42,"ddd")</f>
        <v>水</v>
      </c>
      <c r="E42" s="747"/>
      <c r="F42" s="775" t="s">
        <v>142</v>
      </c>
      <c r="G42" s="776" t="s">
        <v>818</v>
      </c>
      <c r="H42" s="777"/>
      <c r="I42" s="777" t="s">
        <v>584</v>
      </c>
      <c r="J42" s="777" t="s">
        <v>566</v>
      </c>
      <c r="K42" s="777" t="s">
        <v>567</v>
      </c>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679</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819</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820</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t="18.0" hidden="1" customHeight="1" outlineLevel="1">
      <c r="A52" s="662"/>
      <c r="B52" s="739"/>
      <c r="C52" s="698"/>
      <c r="D52" s="698"/>
      <c r="E52" s="698"/>
      <c r="F52" s="758" t="s">
        <v>546</v>
      </c>
      <c r="G52" s="759" t="s">
        <v>821</v>
      </c>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100</v>
      </c>
      <c r="G53" s="766" t="s">
        <v>822</v>
      </c>
      <c r="H53" s="767"/>
      <c r="I53" s="767">
        <v>2.0</v>
      </c>
      <c r="J53" s="767">
        <v>10.0</v>
      </c>
      <c r="K53" s="767">
        <v>3.0</v>
      </c>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944"/>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944" t="s">
        <v>823</v>
      </c>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944"/>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944" t="s">
        <v>824</v>
      </c>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944"/>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944" t="s">
        <v>825</v>
      </c>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944"/>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944" t="s">
        <v>826</v>
      </c>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t="72.0" hidden="1" customHeight="1" outlineLevel="1">
      <c r="A62" s="662"/>
      <c r="B62" s="730"/>
      <c r="C62" s="731"/>
      <c r="D62" s="731"/>
      <c r="E62" s="731"/>
      <c r="F62" s="698"/>
      <c r="G62" s="945" t="s">
        <v>827</v>
      </c>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t="18.0" hidden="1" customHeight="1" outlineLevel="1">
      <c r="A63" s="662"/>
      <c r="B63" s="739"/>
      <c r="C63" s="698"/>
      <c r="D63" s="698"/>
      <c r="E63" s="698"/>
      <c r="F63" s="740" t="s">
        <v>546</v>
      </c>
      <c r="G63" s="741" t="s">
        <v>828</v>
      </c>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142</v>
      </c>
      <c r="G65" s="776" t="s">
        <v>829</v>
      </c>
      <c r="H65" s="777"/>
      <c r="I65" s="777" t="s">
        <v>570</v>
      </c>
      <c r="J65" s="777">
        <v>8.0</v>
      </c>
      <c r="K65" s="777" t="s">
        <v>585</v>
      </c>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t="18.0" hidden="1" customHeight="1" outlineLevel="1">
      <c r="A75" s="662"/>
      <c r="B75" s="739"/>
      <c r="C75" s="698"/>
      <c r="D75" s="698"/>
      <c r="E75" s="698"/>
      <c r="F75" s="758" t="s">
        <v>546</v>
      </c>
      <c r="G75" s="759" t="s">
        <v>830</v>
      </c>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t="33.0" hidden="1" customHeight="1" outlineLevel="1">
      <c r="A76" s="662"/>
      <c r="B76" s="761"/>
      <c r="C76" s="762">
        <f>IF(C65="","",IF(DAY(C65+1)=1,"",C65+1))</f>
        <v>46060</v>
      </c>
      <c r="D76" s="763" t="str">
        <f>TEXT(C76,"ddd")</f>
        <v>土</v>
      </c>
      <c r="E76" s="764"/>
      <c r="F76" s="765" t="s">
        <v>100</v>
      </c>
      <c r="G76" s="766" t="s">
        <v>831</v>
      </c>
      <c r="H76" s="767">
        <v>1.0</v>
      </c>
      <c r="I76" s="767" t="s">
        <v>832</v>
      </c>
      <c r="J76" s="767">
        <v>8.0</v>
      </c>
      <c r="K76" s="767">
        <v>2.0</v>
      </c>
      <c r="L76" s="769" t="s">
        <v>159</v>
      </c>
      <c r="M76" s="769" t="s">
        <v>833</v>
      </c>
      <c r="N76" s="765"/>
      <c r="O76" s="770"/>
      <c r="P76" s="771"/>
      <c r="Q76" s="772"/>
      <c r="R76" s="662"/>
      <c r="S76" s="228" t="str">
        <f t="array" ref="S76">IFERROR(INDEX('💻シート作成'!$D$6:$D1001, MATCH(T76, '💻シート作成'!$E$6:$E1001, 0)), "")</f>
        <v/>
      </c>
      <c r="T76" s="172"/>
      <c r="U76" s="665"/>
      <c r="V76" s="774"/>
      <c r="W76" s="662"/>
      <c r="X76" s="757"/>
      <c r="Y76" s="662"/>
      <c r="Z76" s="662"/>
    </row>
    <row r="77" ht="33.0" hidden="1" customHeight="1" outlineLevel="1">
      <c r="A77" s="662"/>
      <c r="B77" s="730"/>
      <c r="C77" s="731"/>
      <c r="D77" s="731"/>
      <c r="E77" s="731"/>
      <c r="F77" s="731"/>
      <c r="G77" s="732"/>
      <c r="H77" s="731"/>
      <c r="I77" s="731"/>
      <c r="J77" s="731"/>
      <c r="K77" s="731"/>
      <c r="L77" s="769" t="s">
        <v>804</v>
      </c>
      <c r="M77" s="769" t="s">
        <v>834</v>
      </c>
      <c r="N77" s="731"/>
      <c r="O77" s="734"/>
      <c r="Q77" s="729"/>
      <c r="R77" s="662"/>
      <c r="S77" s="228" t="str">
        <f t="array" ref="S77">IFERROR(INDEX('💻シート作成'!$D$6:$D1001, MATCH(T77, '💻シート作成'!$E$6:$E1001, 0)), "")</f>
        <v/>
      </c>
      <c r="T77" s="172"/>
      <c r="U77" s="665"/>
      <c r="V77" s="774"/>
      <c r="W77" s="662"/>
      <c r="X77" s="757"/>
      <c r="Y77" s="662"/>
      <c r="Z77" s="662"/>
    </row>
    <row r="78" ht="33.0" hidden="1" customHeight="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t="33.0" hidden="1" customHeight="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t="33.0" hidden="1" customHeight="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t="33.0" hidden="1" customHeight="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t="33.0" hidden="1" customHeight="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t="33.0" hidden="1" customHeight="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t="33.0" hidden="1" customHeight="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t="33.0" hidden="1" customHeight="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t="18.0" hidden="1" customHeight="1" outlineLevel="1">
      <c r="A86" s="662"/>
      <c r="B86" s="739"/>
      <c r="C86" s="698"/>
      <c r="D86" s="698"/>
      <c r="E86" s="698"/>
      <c r="F86" s="740" t="s">
        <v>546</v>
      </c>
      <c r="G86" s="741" t="s">
        <v>835</v>
      </c>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t="34.5" hidden="1" customHeight="1" outlineLevel="1">
      <c r="A87" s="662"/>
      <c r="B87" s="744"/>
      <c r="C87" s="745">
        <f>IF(C76="","",IF(DAY(C76+1)=1,"",C76+1))</f>
        <v>46061</v>
      </c>
      <c r="D87" s="746" t="str">
        <f>TEXT(C87,"ddd")</f>
        <v>日</v>
      </c>
      <c r="E87" s="747"/>
      <c r="F87" s="775" t="s">
        <v>100</v>
      </c>
      <c r="G87" s="776" t="s">
        <v>836</v>
      </c>
      <c r="H87" s="777">
        <v>1.0</v>
      </c>
      <c r="I87" s="778">
        <v>0.6875</v>
      </c>
      <c r="J87" s="777">
        <v>9.0</v>
      </c>
      <c r="K87" s="777">
        <v>2.0</v>
      </c>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t="34.5" hidden="1" customHeight="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t="34.5" hidden="1" customHeight="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t="34.5" hidden="1" customHeight="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t="34.5" hidden="1" customHeight="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t="34.5" hidden="1" customHeight="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t="34.5" hidden="1" customHeight="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t="34.5" hidden="1" customHeight="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t="34.5" hidden="1" customHeight="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t="34.5" hidden="1" customHeight="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t="18.0" hidden="1" customHeight="1" outlineLevel="1">
      <c r="A97" s="662"/>
      <c r="B97" s="739"/>
      <c r="C97" s="698"/>
      <c r="D97" s="698"/>
      <c r="E97" s="698"/>
      <c r="F97" s="758" t="s">
        <v>546</v>
      </c>
      <c r="G97" s="759" t="s">
        <v>837</v>
      </c>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t="21.0" hidden="1" customHeight="1" outlineLevel="1">
      <c r="A98" s="662"/>
      <c r="B98" s="761"/>
      <c r="C98" s="762">
        <f>IF(C87="","",IF(DAY(C87+1)=1,"",C87+1))</f>
        <v>46062</v>
      </c>
      <c r="D98" s="763" t="str">
        <f>TEXT(C98,"ddd")</f>
        <v>月</v>
      </c>
      <c r="E98" s="764"/>
      <c r="F98" s="765" t="s">
        <v>142</v>
      </c>
      <c r="G98" s="766" t="s">
        <v>838</v>
      </c>
      <c r="H98" s="767">
        <v>2.0</v>
      </c>
      <c r="I98" s="767" t="s">
        <v>584</v>
      </c>
      <c r="J98" s="767">
        <v>8.0</v>
      </c>
      <c r="K98" s="767">
        <v>4.0</v>
      </c>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t="21.0" hidden="1" customHeight="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t="21.0" hidden="1" customHeight="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t="21.0" hidden="1" customHeight="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t="21.0" hidden="1" customHeight="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t="21.0" hidden="1" customHeight="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t="21.0" hidden="1" customHeight="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t="21.0" hidden="1" customHeight="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t="21.0" hidden="1" customHeight="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t="21.0" hidden="1" customHeight="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t="18.0" hidden="1" customHeight="1" outlineLevel="1">
      <c r="A108" s="662"/>
      <c r="B108" s="739"/>
      <c r="C108" s="698"/>
      <c r="D108" s="698"/>
      <c r="E108" s="698"/>
      <c r="F108" s="740" t="s">
        <v>546</v>
      </c>
      <c r="G108" s="741" t="s">
        <v>839</v>
      </c>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t="33.0" hidden="1" customHeight="1" outlineLevel="1">
      <c r="A109" s="662"/>
      <c r="B109" s="744"/>
      <c r="C109" s="745">
        <f>IF(C98="","",IF(DAY(C98+1)=1,"",C98+1))</f>
        <v>46063</v>
      </c>
      <c r="D109" s="746" t="str">
        <f>TEXT(C109,"ddd")</f>
        <v>火</v>
      </c>
      <c r="E109" s="747"/>
      <c r="F109" s="775" t="s">
        <v>119</v>
      </c>
      <c r="G109" s="776" t="s">
        <v>840</v>
      </c>
      <c r="H109" s="777"/>
      <c r="I109" s="778">
        <v>0.7083333333333334</v>
      </c>
      <c r="J109" s="777">
        <v>9.0</v>
      </c>
      <c r="K109" s="777">
        <v>3.0</v>
      </c>
      <c r="L109" s="755" t="s">
        <v>159</v>
      </c>
      <c r="M109" s="755" t="s">
        <v>841</v>
      </c>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t="33.0" hidden="1" customHeight="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t="33.0" hidden="1" customHeight="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t="33.0" hidden="1" customHeight="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t="33.0" hidden="1" customHeight="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t="33.0" hidden="1" customHeight="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t="33.0" hidden="1" customHeight="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t="33.0" hidden="1" customHeight="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t="33.0" hidden="1" customHeight="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t="33.0" hidden="1" customHeight="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t="18.0" hidden="1" customHeight="1" outlineLevel="1">
      <c r="A119" s="662"/>
      <c r="B119" s="739"/>
      <c r="C119" s="698"/>
      <c r="D119" s="698"/>
      <c r="E119" s="698"/>
      <c r="F119" s="758" t="s">
        <v>546</v>
      </c>
      <c r="G119" s="759" t="s">
        <v>842</v>
      </c>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t="27.75" hidden="1" customHeight="1" outlineLevel="1">
      <c r="A121" s="662"/>
      <c r="B121" s="761"/>
      <c r="C121" s="762">
        <f>IF(C109="","",IF(DAY(C109+1)=1,"",C109+1))</f>
        <v>46064</v>
      </c>
      <c r="D121" s="763" t="str">
        <f>TEXT(C121,"ddd")</f>
        <v>水</v>
      </c>
      <c r="E121" s="764"/>
      <c r="F121" s="765" t="s">
        <v>142</v>
      </c>
      <c r="G121" s="766" t="s">
        <v>843</v>
      </c>
      <c r="H121" s="767"/>
      <c r="I121" s="768">
        <v>0.625</v>
      </c>
      <c r="J121" s="767" t="s">
        <v>566</v>
      </c>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t="27.75" hidden="1" customHeight="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t="27.75" hidden="1" customHeight="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t="27.75" hidden="1" customHeight="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t="27.75" hidden="1" customHeight="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t="27.75" hidden="1" customHeight="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t="27.75" hidden="1" customHeight="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t="27.75" hidden="1" customHeight="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t="27.75" hidden="1" customHeight="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t="27.75" hidden="1" customHeight="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t="18.0" hidden="1" customHeight="1" outlineLevel="1">
      <c r="A131" s="662"/>
      <c r="B131" s="739"/>
      <c r="C131" s="698"/>
      <c r="D131" s="698"/>
      <c r="E131" s="698"/>
      <c r="F131" s="740" t="s">
        <v>546</v>
      </c>
      <c r="G131" s="741" t="s">
        <v>844</v>
      </c>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t="27.75" hidden="1" customHeight="1" outlineLevel="1">
      <c r="A132" s="662"/>
      <c r="B132" s="744"/>
      <c r="C132" s="745">
        <f>IF(C121="","",IF(DAY(C121+1)=1,"",C121+1))</f>
        <v>46065</v>
      </c>
      <c r="D132" s="746" t="str">
        <f>TEXT(C132,"ddd")</f>
        <v>木</v>
      </c>
      <c r="E132" s="747"/>
      <c r="F132" s="775" t="s">
        <v>100</v>
      </c>
      <c r="G132" s="776" t="s">
        <v>845</v>
      </c>
      <c r="H132" s="777"/>
      <c r="I132" s="778">
        <v>0.6666666666666666</v>
      </c>
      <c r="J132" s="777">
        <v>8.0</v>
      </c>
      <c r="K132" s="777">
        <v>3.0</v>
      </c>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t="27.75" hidden="1" customHeight="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t="27.75" hidden="1" customHeight="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t="27.75" hidden="1" customHeight="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t="27.75" hidden="1" customHeight="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t="27.75" hidden="1" customHeight="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t="27.75" hidden="1" customHeight="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t="27.75" hidden="1" customHeight="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t="27.75" hidden="1" customHeight="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t="27.75" hidden="1" customHeight="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t="18.0" hidden="1" customHeight="1" outlineLevel="1">
      <c r="A142" s="662"/>
      <c r="B142" s="739"/>
      <c r="C142" s="698"/>
      <c r="D142" s="698"/>
      <c r="E142" s="698"/>
      <c r="F142" s="758" t="s">
        <v>546</v>
      </c>
      <c r="G142" s="759" t="s">
        <v>846</v>
      </c>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t="22.5" hidden="1" customHeight="1" outlineLevel="1">
      <c r="A143" s="662"/>
      <c r="B143" s="761"/>
      <c r="C143" s="762">
        <f>IF(C132="","",IF(DAY(C132+1)=1,"",C132+1))</f>
        <v>46066</v>
      </c>
      <c r="D143" s="763" t="str">
        <f>TEXT(C143,"ddd")</f>
        <v>金</v>
      </c>
      <c r="E143" s="764"/>
      <c r="F143" s="765" t="s">
        <v>142</v>
      </c>
      <c r="G143" s="766" t="s">
        <v>847</v>
      </c>
      <c r="H143" s="767"/>
      <c r="I143" s="767" t="s">
        <v>848</v>
      </c>
      <c r="J143" s="767" t="s">
        <v>566</v>
      </c>
      <c r="K143" s="767" t="s">
        <v>585</v>
      </c>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t="22.5" hidden="1" customHeight="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t="22.5" hidden="1" customHeight="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t="22.5" hidden="1" customHeight="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t="22.5" hidden="1" customHeight="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t="22.5" hidden="1" customHeight="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t="22.5" hidden="1" customHeight="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t="22.5" hidden="1" customHeight="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t="22.5" hidden="1" customHeight="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t="22.5" hidden="1" customHeight="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t="18.0" hidden="1" customHeight="1" outlineLevel="1">
      <c r="A153" s="662"/>
      <c r="B153" s="739"/>
      <c r="C153" s="698"/>
      <c r="D153" s="698"/>
      <c r="E153" s="698"/>
      <c r="F153" s="740" t="s">
        <v>546</v>
      </c>
      <c r="G153" s="741" t="s">
        <v>849</v>
      </c>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t="24.0" hidden="1" customHeight="1" outlineLevel="1">
      <c r="A154" s="662"/>
      <c r="B154" s="744"/>
      <c r="C154" s="745">
        <f>IF(C143="","",IF(DAY(C143+1)=1,"",C143+1))</f>
        <v>46067</v>
      </c>
      <c r="D154" s="746" t="str">
        <f>TEXT(C154,"ddd")</f>
        <v>土</v>
      </c>
      <c r="E154" s="747"/>
      <c r="F154" s="775" t="s">
        <v>132</v>
      </c>
      <c r="G154" s="776" t="s">
        <v>850</v>
      </c>
      <c r="H154" s="777"/>
      <c r="I154" s="778">
        <v>0.65625</v>
      </c>
      <c r="J154" s="777">
        <v>10.0</v>
      </c>
      <c r="K154" s="777">
        <v>2.0</v>
      </c>
      <c r="L154" s="755"/>
      <c r="M154" s="755"/>
      <c r="N154" s="775">
        <v>174.0</v>
      </c>
      <c r="O154" s="779"/>
      <c r="P154" s="771"/>
      <c r="Q154" s="772"/>
      <c r="R154" s="662"/>
      <c r="S154" s="228" t="str">
        <f t="array" ref="S154">IFERROR(INDEX('💻シート作成'!$D$6:$D1001, MATCH(T154, '💻シート作成'!$E$6:$E1001, 0)), "")</f>
        <v/>
      </c>
      <c r="T154" s="184"/>
      <c r="U154" s="665"/>
      <c r="V154" s="774"/>
      <c r="W154" s="662"/>
      <c r="X154" s="757"/>
      <c r="Y154" s="662"/>
      <c r="Z154" s="662"/>
    </row>
    <row r="155" ht="24.0" hidden="1" customHeight="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t="24.0" hidden="1" customHeight="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t="24.0" hidden="1" customHeight="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t="24.0" hidden="1" customHeight="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t="24.0" hidden="1" customHeight="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t="24.0" hidden="1" customHeight="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t="24.0" hidden="1" customHeight="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t="24.0" hidden="1" customHeight="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t="24.0" hidden="1" customHeight="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t="18.0" hidden="1" customHeight="1" outlineLevel="1">
      <c r="A164" s="662"/>
      <c r="B164" s="739"/>
      <c r="C164" s="698"/>
      <c r="D164" s="698"/>
      <c r="E164" s="698"/>
      <c r="F164" s="758" t="s">
        <v>546</v>
      </c>
      <c r="G164" s="759" t="s">
        <v>851</v>
      </c>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t="57.75" hidden="1" customHeight="1" outlineLevel="1">
      <c r="A165" s="662"/>
      <c r="B165" s="761"/>
      <c r="C165" s="762">
        <f>IF(C154="","",IF(DAY(C154+1)=1,"",C154+1))</f>
        <v>46068</v>
      </c>
      <c r="D165" s="763" t="str">
        <f>TEXT(C165,"ddd")</f>
        <v>日</v>
      </c>
      <c r="E165" s="764"/>
      <c r="F165" s="765" t="s">
        <v>132</v>
      </c>
      <c r="G165" s="766" t="s">
        <v>852</v>
      </c>
      <c r="H165" s="767"/>
      <c r="I165" s="768">
        <v>0.6875</v>
      </c>
      <c r="J165" s="767">
        <v>9.0</v>
      </c>
      <c r="K165" s="767">
        <v>1.0</v>
      </c>
      <c r="L165" s="769"/>
      <c r="M165" s="769"/>
      <c r="N165" s="765">
        <v>160.0</v>
      </c>
      <c r="O165" s="770"/>
      <c r="P165" s="771"/>
      <c r="Q165" s="772"/>
      <c r="R165" s="662"/>
      <c r="S165" s="228" t="str">
        <f t="array" ref="S165">IFERROR(INDEX('💻シート作成'!$D$6:$D1001, MATCH(T165, '💻シート作成'!$E$6:$E1001, 0)), "")</f>
        <v/>
      </c>
      <c r="T165" s="184"/>
      <c r="U165" s="665"/>
      <c r="V165" s="774"/>
      <c r="W165" s="662"/>
      <c r="X165" s="757"/>
      <c r="Y165" s="662"/>
      <c r="Z165" s="662"/>
    </row>
    <row r="166" ht="57.75" hidden="1" customHeight="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t="57.75" hidden="1" customHeight="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t="57.75" hidden="1" customHeight="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t="57.75" hidden="1" customHeight="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t="57.75" hidden="1" customHeight="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t="57.75" hidden="1" customHeight="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t="57.75" hidden="1" customHeight="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t="57.75" hidden="1" customHeight="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t="57.75" hidden="1" customHeight="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t="18.0" hidden="1" customHeight="1" outlineLevel="1">
      <c r="A175" s="662"/>
      <c r="B175" s="739"/>
      <c r="C175" s="698"/>
      <c r="D175" s="698"/>
      <c r="E175" s="698"/>
      <c r="F175" s="740" t="s">
        <v>546</v>
      </c>
      <c r="G175" s="741" t="s">
        <v>853</v>
      </c>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t="18.0" hidden="1" customHeight="1" outlineLevel="1">
      <c r="A177" s="662"/>
      <c r="B177" s="744"/>
      <c r="C177" s="745">
        <f>IF(C165="","",IF(DAY(C165+1)=1,"",C165+1))</f>
        <v>46069</v>
      </c>
      <c r="D177" s="746" t="str">
        <f>TEXT(C177,"ddd")</f>
        <v>月</v>
      </c>
      <c r="E177" s="747"/>
      <c r="F177" s="775" t="s">
        <v>142</v>
      </c>
      <c r="G177" s="776" t="s">
        <v>854</v>
      </c>
      <c r="H177" s="777"/>
      <c r="I177" s="777" t="s">
        <v>570</v>
      </c>
      <c r="J177" s="777">
        <v>8.0</v>
      </c>
      <c r="K177" s="777">
        <v>3.0</v>
      </c>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t="18.0" hidden="1" customHeight="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t="18.0" hidden="1" customHeight="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t="18.0" hidden="1" customHeight="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t="18.0" hidden="1" customHeight="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t="18.0" hidden="1" customHeight="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t="18.0" hidden="1" customHeight="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t="18.0" hidden="1" customHeight="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t="18.0" hidden="1" customHeight="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t="18.0" hidden="1" customHeight="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t="18.0" hidden="1" customHeight="1" outlineLevel="1">
      <c r="A187" s="662"/>
      <c r="B187" s="739"/>
      <c r="C187" s="698"/>
      <c r="D187" s="698"/>
      <c r="E187" s="698"/>
      <c r="F187" s="758" t="s">
        <v>546</v>
      </c>
      <c r="G187" s="759" t="s">
        <v>855</v>
      </c>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t="88.5" hidden="1" customHeight="1" outlineLevel="1">
      <c r="A188" s="662"/>
      <c r="B188" s="761"/>
      <c r="C188" s="762">
        <f>IF(C177="","",IF(DAY(C177+1)=1,"",C177+1))</f>
        <v>46070</v>
      </c>
      <c r="D188" s="763" t="str">
        <f>TEXT(C188,"ddd")</f>
        <v>火</v>
      </c>
      <c r="E188" s="764"/>
      <c r="F188" s="765" t="s">
        <v>132</v>
      </c>
      <c r="G188" s="766" t="s">
        <v>856</v>
      </c>
      <c r="H188" s="767"/>
      <c r="I188" s="768">
        <v>0.6666666666666666</v>
      </c>
      <c r="J188" s="767">
        <v>8.0</v>
      </c>
      <c r="K188" s="767">
        <v>2.0</v>
      </c>
      <c r="L188" s="769" t="s">
        <v>499</v>
      </c>
      <c r="M188" s="769" t="s">
        <v>559</v>
      </c>
      <c r="N188" s="765">
        <v>174.0</v>
      </c>
      <c r="O188" s="770"/>
      <c r="P188" s="771"/>
      <c r="Q188" s="772"/>
      <c r="R188" s="662"/>
      <c r="S188" s="228" t="str">
        <f t="array" ref="S188">IFERROR(INDEX('💻シート作成'!$D$6:$D1001, MATCH(T188, '💻シート作成'!$E$6:$E1001, 0)), "")</f>
        <v/>
      </c>
      <c r="T188" s="184"/>
      <c r="U188" s="665"/>
      <c r="V188" s="774"/>
      <c r="W188" s="662"/>
      <c r="X188" s="757"/>
      <c r="Y188" s="662"/>
      <c r="Z188" s="662"/>
    </row>
    <row r="189" ht="88.5" hidden="1" customHeight="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t="88.5" hidden="1" customHeight="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t="88.5" hidden="1" customHeight="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t="88.5" hidden="1" customHeight="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t="88.5" hidden="1" customHeight="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t="88.5" hidden="1" customHeight="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t="88.5" hidden="1" customHeight="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t="88.5" hidden="1" customHeight="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t="88.5" hidden="1" customHeight="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t="18.0" hidden="1" customHeight="1" outlineLevel="1">
      <c r="A198" s="662"/>
      <c r="B198" s="739"/>
      <c r="C198" s="698"/>
      <c r="D198" s="698"/>
      <c r="E198" s="698"/>
      <c r="F198" s="740" t="s">
        <v>546</v>
      </c>
      <c r="G198" s="741" t="s">
        <v>857</v>
      </c>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t="87.0" hidden="1" customHeight="1" outlineLevel="1">
      <c r="A199" s="662"/>
      <c r="B199" s="744"/>
      <c r="C199" s="745">
        <f>IF(C188="","",IF(DAY(C188+1)=1,"",C188+1))</f>
        <v>46071</v>
      </c>
      <c r="D199" s="746" t="str">
        <f>TEXT(C199,"ddd")</f>
        <v>水</v>
      </c>
      <c r="E199" s="747"/>
      <c r="F199" s="775" t="s">
        <v>132</v>
      </c>
      <c r="G199" s="946" t="s">
        <v>858</v>
      </c>
      <c r="H199" s="777"/>
      <c r="I199" s="778">
        <v>0.65625</v>
      </c>
      <c r="J199" s="777">
        <v>9.0</v>
      </c>
      <c r="K199" s="777">
        <v>2.0</v>
      </c>
      <c r="L199" s="755"/>
      <c r="M199" s="755"/>
      <c r="N199" s="775">
        <v>175.0</v>
      </c>
      <c r="O199" s="779"/>
      <c r="P199" s="771"/>
      <c r="Q199" s="772"/>
      <c r="R199" s="662"/>
      <c r="S199" s="228" t="str">
        <f t="array" ref="S199">IFERROR(INDEX('💻シート作成'!$D$6:$D1001, MATCH(T199, '💻シート作成'!$E$6:$E1001, 0)), "")</f>
        <v/>
      </c>
      <c r="T199" s="184"/>
      <c r="U199" s="665"/>
      <c r="V199" s="774"/>
      <c r="W199" s="662"/>
      <c r="X199" s="757"/>
      <c r="Y199" s="662"/>
      <c r="Z199" s="662"/>
    </row>
    <row r="200" ht="87.0" hidden="1" customHeight="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t="87.0" hidden="1" customHeight="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t="87.0" hidden="1" customHeight="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t="87.0" hidden="1" customHeight="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t="87.0" hidden="1" customHeight="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t="87.0" hidden="1" customHeight="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t="87.0" hidden="1" customHeight="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t="87.0" hidden="1" customHeight="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t="87.0" hidden="1" customHeight="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t="18.0" hidden="1" customHeight="1" outlineLevel="1">
      <c r="A209" s="662"/>
      <c r="B209" s="739"/>
      <c r="C209" s="698"/>
      <c r="D209" s="698"/>
      <c r="E209" s="698"/>
      <c r="F209" s="758" t="s">
        <v>546</v>
      </c>
      <c r="G209" s="759" t="s">
        <v>859</v>
      </c>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t="60.0" hidden="1" customHeight="1" outlineLevel="1">
      <c r="A210" s="662"/>
      <c r="B210" s="761"/>
      <c r="C210" s="762">
        <f>IF(C199="","",IF(DAY(C199+1)=1,"",C199+1))</f>
        <v>46072</v>
      </c>
      <c r="D210" s="763" t="str">
        <f>TEXT(C210,"ddd")</f>
        <v>木</v>
      </c>
      <c r="E210" s="764"/>
      <c r="F210" s="765" t="s">
        <v>132</v>
      </c>
      <c r="G210" s="766" t="s">
        <v>860</v>
      </c>
      <c r="H210" s="767"/>
      <c r="I210" s="768">
        <v>0.6666666666666666</v>
      </c>
      <c r="J210" s="767">
        <v>9.0</v>
      </c>
      <c r="K210" s="767">
        <v>4.0</v>
      </c>
      <c r="L210" s="769" t="s">
        <v>505</v>
      </c>
      <c r="M210" s="769" t="s">
        <v>861</v>
      </c>
      <c r="N210" s="765">
        <v>120.0</v>
      </c>
      <c r="O210" s="770"/>
      <c r="P210" s="771"/>
      <c r="Q210" s="772"/>
      <c r="R210" s="662"/>
      <c r="S210" s="228" t="str">
        <f t="array" ref="S210">IFERROR(INDEX('💻シート作成'!$D$6:$D1001, MATCH(T210, '💻シート作成'!$E$6:$E1001, 0)), "")</f>
        <v/>
      </c>
      <c r="T210" s="184"/>
      <c r="U210" s="665"/>
      <c r="V210" s="774"/>
      <c r="W210" s="662"/>
      <c r="X210" s="757"/>
      <c r="Y210" s="662"/>
      <c r="Z210" s="662"/>
    </row>
    <row r="211" ht="60.0" hidden="1" customHeight="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t="60.0" hidden="1" customHeight="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t="60.0" hidden="1" customHeight="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t="60.0" hidden="1" customHeight="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t="60.0" hidden="1" customHeight="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t="60.0" hidden="1" customHeight="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t="60.0" hidden="1" customHeight="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t="60.0" hidden="1" customHeight="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t="60.0" hidden="1" customHeight="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t="18.0" hidden="1" customHeight="1" outlineLevel="1">
      <c r="A220" s="662"/>
      <c r="B220" s="739"/>
      <c r="C220" s="698"/>
      <c r="D220" s="698"/>
      <c r="E220" s="698"/>
      <c r="F220" s="740" t="s">
        <v>546</v>
      </c>
      <c r="G220" s="741" t="s">
        <v>862</v>
      </c>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t="63.0" hidden="1" customHeight="1" outlineLevel="1">
      <c r="A221" s="662"/>
      <c r="B221" s="744"/>
      <c r="C221" s="745">
        <f>IF(C210="","",IF(DAY(C210+1)=1,"",C210+1))</f>
        <v>46073</v>
      </c>
      <c r="D221" s="746" t="str">
        <f>TEXT(C221,"ddd")</f>
        <v>金</v>
      </c>
      <c r="E221" s="947" t="s">
        <v>863</v>
      </c>
      <c r="F221" s="775" t="s">
        <v>132</v>
      </c>
      <c r="G221" s="776" t="s">
        <v>864</v>
      </c>
      <c r="H221" s="777">
        <v>1.0</v>
      </c>
      <c r="I221" s="778">
        <v>0.6979166666666666</v>
      </c>
      <c r="J221" s="777">
        <v>8.0</v>
      </c>
      <c r="K221" s="777">
        <v>1.0</v>
      </c>
      <c r="L221" s="755"/>
      <c r="M221" s="755"/>
      <c r="N221" s="775" t="s">
        <v>865</v>
      </c>
      <c r="O221" s="779"/>
      <c r="P221" s="771"/>
      <c r="Q221" s="772"/>
      <c r="R221" s="662"/>
      <c r="S221" s="228" t="str">
        <f t="array" ref="S221">IFERROR(INDEX('💻シート作成'!$D$6:$D1001, MATCH(T221, '💻シート作成'!$E$6:$E1001, 0)), "")</f>
        <v/>
      </c>
      <c r="T221" s="184"/>
      <c r="U221" s="665"/>
      <c r="V221" s="774"/>
      <c r="W221" s="662"/>
      <c r="X221" s="757"/>
      <c r="Y221" s="662"/>
      <c r="Z221" s="662"/>
    </row>
    <row r="222" ht="63.0" hidden="1" customHeight="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t="63.0" hidden="1" customHeight="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t="63.0" hidden="1" customHeight="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t="63.0" hidden="1" customHeight="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t="63.0" hidden="1" customHeight="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t="63.0" hidden="1" customHeight="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t="63.0" hidden="1" customHeight="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t="63.0" hidden="1" customHeight="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t="63.0" hidden="1" customHeight="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t="18.0" hidden="1" customHeight="1" outlineLevel="1">
      <c r="A231" s="662"/>
      <c r="B231" s="739"/>
      <c r="C231" s="698"/>
      <c r="D231" s="698"/>
      <c r="E231" s="698"/>
      <c r="F231" s="758" t="s">
        <v>546</v>
      </c>
      <c r="G231" s="759" t="s">
        <v>866</v>
      </c>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 r="A232" s="662"/>
      <c r="B232" s="780" t="s">
        <v>596</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t="48.0" customHeight="1" outlineLevel="1">
      <c r="A233" s="662"/>
      <c r="B233" s="761"/>
      <c r="C233" s="762">
        <f>IF(C221="","",IF(DAY(C221+1)=1,"",C221+1))</f>
        <v>46074</v>
      </c>
      <c r="D233" s="763" t="str">
        <f>TEXT(C233,"ddd")</f>
        <v>土</v>
      </c>
      <c r="E233" s="764"/>
      <c r="F233" s="765" t="s">
        <v>132</v>
      </c>
      <c r="G233" s="766" t="s">
        <v>867</v>
      </c>
      <c r="H233" s="767"/>
      <c r="I233" s="768">
        <v>0.6666666666666666</v>
      </c>
      <c r="J233" s="767">
        <v>11.0</v>
      </c>
      <c r="K233" s="767">
        <v>1.0</v>
      </c>
      <c r="L233" s="769"/>
      <c r="M233" s="769"/>
      <c r="N233" s="775" t="s">
        <v>868</v>
      </c>
      <c r="O233" s="770"/>
      <c r="P233" s="771"/>
      <c r="Q233" s="772"/>
      <c r="R233" s="662"/>
      <c r="S233" s="228" t="str">
        <f t="array" ref="S233">IFERROR(INDEX('💻シート作成'!$D$6:$D1001, MATCH(T233, '💻シート作成'!$E$6:$E1001, 0)), "")</f>
        <v/>
      </c>
      <c r="T233" s="184"/>
      <c r="U233" s="665"/>
      <c r="V233" s="774"/>
      <c r="W233" s="662"/>
      <c r="X233" s="757"/>
      <c r="Y233" s="662"/>
      <c r="Z233" s="662"/>
    </row>
    <row r="234" ht="48.0" customHeight="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t="48.0" customHeight="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t="48.0" customHeight="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t="48.0" customHeight="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t="48.0" customHeight="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t="48.0" customHeight="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t="48.0" customHeight="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t="48.0" customHeight="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t="48.0" customHeight="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t="18.0" customHeight="1" outlineLevel="1">
      <c r="A243" s="662"/>
      <c r="B243" s="739"/>
      <c r="C243" s="698"/>
      <c r="D243" s="698"/>
      <c r="E243" s="698"/>
      <c r="F243" s="740" t="s">
        <v>546</v>
      </c>
      <c r="G243" s="741" t="s">
        <v>869</v>
      </c>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t="73.5" customHeight="1" outlineLevel="1">
      <c r="A244" s="662"/>
      <c r="B244" s="744"/>
      <c r="C244" s="745">
        <f>IF(C233="","",IF(DAY(C233+1)=1,"",C233+1))</f>
        <v>46075</v>
      </c>
      <c r="D244" s="746" t="str">
        <f>TEXT(C244,"ddd")</f>
        <v>日</v>
      </c>
      <c r="E244" s="747"/>
      <c r="F244" s="775" t="s">
        <v>132</v>
      </c>
      <c r="G244" s="776" t="s">
        <v>870</v>
      </c>
      <c r="H244" s="777"/>
      <c r="I244" s="778">
        <v>0.6666666666666666</v>
      </c>
      <c r="J244" s="777">
        <v>10.0</v>
      </c>
      <c r="K244" s="777">
        <v>1.0</v>
      </c>
      <c r="L244" s="755"/>
      <c r="M244" s="755"/>
      <c r="N244" s="775" t="s">
        <v>871</v>
      </c>
      <c r="O244" s="779"/>
      <c r="P244" s="771"/>
      <c r="Q244" s="772"/>
      <c r="R244" s="662"/>
      <c r="S244" s="228" t="str">
        <f t="array" ref="S244">IFERROR(INDEX('💻シート作成'!$D$6:$D1001, MATCH(T244, '💻シート作成'!$E$6:$E1001, 0)), "")</f>
        <v/>
      </c>
      <c r="T244" s="184"/>
      <c r="U244" s="665"/>
      <c r="V244" s="774"/>
      <c r="W244" s="662"/>
      <c r="X244" s="757"/>
      <c r="Y244" s="662"/>
      <c r="Z244" s="662"/>
    </row>
    <row r="245" ht="73.5" customHeight="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t="73.5" customHeight="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t="73.5" customHeight="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t="73.5" customHeight="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t="73.5" customHeight="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t="73.5" customHeight="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t="73.5" customHeight="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t="73.5" customHeight="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t="73.5" customHeight="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t="18.0" customHeight="1" outlineLevel="1">
      <c r="A254" s="662"/>
      <c r="B254" s="739"/>
      <c r="C254" s="698"/>
      <c r="D254" s="698"/>
      <c r="E254" s="698"/>
      <c r="F254" s="758" t="s">
        <v>546</v>
      </c>
      <c r="G254" s="759" t="s">
        <v>872</v>
      </c>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t="26.25" customHeight="1" outlineLevel="1">
      <c r="A255" s="662"/>
      <c r="B255" s="761"/>
      <c r="C255" s="762">
        <f>IF(C244="","",IF(DAY(C244+1)=1,"",C244+1))</f>
        <v>46076</v>
      </c>
      <c r="D255" s="763" t="str">
        <f>TEXT(C255,"ddd")</f>
        <v>月</v>
      </c>
      <c r="E255" s="764"/>
      <c r="F255" s="765" t="s">
        <v>594</v>
      </c>
      <c r="G255" s="766" t="s">
        <v>873</v>
      </c>
      <c r="H255" s="767"/>
      <c r="I255" s="767" t="s">
        <v>570</v>
      </c>
      <c r="J255" s="767" t="s">
        <v>566</v>
      </c>
      <c r="K255" s="767" t="s">
        <v>567</v>
      </c>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t="26.25" customHeight="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t="26.25" customHeight="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t="26.25" customHeight="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t="26.25" customHeight="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t="26.25" customHeight="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t="26.25" customHeight="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t="26.25" customHeight="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t="26.25" customHeight="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t="26.25" customHeight="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t="18.0" customHeight="1" outlineLevel="1">
      <c r="A265" s="662"/>
      <c r="B265" s="739"/>
      <c r="C265" s="698"/>
      <c r="D265" s="698"/>
      <c r="E265" s="698"/>
      <c r="F265" s="740" t="s">
        <v>546</v>
      </c>
      <c r="G265" s="741" t="s">
        <v>874</v>
      </c>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t="19.5" customHeight="1" outlineLevel="1">
      <c r="A266" s="662"/>
      <c r="B266" s="744"/>
      <c r="C266" s="745">
        <f>IF(C255="","",IF(DAY(C255+1)=1,"",C255+1))</f>
        <v>46077</v>
      </c>
      <c r="D266" s="746" t="str">
        <f>TEXT(C266,"ddd")</f>
        <v>火</v>
      </c>
      <c r="E266" s="747"/>
      <c r="F266" s="775" t="s">
        <v>119</v>
      </c>
      <c r="G266" s="776" t="s">
        <v>875</v>
      </c>
      <c r="H266" s="777"/>
      <c r="I266" s="778">
        <v>0.6666666666666666</v>
      </c>
      <c r="J266" s="777">
        <v>9.0</v>
      </c>
      <c r="K266" s="777">
        <v>3.0</v>
      </c>
      <c r="L266" s="755"/>
      <c r="M266" s="755"/>
      <c r="N266" s="775" t="s">
        <v>876</v>
      </c>
      <c r="O266" s="779"/>
      <c r="P266" s="771"/>
      <c r="Q266" s="772"/>
      <c r="R266" s="662"/>
      <c r="S266" s="228" t="str">
        <f t="array" ref="S266">IFERROR(INDEX('💻シート作成'!$D$6:$D1001, MATCH(T266, '💻シート作成'!$E$6:$E1001, 0)), "")</f>
        <v/>
      </c>
      <c r="T266" s="184"/>
      <c r="U266" s="665"/>
      <c r="V266" s="774"/>
      <c r="W266" s="662"/>
      <c r="X266" s="757"/>
      <c r="Y266" s="662"/>
      <c r="Z266" s="662"/>
    </row>
    <row r="267" ht="19.5" customHeight="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t="19.5" customHeight="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t="19.5" customHeight="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t="19.5" customHeight="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t="19.5" customHeight="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t="19.5" customHeight="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t="19.5" customHeight="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t="19.5" customHeight="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t="19.5" customHeight="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t="18.0" customHeight="1" outlineLevel="1">
      <c r="A276" s="662"/>
      <c r="B276" s="739"/>
      <c r="C276" s="698"/>
      <c r="D276" s="698"/>
      <c r="E276" s="698"/>
      <c r="F276" s="758" t="s">
        <v>546</v>
      </c>
      <c r="G276" s="759" t="s">
        <v>877</v>
      </c>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t="24.75" customHeight="1" outlineLevel="1">
      <c r="A277" s="662"/>
      <c r="B277" s="761"/>
      <c r="C277" s="762">
        <f>IF(C266="","",IF(DAY(C266+1)=1,"",C266+1))</f>
        <v>46078</v>
      </c>
      <c r="D277" s="763" t="str">
        <f>TEXT(C277,"ddd")</f>
        <v>水</v>
      </c>
      <c r="E277" s="764"/>
      <c r="F277" s="765" t="s">
        <v>142</v>
      </c>
      <c r="G277" s="766" t="s">
        <v>878</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t="24.75" customHeight="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t="24.75" customHeight="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t="24.75" customHeight="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t="24.75" customHeight="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t="24.75" customHeight="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t="24.75" customHeight="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t="24.75" customHeight="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t="24.75" customHeight="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t="24.75" customHeight="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t="18.0" customHeight="1" outlineLevel="1">
      <c r="A287" s="662"/>
      <c r="B287" s="739"/>
      <c r="C287" s="698"/>
      <c r="D287" s="698"/>
      <c r="E287" s="698"/>
      <c r="F287" s="740" t="s">
        <v>546</v>
      </c>
      <c r="G287" s="741" t="s">
        <v>879</v>
      </c>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 r="A288" s="662"/>
      <c r="B288" s="780" t="s">
        <v>597</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t="37.5" customHeight="1" outlineLevel="1">
      <c r="A289" s="662"/>
      <c r="B289" s="744"/>
      <c r="C289" s="745">
        <f>IF(C277="","",IF(DAY(C277+1)=1,"",C277+1))</f>
        <v>46079</v>
      </c>
      <c r="D289" s="746" t="str">
        <f>TEXT(C289,"ddd")</f>
        <v>木</v>
      </c>
      <c r="E289" s="747"/>
      <c r="F289" s="775" t="s">
        <v>132</v>
      </c>
      <c r="G289" s="776" t="s">
        <v>880</v>
      </c>
      <c r="H289" s="777"/>
      <c r="I289" s="948">
        <v>0.6666666666666666</v>
      </c>
      <c r="J289" s="777">
        <v>11.0</v>
      </c>
      <c r="K289" s="777">
        <v>4.0</v>
      </c>
      <c r="L289" s="755"/>
      <c r="M289" s="755"/>
      <c r="N289" s="775" t="s">
        <v>881</v>
      </c>
      <c r="O289" s="779"/>
      <c r="P289" s="771"/>
      <c r="Q289" s="772"/>
      <c r="R289" s="662"/>
      <c r="S289" s="662"/>
      <c r="T289" s="662"/>
      <c r="U289" s="665"/>
      <c r="V289" s="666"/>
      <c r="W289" s="662"/>
      <c r="X289" s="662"/>
      <c r="Y289" s="662"/>
      <c r="Z289" s="662"/>
    </row>
    <row r="290" ht="37.5" customHeight="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t="37.5" customHeight="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t="37.5" customHeight="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t="37.5" customHeight="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t="37.5" customHeight="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t="37.5" customHeight="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t="37.5" customHeight="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t="37.5" customHeight="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t="37.5" customHeight="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t="18.0" customHeight="1" outlineLevel="1">
      <c r="A299" s="662"/>
      <c r="B299" s="739"/>
      <c r="C299" s="698"/>
      <c r="D299" s="698"/>
      <c r="E299" s="698"/>
      <c r="F299" s="758" t="s">
        <v>546</v>
      </c>
      <c r="G299" s="759" t="s">
        <v>882</v>
      </c>
      <c r="H299" s="742"/>
      <c r="I299" s="742"/>
      <c r="J299" s="742"/>
      <c r="K299" s="742"/>
      <c r="L299" s="759"/>
      <c r="M299" s="759"/>
      <c r="N299" s="759"/>
      <c r="O299" s="759"/>
      <c r="P299" s="759"/>
      <c r="Q299" s="760"/>
      <c r="R299" s="662"/>
      <c r="S299" s="662"/>
      <c r="T299" s="662"/>
      <c r="U299" s="665"/>
      <c r="V299" s="666"/>
      <c r="W299" s="662"/>
      <c r="X299" s="662"/>
      <c r="Y299" s="662"/>
      <c r="Z299" s="662"/>
    </row>
    <row r="300" ht="69.75" customHeight="1" outlineLevel="1">
      <c r="A300" s="662"/>
      <c r="B300" s="761"/>
      <c r="C300" s="762">
        <f>IF(C289="","",IF(DAY(C289+1)=1,"",C289+1))</f>
        <v>46080</v>
      </c>
      <c r="D300" s="763" t="str">
        <f>TEXT(C300,"ddd")</f>
        <v>金</v>
      </c>
      <c r="E300" s="764"/>
      <c r="F300" s="765" t="s">
        <v>132</v>
      </c>
      <c r="G300" s="766" t="s">
        <v>883</v>
      </c>
      <c r="H300" s="767"/>
      <c r="I300" s="768">
        <v>0.6666666666666666</v>
      </c>
      <c r="J300" s="767">
        <v>8.0</v>
      </c>
      <c r="K300" s="767">
        <v>1.0</v>
      </c>
      <c r="L300" s="769" t="s">
        <v>554</v>
      </c>
      <c r="M300" s="769" t="s">
        <v>884</v>
      </c>
      <c r="N300" s="765" t="s">
        <v>885</v>
      </c>
      <c r="O300" s="770"/>
      <c r="P300" s="771"/>
      <c r="Q300" s="772"/>
      <c r="R300" s="662"/>
      <c r="S300" s="662"/>
      <c r="T300" s="662"/>
      <c r="U300" s="665"/>
      <c r="V300" s="666"/>
      <c r="W300" s="662"/>
      <c r="X300" s="662"/>
      <c r="Y300" s="662"/>
      <c r="Z300" s="662"/>
    </row>
    <row r="301" ht="69.75" customHeight="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t="69.75" customHeight="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t="69.75" customHeight="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t="69.75" customHeight="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t="69.75" customHeight="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t="69.75" customHeight="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t="69.75" customHeight="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t="69.75" customHeight="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t="69.75" customHeight="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t="18.0" customHeight="1" outlineLevel="1">
      <c r="A310" s="662"/>
      <c r="B310" s="739"/>
      <c r="C310" s="698"/>
      <c r="D310" s="698"/>
      <c r="E310" s="698"/>
      <c r="F310" s="740" t="s">
        <v>546</v>
      </c>
      <c r="G310" s="741" t="s">
        <v>886</v>
      </c>
      <c r="H310" s="742"/>
      <c r="I310" s="742"/>
      <c r="J310" s="742"/>
      <c r="K310" s="742"/>
      <c r="L310" s="741"/>
      <c r="M310" s="741"/>
      <c r="N310" s="741"/>
      <c r="O310" s="741"/>
      <c r="P310" s="741"/>
      <c r="Q310" s="743"/>
      <c r="R310" s="662"/>
      <c r="S310" s="662"/>
      <c r="T310" s="662"/>
      <c r="U310" s="665"/>
      <c r="V310" s="666"/>
      <c r="W310" s="662"/>
      <c r="X310" s="662"/>
      <c r="Y310" s="662"/>
      <c r="Z310" s="662"/>
    </row>
    <row r="311" ht="61.5" customHeight="1" outlineLevel="1">
      <c r="A311" s="662"/>
      <c r="B311" s="744"/>
      <c r="C311" s="745">
        <f>IF(C300="","",IF(DAY(C300+1)=1,"",C300+1))</f>
        <v>46081</v>
      </c>
      <c r="D311" s="746" t="str">
        <f>TEXT(C311,"ddd")</f>
        <v>土</v>
      </c>
      <c r="E311" s="747" t="s">
        <v>887</v>
      </c>
      <c r="F311" s="775" t="s">
        <v>132</v>
      </c>
      <c r="G311" s="776" t="s">
        <v>888</v>
      </c>
      <c r="H311" s="777"/>
      <c r="I311" s="778">
        <v>0.6875</v>
      </c>
      <c r="J311" s="777">
        <v>9.0</v>
      </c>
      <c r="K311" s="777">
        <v>3.0</v>
      </c>
      <c r="L311" s="755" t="s">
        <v>554</v>
      </c>
      <c r="M311" s="755" t="s">
        <v>889</v>
      </c>
      <c r="N311" s="775" t="s">
        <v>890</v>
      </c>
      <c r="O311" s="779"/>
      <c r="P311" s="771"/>
      <c r="Q311" s="772"/>
      <c r="R311" s="662"/>
      <c r="S311" s="662"/>
      <c r="T311" s="662"/>
      <c r="U311" s="665"/>
      <c r="V311" s="666"/>
      <c r="W311" s="662"/>
      <c r="X311" s="662"/>
      <c r="Y311" s="662"/>
      <c r="Z311" s="662"/>
    </row>
    <row r="312" ht="61.5" customHeight="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t="61.5" customHeight="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t="61.5" customHeight="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t="61.5" customHeight="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t="61.5" customHeight="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t="61.5" customHeight="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t="61.5" customHeight="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t="61.5" customHeight="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t="61.5" customHeight="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t="18.0" customHeight="1" outlineLevel="1">
      <c r="A321" s="662"/>
      <c r="B321" s="739"/>
      <c r="C321" s="698"/>
      <c r="D321" s="698"/>
      <c r="E321" s="698"/>
      <c r="F321" s="758" t="s">
        <v>546</v>
      </c>
      <c r="G321" s="759" t="s">
        <v>891</v>
      </c>
      <c r="H321" s="742"/>
      <c r="I321" s="742"/>
      <c r="J321" s="742"/>
      <c r="K321" s="742"/>
      <c r="L321" s="759"/>
      <c r="M321" s="759"/>
      <c r="N321" s="759"/>
      <c r="O321" s="759"/>
      <c r="P321" s="759"/>
      <c r="Q321" s="760"/>
      <c r="R321" s="662"/>
      <c r="S321" s="662"/>
      <c r="T321" s="662"/>
      <c r="U321" s="665"/>
      <c r="V321" s="666"/>
      <c r="W321" s="662"/>
      <c r="X321" s="662"/>
      <c r="Y321" s="662"/>
      <c r="Z321" s="662"/>
    </row>
    <row r="322" outlineLevel="1">
      <c r="A322" s="662"/>
      <c r="B322" s="761"/>
      <c r="C322" s="762" t="str">
        <f>IF(C311="","",IF(DAY(C311+1)=1,"",C311+1))</f>
        <v/>
      </c>
      <c r="D322" s="763" t="str">
        <f>TEXT(C322,"ddd")</f>
        <v/>
      </c>
      <c r="E322" s="764"/>
      <c r="F322" s="765" t="s">
        <v>594</v>
      </c>
      <c r="G322" s="766"/>
      <c r="H322" s="767"/>
      <c r="I322" s="768">
        <v>0.0</v>
      </c>
      <c r="J322" s="763"/>
      <c r="K322" s="763"/>
      <c r="L322" s="769"/>
      <c r="M322" s="769"/>
      <c r="N322" s="765"/>
      <c r="O322" s="770"/>
      <c r="P322" s="771"/>
      <c r="Q322" s="772"/>
      <c r="R322" s="662"/>
      <c r="S322" s="662"/>
      <c r="T322" s="662"/>
      <c r="U322" s="665"/>
      <c r="V322" s="666"/>
      <c r="W322" s="662"/>
      <c r="X322" s="662"/>
      <c r="Y322" s="662"/>
      <c r="Z322" s="662"/>
    </row>
    <row r="323"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outlineLevel="1">
      <c r="A333" s="662"/>
      <c r="B333" s="744"/>
      <c r="C333" s="745" t="str">
        <f>IF(C322="","",IF(DAY(C322+1)=1,"",C322+1))</f>
        <v/>
      </c>
      <c r="D333" s="746" t="str">
        <f>TEXT(C333,"ddd")</f>
        <v/>
      </c>
      <c r="E333" s="747"/>
      <c r="F333" s="775" t="s">
        <v>594</v>
      </c>
      <c r="G333" s="776"/>
      <c r="H333" s="777"/>
      <c r="I333" s="778">
        <v>0.0</v>
      </c>
      <c r="J333" s="746"/>
      <c r="K333" s="746"/>
      <c r="L333" s="755"/>
      <c r="M333" s="755"/>
      <c r="N333" s="775"/>
      <c r="O333" s="779"/>
      <c r="P333" s="771"/>
      <c r="Q333" s="772"/>
      <c r="R333" s="662"/>
      <c r="S333" s="662"/>
      <c r="T333" s="662"/>
      <c r="U333" s="665"/>
      <c r="V333" s="666"/>
      <c r="W333" s="662"/>
      <c r="X333" s="662"/>
      <c r="Y333" s="662"/>
      <c r="Z333" s="662"/>
    </row>
    <row r="334"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outlineLevel="1">
      <c r="A344" s="662"/>
      <c r="B344" s="761"/>
      <c r="C344" s="762" t="str">
        <f>IF(C333="","",IF(DAY(C333+1)=1,"",C333+1))</f>
        <v/>
      </c>
      <c r="D344" s="763" t="str">
        <f>TEXT(C344,"ddd")</f>
        <v/>
      </c>
      <c r="E344" s="764"/>
      <c r="F344" s="765" t="s">
        <v>594</v>
      </c>
      <c r="G344" s="766"/>
      <c r="H344" s="767"/>
      <c r="I344" s="768">
        <v>0.0</v>
      </c>
      <c r="J344" s="763"/>
      <c r="K344" s="763"/>
      <c r="L344" s="769"/>
      <c r="M344" s="769"/>
      <c r="N344" s="765"/>
      <c r="O344" s="770"/>
      <c r="P344" s="771"/>
      <c r="Q344" s="772"/>
      <c r="R344" s="662"/>
      <c r="S344" s="662"/>
      <c r="T344" s="662"/>
      <c r="U344" s="665"/>
      <c r="V344" s="666"/>
      <c r="W344" s="662"/>
      <c r="X344" s="662"/>
      <c r="Y344" s="662"/>
      <c r="Z344" s="662"/>
    </row>
    <row r="345"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598</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599</v>
      </c>
      <c r="C4" s="806"/>
      <c r="D4" s="807" t="s">
        <v>600</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t="s">
        <v>132</v>
      </c>
      <c r="E5" s="811" t="b">
        <v>1</v>
      </c>
      <c r="F5" s="809" t="s">
        <v>601</v>
      </c>
      <c r="G5" s="812" t="s">
        <v>213</v>
      </c>
      <c r="H5" s="813" t="b">
        <v>1</v>
      </c>
      <c r="J5" s="814"/>
      <c r="K5" s="798"/>
      <c r="L5" s="815" t="s">
        <v>602</v>
      </c>
      <c r="T5" s="814"/>
      <c r="U5" s="816" t="s">
        <v>603</v>
      </c>
      <c r="AC5" s="799"/>
      <c r="AD5" s="817" t="s">
        <v>96</v>
      </c>
      <c r="AE5" s="817" t="s">
        <v>604</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605</v>
      </c>
      <c r="M7" s="236"/>
      <c r="N7" s="236"/>
      <c r="O7" s="236"/>
      <c r="P7" s="236"/>
      <c r="Q7" s="236"/>
      <c r="R7" s="236"/>
      <c r="S7" s="113"/>
      <c r="T7" s="821" t="s">
        <v>606</v>
      </c>
      <c r="U7" s="822" t="s">
        <v>607</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608</v>
      </c>
      <c r="C8" s="824"/>
      <c r="D8" s="825" t="s">
        <v>51</v>
      </c>
      <c r="E8" s="826" t="str">
        <f>IFERROR(__xludf.DUMMYFUNCTION("IFERROR(INDEX(FILTER($AE$6:$AE$200, $AD$6:$AD$200=$B$5, REGEXMATCH($AE$6:$AE$200, ""集計"")), 1), """")
"),"①R8_2集計")</f>
        <v>①R8_2集計</v>
      </c>
      <c r="F8" s="526"/>
      <c r="G8" s="223"/>
      <c r="H8" s="223"/>
      <c r="I8" s="200"/>
      <c r="J8" s="814"/>
      <c r="K8" s="798"/>
      <c r="L8" s="827" t="s">
        <v>892</v>
      </c>
      <c r="M8" s="247"/>
      <c r="N8" s="247"/>
      <c r="O8" s="247"/>
      <c r="P8" s="247"/>
      <c r="Q8" s="247"/>
      <c r="R8" s="247"/>
      <c r="S8" s="250"/>
      <c r="U8" s="827" t="s">
        <v>893</v>
      </c>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609</v>
      </c>
      <c r="C13" s="844"/>
      <c r="D13" s="845" t="s">
        <v>51</v>
      </c>
      <c r="E13" s="846" t="s">
        <v>610</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611</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612</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613</v>
      </c>
      <c r="C20" s="830" t="s">
        <v>614</v>
      </c>
      <c r="D20" s="830" t="s">
        <v>89</v>
      </c>
      <c r="E20" s="830" t="s">
        <v>90</v>
      </c>
      <c r="F20" s="830" t="s">
        <v>615</v>
      </c>
      <c r="G20" s="830" t="s">
        <v>135</v>
      </c>
      <c r="H20" s="830" t="s">
        <v>135</v>
      </c>
      <c r="I20" s="830" t="s">
        <v>616</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v>3.0</v>
      </c>
      <c r="C21" s="862">
        <v>0.0</v>
      </c>
      <c r="D21" s="862">
        <v>6.0</v>
      </c>
      <c r="E21" s="862">
        <v>16.0</v>
      </c>
      <c r="F21" s="862">
        <v>3.0</v>
      </c>
      <c r="G21" s="863"/>
      <c r="H21" s="863"/>
      <c r="I21" s="864">
        <f>sum(B21:G21)</f>
        <v>28</v>
      </c>
      <c r="J21" s="814"/>
      <c r="K21" s="798"/>
      <c r="L21" s="865" t="s">
        <v>617</v>
      </c>
      <c r="M21" s="232"/>
      <c r="N21" s="232"/>
      <c r="O21" s="232"/>
      <c r="P21" s="232"/>
      <c r="Q21" s="232"/>
      <c r="R21" s="232"/>
      <c r="S21" s="3"/>
      <c r="T21" s="821" t="s">
        <v>606</v>
      </c>
      <c r="U21" s="822" t="s">
        <v>618</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t="s">
        <v>894</v>
      </c>
      <c r="M22" s="247"/>
      <c r="N22" s="247"/>
      <c r="O22" s="247"/>
      <c r="P22" s="247"/>
      <c r="Q22" s="247"/>
      <c r="R22" s="247"/>
      <c r="S22" s="250"/>
      <c r="U22" s="827" t="s">
        <v>895</v>
      </c>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619</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620</v>
      </c>
      <c r="C25" s="870" t="s">
        <v>621</v>
      </c>
      <c r="D25" s="3"/>
      <c r="E25" s="870" t="s">
        <v>622</v>
      </c>
      <c r="F25" s="232"/>
      <c r="G25" s="232"/>
      <c r="H25" s="870" t="s">
        <v>623</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t="s">
        <v>896</v>
      </c>
      <c r="C26" s="872" t="s">
        <v>90</v>
      </c>
      <c r="D26" s="3"/>
      <c r="E26" s="872" t="s">
        <v>897</v>
      </c>
      <c r="F26" s="232"/>
      <c r="G26" s="232"/>
      <c r="H26" s="873" t="s">
        <v>898</v>
      </c>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t="s">
        <v>760</v>
      </c>
      <c r="C27" s="872" t="s">
        <v>89</v>
      </c>
      <c r="D27" s="3"/>
      <c r="E27" s="872" t="s">
        <v>761</v>
      </c>
      <c r="F27" s="232"/>
      <c r="G27" s="232"/>
      <c r="H27" s="873" t="s">
        <v>899</v>
      </c>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624</v>
      </c>
      <c r="M35" s="232"/>
      <c r="N35" s="232"/>
      <c r="O35" s="232"/>
      <c r="P35" s="232"/>
      <c r="Q35" s="232"/>
      <c r="R35" s="232"/>
      <c r="S35" s="3"/>
      <c r="T35" s="821" t="s">
        <v>606</v>
      </c>
      <c r="U35" s="822" t="s">
        <v>624</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t="s">
        <v>900</v>
      </c>
      <c r="M36" s="247"/>
      <c r="N36" s="247"/>
      <c r="O36" s="247"/>
      <c r="P36" s="247"/>
      <c r="Q36" s="247"/>
      <c r="R36" s="247"/>
      <c r="S36" s="250"/>
      <c r="U36" s="827" t="s">
        <v>901</v>
      </c>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625</v>
      </c>
      <c r="C37" s="877"/>
      <c r="D37" s="878">
        <f>counta(C39:D48)</f>
        <v>0</v>
      </c>
      <c r="E37" s="879" t="s">
        <v>626</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622</v>
      </c>
      <c r="F38" s="883"/>
      <c r="G38" s="882" t="s">
        <v>627</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628</v>
      </c>
      <c r="M49" s="232"/>
      <c r="N49" s="232"/>
      <c r="O49" s="232"/>
      <c r="P49" s="232"/>
      <c r="Q49" s="232"/>
      <c r="R49" s="232"/>
      <c r="S49" s="3"/>
      <c r="T49" s="821" t="s">
        <v>606</v>
      </c>
      <c r="U49" s="822" t="s">
        <v>629</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630</v>
      </c>
      <c r="C50" s="896"/>
      <c r="D50" s="897">
        <f>COUNTA(C52:D62)</f>
        <v>2</v>
      </c>
      <c r="E50" s="860"/>
      <c r="F50" s="860"/>
      <c r="G50" s="860"/>
      <c r="H50" s="860"/>
      <c r="I50" s="799"/>
      <c r="J50" s="799"/>
      <c r="K50" s="798"/>
      <c r="L50" s="827" t="s">
        <v>902</v>
      </c>
      <c r="M50" s="247"/>
      <c r="N50" s="247"/>
      <c r="O50" s="247"/>
      <c r="P50" s="247"/>
      <c r="Q50" s="247"/>
      <c r="R50" s="247"/>
      <c r="S50" s="250"/>
      <c r="U50" s="827" t="s">
        <v>903</v>
      </c>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631</v>
      </c>
      <c r="C51" s="882" t="s">
        <v>465</v>
      </c>
      <c r="D51" s="883"/>
      <c r="E51" s="881" t="s">
        <v>632</v>
      </c>
      <c r="F51" s="881" t="s">
        <v>633</v>
      </c>
      <c r="G51" s="881" t="s">
        <v>634</v>
      </c>
      <c r="H51" s="882" t="s">
        <v>635</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v>2340.0</v>
      </c>
      <c r="C52" s="886" t="s">
        <v>554</v>
      </c>
      <c r="D52" s="883"/>
      <c r="E52" s="949">
        <v>46057.0</v>
      </c>
      <c r="F52" s="900" t="s">
        <v>904</v>
      </c>
      <c r="G52" s="900" t="s">
        <v>782</v>
      </c>
      <c r="H52" s="901" t="s">
        <v>90</v>
      </c>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v>2345.0</v>
      </c>
      <c r="C53" s="886" t="s">
        <v>905</v>
      </c>
      <c r="D53" s="883"/>
      <c r="E53" s="949">
        <v>46065.0</v>
      </c>
      <c r="F53" s="900" t="s">
        <v>906</v>
      </c>
      <c r="G53" s="900" t="s">
        <v>782</v>
      </c>
      <c r="H53" s="901" t="s">
        <v>89</v>
      </c>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636</v>
      </c>
      <c r="M63" s="232"/>
      <c r="N63" s="232"/>
      <c r="O63" s="232"/>
      <c r="P63" s="232"/>
      <c r="Q63" s="232"/>
      <c r="R63" s="232"/>
      <c r="S63" s="3"/>
      <c r="T63" s="821" t="s">
        <v>606</v>
      </c>
      <c r="U63" s="822" t="s">
        <v>637</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638</v>
      </c>
      <c r="C64" s="903"/>
      <c r="D64" s="897">
        <f>COUNTA(C66:D76)</f>
        <v>1</v>
      </c>
      <c r="E64" s="860"/>
      <c r="F64" s="860"/>
      <c r="G64" s="860"/>
      <c r="H64" s="860"/>
      <c r="I64" s="860"/>
      <c r="J64" s="799"/>
      <c r="K64" s="798"/>
      <c r="L64" s="827" t="s">
        <v>907</v>
      </c>
      <c r="M64" s="247"/>
      <c r="N64" s="247"/>
      <c r="O64" s="247"/>
      <c r="P64" s="247"/>
      <c r="Q64" s="247"/>
      <c r="R64" s="247"/>
      <c r="S64" s="250"/>
      <c r="U64" s="827" t="s">
        <v>908</v>
      </c>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631</v>
      </c>
      <c r="C65" s="882" t="s">
        <v>465</v>
      </c>
      <c r="D65" s="883"/>
      <c r="E65" s="881" t="s">
        <v>639</v>
      </c>
      <c r="F65" s="882" t="s">
        <v>640</v>
      </c>
      <c r="G65" s="883"/>
      <c r="H65" s="882" t="s">
        <v>635</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933">
        <v>1587.0</v>
      </c>
      <c r="C66" s="886" t="s">
        <v>120</v>
      </c>
      <c r="D66" s="883"/>
      <c r="E66" s="934">
        <v>46081.0</v>
      </c>
      <c r="F66" s="931" t="s">
        <v>909</v>
      </c>
      <c r="G66" s="883"/>
      <c r="H66" s="905" t="s">
        <v>90</v>
      </c>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641</v>
      </c>
      <c r="M77" s="232"/>
      <c r="N77" s="232"/>
      <c r="O77" s="232"/>
      <c r="P77" s="232"/>
      <c r="Q77" s="232"/>
      <c r="R77" s="232"/>
      <c r="S77" s="3"/>
      <c r="T77" s="814"/>
      <c r="U77" s="906" t="s">
        <v>642</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t="s">
        <v>910</v>
      </c>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643</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935" t="s">
        <v>911</v>
      </c>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53.2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912</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913</v>
      </c>
      <c r="K4" s="200"/>
      <c r="L4" s="200"/>
      <c r="M4" s="200"/>
      <c r="N4" s="200"/>
      <c r="O4" s="200"/>
      <c r="P4" s="200"/>
      <c r="Q4" s="200"/>
      <c r="R4" s="200"/>
      <c r="S4" s="200"/>
      <c r="T4" s="200"/>
      <c r="U4" s="200"/>
      <c r="V4" s="200"/>
      <c r="W4" s="200"/>
      <c r="X4" s="200"/>
      <c r="Y4" s="200"/>
      <c r="Z4" s="200"/>
      <c r="AA4" s="200"/>
      <c r="AB4" s="200"/>
      <c r="AC4" s="200"/>
    </row>
    <row r="5">
      <c r="A5" s="200"/>
      <c r="B5" s="953" t="s">
        <v>914</v>
      </c>
      <c r="C5" s="953" t="s">
        <v>915</v>
      </c>
      <c r="D5" s="953" t="s">
        <v>96</v>
      </c>
      <c r="E5" s="953" t="s">
        <v>604</v>
      </c>
      <c r="F5" s="953" t="s">
        <v>916</v>
      </c>
      <c r="G5" s="954" t="s">
        <v>917</v>
      </c>
      <c r="H5" s="953" t="s">
        <v>918</v>
      </c>
      <c r="I5" s="953" t="s">
        <v>919</v>
      </c>
      <c r="J5" s="953" t="s">
        <v>920</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921</v>
      </c>
      <c r="F6" s="957"/>
      <c r="G6" s="958" t="s">
        <v>922</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923</v>
      </c>
      <c r="F7" s="959"/>
      <c r="G7" s="958" t="s">
        <v>924</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925</v>
      </c>
      <c r="F8" s="960"/>
      <c r="G8" s="958" t="s">
        <v>926</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927</v>
      </c>
      <c r="F9" s="961"/>
      <c r="G9" s="958" t="s">
        <v>928</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929</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930</v>
      </c>
      <c r="F17" s="964"/>
      <c r="G17" s="958" t="s">
        <v>929</v>
      </c>
      <c r="H17" s="172" t="s">
        <v>931</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932</v>
      </c>
      <c r="F18" s="964"/>
      <c r="G18" s="958" t="s">
        <v>929</v>
      </c>
      <c r="H18" s="172" t="s">
        <v>933</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934</v>
      </c>
      <c r="F19" s="964"/>
      <c r="G19" s="958" t="s">
        <v>929</v>
      </c>
      <c r="H19" s="172" t="s">
        <v>935</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936</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931</v>
      </c>
      <c r="F24" s="965"/>
      <c r="G24" s="958" t="s">
        <v>936</v>
      </c>
      <c r="H24" s="172" t="s">
        <v>937</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938</v>
      </c>
      <c r="F25" s="965"/>
      <c r="G25" s="958" t="s">
        <v>936</v>
      </c>
      <c r="H25" s="172" t="s">
        <v>933</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939</v>
      </c>
      <c r="F26" s="965"/>
      <c r="G26" s="958" t="s">
        <v>936</v>
      </c>
      <c r="H26" s="172" t="s">
        <v>935</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929</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937</v>
      </c>
      <c r="F31" s="964"/>
      <c r="G31" s="958" t="s">
        <v>929</v>
      </c>
      <c r="H31" s="172" t="s">
        <v>940</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941</v>
      </c>
      <c r="F32" s="964"/>
      <c r="G32" s="958" t="s">
        <v>929</v>
      </c>
      <c r="H32" s="172" t="s">
        <v>933</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942</v>
      </c>
      <c r="F33" s="964"/>
      <c r="G33" s="958" t="s">
        <v>929</v>
      </c>
      <c r="H33" s="172" t="s">
        <v>935</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936</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940</v>
      </c>
      <c r="F38" s="965"/>
      <c r="G38" s="958" t="s">
        <v>936</v>
      </c>
      <c r="H38" s="172" t="s">
        <v>943</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944</v>
      </c>
      <c r="F39" s="965"/>
      <c r="G39" s="958" t="s">
        <v>936</v>
      </c>
      <c r="H39" s="172" t="s">
        <v>933</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945</v>
      </c>
      <c r="F40" s="965"/>
      <c r="G40" s="958" t="s">
        <v>936</v>
      </c>
      <c r="H40" s="172" t="s">
        <v>935</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929</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943</v>
      </c>
      <c r="F45" s="964"/>
      <c r="G45" s="958" t="s">
        <v>929</v>
      </c>
      <c r="H45" s="172" t="s">
        <v>946</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947</v>
      </c>
      <c r="F46" s="964"/>
      <c r="G46" s="958" t="s">
        <v>929</v>
      </c>
      <c r="H46" s="172" t="s">
        <v>933</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948</v>
      </c>
      <c r="F47" s="964"/>
      <c r="G47" s="958" t="s">
        <v>929</v>
      </c>
      <c r="H47" s="172" t="s">
        <v>935</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936</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946</v>
      </c>
      <c r="F52" s="965"/>
      <c r="G52" s="958" t="s">
        <v>936</v>
      </c>
      <c r="H52" s="172" t="s">
        <v>949</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950</v>
      </c>
      <c r="F53" s="965"/>
      <c r="G53" s="958" t="s">
        <v>936</v>
      </c>
      <c r="H53" s="172" t="s">
        <v>933</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951</v>
      </c>
      <c r="F54" s="965"/>
      <c r="G54" s="958" t="s">
        <v>936</v>
      </c>
      <c r="H54" s="172" t="s">
        <v>935</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929</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949</v>
      </c>
      <c r="F59" s="964"/>
      <c r="G59" s="958" t="s">
        <v>929</v>
      </c>
      <c r="H59" s="172" t="s">
        <v>952</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953</v>
      </c>
      <c r="F60" s="964"/>
      <c r="G60" s="958" t="s">
        <v>929</v>
      </c>
      <c r="H60" s="172" t="s">
        <v>933</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954</v>
      </c>
      <c r="F61" s="964"/>
      <c r="G61" s="958" t="s">
        <v>929</v>
      </c>
      <c r="H61" s="172" t="s">
        <v>935</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936</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952</v>
      </c>
      <c r="F66" s="965"/>
      <c r="G66" s="958" t="s">
        <v>936</v>
      </c>
      <c r="H66" s="172" t="s">
        <v>955</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956</v>
      </c>
      <c r="F67" s="965"/>
      <c r="G67" s="958" t="s">
        <v>936</v>
      </c>
      <c r="H67" s="172" t="s">
        <v>933</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957</v>
      </c>
      <c r="F68" s="965"/>
      <c r="G68" s="958" t="s">
        <v>936</v>
      </c>
      <c r="H68" s="172" t="s">
        <v>935</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929</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955</v>
      </c>
      <c r="F73" s="964"/>
      <c r="G73" s="958" t="s">
        <v>929</v>
      </c>
      <c r="H73" s="172" t="s">
        <v>958</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959</v>
      </c>
      <c r="F74" s="964"/>
      <c r="G74" s="958" t="s">
        <v>929</v>
      </c>
      <c r="H74" s="172" t="s">
        <v>933</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960</v>
      </c>
      <c r="F75" s="964"/>
      <c r="G75" s="958" t="s">
        <v>929</v>
      </c>
      <c r="H75" s="172" t="s">
        <v>935</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34</v>
      </c>
      <c r="E79" s="956" t="s">
        <v>56</v>
      </c>
      <c r="F79" s="965"/>
      <c r="G79" s="958" t="s">
        <v>936</v>
      </c>
      <c r="H79" s="172" t="s">
        <v>55</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34</v>
      </c>
      <c r="E80" s="956" t="s">
        <v>958</v>
      </c>
      <c r="F80" s="965"/>
      <c r="G80" s="958" t="s">
        <v>936</v>
      </c>
      <c r="H80" s="172" t="s">
        <v>961</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34</v>
      </c>
      <c r="E81" s="956" t="s">
        <v>962</v>
      </c>
      <c r="F81" s="965"/>
      <c r="G81" s="958" t="s">
        <v>936</v>
      </c>
      <c r="H81" s="172" t="s">
        <v>933</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34</v>
      </c>
      <c r="E82" s="956" t="s">
        <v>963</v>
      </c>
      <c r="F82" s="965"/>
      <c r="G82" s="958" t="s">
        <v>936</v>
      </c>
      <c r="H82" s="172" t="s">
        <v>935</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54</v>
      </c>
      <c r="E86" s="956" t="s">
        <v>55</v>
      </c>
      <c r="F86" s="964"/>
      <c r="G86" s="958" t="s">
        <v>929</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54</v>
      </c>
      <c r="E87" s="956" t="s">
        <v>961</v>
      </c>
      <c r="F87" s="964"/>
      <c r="G87" s="958" t="s">
        <v>929</v>
      </c>
      <c r="H87" s="172" t="s">
        <v>964</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54</v>
      </c>
      <c r="E88" s="956" t="s">
        <v>965</v>
      </c>
      <c r="F88" s="964"/>
      <c r="G88" s="958" t="s">
        <v>929</v>
      </c>
      <c r="H88" s="172" t="s">
        <v>933</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54</v>
      </c>
      <c r="E89" s="956" t="s">
        <v>966</v>
      </c>
      <c r="F89" s="964"/>
      <c r="G89" s="958" t="s">
        <v>929</v>
      </c>
      <c r="H89" s="172" t="s">
        <v>935</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936</v>
      </c>
      <c r="H93" s="172" t="s">
        <v>967</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964</v>
      </c>
      <c r="F94" s="965"/>
      <c r="G94" s="958" t="s">
        <v>936</v>
      </c>
      <c r="H94" s="172" t="s">
        <v>968</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969</v>
      </c>
      <c r="F95" s="965"/>
      <c r="G95" s="958" t="s">
        <v>936</v>
      </c>
      <c r="H95" s="172" t="s">
        <v>933</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970</v>
      </c>
      <c r="F96" s="965"/>
      <c r="G96" s="958" t="s">
        <v>936</v>
      </c>
      <c r="H96" s="172" t="s">
        <v>935</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971</v>
      </c>
      <c r="F102" s="967"/>
      <c r="G102" s="958" t="s">
        <v>972</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973</v>
      </c>
      <c r="F103" s="968"/>
      <c r="G103" s="958" t="s">
        <v>974</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975</v>
      </c>
      <c r="F104" s="969"/>
      <c r="G104" s="958" t="s">
        <v>976</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977</v>
      </c>
      <c r="F105" s="970"/>
      <c r="G105" s="958" t="s">
        <v>978</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967</v>
      </c>
      <c r="F106" s="971"/>
      <c r="G106" s="958" t="s">
        <v>979</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968</v>
      </c>
      <c r="F107" s="971"/>
      <c r="G107" s="958" t="s">
        <v>979</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933</v>
      </c>
      <c r="F108" s="971"/>
      <c r="G108" s="958" t="s">
        <v>979</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935</v>
      </c>
      <c r="F109" s="971"/>
      <c r="G109" s="958" t="s">
        <v>979</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980</v>
      </c>
      <c r="B1" s="6"/>
      <c r="C1" s="6"/>
      <c r="D1" s="6"/>
      <c r="E1" s="6"/>
      <c r="F1" s="6"/>
      <c r="G1" s="6"/>
      <c r="H1" s="6"/>
      <c r="I1" s="975"/>
      <c r="J1" s="976" t="s">
        <v>981</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981</v>
      </c>
      <c r="B2" s="981" t="s">
        <v>51</v>
      </c>
      <c r="C2" s="981" t="s">
        <v>303</v>
      </c>
      <c r="D2" s="982" t="s">
        <v>982</v>
      </c>
      <c r="E2" s="980" t="s">
        <v>304</v>
      </c>
      <c r="F2" s="980" t="s">
        <v>309</v>
      </c>
      <c r="G2" s="980" t="s">
        <v>301</v>
      </c>
      <c r="H2" s="980" t="s">
        <v>983</v>
      </c>
      <c r="I2" s="983"/>
      <c r="J2" s="984" t="s">
        <v>984</v>
      </c>
      <c r="K2" s="985">
        <f>DAY(EOMONTH(K1,0))</f>
        <v>28</v>
      </c>
      <c r="L2" s="986" t="s">
        <v>985</v>
      </c>
      <c r="M2" s="986" t="s">
        <v>303</v>
      </c>
      <c r="N2" s="986" t="s">
        <v>322</v>
      </c>
      <c r="O2" s="986" t="s">
        <v>324</v>
      </c>
      <c r="P2" s="986" t="s">
        <v>324</v>
      </c>
      <c r="Q2" s="986" t="s">
        <v>986</v>
      </c>
      <c r="R2" s="984" t="s">
        <v>987</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303</v>
      </c>
      <c r="K3" s="992">
        <f t="array" ref="K3">xlookup(L1,$B$3:$B$14,$C$3:$C$14)*100</f>
        <v>85</v>
      </c>
      <c r="L3" s="993">
        <f>SUM(N3:P3)</f>
        <v>175</v>
      </c>
      <c r="M3" s="993">
        <v>100.0</v>
      </c>
      <c r="N3" s="987">
        <v>137.0</v>
      </c>
      <c r="O3" s="987">
        <v>38.0</v>
      </c>
      <c r="P3" s="994"/>
      <c r="Q3" s="993">
        <f>L3*K2</f>
        <v>4900</v>
      </c>
      <c r="R3" s="995" t="s">
        <v>988</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989</v>
      </c>
      <c r="K4" s="987">
        <v>320000.0</v>
      </c>
      <c r="L4" s="993">
        <f>L3*M4%</f>
        <v>105</v>
      </c>
      <c r="M4" s="998">
        <f>K3-K16</f>
        <v>60</v>
      </c>
      <c r="N4" s="993">
        <f>N3*M4%</f>
        <v>82.2</v>
      </c>
      <c r="O4" s="993">
        <f>O3*M4%</f>
        <v>22.8</v>
      </c>
      <c r="P4" s="993">
        <f>P3*M4%</f>
        <v>0</v>
      </c>
      <c r="Q4" s="993">
        <f>L4*K2</f>
        <v>2940</v>
      </c>
      <c r="R4" s="984" t="s">
        <v>304</v>
      </c>
      <c r="S4" s="996">
        <f>S2*Q4+S3</f>
        <v>4642325</v>
      </c>
    </row>
    <row r="5">
      <c r="A5" s="997">
        <f t="shared" si="6"/>
        <v>46113</v>
      </c>
      <c r="B5" s="981" t="str">
        <f t="shared" si="2"/>
        <v>①R8_4集計</v>
      </c>
      <c r="C5" s="989">
        <f t="shared" si="3"/>
        <v>0.875</v>
      </c>
      <c r="D5" s="989">
        <f t="shared" si="4"/>
        <v>33.5</v>
      </c>
      <c r="E5" s="990">
        <f t="shared" ref="E5:H5" si="7">xlookup($B5,$L:$L,O:O)</f>
        <v>4628325</v>
      </c>
      <c r="F5" s="990">
        <f t="shared" si="7"/>
        <v>1246383.638</v>
      </c>
      <c r="G5" s="991">
        <f t="shared" si="7"/>
        <v>0.2692947531</v>
      </c>
      <c r="H5" s="991">
        <f t="shared" si="7"/>
        <v>0.5400167836</v>
      </c>
      <c r="I5" s="983"/>
      <c r="J5" s="984" t="s">
        <v>990</v>
      </c>
      <c r="K5" s="999">
        <v>535000.0</v>
      </c>
      <c r="L5" s="1000" t="s">
        <v>991</v>
      </c>
      <c r="M5" s="3"/>
      <c r="N5" s="987">
        <v>22.926</v>
      </c>
      <c r="O5" s="987">
        <v>28.78</v>
      </c>
      <c r="P5" s="994"/>
      <c r="Q5" s="1001"/>
      <c r="R5" s="984" t="s">
        <v>992</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993</v>
      </c>
      <c r="K6" s="1004">
        <v>1300.0</v>
      </c>
      <c r="L6" s="1005" t="s">
        <v>994</v>
      </c>
      <c r="M6" s="3"/>
      <c r="N6" s="993">
        <f t="shared" ref="N6:O6" si="9">N4/(360/N5)</f>
        <v>5.23477</v>
      </c>
      <c r="O6" s="993">
        <f t="shared" si="9"/>
        <v>1.822733333</v>
      </c>
      <c r="P6" s="1001"/>
      <c r="Q6" s="993">
        <f t="shared" ref="Q6:Q7" si="12">N6+O6+P6</f>
        <v>7.057503333</v>
      </c>
      <c r="R6" s="984" t="s">
        <v>302</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995</v>
      </c>
      <c r="K7" s="1004">
        <v>6.5</v>
      </c>
      <c r="L7" s="1009" t="s">
        <v>996</v>
      </c>
      <c r="M7" s="987">
        <v>1230.0</v>
      </c>
      <c r="N7" s="993">
        <f>N6*(M7*6)</f>
        <v>38632.6026</v>
      </c>
      <c r="O7" s="993">
        <f>O6*(M7*6)</f>
        <v>13451.772</v>
      </c>
      <c r="P7" s="1001"/>
      <c r="Q7" s="993">
        <f t="shared" si="12"/>
        <v>52084.3746</v>
      </c>
      <c r="R7" s="984" t="s">
        <v>997</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998</v>
      </c>
      <c r="K8" s="994"/>
      <c r="L8" s="1011"/>
      <c r="M8" s="1001"/>
      <c r="N8" s="1001"/>
      <c r="O8" s="1001"/>
      <c r="P8" s="1001"/>
      <c r="Q8" s="1001"/>
      <c r="R8" s="984" t="s">
        <v>301</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999</v>
      </c>
      <c r="K9" s="1004">
        <v>1230.0</v>
      </c>
      <c r="L9" s="1005" t="s">
        <v>1000</v>
      </c>
      <c r="M9" s="3"/>
      <c r="N9" s="993">
        <f>Q7+(Q6*K15)</f>
        <v>56318.8766</v>
      </c>
      <c r="O9" s="1001"/>
      <c r="P9" s="1012" t="s">
        <v>1001</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1002</v>
      </c>
      <c r="K10" s="1004">
        <v>3.0</v>
      </c>
      <c r="L10" s="1005" t="s">
        <v>1003</v>
      </c>
      <c r="M10" s="3"/>
      <c r="N10" s="993">
        <f>N9*K2+L3*K21*K2*110+(L3*K2*K16%)*100</f>
        <v>1729073.545</v>
      </c>
      <c r="O10" s="1015"/>
      <c r="P10" s="1016" t="s">
        <v>1004</v>
      </c>
      <c r="Q10" s="1017">
        <v>567400.0</v>
      </c>
      <c r="R10" s="984" t="s">
        <v>1005</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1006</v>
      </c>
      <c r="K11" s="1004">
        <f>K2</f>
        <v>28</v>
      </c>
      <c r="L11" s="1005" t="s">
        <v>1007</v>
      </c>
      <c r="M11" s="3"/>
      <c r="N11" s="984" t="s">
        <v>401</v>
      </c>
      <c r="O11" s="1010" t="s">
        <v>375</v>
      </c>
      <c r="P11" s="1018" t="s">
        <v>1008</v>
      </c>
      <c r="Q11" s="1019">
        <f>L3*K16%*K2*300</f>
        <v>367500</v>
      </c>
      <c r="R11" s="995" t="s">
        <v>1009</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1010</v>
      </c>
      <c r="K12" s="1004">
        <v>1230.0</v>
      </c>
      <c r="L12" s="1005" t="s">
        <v>1011</v>
      </c>
      <c r="M12" s="3"/>
      <c r="N12" s="998">
        <f t="shared" ref="N12:N13" si="19">K4*1.15</f>
        <v>368000</v>
      </c>
      <c r="O12" s="1020">
        <v>15000.0</v>
      </c>
      <c r="P12" s="1021" t="s">
        <v>1012</v>
      </c>
      <c r="Q12" s="1019">
        <f>L3*K17*K2*100</f>
        <v>22050</v>
      </c>
      <c r="R12" s="1022" t="s">
        <v>1013</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1014</v>
      </c>
      <c r="K13" s="1004">
        <v>5.0</v>
      </c>
      <c r="L13" s="1005" t="s">
        <v>1015</v>
      </c>
      <c r="M13" s="3"/>
      <c r="N13" s="998">
        <f t="shared" si="19"/>
        <v>615250</v>
      </c>
      <c r="O13" s="1023">
        <v>30000.0</v>
      </c>
      <c r="P13" s="1018" t="s">
        <v>1016</v>
      </c>
      <c r="Q13" s="1024">
        <f>L3*K18*K2*100</f>
        <v>90650</v>
      </c>
      <c r="R13" s="1025" t="s">
        <v>1017</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1018</v>
      </c>
      <c r="K14" s="1004">
        <v>35.0</v>
      </c>
      <c r="L14" s="1026" t="s">
        <v>1019</v>
      </c>
      <c r="M14" s="3"/>
      <c r="N14" s="998">
        <f>(K2*2.5-43.4)*K6*K7</f>
        <v>224770</v>
      </c>
      <c r="O14" s="998">
        <f>(K2*2.5-43.4)*K15</f>
        <v>15960</v>
      </c>
      <c r="P14" s="1018" t="s">
        <v>1020</v>
      </c>
      <c r="Q14" s="1019">
        <f>L3*K19*K2*100</f>
        <v>31850</v>
      </c>
      <c r="R14" s="984" t="s">
        <v>1005</v>
      </c>
      <c r="S14" s="993">
        <v>60000.0</v>
      </c>
    </row>
    <row r="15">
      <c r="A15" s="1002"/>
      <c r="B15" s="1002"/>
      <c r="C15" s="1002"/>
      <c r="D15" s="1002"/>
      <c r="E15" s="1002"/>
      <c r="F15" s="1002"/>
      <c r="G15" s="1002"/>
      <c r="H15" s="1002"/>
      <c r="I15" s="1002"/>
      <c r="J15" s="1022" t="s">
        <v>1021</v>
      </c>
      <c r="K15" s="1027">
        <v>600.0</v>
      </c>
      <c r="L15" s="1000" t="s">
        <v>1022</v>
      </c>
      <c r="M15" s="3"/>
      <c r="N15" s="998">
        <f>K9*K10*K11</f>
        <v>103320</v>
      </c>
      <c r="O15" s="998">
        <f>K11*K15</f>
        <v>16800</v>
      </c>
      <c r="P15" s="1021" t="s">
        <v>133</v>
      </c>
      <c r="Q15" s="1019">
        <f>L3*K20*K2*100</f>
        <v>22050</v>
      </c>
      <c r="R15" s="995" t="s">
        <v>1009</v>
      </c>
      <c r="S15" s="993">
        <v>20000.0</v>
      </c>
    </row>
    <row r="16">
      <c r="A16" s="1002"/>
      <c r="B16" s="1002"/>
      <c r="C16" s="1002"/>
      <c r="D16" s="1002"/>
      <c r="E16" s="1002"/>
      <c r="F16" s="1002"/>
      <c r="G16" s="1002"/>
      <c r="H16" s="1002"/>
      <c r="I16" s="1002"/>
      <c r="J16" s="1028" t="s">
        <v>1023</v>
      </c>
      <c r="K16" s="1029">
        <f>D3</f>
        <v>25</v>
      </c>
      <c r="L16" s="1000" t="s">
        <v>1024</v>
      </c>
      <c r="M16" s="3"/>
      <c r="N16" s="998">
        <f>K12*K13*K14</f>
        <v>215250</v>
      </c>
      <c r="O16" s="998">
        <f>K14*K15</f>
        <v>21000</v>
      </c>
      <c r="P16" s="1018" t="s">
        <v>1025</v>
      </c>
      <c r="Q16" s="1019">
        <f>L3*K21*K2*250</f>
        <v>67375</v>
      </c>
      <c r="R16" s="1022" t="s">
        <v>1013</v>
      </c>
      <c r="S16" s="993">
        <v>19167.0</v>
      </c>
    </row>
    <row r="17">
      <c r="A17" s="983"/>
      <c r="B17" s="983"/>
      <c r="C17" s="983"/>
      <c r="D17" s="983"/>
      <c r="E17" s="983"/>
      <c r="F17" s="983"/>
      <c r="G17" s="983"/>
      <c r="H17" s="983"/>
      <c r="I17" s="983"/>
      <c r="J17" s="984" t="s">
        <v>1012</v>
      </c>
      <c r="K17" s="1006">
        <v>0.045</v>
      </c>
      <c r="L17" s="1000" t="s">
        <v>1026</v>
      </c>
      <c r="M17" s="3"/>
      <c r="N17" s="998">
        <f>SUM(N12:O13)</f>
        <v>1028250</v>
      </c>
      <c r="O17" s="1030"/>
      <c r="P17" s="984" t="s">
        <v>371</v>
      </c>
      <c r="Q17" s="996">
        <f>SUM(Q10:Q16)+SUM(S10:S12)</f>
        <v>1320125</v>
      </c>
      <c r="R17" s="984" t="s">
        <v>371</v>
      </c>
      <c r="S17" s="993">
        <f>S14+S15+S16</f>
        <v>99167</v>
      </c>
    </row>
    <row r="18">
      <c r="A18" s="1002"/>
      <c r="B18" s="1002"/>
      <c r="C18" s="1002"/>
      <c r="D18" s="1002"/>
      <c r="E18" s="1002"/>
      <c r="F18" s="1002"/>
      <c r="G18" s="1002"/>
      <c r="H18" s="1002"/>
      <c r="I18" s="1002"/>
      <c r="J18" s="1022" t="s">
        <v>1027</v>
      </c>
      <c r="K18" s="1006">
        <v>0.185</v>
      </c>
      <c r="L18" s="975"/>
      <c r="M18" s="975"/>
      <c r="N18" s="975"/>
      <c r="O18" s="975"/>
      <c r="P18" s="975"/>
      <c r="Q18" s="975"/>
      <c r="R18" s="975"/>
      <c r="S18" s="975"/>
    </row>
    <row r="19">
      <c r="A19" s="1002"/>
      <c r="B19" s="1002"/>
      <c r="C19" s="1002"/>
      <c r="D19" s="1002"/>
      <c r="E19" s="1002"/>
      <c r="F19" s="1002"/>
      <c r="G19" s="1002"/>
      <c r="H19" s="1002"/>
      <c r="I19" s="1002"/>
      <c r="J19" s="1022" t="s">
        <v>1028</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1025</v>
      </c>
      <c r="K21" s="1006">
        <v>0.055</v>
      </c>
      <c r="L21" s="975"/>
      <c r="M21" s="975"/>
      <c r="N21" s="975"/>
      <c r="O21" s="975"/>
      <c r="P21" s="975"/>
      <c r="Q21" s="975"/>
      <c r="R21" s="975"/>
      <c r="S21" s="975"/>
    </row>
    <row r="23">
      <c r="J23" s="976" t="s">
        <v>981</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984</v>
      </c>
      <c r="K24" s="985">
        <f>DAY(EOMONTH(K23,0))</f>
        <v>31</v>
      </c>
      <c r="L24" s="986" t="s">
        <v>985</v>
      </c>
      <c r="M24" s="986" t="s">
        <v>303</v>
      </c>
      <c r="N24" s="986" t="s">
        <v>322</v>
      </c>
      <c r="O24" s="986" t="s">
        <v>324</v>
      </c>
      <c r="P24" s="986" t="s">
        <v>324</v>
      </c>
      <c r="Q24" s="986" t="s">
        <v>986</v>
      </c>
      <c r="R24" s="984" t="s">
        <v>987</v>
      </c>
      <c r="S24" s="987">
        <v>1130.0</v>
      </c>
    </row>
    <row r="25">
      <c r="J25" s="984" t="s">
        <v>303</v>
      </c>
      <c r="K25" s="992">
        <f t="array" ref="K25">xlookup(L23,$B$3:$B$14,$C$3:$C$14)*100</f>
        <v>87.5</v>
      </c>
      <c r="L25" s="993">
        <f>SUM(N25:P25)</f>
        <v>175</v>
      </c>
      <c r="M25" s="993">
        <v>100.0</v>
      </c>
      <c r="N25" s="987">
        <v>137.0</v>
      </c>
      <c r="O25" s="987">
        <v>38.0</v>
      </c>
      <c r="P25" s="994"/>
      <c r="Q25" s="993">
        <f>L25*K24</f>
        <v>5425</v>
      </c>
      <c r="R25" s="995" t="s">
        <v>988</v>
      </c>
      <c r="S25" s="996">
        <f>Q39</f>
        <v>1383212.5</v>
      </c>
    </row>
    <row r="26">
      <c r="J26" s="984" t="s">
        <v>989</v>
      </c>
      <c r="K26" s="987">
        <v>320000.0</v>
      </c>
      <c r="L26" s="993">
        <f>L25*M26%</f>
        <v>101.5</v>
      </c>
      <c r="M26" s="998">
        <f>K25-K38</f>
        <v>58</v>
      </c>
      <c r="N26" s="993">
        <f>N25*M26%</f>
        <v>79.46</v>
      </c>
      <c r="O26" s="993">
        <f>O25*M26%</f>
        <v>22.04</v>
      </c>
      <c r="P26" s="993">
        <f>P25*M26%</f>
        <v>0</v>
      </c>
      <c r="Q26" s="993">
        <f>L26*K24</f>
        <v>3146.5</v>
      </c>
      <c r="R26" s="984" t="s">
        <v>304</v>
      </c>
      <c r="S26" s="996">
        <f>S24*Q26+S25</f>
        <v>4938757.5</v>
      </c>
    </row>
    <row r="27">
      <c r="J27" s="984" t="s">
        <v>990</v>
      </c>
      <c r="K27" s="999">
        <f>270000+(370000/22*9)</f>
        <v>421363.6364</v>
      </c>
      <c r="L27" s="1000" t="s">
        <v>991</v>
      </c>
      <c r="M27" s="3"/>
      <c r="N27" s="987">
        <v>22.926</v>
      </c>
      <c r="O27" s="987">
        <v>28.78</v>
      </c>
      <c r="P27" s="994"/>
      <c r="Q27" s="1001"/>
      <c r="R27" s="984" t="s">
        <v>992</v>
      </c>
      <c r="S27" s="993">
        <f>N32+SUM(N36:O38)+S39</f>
        <v>2716384.752</v>
      </c>
    </row>
    <row r="28">
      <c r="J28" s="1003" t="s">
        <v>993</v>
      </c>
      <c r="K28" s="1004">
        <v>1300.0</v>
      </c>
      <c r="L28" s="1005" t="s">
        <v>994</v>
      </c>
      <c r="M28" s="3"/>
      <c r="N28" s="993">
        <f t="shared" ref="N28:O28" si="21">N26/(360/N27)</f>
        <v>5.060277667</v>
      </c>
      <c r="O28" s="993">
        <f t="shared" si="21"/>
        <v>1.761975556</v>
      </c>
      <c r="P28" s="1001"/>
      <c r="Q28" s="993">
        <f t="shared" ref="Q28:Q29" si="22">N28+O28+P28</f>
        <v>6.822253222</v>
      </c>
      <c r="R28" s="984" t="s">
        <v>302</v>
      </c>
      <c r="S28" s="1006">
        <f>S27/S26</f>
        <v>0.5500137944</v>
      </c>
    </row>
    <row r="29">
      <c r="J29" s="1008" t="s">
        <v>995</v>
      </c>
      <c r="K29" s="1004">
        <v>6.5</v>
      </c>
      <c r="L29" s="1009" t="s">
        <v>996</v>
      </c>
      <c r="M29" s="987">
        <v>1230.0</v>
      </c>
      <c r="N29" s="993">
        <f>N28*(M29*6)</f>
        <v>37344.84918</v>
      </c>
      <c r="O29" s="993">
        <f>O28*(M29*6)</f>
        <v>13003.3796</v>
      </c>
      <c r="P29" s="1001"/>
      <c r="Q29" s="993">
        <f t="shared" si="22"/>
        <v>50348.22878</v>
      </c>
      <c r="R29" s="984" t="s">
        <v>997</v>
      </c>
      <c r="S29" s="996">
        <f>S26-S27-N39</f>
        <v>1339804.566</v>
      </c>
    </row>
    <row r="30">
      <c r="J30" s="1010" t="s">
        <v>998</v>
      </c>
      <c r="K30" s="994"/>
      <c r="L30" s="1011"/>
      <c r="M30" s="1001"/>
      <c r="N30" s="1001"/>
      <c r="O30" s="1001"/>
      <c r="P30" s="1001"/>
      <c r="Q30" s="1001"/>
      <c r="R30" s="984" t="s">
        <v>301</v>
      </c>
      <c r="S30" s="1006">
        <f>S29/S26</f>
        <v>0.271283732</v>
      </c>
    </row>
    <row r="31">
      <c r="J31" s="1003" t="s">
        <v>999</v>
      </c>
      <c r="K31" s="1004">
        <v>1230.0</v>
      </c>
      <c r="L31" s="1005" t="s">
        <v>1000</v>
      </c>
      <c r="M31" s="3"/>
      <c r="N31" s="993">
        <f>Q29+(Q28*K37)</f>
        <v>54441.58071</v>
      </c>
      <c r="O31" s="1001"/>
      <c r="P31" s="1012" t="s">
        <v>1001</v>
      </c>
      <c r="Q31" s="232"/>
      <c r="R31" s="232"/>
      <c r="S31" s="3"/>
    </row>
    <row r="32">
      <c r="J32" s="1014" t="s">
        <v>1002</v>
      </c>
      <c r="K32" s="1004">
        <v>3.0</v>
      </c>
      <c r="L32" s="1005" t="s">
        <v>1003</v>
      </c>
      <c r="M32" s="3"/>
      <c r="N32" s="993">
        <f>N31*K24+L25*K43*K24*110+(L25*K24*K38%)*100</f>
        <v>1880547.752</v>
      </c>
      <c r="O32" s="1015"/>
      <c r="P32" s="1016" t="s">
        <v>1004</v>
      </c>
      <c r="Q32" s="1017">
        <v>567400.0</v>
      </c>
      <c r="R32" s="984" t="s">
        <v>1005</v>
      </c>
      <c r="S32" s="998">
        <v>100000.0</v>
      </c>
    </row>
    <row r="33">
      <c r="J33" s="1014" t="s">
        <v>1006</v>
      </c>
      <c r="K33" s="1004">
        <f>K24</f>
        <v>31</v>
      </c>
      <c r="L33" s="1005" t="s">
        <v>1007</v>
      </c>
      <c r="M33" s="3"/>
      <c r="N33" s="984" t="s">
        <v>401</v>
      </c>
      <c r="O33" s="1010" t="s">
        <v>375</v>
      </c>
      <c r="P33" s="1018" t="s">
        <v>1008</v>
      </c>
      <c r="Q33" s="1019">
        <f>L25*K38%*K24*300</f>
        <v>480112.5</v>
      </c>
      <c r="R33" s="995" t="s">
        <v>1009</v>
      </c>
      <c r="S33" s="993">
        <v>26250.0</v>
      </c>
    </row>
    <row r="34">
      <c r="J34" s="1003" t="s">
        <v>1010</v>
      </c>
      <c r="K34" s="1004">
        <v>1230.0</v>
      </c>
      <c r="L34" s="1005" t="s">
        <v>1011</v>
      </c>
      <c r="M34" s="3"/>
      <c r="N34" s="998">
        <f t="shared" ref="N34:N35" si="23">K26*1.15</f>
        <v>368000</v>
      </c>
      <c r="O34" s="1020">
        <v>15000.0</v>
      </c>
      <c r="P34" s="1021" t="s">
        <v>1012</v>
      </c>
      <c r="Q34" s="1019">
        <f>L25*K39*K24*100</f>
        <v>24412.5</v>
      </c>
      <c r="R34" s="1022" t="s">
        <v>1013</v>
      </c>
      <c r="S34" s="993">
        <v>25000.0</v>
      </c>
    </row>
    <row r="35">
      <c r="J35" s="1003" t="s">
        <v>1014</v>
      </c>
      <c r="K35" s="1004">
        <v>5.0</v>
      </c>
      <c r="L35" s="1005" t="s">
        <v>1015</v>
      </c>
      <c r="M35" s="3"/>
      <c r="N35" s="998">
        <f t="shared" si="23"/>
        <v>484568.1818</v>
      </c>
      <c r="O35" s="998">
        <v>15000.0</v>
      </c>
      <c r="P35" s="1018" t="s">
        <v>1016</v>
      </c>
      <c r="Q35" s="1024">
        <f>L25*K40*K24*100</f>
        <v>100362.5</v>
      </c>
      <c r="R35" s="1025" t="s">
        <v>1017</v>
      </c>
      <c r="S35" s="3"/>
    </row>
    <row r="36">
      <c r="J36" s="1003" t="s">
        <v>1018</v>
      </c>
      <c r="K36" s="1004">
        <v>35.0</v>
      </c>
      <c r="L36" s="1026" t="s">
        <v>1019</v>
      </c>
      <c r="M36" s="3"/>
      <c r="N36" s="998">
        <f>(K24*3-52.4)*K28*K29</f>
        <v>343070</v>
      </c>
      <c r="O36" s="998">
        <f>(K24*3-52.4)*K37</f>
        <v>24360</v>
      </c>
      <c r="P36" s="1018" t="s">
        <v>1020</v>
      </c>
      <c r="Q36" s="1019">
        <f>L25*K41*K24*100</f>
        <v>35262.5</v>
      </c>
      <c r="R36" s="984" t="s">
        <v>1005</v>
      </c>
      <c r="S36" s="993">
        <v>60000.0</v>
      </c>
    </row>
    <row r="37">
      <c r="J37" s="1022" t="s">
        <v>1021</v>
      </c>
      <c r="K37" s="1027">
        <v>600.0</v>
      </c>
      <c r="L37" s="1000" t="s">
        <v>1022</v>
      </c>
      <c r="M37" s="3"/>
      <c r="N37" s="998">
        <f>K31*K32*K33</f>
        <v>114390</v>
      </c>
      <c r="O37" s="998">
        <f>K33*K37</f>
        <v>18600</v>
      </c>
      <c r="P37" s="1021" t="s">
        <v>133</v>
      </c>
      <c r="Q37" s="1019">
        <f>L25*K42*K24*100</f>
        <v>24412.5</v>
      </c>
      <c r="R37" s="995" t="s">
        <v>1009</v>
      </c>
      <c r="S37" s="993">
        <v>20000.0</v>
      </c>
    </row>
    <row r="38">
      <c r="J38" s="1028" t="s">
        <v>1023</v>
      </c>
      <c r="K38" s="1029">
        <f>D4</f>
        <v>29.5</v>
      </c>
      <c r="L38" s="1031" t="s">
        <v>1029</v>
      </c>
      <c r="M38" s="3"/>
      <c r="N38" s="998">
        <f>K34*K35*K36</f>
        <v>215250</v>
      </c>
      <c r="O38" s="998">
        <f>K36*K37</f>
        <v>21000</v>
      </c>
      <c r="P38" s="1018" t="s">
        <v>1025</v>
      </c>
      <c r="Q38" s="1019">
        <f>L25*K43*K24*250</f>
        <v>74593.75</v>
      </c>
      <c r="R38" s="1022" t="s">
        <v>1013</v>
      </c>
      <c r="S38" s="993">
        <v>19167.0</v>
      </c>
    </row>
    <row r="39">
      <c r="J39" s="984" t="s">
        <v>1012</v>
      </c>
      <c r="K39" s="1006">
        <v>0.045</v>
      </c>
      <c r="L39" s="1000" t="s">
        <v>1026</v>
      </c>
      <c r="M39" s="3"/>
      <c r="N39" s="998">
        <f>SUM(N34:O35)</f>
        <v>882568.1818</v>
      </c>
      <c r="O39" s="1030"/>
      <c r="P39" s="984" t="s">
        <v>371</v>
      </c>
      <c r="Q39" s="996">
        <f>SUM(Q32:Q37)+SUM(S32:S34)</f>
        <v>1383212.5</v>
      </c>
      <c r="R39" s="984" t="s">
        <v>371</v>
      </c>
      <c r="S39" s="993">
        <f>S36+S37+S38</f>
        <v>99167</v>
      </c>
    </row>
    <row r="40">
      <c r="J40" s="1022" t="s">
        <v>1027</v>
      </c>
      <c r="K40" s="1006">
        <v>0.185</v>
      </c>
      <c r="L40" s="975"/>
      <c r="M40" s="975"/>
      <c r="N40" s="975"/>
      <c r="O40" s="975"/>
      <c r="P40" s="975"/>
      <c r="Q40" s="975"/>
      <c r="R40" s="975"/>
      <c r="S40" s="975"/>
    </row>
    <row r="41">
      <c r="J41" s="1022" t="s">
        <v>1028</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1025</v>
      </c>
      <c r="K43" s="1006">
        <v>0.055</v>
      </c>
      <c r="L43" s="975"/>
      <c r="M43" s="975"/>
      <c r="N43" s="975"/>
      <c r="O43" s="975"/>
      <c r="P43" s="975"/>
      <c r="Q43" s="975"/>
      <c r="R43" s="975"/>
      <c r="S43" s="975"/>
    </row>
    <row r="45">
      <c r="J45" s="976" t="s">
        <v>981</v>
      </c>
      <c r="K45" s="977">
        <f>A5</f>
        <v>46113</v>
      </c>
      <c r="L45" s="976" t="str">
        <f>"①R"&amp;year(K45)-2018&amp;"_"&amp;month(K45)&amp;"集計"</f>
        <v>①R8_4集計</v>
      </c>
      <c r="M45" s="6"/>
      <c r="N45" s="6"/>
      <c r="O45" s="978">
        <f>S48</f>
        <v>4628325</v>
      </c>
      <c r="P45" s="978">
        <f>S51</f>
        <v>1246383.638</v>
      </c>
      <c r="Q45" s="979">
        <f>S52</f>
        <v>0.2692947531</v>
      </c>
      <c r="R45" s="979">
        <f>S50</f>
        <v>0.5400167836</v>
      </c>
      <c r="S45" s="975"/>
    </row>
    <row r="46">
      <c r="J46" s="984" t="s">
        <v>984</v>
      </c>
      <c r="K46" s="985">
        <f>DAY(EOMONTH(K45,0))</f>
        <v>30</v>
      </c>
      <c r="L46" s="986" t="s">
        <v>985</v>
      </c>
      <c r="M46" s="986" t="s">
        <v>303</v>
      </c>
      <c r="N46" s="986" t="s">
        <v>322</v>
      </c>
      <c r="O46" s="986" t="s">
        <v>324</v>
      </c>
      <c r="P46" s="986" t="s">
        <v>324</v>
      </c>
      <c r="Q46" s="986" t="s">
        <v>986</v>
      </c>
      <c r="R46" s="984" t="s">
        <v>987</v>
      </c>
      <c r="S46" s="987">
        <v>1130.0</v>
      </c>
    </row>
    <row r="47">
      <c r="J47" s="984" t="s">
        <v>303</v>
      </c>
      <c r="K47" s="992">
        <f t="array" ref="K47">xlookup(L45,$B$3:$B$14,$C$3:$C$14)*100</f>
        <v>87.5</v>
      </c>
      <c r="L47" s="993">
        <f>SUM(N47:P47)</f>
        <v>175</v>
      </c>
      <c r="M47" s="993">
        <v>100.0</v>
      </c>
      <c r="N47" s="987">
        <v>137.0</v>
      </c>
      <c r="O47" s="987">
        <v>38.0</v>
      </c>
      <c r="P47" s="994"/>
      <c r="Q47" s="993">
        <f>L47*K46</f>
        <v>5250</v>
      </c>
      <c r="R47" s="995" t="s">
        <v>988</v>
      </c>
      <c r="S47" s="996">
        <f>Q61</f>
        <v>1424775</v>
      </c>
    </row>
    <row r="48">
      <c r="J48" s="984" t="s">
        <v>989</v>
      </c>
      <c r="K48" s="987">
        <v>320000.0</v>
      </c>
      <c r="L48" s="993">
        <f>L47*M48%</f>
        <v>94.5</v>
      </c>
      <c r="M48" s="998">
        <f>K47-K60</f>
        <v>54</v>
      </c>
      <c r="N48" s="993">
        <f>N47*M48%</f>
        <v>73.98</v>
      </c>
      <c r="O48" s="993">
        <f>O47*M48%</f>
        <v>20.52</v>
      </c>
      <c r="P48" s="993">
        <f>P47*M48%</f>
        <v>0</v>
      </c>
      <c r="Q48" s="993">
        <f>L48*K46</f>
        <v>2835</v>
      </c>
      <c r="R48" s="984" t="s">
        <v>304</v>
      </c>
      <c r="S48" s="996">
        <f>S46*Q48+S47</f>
        <v>4628325</v>
      </c>
    </row>
    <row r="49">
      <c r="J49" s="984" t="s">
        <v>990</v>
      </c>
      <c r="K49" s="999">
        <f>270000+(370000/22*9)</f>
        <v>421363.6364</v>
      </c>
      <c r="L49" s="1000" t="s">
        <v>991</v>
      </c>
      <c r="M49" s="3"/>
      <c r="N49" s="1032">
        <v>23.9</v>
      </c>
      <c r="O49" s="1032">
        <v>29.75</v>
      </c>
      <c r="P49" s="994"/>
      <c r="Q49" s="1001"/>
      <c r="R49" s="984" t="s">
        <v>992</v>
      </c>
      <c r="S49" s="993">
        <f>N54+SUM(N58:O60)+S61</f>
        <v>2499373.18</v>
      </c>
    </row>
    <row r="50">
      <c r="J50" s="1003" t="s">
        <v>993</v>
      </c>
      <c r="K50" s="1004">
        <v>1300.0</v>
      </c>
      <c r="L50" s="1005" t="s">
        <v>994</v>
      </c>
      <c r="M50" s="3"/>
      <c r="N50" s="993">
        <f t="shared" ref="N50:O50" si="24">N48/(360/N49)</f>
        <v>4.91145</v>
      </c>
      <c r="O50" s="993">
        <f t="shared" si="24"/>
        <v>1.69575</v>
      </c>
      <c r="P50" s="1001"/>
      <c r="Q50" s="993">
        <f t="shared" ref="Q50:Q51" si="25">N50+O50+P50</f>
        <v>6.6072</v>
      </c>
      <c r="R50" s="984" t="s">
        <v>302</v>
      </c>
      <c r="S50" s="1006">
        <f>S49/S48</f>
        <v>0.5400167836</v>
      </c>
    </row>
    <row r="51">
      <c r="J51" s="1008" t="s">
        <v>995</v>
      </c>
      <c r="K51" s="1004">
        <v>6.5</v>
      </c>
      <c r="L51" s="1009" t="s">
        <v>996</v>
      </c>
      <c r="M51" s="987">
        <v>1230.0</v>
      </c>
      <c r="N51" s="993">
        <f>N50*(M51*6)</f>
        <v>36246.501</v>
      </c>
      <c r="O51" s="993">
        <f>O50*(M51*6)</f>
        <v>12514.635</v>
      </c>
      <c r="P51" s="1001"/>
      <c r="Q51" s="993">
        <f t="shared" si="25"/>
        <v>48761.136</v>
      </c>
      <c r="R51" s="984" t="s">
        <v>997</v>
      </c>
      <c r="S51" s="996">
        <f>S48-S49-N61</f>
        <v>1246383.638</v>
      </c>
    </row>
    <row r="52">
      <c r="J52" s="1010" t="s">
        <v>998</v>
      </c>
      <c r="K52" s="994"/>
      <c r="L52" s="1011"/>
      <c r="M52" s="1001"/>
      <c r="N52" s="1001"/>
      <c r="O52" s="1001"/>
      <c r="P52" s="1001"/>
      <c r="Q52" s="1001"/>
      <c r="R52" s="984" t="s">
        <v>301</v>
      </c>
      <c r="S52" s="1006">
        <f>S51/S48</f>
        <v>0.2692947531</v>
      </c>
    </row>
    <row r="53">
      <c r="J53" s="1003" t="s">
        <v>999</v>
      </c>
      <c r="K53" s="1004">
        <v>1230.0</v>
      </c>
      <c r="L53" s="1005" t="s">
        <v>1000</v>
      </c>
      <c r="M53" s="3"/>
      <c r="N53" s="993">
        <f>Q51+(Q50*K59)</f>
        <v>52725.456</v>
      </c>
      <c r="O53" s="1001"/>
      <c r="P53" s="1012" t="s">
        <v>1001</v>
      </c>
      <c r="Q53" s="232"/>
      <c r="R53" s="232"/>
      <c r="S53" s="3"/>
    </row>
    <row r="54">
      <c r="J54" s="1014" t="s">
        <v>1002</v>
      </c>
      <c r="K54" s="1004">
        <v>3.0</v>
      </c>
      <c r="L54" s="1005" t="s">
        <v>1003</v>
      </c>
      <c r="M54" s="3"/>
      <c r="N54" s="993">
        <f>N53*K46+L47*K65*K46*110</f>
        <v>1613526.18</v>
      </c>
      <c r="O54" s="1015"/>
      <c r="P54" s="1016" t="s">
        <v>1004</v>
      </c>
      <c r="Q54" s="1017">
        <v>567400.0</v>
      </c>
      <c r="R54" s="984" t="s">
        <v>1005</v>
      </c>
      <c r="S54" s="998">
        <v>100000.0</v>
      </c>
    </row>
    <row r="55">
      <c r="J55" s="1014" t="s">
        <v>1006</v>
      </c>
      <c r="K55" s="1004">
        <f>K46</f>
        <v>30</v>
      </c>
      <c r="L55" s="1005" t="s">
        <v>1007</v>
      </c>
      <c r="M55" s="3"/>
      <c r="N55" s="984" t="s">
        <v>401</v>
      </c>
      <c r="O55" s="1010" t="s">
        <v>375</v>
      </c>
      <c r="P55" s="1018" t="s">
        <v>1008</v>
      </c>
      <c r="Q55" s="1019">
        <f>L47*K60%*K46*300</f>
        <v>527625</v>
      </c>
      <c r="R55" s="995" t="s">
        <v>1009</v>
      </c>
      <c r="S55" s="993">
        <v>26250.0</v>
      </c>
    </row>
    <row r="56">
      <c r="J56" s="1003" t="s">
        <v>1010</v>
      </c>
      <c r="K56" s="1004">
        <v>1230.0</v>
      </c>
      <c r="L56" s="1005" t="s">
        <v>1011</v>
      </c>
      <c r="M56" s="3"/>
      <c r="N56" s="998">
        <f t="shared" ref="N56:N57" si="26">K48*1.15</f>
        <v>368000</v>
      </c>
      <c r="O56" s="1020">
        <v>15000.0</v>
      </c>
      <c r="P56" s="1021" t="s">
        <v>1012</v>
      </c>
      <c r="Q56" s="1019">
        <f>L47*K61*K46*100</f>
        <v>23625</v>
      </c>
      <c r="R56" s="1022" t="s">
        <v>1013</v>
      </c>
      <c r="S56" s="993">
        <v>25000.0</v>
      </c>
    </row>
    <row r="57">
      <c r="J57" s="1003" t="s">
        <v>1014</v>
      </c>
      <c r="K57" s="1004">
        <v>5.0</v>
      </c>
      <c r="L57" s="1005" t="s">
        <v>1015</v>
      </c>
      <c r="M57" s="3"/>
      <c r="N57" s="998">
        <f t="shared" si="26"/>
        <v>484568.1818</v>
      </c>
      <c r="O57" s="998">
        <v>15000.0</v>
      </c>
      <c r="P57" s="1018" t="s">
        <v>1016</v>
      </c>
      <c r="Q57" s="1024">
        <f>L47*K62*K46*100</f>
        <v>97125</v>
      </c>
      <c r="R57" s="1025" t="s">
        <v>1017</v>
      </c>
      <c r="S57" s="3"/>
    </row>
    <row r="58">
      <c r="J58" s="1003" t="s">
        <v>1018</v>
      </c>
      <c r="K58" s="1004">
        <v>35.0</v>
      </c>
      <c r="L58" s="1026" t="s">
        <v>1019</v>
      </c>
      <c r="M58" s="3"/>
      <c r="N58" s="998">
        <f>(K46*3-43.4)*K50*K51</f>
        <v>393770</v>
      </c>
      <c r="O58" s="998">
        <f>(K46*3-43.4)*K59</f>
        <v>27960</v>
      </c>
      <c r="P58" s="1018" t="s">
        <v>1020</v>
      </c>
      <c r="Q58" s="1019">
        <f>L47*K63*K46*100</f>
        <v>34125</v>
      </c>
      <c r="R58" s="984" t="s">
        <v>1005</v>
      </c>
      <c r="S58" s="993">
        <v>60000.0</v>
      </c>
    </row>
    <row r="59">
      <c r="J59" s="1022" t="s">
        <v>1021</v>
      </c>
      <c r="K59" s="1027">
        <v>600.0</v>
      </c>
      <c r="L59" s="1000" t="s">
        <v>1022</v>
      </c>
      <c r="M59" s="3"/>
      <c r="N59" s="998">
        <f>K53*K54*K55</f>
        <v>110700</v>
      </c>
      <c r="O59" s="998">
        <f>K55*K59</f>
        <v>18000</v>
      </c>
      <c r="P59" s="1021" t="s">
        <v>133</v>
      </c>
      <c r="Q59" s="1019">
        <f>L47*K64*K46*100</f>
        <v>23625</v>
      </c>
      <c r="R59" s="995" t="s">
        <v>1009</v>
      </c>
      <c r="S59" s="993">
        <v>20000.0</v>
      </c>
    </row>
    <row r="60">
      <c r="J60" s="1028" t="s">
        <v>1023</v>
      </c>
      <c r="K60" s="1029">
        <f>D5</f>
        <v>33.5</v>
      </c>
      <c r="L60" s="1000" t="s">
        <v>1024</v>
      </c>
      <c r="M60" s="3"/>
      <c r="N60" s="998">
        <f>K56*K57*K58</f>
        <v>215250</v>
      </c>
      <c r="O60" s="998">
        <f>K58*K59</f>
        <v>21000</v>
      </c>
      <c r="P60" s="1018" t="s">
        <v>1025</v>
      </c>
      <c r="Q60" s="1019">
        <f>L47*K65*K46*250</f>
        <v>72187.5</v>
      </c>
      <c r="R60" s="1022" t="s">
        <v>1013</v>
      </c>
      <c r="S60" s="993">
        <v>19167.0</v>
      </c>
    </row>
    <row r="61">
      <c r="J61" s="984" t="s">
        <v>1012</v>
      </c>
      <c r="K61" s="1006">
        <v>0.045</v>
      </c>
      <c r="L61" s="1000" t="s">
        <v>1026</v>
      </c>
      <c r="M61" s="3"/>
      <c r="N61" s="998">
        <f>SUM(N56:O57)</f>
        <v>882568.1818</v>
      </c>
      <c r="O61" s="1030"/>
      <c r="P61" s="984" t="s">
        <v>371</v>
      </c>
      <c r="Q61" s="996">
        <f>SUM(Q54:Q59)+SUM(S54:S56)</f>
        <v>1424775</v>
      </c>
      <c r="R61" s="984" t="s">
        <v>371</v>
      </c>
      <c r="S61" s="993">
        <f>S58+S59+S60</f>
        <v>99167</v>
      </c>
    </row>
    <row r="62">
      <c r="J62" s="1022" t="s">
        <v>1027</v>
      </c>
      <c r="K62" s="1006">
        <v>0.185</v>
      </c>
      <c r="L62" s="975"/>
      <c r="M62" s="975"/>
      <c r="N62" s="975"/>
      <c r="O62" s="975"/>
      <c r="P62" s="975"/>
      <c r="Q62" s="975"/>
      <c r="R62" s="975"/>
      <c r="S62" s="975"/>
    </row>
    <row r="63">
      <c r="J63" s="1022" t="s">
        <v>1028</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1025</v>
      </c>
      <c r="K65" s="1006">
        <v>0.055</v>
      </c>
      <c r="L65" s="975"/>
      <c r="M65" s="975"/>
      <c r="N65" s="975"/>
      <c r="O65" s="975"/>
      <c r="P65" s="975"/>
      <c r="Q65" s="975"/>
      <c r="R65" s="975"/>
      <c r="S65" s="975"/>
    </row>
    <row r="67">
      <c r="J67" s="976" t="s">
        <v>981</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984</v>
      </c>
      <c r="K68" s="985">
        <f>DAY(EOMONTH(K67,0))</f>
        <v>31</v>
      </c>
      <c r="L68" s="986" t="s">
        <v>985</v>
      </c>
      <c r="M68" s="986" t="s">
        <v>303</v>
      </c>
      <c r="N68" s="986" t="s">
        <v>322</v>
      </c>
      <c r="O68" s="986" t="s">
        <v>324</v>
      </c>
      <c r="P68" s="986" t="s">
        <v>324</v>
      </c>
      <c r="Q68" s="986" t="s">
        <v>986</v>
      </c>
      <c r="R68" s="984" t="s">
        <v>987</v>
      </c>
      <c r="S68" s="987">
        <v>1130.0</v>
      </c>
    </row>
    <row r="69">
      <c r="J69" s="984" t="s">
        <v>303</v>
      </c>
      <c r="K69" s="992">
        <f t="array" ref="K69">xlookup(L67,$B$3:$B$14,$C$3:$C$14)*100</f>
        <v>0</v>
      </c>
      <c r="L69" s="993">
        <f>SUM(N69:P69)</f>
        <v>175</v>
      </c>
      <c r="M69" s="993">
        <v>100.0</v>
      </c>
      <c r="N69" s="987">
        <v>137.0</v>
      </c>
      <c r="O69" s="987">
        <v>38.0</v>
      </c>
      <c r="P69" s="994"/>
      <c r="Q69" s="993">
        <f>L69*K68</f>
        <v>5425</v>
      </c>
      <c r="R69" s="995" t="s">
        <v>988</v>
      </c>
      <c r="S69" s="996">
        <f>Q83</f>
        <v>1309975</v>
      </c>
    </row>
    <row r="70">
      <c r="J70" s="984" t="s">
        <v>989</v>
      </c>
      <c r="K70" s="987">
        <v>320000.0</v>
      </c>
      <c r="L70" s="993">
        <f>L69*M70%</f>
        <v>-43.75</v>
      </c>
      <c r="M70" s="998">
        <f>K69-K82</f>
        <v>-25</v>
      </c>
      <c r="N70" s="993">
        <f>N69*M70%</f>
        <v>-34.25</v>
      </c>
      <c r="O70" s="993">
        <f>O69*M70%</f>
        <v>-9.5</v>
      </c>
      <c r="P70" s="993">
        <f>P69*M70%</f>
        <v>0</v>
      </c>
      <c r="Q70" s="993">
        <f>L70*K68</f>
        <v>-1356.25</v>
      </c>
      <c r="R70" s="984" t="s">
        <v>304</v>
      </c>
      <c r="S70" s="996">
        <f>S68*Q70+S69</f>
        <v>-222587.5</v>
      </c>
    </row>
    <row r="71">
      <c r="J71" s="984" t="s">
        <v>990</v>
      </c>
      <c r="K71" s="1033">
        <v>270000.0</v>
      </c>
      <c r="L71" s="1000" t="s">
        <v>991</v>
      </c>
      <c r="M71" s="3"/>
      <c r="N71" s="1032">
        <v>23.9</v>
      </c>
      <c r="O71" s="1032">
        <v>29.75</v>
      </c>
      <c r="P71" s="994"/>
      <c r="Q71" s="1001"/>
      <c r="R71" s="984" t="s">
        <v>992</v>
      </c>
      <c r="S71" s="993">
        <f>N76+SUM(N80:O82)+S83</f>
        <v>333675.3167</v>
      </c>
    </row>
    <row r="72">
      <c r="J72" s="1003" t="s">
        <v>993</v>
      </c>
      <c r="K72" s="1004">
        <v>1300.0</v>
      </c>
      <c r="L72" s="1005" t="s">
        <v>994</v>
      </c>
      <c r="M72" s="3"/>
      <c r="N72" s="993">
        <f t="shared" ref="N72:O72" si="27">N70/(360/N71)</f>
        <v>-2.273819444</v>
      </c>
      <c r="O72" s="993">
        <f t="shared" si="27"/>
        <v>-0.7850694444</v>
      </c>
      <c r="P72" s="1001"/>
      <c r="Q72" s="993">
        <f t="shared" ref="Q72:Q73" si="28">N72+O72+P72</f>
        <v>-3.058888889</v>
      </c>
      <c r="R72" s="984" t="s">
        <v>302</v>
      </c>
      <c r="S72" s="1006">
        <f>S71/S70</f>
        <v>-1.499074821</v>
      </c>
    </row>
    <row r="73">
      <c r="J73" s="1008" t="s">
        <v>995</v>
      </c>
      <c r="K73" s="1004">
        <v>6.5</v>
      </c>
      <c r="L73" s="1009" t="s">
        <v>996</v>
      </c>
      <c r="M73" s="987">
        <v>1230.0</v>
      </c>
      <c r="N73" s="993">
        <f>N72*(M73*6)</f>
        <v>-16780.7875</v>
      </c>
      <c r="O73" s="993">
        <f>O72*(M73*6)</f>
        <v>-5793.8125</v>
      </c>
      <c r="P73" s="1001"/>
      <c r="Q73" s="993">
        <f t="shared" si="28"/>
        <v>-22574.6</v>
      </c>
      <c r="R73" s="984" t="s">
        <v>997</v>
      </c>
      <c r="S73" s="996">
        <f>S70-S71-N83</f>
        <v>-1264762.817</v>
      </c>
    </row>
    <row r="74">
      <c r="J74" s="1010" t="s">
        <v>998</v>
      </c>
      <c r="K74" s="994"/>
      <c r="L74" s="1011"/>
      <c r="M74" s="1001"/>
      <c r="N74" s="1001"/>
      <c r="O74" s="1001"/>
      <c r="P74" s="1001"/>
      <c r="Q74" s="1001"/>
      <c r="R74" s="984" t="s">
        <v>301</v>
      </c>
      <c r="S74" s="1006">
        <f>S73/S70</f>
        <v>5.682092735</v>
      </c>
    </row>
    <row r="75">
      <c r="J75" s="1003" t="s">
        <v>999</v>
      </c>
      <c r="K75" s="1004">
        <v>1230.0</v>
      </c>
      <c r="L75" s="1005" t="s">
        <v>1000</v>
      </c>
      <c r="M75" s="3"/>
      <c r="N75" s="993">
        <f>Q73+(Q72*K81)</f>
        <v>-24409.93333</v>
      </c>
      <c r="O75" s="1001"/>
      <c r="P75" s="1012" t="s">
        <v>1001</v>
      </c>
      <c r="Q75" s="232"/>
      <c r="R75" s="232"/>
      <c r="S75" s="3"/>
    </row>
    <row r="76">
      <c r="J76" s="1014" t="s">
        <v>1002</v>
      </c>
      <c r="K76" s="1004">
        <v>3.0</v>
      </c>
      <c r="L76" s="1005" t="s">
        <v>1003</v>
      </c>
      <c r="M76" s="3"/>
      <c r="N76" s="993">
        <f>N75*K68+L69*K87*K68*110</f>
        <v>-723886.6833</v>
      </c>
      <c r="O76" s="1015"/>
      <c r="P76" s="1016" t="s">
        <v>1004</v>
      </c>
      <c r="Q76" s="1017">
        <v>567400.0</v>
      </c>
      <c r="R76" s="984" t="s">
        <v>1005</v>
      </c>
      <c r="S76" s="998">
        <v>100000.0</v>
      </c>
    </row>
    <row r="77">
      <c r="J77" s="1014" t="s">
        <v>1006</v>
      </c>
      <c r="K77" s="1004">
        <f>K68</f>
        <v>31</v>
      </c>
      <c r="L77" s="1005" t="s">
        <v>1007</v>
      </c>
      <c r="M77" s="3"/>
      <c r="N77" s="984" t="s">
        <v>401</v>
      </c>
      <c r="O77" s="1010" t="s">
        <v>375</v>
      </c>
      <c r="P77" s="1018" t="s">
        <v>1008</v>
      </c>
      <c r="Q77" s="1019">
        <f>L69*K82%*K68*300</f>
        <v>406875</v>
      </c>
      <c r="R77" s="995" t="s">
        <v>1009</v>
      </c>
      <c r="S77" s="993">
        <v>26250.0</v>
      </c>
    </row>
    <row r="78">
      <c r="J78" s="1003" t="s">
        <v>1010</v>
      </c>
      <c r="K78" s="1004">
        <v>1230.0</v>
      </c>
      <c r="L78" s="1005" t="s">
        <v>1011</v>
      </c>
      <c r="M78" s="3"/>
      <c r="N78" s="998">
        <f t="shared" ref="N78:N79" si="29">K70*1.15</f>
        <v>368000</v>
      </c>
      <c r="O78" s="1020">
        <v>15000.0</v>
      </c>
      <c r="P78" s="1021" t="s">
        <v>1012</v>
      </c>
      <c r="Q78" s="1019">
        <f>L69*K83*K68*100</f>
        <v>24412.5</v>
      </c>
      <c r="R78" s="1022" t="s">
        <v>1013</v>
      </c>
      <c r="S78" s="993">
        <v>25000.0</v>
      </c>
    </row>
    <row r="79">
      <c r="J79" s="1003" t="s">
        <v>1014</v>
      </c>
      <c r="K79" s="1004">
        <v>5.0</v>
      </c>
      <c r="L79" s="1005" t="s">
        <v>1015</v>
      </c>
      <c r="M79" s="3"/>
      <c r="N79" s="998">
        <f t="shared" si="29"/>
        <v>310500</v>
      </c>
      <c r="O79" s="998">
        <v>15000.0</v>
      </c>
      <c r="P79" s="1018" t="s">
        <v>1016</v>
      </c>
      <c r="Q79" s="1024">
        <f>L69*K84*K68*100</f>
        <v>100362.5</v>
      </c>
      <c r="R79" s="1025" t="s">
        <v>1017</v>
      </c>
      <c r="S79" s="3"/>
    </row>
    <row r="80">
      <c r="J80" s="1003" t="s">
        <v>1018</v>
      </c>
      <c r="K80" s="1004">
        <v>35.0</v>
      </c>
      <c r="L80" s="1026" t="s">
        <v>1019</v>
      </c>
      <c r="M80" s="3"/>
      <c r="N80" s="998">
        <f>(K68*3.5-43.4)*K72*K73</f>
        <v>550095</v>
      </c>
      <c r="O80" s="998">
        <f>(K68*3.5-43.4)*K81</f>
        <v>39060</v>
      </c>
      <c r="P80" s="1018" t="s">
        <v>1020</v>
      </c>
      <c r="Q80" s="1019">
        <f>L69*K85*K68*100</f>
        <v>35262.5</v>
      </c>
      <c r="R80" s="984" t="s">
        <v>1005</v>
      </c>
      <c r="S80" s="993">
        <v>60000.0</v>
      </c>
    </row>
    <row r="81">
      <c r="J81" s="1022" t="s">
        <v>1021</v>
      </c>
      <c r="K81" s="1027">
        <v>600.0</v>
      </c>
      <c r="L81" s="1000" t="s">
        <v>1022</v>
      </c>
      <c r="M81" s="3"/>
      <c r="N81" s="998">
        <f>K75*K76*K77</f>
        <v>114390</v>
      </c>
      <c r="O81" s="998">
        <f>K77*K81</f>
        <v>18600</v>
      </c>
      <c r="P81" s="1021" t="s">
        <v>133</v>
      </c>
      <c r="Q81" s="1019">
        <f>L69*K86*K68*100</f>
        <v>24412.5</v>
      </c>
      <c r="R81" s="995" t="s">
        <v>1009</v>
      </c>
      <c r="S81" s="993">
        <v>20000.0</v>
      </c>
    </row>
    <row r="82">
      <c r="J82" s="1028" t="s">
        <v>1023</v>
      </c>
      <c r="K82" s="1029">
        <v>25.0</v>
      </c>
      <c r="L82" s="1000" t="s">
        <v>1024</v>
      </c>
      <c r="M82" s="3"/>
      <c r="N82" s="998">
        <f>K78*K79*K80</f>
        <v>215250</v>
      </c>
      <c r="O82" s="998">
        <f>K80*K81</f>
        <v>21000</v>
      </c>
      <c r="P82" s="1018" t="s">
        <v>1025</v>
      </c>
      <c r="Q82" s="1019">
        <f>L69*K87*K68*250</f>
        <v>74593.75</v>
      </c>
      <c r="R82" s="1022" t="s">
        <v>1013</v>
      </c>
      <c r="S82" s="993">
        <v>19167.0</v>
      </c>
    </row>
    <row r="83">
      <c r="J83" s="984" t="s">
        <v>1012</v>
      </c>
      <c r="K83" s="1006">
        <v>0.045</v>
      </c>
      <c r="L83" s="1000" t="s">
        <v>1026</v>
      </c>
      <c r="M83" s="3"/>
      <c r="N83" s="998">
        <f>SUM(N78:O79)</f>
        <v>708500</v>
      </c>
      <c r="O83" s="1030"/>
      <c r="P83" s="984" t="s">
        <v>371</v>
      </c>
      <c r="Q83" s="996">
        <f>SUM(Q76:Q81)+SUM(S76:S78)</f>
        <v>1309975</v>
      </c>
      <c r="R83" s="984" t="s">
        <v>371</v>
      </c>
      <c r="S83" s="993">
        <f>S80+S81+S82</f>
        <v>99167</v>
      </c>
    </row>
    <row r="84">
      <c r="J84" s="1022" t="s">
        <v>1027</v>
      </c>
      <c r="K84" s="1006">
        <v>0.185</v>
      </c>
      <c r="L84" s="975"/>
      <c r="M84" s="975"/>
      <c r="N84" s="975"/>
      <c r="O84" s="975"/>
      <c r="P84" s="975"/>
      <c r="Q84" s="975"/>
      <c r="R84" s="975"/>
      <c r="S84" s="975"/>
    </row>
    <row r="85">
      <c r="J85" s="1022" t="s">
        <v>1028</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1025</v>
      </c>
      <c r="K87" s="1006">
        <v>0.055</v>
      </c>
      <c r="L87" s="975"/>
      <c r="M87" s="975"/>
      <c r="N87" s="975"/>
      <c r="O87" s="975"/>
      <c r="P87" s="975"/>
      <c r="Q87" s="975"/>
      <c r="R87" s="975"/>
      <c r="S87" s="975"/>
    </row>
    <row r="89">
      <c r="J89" s="976" t="s">
        <v>981</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984</v>
      </c>
      <c r="K90" s="985">
        <f>DAY(EOMONTH(K89,0))</f>
        <v>30</v>
      </c>
      <c r="L90" s="986" t="s">
        <v>985</v>
      </c>
      <c r="M90" s="986" t="s">
        <v>303</v>
      </c>
      <c r="N90" s="986" t="s">
        <v>322</v>
      </c>
      <c r="O90" s="986" t="s">
        <v>324</v>
      </c>
      <c r="P90" s="986" t="s">
        <v>324</v>
      </c>
      <c r="Q90" s="986" t="s">
        <v>986</v>
      </c>
      <c r="R90" s="984" t="s">
        <v>987</v>
      </c>
      <c r="S90" s="987">
        <v>1130.0</v>
      </c>
    </row>
    <row r="91">
      <c r="J91" s="984" t="s">
        <v>303</v>
      </c>
      <c r="K91" s="992">
        <f t="array" ref="K91">xlookup(L89,$B$3:$B$14,$C$3:$C$14)*100</f>
        <v>0</v>
      </c>
      <c r="L91" s="993">
        <f>SUM(N91:P91)</f>
        <v>175</v>
      </c>
      <c r="M91" s="993">
        <v>100.0</v>
      </c>
      <c r="N91" s="987">
        <v>137.0</v>
      </c>
      <c r="O91" s="987">
        <v>38.0</v>
      </c>
      <c r="P91" s="994"/>
      <c r="Q91" s="993">
        <f>L91*K90</f>
        <v>5250</v>
      </c>
      <c r="R91" s="995" t="s">
        <v>988</v>
      </c>
      <c r="S91" s="996">
        <f>Q105</f>
        <v>1290900</v>
      </c>
    </row>
    <row r="92">
      <c r="J92" s="984" t="s">
        <v>989</v>
      </c>
      <c r="K92" s="987">
        <v>320000.0</v>
      </c>
      <c r="L92" s="993">
        <f>L91*M92%</f>
        <v>-43.75</v>
      </c>
      <c r="M92" s="998">
        <f>K91-K104</f>
        <v>-25</v>
      </c>
      <c r="N92" s="993">
        <f>N91*M92%</f>
        <v>-34.25</v>
      </c>
      <c r="O92" s="993">
        <f>O91*M92%</f>
        <v>-9.5</v>
      </c>
      <c r="P92" s="993">
        <f>P91*M92%</f>
        <v>0</v>
      </c>
      <c r="Q92" s="993">
        <f>L92*K90</f>
        <v>-1312.5</v>
      </c>
      <c r="R92" s="984" t="s">
        <v>304</v>
      </c>
      <c r="S92" s="996">
        <f>S90*Q92+S91</f>
        <v>-192225</v>
      </c>
    </row>
    <row r="93">
      <c r="J93" s="984" t="s">
        <v>990</v>
      </c>
      <c r="K93" s="1033">
        <v>270000.0</v>
      </c>
      <c r="L93" s="1000" t="s">
        <v>991</v>
      </c>
      <c r="M93" s="3"/>
      <c r="N93" s="1032">
        <v>23.9</v>
      </c>
      <c r="O93" s="1032">
        <v>29.75</v>
      </c>
      <c r="P93" s="994"/>
      <c r="Q93" s="1001"/>
      <c r="R93" s="984" t="s">
        <v>992</v>
      </c>
      <c r="S93" s="993">
        <f>N98+SUM(N102:O104)+S105</f>
        <v>321061.5</v>
      </c>
    </row>
    <row r="94">
      <c r="J94" s="1003" t="s">
        <v>993</v>
      </c>
      <c r="K94" s="1004">
        <v>1300.0</v>
      </c>
      <c r="L94" s="1005" t="s">
        <v>994</v>
      </c>
      <c r="M94" s="3"/>
      <c r="N94" s="993">
        <f t="shared" ref="N94:O94" si="30">N92/(360/N93)</f>
        <v>-2.273819444</v>
      </c>
      <c r="O94" s="993">
        <f t="shared" si="30"/>
        <v>-0.7850694444</v>
      </c>
      <c r="P94" s="1001"/>
      <c r="Q94" s="993">
        <f t="shared" ref="Q94:Q95" si="31">N94+O94+P94</f>
        <v>-3.058888889</v>
      </c>
      <c r="R94" s="984" t="s">
        <v>302</v>
      </c>
      <c r="S94" s="1006">
        <f>S93/S92</f>
        <v>-1.670238002</v>
      </c>
    </row>
    <row r="95">
      <c r="J95" s="1008" t="s">
        <v>995</v>
      </c>
      <c r="K95" s="1004">
        <v>6.5</v>
      </c>
      <c r="L95" s="1009" t="s">
        <v>996</v>
      </c>
      <c r="M95" s="987">
        <v>1230.0</v>
      </c>
      <c r="N95" s="993">
        <f>N94*(M95*6)</f>
        <v>-16780.7875</v>
      </c>
      <c r="O95" s="993">
        <f>O94*(M95*6)</f>
        <v>-5793.8125</v>
      </c>
      <c r="P95" s="1001"/>
      <c r="Q95" s="993">
        <f t="shared" si="31"/>
        <v>-22574.6</v>
      </c>
      <c r="R95" s="984" t="s">
        <v>997</v>
      </c>
      <c r="S95" s="996">
        <f>S92-S93-N105</f>
        <v>-1221786.5</v>
      </c>
    </row>
    <row r="96">
      <c r="J96" s="1010" t="s">
        <v>998</v>
      </c>
      <c r="K96" s="994"/>
      <c r="L96" s="1011"/>
      <c r="M96" s="1001"/>
      <c r="N96" s="1001"/>
      <c r="O96" s="1001"/>
      <c r="P96" s="1001"/>
      <c r="Q96" s="1001"/>
      <c r="R96" s="984" t="s">
        <v>301</v>
      </c>
      <c r="S96" s="1006">
        <f>S95/S92</f>
        <v>6.35602289</v>
      </c>
    </row>
    <row r="97">
      <c r="J97" s="1003" t="s">
        <v>999</v>
      </c>
      <c r="K97" s="1004">
        <v>1230.0</v>
      </c>
      <c r="L97" s="1005" t="s">
        <v>1000</v>
      </c>
      <c r="M97" s="3"/>
      <c r="N97" s="993">
        <f>Q95+(Q94*K103)</f>
        <v>-24409.93333</v>
      </c>
      <c r="O97" s="1001"/>
      <c r="P97" s="1012" t="s">
        <v>1001</v>
      </c>
      <c r="Q97" s="232"/>
      <c r="R97" s="232"/>
      <c r="S97" s="3"/>
    </row>
    <row r="98">
      <c r="J98" s="1014" t="s">
        <v>1002</v>
      </c>
      <c r="K98" s="1004">
        <v>3.0</v>
      </c>
      <c r="L98" s="1005" t="s">
        <v>1003</v>
      </c>
      <c r="M98" s="3"/>
      <c r="N98" s="993">
        <f>N97*K90+L91*K109*K90*110</f>
        <v>-700535.5</v>
      </c>
      <c r="O98" s="1015"/>
      <c r="P98" s="1016" t="s">
        <v>1004</v>
      </c>
      <c r="Q98" s="1017">
        <v>567400.0</v>
      </c>
      <c r="R98" s="984" t="s">
        <v>1005</v>
      </c>
      <c r="S98" s="998">
        <v>100000.0</v>
      </c>
    </row>
    <row r="99">
      <c r="J99" s="1014" t="s">
        <v>1006</v>
      </c>
      <c r="K99" s="1004">
        <f>K90</f>
        <v>30</v>
      </c>
      <c r="L99" s="1005" t="s">
        <v>1007</v>
      </c>
      <c r="M99" s="3"/>
      <c r="N99" s="984" t="s">
        <v>401</v>
      </c>
      <c r="O99" s="1010" t="s">
        <v>375</v>
      </c>
      <c r="P99" s="1018" t="s">
        <v>1008</v>
      </c>
      <c r="Q99" s="1019">
        <f>L91*K104%*K90*300</f>
        <v>393750</v>
      </c>
      <c r="R99" s="995" t="s">
        <v>1009</v>
      </c>
      <c r="S99" s="993">
        <v>26250.0</v>
      </c>
    </row>
    <row r="100">
      <c r="J100" s="1003" t="s">
        <v>1010</v>
      </c>
      <c r="K100" s="1004">
        <v>1230.0</v>
      </c>
      <c r="L100" s="1005" t="s">
        <v>1011</v>
      </c>
      <c r="M100" s="3"/>
      <c r="N100" s="998">
        <f t="shared" ref="N100:N101" si="32">K92*1.15</f>
        <v>368000</v>
      </c>
      <c r="O100" s="1020">
        <v>15000.0</v>
      </c>
      <c r="P100" s="1021" t="s">
        <v>1012</v>
      </c>
      <c r="Q100" s="1019">
        <f>L91*K105*K90*100</f>
        <v>23625</v>
      </c>
      <c r="R100" s="1022" t="s">
        <v>1013</v>
      </c>
      <c r="S100" s="993">
        <v>25000.0</v>
      </c>
    </row>
    <row r="101">
      <c r="J101" s="1003" t="s">
        <v>1014</v>
      </c>
      <c r="K101" s="1004">
        <v>5.0</v>
      </c>
      <c r="L101" s="1005" t="s">
        <v>1015</v>
      </c>
      <c r="M101" s="3"/>
      <c r="N101" s="998">
        <f t="shared" si="32"/>
        <v>310500</v>
      </c>
      <c r="O101" s="998">
        <v>15000.0</v>
      </c>
      <c r="P101" s="1018" t="s">
        <v>1016</v>
      </c>
      <c r="Q101" s="1024">
        <f>L91*K106*K90*100</f>
        <v>97125</v>
      </c>
      <c r="R101" s="1025" t="s">
        <v>1017</v>
      </c>
      <c r="S101" s="3"/>
    </row>
    <row r="102">
      <c r="J102" s="1003" t="s">
        <v>1018</v>
      </c>
      <c r="K102" s="1004">
        <v>35.0</v>
      </c>
      <c r="L102" s="1026" t="s">
        <v>1019</v>
      </c>
      <c r="M102" s="3"/>
      <c r="N102" s="998">
        <f>(K90*3.5-43.4)*K94*K95</f>
        <v>520520</v>
      </c>
      <c r="O102" s="998">
        <f>(K90*3.5-43.4)*K103</f>
        <v>36960</v>
      </c>
      <c r="P102" s="1018" t="s">
        <v>1020</v>
      </c>
      <c r="Q102" s="1019">
        <f>L91*K107*K90*100</f>
        <v>34125</v>
      </c>
      <c r="R102" s="984" t="s">
        <v>1005</v>
      </c>
      <c r="S102" s="993">
        <v>60000.0</v>
      </c>
    </row>
    <row r="103">
      <c r="J103" s="1022" t="s">
        <v>1021</v>
      </c>
      <c r="K103" s="1027">
        <v>600.0</v>
      </c>
      <c r="L103" s="1000" t="s">
        <v>1022</v>
      </c>
      <c r="M103" s="3"/>
      <c r="N103" s="998">
        <f>K97*K98*K99</f>
        <v>110700</v>
      </c>
      <c r="O103" s="998">
        <f>K99*K103</f>
        <v>18000</v>
      </c>
      <c r="P103" s="1021" t="s">
        <v>133</v>
      </c>
      <c r="Q103" s="1019">
        <f>L91*K108*K90*100</f>
        <v>23625</v>
      </c>
      <c r="R103" s="995" t="s">
        <v>1009</v>
      </c>
      <c r="S103" s="993">
        <v>20000.0</v>
      </c>
    </row>
    <row r="104">
      <c r="J104" s="1028" t="s">
        <v>1023</v>
      </c>
      <c r="K104" s="1029">
        <v>25.0</v>
      </c>
      <c r="L104" s="1000" t="s">
        <v>1024</v>
      </c>
      <c r="M104" s="3"/>
      <c r="N104" s="998">
        <f>K100*K101*K102</f>
        <v>215250</v>
      </c>
      <c r="O104" s="998">
        <f>K102*K103</f>
        <v>21000</v>
      </c>
      <c r="P104" s="1018" t="s">
        <v>1025</v>
      </c>
      <c r="Q104" s="1019">
        <f>L91*K109*K90*250</f>
        <v>72187.5</v>
      </c>
      <c r="R104" s="1022" t="s">
        <v>1013</v>
      </c>
      <c r="S104" s="993">
        <v>19167.0</v>
      </c>
    </row>
    <row r="105">
      <c r="J105" s="984" t="s">
        <v>1012</v>
      </c>
      <c r="K105" s="1006">
        <v>0.045</v>
      </c>
      <c r="L105" s="1000" t="s">
        <v>1026</v>
      </c>
      <c r="M105" s="3"/>
      <c r="N105" s="998">
        <f>SUM(N100:O101)</f>
        <v>708500</v>
      </c>
      <c r="O105" s="1030"/>
      <c r="P105" s="984" t="s">
        <v>371</v>
      </c>
      <c r="Q105" s="996">
        <f>SUM(Q98:Q103)+SUM(S98:S100)</f>
        <v>1290900</v>
      </c>
      <c r="R105" s="984" t="s">
        <v>371</v>
      </c>
      <c r="S105" s="993">
        <f>S102+S103+S104</f>
        <v>99167</v>
      </c>
    </row>
    <row r="106">
      <c r="J106" s="1022" t="s">
        <v>1027</v>
      </c>
      <c r="K106" s="1006">
        <v>0.185</v>
      </c>
      <c r="L106" s="975"/>
      <c r="M106" s="975"/>
      <c r="N106" s="975"/>
      <c r="O106" s="975"/>
      <c r="P106" s="975"/>
      <c r="Q106" s="975"/>
      <c r="R106" s="975"/>
      <c r="S106" s="975"/>
    </row>
    <row r="107">
      <c r="J107" s="1022" t="s">
        <v>1028</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1025</v>
      </c>
      <c r="K109" s="1006">
        <v>0.055</v>
      </c>
      <c r="L109" s="975"/>
      <c r="M109" s="975"/>
      <c r="N109" s="975"/>
      <c r="O109" s="975"/>
      <c r="P109" s="975"/>
      <c r="Q109" s="975"/>
      <c r="R109" s="975"/>
      <c r="S109" s="975"/>
    </row>
    <row r="111">
      <c r="J111" s="976" t="s">
        <v>981</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984</v>
      </c>
      <c r="K112" s="985">
        <f>DAY(EOMONTH(K111,0))</f>
        <v>31</v>
      </c>
      <c r="L112" s="986" t="s">
        <v>985</v>
      </c>
      <c r="M112" s="986" t="s">
        <v>303</v>
      </c>
      <c r="N112" s="986" t="s">
        <v>322</v>
      </c>
      <c r="O112" s="986" t="s">
        <v>324</v>
      </c>
      <c r="P112" s="986" t="s">
        <v>324</v>
      </c>
      <c r="Q112" s="986" t="s">
        <v>986</v>
      </c>
      <c r="R112" s="984" t="s">
        <v>987</v>
      </c>
      <c r="S112" s="987">
        <v>1130.0</v>
      </c>
    </row>
    <row r="113">
      <c r="J113" s="984" t="s">
        <v>303</v>
      </c>
      <c r="K113" s="992">
        <f t="array" ref="K113">xlookup(L111,$B$3:$B$14,$C$3:$C$14)*100</f>
        <v>0</v>
      </c>
      <c r="L113" s="993">
        <f>SUM(N113:P113)</f>
        <v>175</v>
      </c>
      <c r="M113" s="993">
        <v>100.0</v>
      </c>
      <c r="N113" s="987">
        <v>137.0</v>
      </c>
      <c r="O113" s="987">
        <v>38.0</v>
      </c>
      <c r="P113" s="994"/>
      <c r="Q113" s="993">
        <f>L113*K112</f>
        <v>5425</v>
      </c>
      <c r="R113" s="995" t="s">
        <v>988</v>
      </c>
      <c r="S113" s="996">
        <f>Q127</f>
        <v>1309975</v>
      </c>
    </row>
    <row r="114">
      <c r="J114" s="984" t="s">
        <v>989</v>
      </c>
      <c r="K114" s="987">
        <v>320000.0</v>
      </c>
      <c r="L114" s="993">
        <f>L113*M114%</f>
        <v>-43.75</v>
      </c>
      <c r="M114" s="998">
        <f>K113-K126</f>
        <v>-25</v>
      </c>
      <c r="N114" s="993">
        <f>N113*M114%</f>
        <v>-34.25</v>
      </c>
      <c r="O114" s="993">
        <f>O113*M114%</f>
        <v>-9.5</v>
      </c>
      <c r="P114" s="993">
        <f>P113*M114%</f>
        <v>0</v>
      </c>
      <c r="Q114" s="993">
        <f>L114*K112</f>
        <v>-1356.25</v>
      </c>
      <c r="R114" s="984" t="s">
        <v>304</v>
      </c>
      <c r="S114" s="996">
        <f>S112*Q114+S113</f>
        <v>-222587.5</v>
      </c>
    </row>
    <row r="115">
      <c r="J115" s="984" t="s">
        <v>990</v>
      </c>
      <c r="K115" s="1033">
        <v>270000.0</v>
      </c>
      <c r="L115" s="1000" t="s">
        <v>991</v>
      </c>
      <c r="M115" s="3"/>
      <c r="N115" s="1032">
        <v>23.9</v>
      </c>
      <c r="O115" s="1032">
        <v>29.75</v>
      </c>
      <c r="P115" s="994"/>
      <c r="Q115" s="1001"/>
      <c r="R115" s="984" t="s">
        <v>992</v>
      </c>
      <c r="S115" s="993">
        <f>N120+SUM(N124:O126)+S127</f>
        <v>333675.3167</v>
      </c>
    </row>
    <row r="116">
      <c r="J116" s="1003" t="s">
        <v>993</v>
      </c>
      <c r="K116" s="1004">
        <v>1300.0</v>
      </c>
      <c r="L116" s="1005" t="s">
        <v>994</v>
      </c>
      <c r="M116" s="3"/>
      <c r="N116" s="993">
        <f t="shared" ref="N116:O116" si="33">N114/(360/N115)</f>
        <v>-2.273819444</v>
      </c>
      <c r="O116" s="993">
        <f t="shared" si="33"/>
        <v>-0.7850694444</v>
      </c>
      <c r="P116" s="1001"/>
      <c r="Q116" s="993">
        <f t="shared" ref="Q116:Q117" si="34">N116+O116+P116</f>
        <v>-3.058888889</v>
      </c>
      <c r="R116" s="984" t="s">
        <v>302</v>
      </c>
      <c r="S116" s="1006">
        <f>S115/S114</f>
        <v>-1.499074821</v>
      </c>
    </row>
    <row r="117">
      <c r="J117" s="1008" t="s">
        <v>995</v>
      </c>
      <c r="K117" s="1004">
        <v>6.5</v>
      </c>
      <c r="L117" s="1009" t="s">
        <v>996</v>
      </c>
      <c r="M117" s="987">
        <v>1230.0</v>
      </c>
      <c r="N117" s="993">
        <f>N116*(M117*6)</f>
        <v>-16780.7875</v>
      </c>
      <c r="O117" s="993">
        <f>O116*(M117*6)</f>
        <v>-5793.8125</v>
      </c>
      <c r="P117" s="1001"/>
      <c r="Q117" s="993">
        <f t="shared" si="34"/>
        <v>-22574.6</v>
      </c>
      <c r="R117" s="984" t="s">
        <v>997</v>
      </c>
      <c r="S117" s="996">
        <f>S114-S115-N127</f>
        <v>-1264762.817</v>
      </c>
    </row>
    <row r="118">
      <c r="J118" s="1010" t="s">
        <v>998</v>
      </c>
      <c r="K118" s="994"/>
      <c r="L118" s="1011"/>
      <c r="M118" s="1001"/>
      <c r="N118" s="1001"/>
      <c r="O118" s="1001"/>
      <c r="P118" s="1001"/>
      <c r="Q118" s="1001"/>
      <c r="R118" s="984" t="s">
        <v>301</v>
      </c>
      <c r="S118" s="1006">
        <f>S117/S114</f>
        <v>5.682092735</v>
      </c>
    </row>
    <row r="119">
      <c r="J119" s="1003" t="s">
        <v>999</v>
      </c>
      <c r="K119" s="1004">
        <v>1230.0</v>
      </c>
      <c r="L119" s="1005" t="s">
        <v>1000</v>
      </c>
      <c r="M119" s="3"/>
      <c r="N119" s="993">
        <f>Q117+(Q116*K125)</f>
        <v>-24409.93333</v>
      </c>
      <c r="O119" s="1001"/>
      <c r="P119" s="1012" t="s">
        <v>1001</v>
      </c>
      <c r="Q119" s="232"/>
      <c r="R119" s="232"/>
      <c r="S119" s="3"/>
    </row>
    <row r="120">
      <c r="J120" s="1014" t="s">
        <v>1002</v>
      </c>
      <c r="K120" s="1004">
        <v>3.0</v>
      </c>
      <c r="L120" s="1005" t="s">
        <v>1003</v>
      </c>
      <c r="M120" s="3"/>
      <c r="N120" s="993">
        <f>N119*K112+L113*K131*K112*110</f>
        <v>-723886.6833</v>
      </c>
      <c r="O120" s="1015"/>
      <c r="P120" s="1016" t="s">
        <v>1004</v>
      </c>
      <c r="Q120" s="1017">
        <v>567400.0</v>
      </c>
      <c r="R120" s="984" t="s">
        <v>1005</v>
      </c>
      <c r="S120" s="998">
        <v>100000.0</v>
      </c>
    </row>
    <row r="121">
      <c r="J121" s="1014" t="s">
        <v>1006</v>
      </c>
      <c r="K121" s="1004">
        <f>K112</f>
        <v>31</v>
      </c>
      <c r="L121" s="1005" t="s">
        <v>1007</v>
      </c>
      <c r="M121" s="3"/>
      <c r="N121" s="984" t="s">
        <v>401</v>
      </c>
      <c r="O121" s="1010" t="s">
        <v>375</v>
      </c>
      <c r="P121" s="1018" t="s">
        <v>1008</v>
      </c>
      <c r="Q121" s="1019">
        <f>L113*K126%*K112*300</f>
        <v>406875</v>
      </c>
      <c r="R121" s="995" t="s">
        <v>1009</v>
      </c>
      <c r="S121" s="993">
        <v>26250.0</v>
      </c>
    </row>
    <row r="122">
      <c r="J122" s="1003" t="s">
        <v>1010</v>
      </c>
      <c r="K122" s="1004">
        <v>1230.0</v>
      </c>
      <c r="L122" s="1005" t="s">
        <v>1011</v>
      </c>
      <c r="M122" s="3"/>
      <c r="N122" s="998">
        <f t="shared" ref="N122:N123" si="35">K114*1.15</f>
        <v>368000</v>
      </c>
      <c r="O122" s="1020">
        <v>15000.0</v>
      </c>
      <c r="P122" s="1021" t="s">
        <v>1012</v>
      </c>
      <c r="Q122" s="1019">
        <f>L113*K127*K112*100</f>
        <v>24412.5</v>
      </c>
      <c r="R122" s="1022" t="s">
        <v>1013</v>
      </c>
      <c r="S122" s="993">
        <v>25000.0</v>
      </c>
    </row>
    <row r="123">
      <c r="J123" s="1003" t="s">
        <v>1014</v>
      </c>
      <c r="K123" s="1004">
        <v>5.0</v>
      </c>
      <c r="L123" s="1005" t="s">
        <v>1015</v>
      </c>
      <c r="M123" s="3"/>
      <c r="N123" s="998">
        <f t="shared" si="35"/>
        <v>310500</v>
      </c>
      <c r="O123" s="998">
        <v>15000.0</v>
      </c>
      <c r="P123" s="1018" t="s">
        <v>1016</v>
      </c>
      <c r="Q123" s="1024">
        <f>L113*K128*K112*100</f>
        <v>100362.5</v>
      </c>
      <c r="R123" s="1025" t="s">
        <v>1017</v>
      </c>
      <c r="S123" s="3"/>
    </row>
    <row r="124">
      <c r="J124" s="1003" t="s">
        <v>1018</v>
      </c>
      <c r="K124" s="1004">
        <v>35.0</v>
      </c>
      <c r="L124" s="1026" t="s">
        <v>1019</v>
      </c>
      <c r="M124" s="3"/>
      <c r="N124" s="998">
        <f>(K112*3.5-43.4)*K116*K117</f>
        <v>550095</v>
      </c>
      <c r="O124" s="998">
        <f>(K112*3.5-43.4)*K125</f>
        <v>39060</v>
      </c>
      <c r="P124" s="1018" t="s">
        <v>1020</v>
      </c>
      <c r="Q124" s="1019">
        <f>L113*K129*K112*100</f>
        <v>35262.5</v>
      </c>
      <c r="R124" s="984" t="s">
        <v>1005</v>
      </c>
      <c r="S124" s="993">
        <v>60000.0</v>
      </c>
    </row>
    <row r="125">
      <c r="J125" s="1022" t="s">
        <v>1021</v>
      </c>
      <c r="K125" s="1027">
        <v>600.0</v>
      </c>
      <c r="L125" s="1000" t="s">
        <v>1022</v>
      </c>
      <c r="M125" s="3"/>
      <c r="N125" s="998">
        <f>K119*K120*K121</f>
        <v>114390</v>
      </c>
      <c r="O125" s="998">
        <f>K121*K125</f>
        <v>18600</v>
      </c>
      <c r="P125" s="1021" t="s">
        <v>133</v>
      </c>
      <c r="Q125" s="1019">
        <f>L113*K130*K112*100</f>
        <v>24412.5</v>
      </c>
      <c r="R125" s="995" t="s">
        <v>1009</v>
      </c>
      <c r="S125" s="993">
        <v>20000.0</v>
      </c>
    </row>
    <row r="126">
      <c r="J126" s="1028" t="s">
        <v>1023</v>
      </c>
      <c r="K126" s="1029">
        <v>25.0</v>
      </c>
      <c r="L126" s="1000" t="s">
        <v>1024</v>
      </c>
      <c r="M126" s="3"/>
      <c r="N126" s="998">
        <f>K122*K123*K124</f>
        <v>215250</v>
      </c>
      <c r="O126" s="998">
        <f>K124*K125</f>
        <v>21000</v>
      </c>
      <c r="P126" s="1018" t="s">
        <v>1025</v>
      </c>
      <c r="Q126" s="1019">
        <f>L113*K131*K112*250</f>
        <v>74593.75</v>
      </c>
      <c r="R126" s="1022" t="s">
        <v>1013</v>
      </c>
      <c r="S126" s="993">
        <v>19167.0</v>
      </c>
    </row>
    <row r="127">
      <c r="J127" s="984" t="s">
        <v>1012</v>
      </c>
      <c r="K127" s="1006">
        <v>0.045</v>
      </c>
      <c r="L127" s="1000" t="s">
        <v>1026</v>
      </c>
      <c r="M127" s="3"/>
      <c r="N127" s="998">
        <f>SUM(N122:O123)</f>
        <v>708500</v>
      </c>
      <c r="O127" s="1030"/>
      <c r="P127" s="984" t="s">
        <v>371</v>
      </c>
      <c r="Q127" s="996">
        <f>SUM(Q120:Q125)+SUM(S120:S122)</f>
        <v>1309975</v>
      </c>
      <c r="R127" s="984" t="s">
        <v>371</v>
      </c>
      <c r="S127" s="993">
        <f>S124+S125+S126</f>
        <v>99167</v>
      </c>
    </row>
    <row r="128">
      <c r="J128" s="1022" t="s">
        <v>1027</v>
      </c>
      <c r="K128" s="1006">
        <v>0.185</v>
      </c>
      <c r="L128" s="975"/>
      <c r="M128" s="975"/>
      <c r="N128" s="975"/>
      <c r="O128" s="975"/>
      <c r="P128" s="975"/>
      <c r="Q128" s="975"/>
      <c r="R128" s="975"/>
      <c r="S128" s="975"/>
    </row>
    <row r="129">
      <c r="J129" s="1022" t="s">
        <v>1028</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1025</v>
      </c>
      <c r="K131" s="1006">
        <v>0.055</v>
      </c>
      <c r="L131" s="975"/>
      <c r="M131" s="975"/>
      <c r="N131" s="975"/>
      <c r="O131" s="975"/>
      <c r="P131" s="975"/>
      <c r="Q131" s="975"/>
      <c r="R131" s="975"/>
      <c r="S131" s="975"/>
    </row>
    <row r="133">
      <c r="J133" s="976" t="s">
        <v>981</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984</v>
      </c>
      <c r="K134" s="985">
        <f>DAY(EOMONTH(K133,0))</f>
        <v>31</v>
      </c>
      <c r="L134" s="986" t="s">
        <v>985</v>
      </c>
      <c r="M134" s="986" t="s">
        <v>303</v>
      </c>
      <c r="N134" s="986" t="s">
        <v>322</v>
      </c>
      <c r="O134" s="986" t="s">
        <v>324</v>
      </c>
      <c r="P134" s="986" t="s">
        <v>324</v>
      </c>
      <c r="Q134" s="986" t="s">
        <v>986</v>
      </c>
      <c r="R134" s="984" t="s">
        <v>987</v>
      </c>
      <c r="S134" s="987">
        <v>1130.0</v>
      </c>
    </row>
    <row r="135">
      <c r="J135" s="984" t="s">
        <v>303</v>
      </c>
      <c r="K135" s="992">
        <f t="array" ref="K135">xlookup(L133,$B$3:$B$14,$C$3:$C$14)*100</f>
        <v>0</v>
      </c>
      <c r="L135" s="993">
        <f>SUM(N135:P135)</f>
        <v>175</v>
      </c>
      <c r="M135" s="993">
        <v>100.0</v>
      </c>
      <c r="N135" s="987">
        <v>137.0</v>
      </c>
      <c r="O135" s="987">
        <v>38.0</v>
      </c>
      <c r="P135" s="994"/>
      <c r="Q135" s="993">
        <f>L135*K134</f>
        <v>5425</v>
      </c>
      <c r="R135" s="995" t="s">
        <v>988</v>
      </c>
      <c r="S135" s="996">
        <f>Q149</f>
        <v>1309975</v>
      </c>
    </row>
    <row r="136">
      <c r="J136" s="984" t="s">
        <v>989</v>
      </c>
      <c r="K136" s="987">
        <v>320000.0</v>
      </c>
      <c r="L136" s="993">
        <f>L135*M136%</f>
        <v>-43.75</v>
      </c>
      <c r="M136" s="998">
        <f>K135-K148</f>
        <v>-25</v>
      </c>
      <c r="N136" s="993">
        <f>N135*M136%</f>
        <v>-34.25</v>
      </c>
      <c r="O136" s="993">
        <f>O135*M136%</f>
        <v>-9.5</v>
      </c>
      <c r="P136" s="993">
        <f>P135*M136%</f>
        <v>0</v>
      </c>
      <c r="Q136" s="993">
        <f>L136*K134</f>
        <v>-1356.25</v>
      </c>
      <c r="R136" s="984" t="s">
        <v>304</v>
      </c>
      <c r="S136" s="996">
        <f>S134*Q136+S135</f>
        <v>-222587.5</v>
      </c>
    </row>
    <row r="137">
      <c r="J137" s="984" t="s">
        <v>990</v>
      </c>
      <c r="K137" s="1033">
        <v>270000.0</v>
      </c>
      <c r="L137" s="1000" t="s">
        <v>991</v>
      </c>
      <c r="M137" s="3"/>
      <c r="N137" s="1032">
        <v>23.9</v>
      </c>
      <c r="O137" s="1032">
        <v>29.75</v>
      </c>
      <c r="P137" s="994"/>
      <c r="Q137" s="1001"/>
      <c r="R137" s="984" t="s">
        <v>992</v>
      </c>
      <c r="S137" s="993">
        <f>N142+SUM(N146:O148)+S149</f>
        <v>333675.3167</v>
      </c>
    </row>
    <row r="138">
      <c r="J138" s="1003" t="s">
        <v>993</v>
      </c>
      <c r="K138" s="1004">
        <v>1300.0</v>
      </c>
      <c r="L138" s="1005" t="s">
        <v>994</v>
      </c>
      <c r="M138" s="3"/>
      <c r="N138" s="993">
        <f t="shared" ref="N138:O138" si="36">N136/(360/N137)</f>
        <v>-2.273819444</v>
      </c>
      <c r="O138" s="993">
        <f t="shared" si="36"/>
        <v>-0.7850694444</v>
      </c>
      <c r="P138" s="1001"/>
      <c r="Q138" s="993">
        <f t="shared" ref="Q138:Q139" si="37">N138+O138+P138</f>
        <v>-3.058888889</v>
      </c>
      <c r="R138" s="984" t="s">
        <v>302</v>
      </c>
      <c r="S138" s="1006">
        <f>S137/S136</f>
        <v>-1.499074821</v>
      </c>
    </row>
    <row r="139">
      <c r="J139" s="1008" t="s">
        <v>995</v>
      </c>
      <c r="K139" s="1004">
        <v>6.5</v>
      </c>
      <c r="L139" s="1009" t="s">
        <v>996</v>
      </c>
      <c r="M139" s="987">
        <v>1230.0</v>
      </c>
      <c r="N139" s="993">
        <f>N138*(M139*6)</f>
        <v>-16780.7875</v>
      </c>
      <c r="O139" s="993">
        <f>O138*(M139*6)</f>
        <v>-5793.8125</v>
      </c>
      <c r="P139" s="1001"/>
      <c r="Q139" s="993">
        <f t="shared" si="37"/>
        <v>-22574.6</v>
      </c>
      <c r="R139" s="984" t="s">
        <v>997</v>
      </c>
      <c r="S139" s="996">
        <f>S136-S137-N149</f>
        <v>-1264762.817</v>
      </c>
    </row>
    <row r="140">
      <c r="J140" s="1010" t="s">
        <v>998</v>
      </c>
      <c r="K140" s="994"/>
      <c r="L140" s="1011"/>
      <c r="M140" s="1001"/>
      <c r="N140" s="1001"/>
      <c r="O140" s="1001"/>
      <c r="P140" s="1001"/>
      <c r="Q140" s="1001"/>
      <c r="R140" s="984" t="s">
        <v>301</v>
      </c>
      <c r="S140" s="1006">
        <f>S139/S136</f>
        <v>5.682092735</v>
      </c>
    </row>
    <row r="141">
      <c r="J141" s="1003" t="s">
        <v>999</v>
      </c>
      <c r="K141" s="1004">
        <v>1230.0</v>
      </c>
      <c r="L141" s="1005" t="s">
        <v>1000</v>
      </c>
      <c r="M141" s="3"/>
      <c r="N141" s="993">
        <f>Q139+(Q138*K147)</f>
        <v>-24409.93333</v>
      </c>
      <c r="O141" s="1001"/>
      <c r="P141" s="1012" t="s">
        <v>1001</v>
      </c>
      <c r="Q141" s="232"/>
      <c r="R141" s="232"/>
      <c r="S141" s="3"/>
    </row>
    <row r="142">
      <c r="J142" s="1014" t="s">
        <v>1002</v>
      </c>
      <c r="K142" s="1004">
        <v>3.0</v>
      </c>
      <c r="L142" s="1005" t="s">
        <v>1003</v>
      </c>
      <c r="M142" s="3"/>
      <c r="N142" s="993">
        <f>N141*K134+L135*K153*K134*110</f>
        <v>-723886.6833</v>
      </c>
      <c r="O142" s="1015"/>
      <c r="P142" s="1016" t="s">
        <v>1004</v>
      </c>
      <c r="Q142" s="1017">
        <v>567400.0</v>
      </c>
      <c r="R142" s="984" t="s">
        <v>1005</v>
      </c>
      <c r="S142" s="998">
        <v>100000.0</v>
      </c>
    </row>
    <row r="143">
      <c r="J143" s="1014" t="s">
        <v>1006</v>
      </c>
      <c r="K143" s="1004">
        <f>K134</f>
        <v>31</v>
      </c>
      <c r="L143" s="1005" t="s">
        <v>1007</v>
      </c>
      <c r="M143" s="3"/>
      <c r="N143" s="984" t="s">
        <v>401</v>
      </c>
      <c r="O143" s="1010" t="s">
        <v>375</v>
      </c>
      <c r="P143" s="1018" t="s">
        <v>1008</v>
      </c>
      <c r="Q143" s="1019">
        <f>L135*K148%*K134*300</f>
        <v>406875</v>
      </c>
      <c r="R143" s="995" t="s">
        <v>1009</v>
      </c>
      <c r="S143" s="993">
        <v>26250.0</v>
      </c>
    </row>
    <row r="144">
      <c r="J144" s="1003" t="s">
        <v>1010</v>
      </c>
      <c r="K144" s="1004">
        <v>1230.0</v>
      </c>
      <c r="L144" s="1005" t="s">
        <v>1011</v>
      </c>
      <c r="M144" s="3"/>
      <c r="N144" s="998">
        <f t="shared" ref="N144:N145" si="38">K136*1.15</f>
        <v>368000</v>
      </c>
      <c r="O144" s="1020">
        <v>15000.0</v>
      </c>
      <c r="P144" s="1021" t="s">
        <v>1012</v>
      </c>
      <c r="Q144" s="1019">
        <f>L135*K149*K134*100</f>
        <v>24412.5</v>
      </c>
      <c r="R144" s="1022" t="s">
        <v>1013</v>
      </c>
      <c r="S144" s="993">
        <v>25000.0</v>
      </c>
    </row>
    <row r="145">
      <c r="J145" s="1003" t="s">
        <v>1014</v>
      </c>
      <c r="K145" s="1004">
        <v>5.0</v>
      </c>
      <c r="L145" s="1005" t="s">
        <v>1015</v>
      </c>
      <c r="M145" s="3"/>
      <c r="N145" s="998">
        <f t="shared" si="38"/>
        <v>310500</v>
      </c>
      <c r="O145" s="998">
        <v>15000.0</v>
      </c>
      <c r="P145" s="1018" t="s">
        <v>1016</v>
      </c>
      <c r="Q145" s="1024">
        <f>L135*K150*K134*100</f>
        <v>100362.5</v>
      </c>
      <c r="R145" s="1025" t="s">
        <v>1017</v>
      </c>
      <c r="S145" s="3"/>
    </row>
    <row r="146">
      <c r="J146" s="1003" t="s">
        <v>1018</v>
      </c>
      <c r="K146" s="1004">
        <v>35.0</v>
      </c>
      <c r="L146" s="1026" t="s">
        <v>1019</v>
      </c>
      <c r="M146" s="3"/>
      <c r="N146" s="998">
        <f>(K134*3.5-43.4)*K138*K139</f>
        <v>550095</v>
      </c>
      <c r="O146" s="998">
        <f>(K134*3.5-43.4)*K147</f>
        <v>39060</v>
      </c>
      <c r="P146" s="1018" t="s">
        <v>1020</v>
      </c>
      <c r="Q146" s="1019">
        <f>L135*K151*K134*100</f>
        <v>35262.5</v>
      </c>
      <c r="R146" s="984" t="s">
        <v>1005</v>
      </c>
      <c r="S146" s="993">
        <v>60000.0</v>
      </c>
    </row>
    <row r="147">
      <c r="J147" s="1022" t="s">
        <v>1021</v>
      </c>
      <c r="K147" s="1027">
        <v>600.0</v>
      </c>
      <c r="L147" s="1000" t="s">
        <v>1022</v>
      </c>
      <c r="M147" s="3"/>
      <c r="N147" s="998">
        <f>K141*K142*K143</f>
        <v>114390</v>
      </c>
      <c r="O147" s="998">
        <f>K143*K147</f>
        <v>18600</v>
      </c>
      <c r="P147" s="1021" t="s">
        <v>133</v>
      </c>
      <c r="Q147" s="1019">
        <f>L135*K152*K134*100</f>
        <v>24412.5</v>
      </c>
      <c r="R147" s="995" t="s">
        <v>1009</v>
      </c>
      <c r="S147" s="993">
        <v>20000.0</v>
      </c>
    </row>
    <row r="148">
      <c r="J148" s="1028" t="s">
        <v>1023</v>
      </c>
      <c r="K148" s="1029">
        <v>25.0</v>
      </c>
      <c r="L148" s="1000" t="s">
        <v>1024</v>
      </c>
      <c r="M148" s="3"/>
      <c r="N148" s="998">
        <f>K144*K145*K146</f>
        <v>215250</v>
      </c>
      <c r="O148" s="998">
        <f>K146*K147</f>
        <v>21000</v>
      </c>
      <c r="P148" s="1018" t="s">
        <v>1025</v>
      </c>
      <c r="Q148" s="1019">
        <f>L135*K153*K134*250</f>
        <v>74593.75</v>
      </c>
      <c r="R148" s="1022" t="s">
        <v>1013</v>
      </c>
      <c r="S148" s="993">
        <v>19167.0</v>
      </c>
    </row>
    <row r="149">
      <c r="J149" s="984" t="s">
        <v>1012</v>
      </c>
      <c r="K149" s="1006">
        <v>0.045</v>
      </c>
      <c r="L149" s="1000" t="s">
        <v>1026</v>
      </c>
      <c r="M149" s="3"/>
      <c r="N149" s="998">
        <f>SUM(N144:O145)</f>
        <v>708500</v>
      </c>
      <c r="O149" s="1030"/>
      <c r="P149" s="984" t="s">
        <v>371</v>
      </c>
      <c r="Q149" s="996">
        <f>SUM(Q142:Q147)+SUM(S142:S144)</f>
        <v>1309975</v>
      </c>
      <c r="R149" s="984" t="s">
        <v>371</v>
      </c>
      <c r="S149" s="993">
        <f>S146+S147+S148</f>
        <v>99167</v>
      </c>
    </row>
    <row r="150">
      <c r="J150" s="1022" t="s">
        <v>1027</v>
      </c>
      <c r="K150" s="1006">
        <v>0.185</v>
      </c>
      <c r="L150" s="975"/>
      <c r="M150" s="975"/>
      <c r="N150" s="975"/>
      <c r="O150" s="975"/>
      <c r="P150" s="975"/>
      <c r="Q150" s="975"/>
      <c r="R150" s="975"/>
      <c r="S150" s="975"/>
    </row>
    <row r="151">
      <c r="J151" s="1022" t="s">
        <v>1028</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1025</v>
      </c>
      <c r="K153" s="1006">
        <v>0.055</v>
      </c>
      <c r="L153" s="975"/>
      <c r="M153" s="975"/>
      <c r="N153" s="975"/>
      <c r="O153" s="975"/>
      <c r="P153" s="975"/>
      <c r="Q153" s="975"/>
      <c r="R153" s="975"/>
      <c r="S153" s="975"/>
    </row>
    <row r="155">
      <c r="J155" s="976" t="s">
        <v>981</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984</v>
      </c>
      <c r="K156" s="985">
        <f>DAY(EOMONTH(K155,0))</f>
        <v>31</v>
      </c>
      <c r="L156" s="986" t="s">
        <v>985</v>
      </c>
      <c r="M156" s="986" t="s">
        <v>303</v>
      </c>
      <c r="N156" s="986" t="s">
        <v>322</v>
      </c>
      <c r="O156" s="986" t="s">
        <v>324</v>
      </c>
      <c r="P156" s="986" t="s">
        <v>324</v>
      </c>
      <c r="Q156" s="986" t="s">
        <v>986</v>
      </c>
      <c r="R156" s="984" t="s">
        <v>987</v>
      </c>
      <c r="S156" s="987">
        <v>1130.0</v>
      </c>
    </row>
    <row r="157">
      <c r="J157" s="984" t="s">
        <v>303</v>
      </c>
      <c r="K157" s="992">
        <f t="array" ref="K157">xlookup(L155,$B$3:$B$14,$C$3:$C$14)*100</f>
        <v>0</v>
      </c>
      <c r="L157" s="993">
        <f>SUM(N157:P157)</f>
        <v>175</v>
      </c>
      <c r="M157" s="993">
        <v>100.0</v>
      </c>
      <c r="N157" s="987">
        <v>137.0</v>
      </c>
      <c r="O157" s="987">
        <v>38.0</v>
      </c>
      <c r="P157" s="994"/>
      <c r="Q157" s="993">
        <f>L157*K156</f>
        <v>5425</v>
      </c>
      <c r="R157" s="995" t="s">
        <v>988</v>
      </c>
      <c r="S157" s="996">
        <f>Q171</f>
        <v>1309975</v>
      </c>
    </row>
    <row r="158">
      <c r="J158" s="984" t="s">
        <v>989</v>
      </c>
      <c r="K158" s="987">
        <v>320000.0</v>
      </c>
      <c r="L158" s="993">
        <f>L157*M158%</f>
        <v>-43.75</v>
      </c>
      <c r="M158" s="998">
        <f>K157-K170</f>
        <v>-25</v>
      </c>
      <c r="N158" s="993">
        <f>N157*M158%</f>
        <v>-34.25</v>
      </c>
      <c r="O158" s="993">
        <f>O157*M158%</f>
        <v>-9.5</v>
      </c>
      <c r="P158" s="993">
        <f>P157*M158%</f>
        <v>0</v>
      </c>
      <c r="Q158" s="993">
        <f>L158*K156</f>
        <v>-1356.25</v>
      </c>
      <c r="R158" s="984" t="s">
        <v>304</v>
      </c>
      <c r="S158" s="996">
        <f>S156*Q158+S157</f>
        <v>-222587.5</v>
      </c>
    </row>
    <row r="159">
      <c r="J159" s="984" t="s">
        <v>990</v>
      </c>
      <c r="K159" s="1033">
        <v>270000.0</v>
      </c>
      <c r="L159" s="1000" t="s">
        <v>991</v>
      </c>
      <c r="M159" s="3"/>
      <c r="N159" s="1032">
        <v>23.9</v>
      </c>
      <c r="O159" s="1032">
        <v>29.75</v>
      </c>
      <c r="P159" s="994"/>
      <c r="Q159" s="1001"/>
      <c r="R159" s="984" t="s">
        <v>992</v>
      </c>
      <c r="S159" s="993">
        <f>N164+SUM(N168:O170)+S171</f>
        <v>333675.3167</v>
      </c>
    </row>
    <row r="160">
      <c r="J160" s="1003" t="s">
        <v>993</v>
      </c>
      <c r="K160" s="1004">
        <v>1300.0</v>
      </c>
      <c r="L160" s="1005" t="s">
        <v>994</v>
      </c>
      <c r="M160" s="3"/>
      <c r="N160" s="993">
        <f t="shared" ref="N160:O160" si="39">N158/(360/N159)</f>
        <v>-2.273819444</v>
      </c>
      <c r="O160" s="993">
        <f t="shared" si="39"/>
        <v>-0.7850694444</v>
      </c>
      <c r="P160" s="1001"/>
      <c r="Q160" s="993">
        <f t="shared" ref="Q160:Q161" si="40">N160+O160+P160</f>
        <v>-3.058888889</v>
      </c>
      <c r="R160" s="984" t="s">
        <v>302</v>
      </c>
      <c r="S160" s="1006">
        <f>S159/S158</f>
        <v>-1.499074821</v>
      </c>
    </row>
    <row r="161">
      <c r="J161" s="1008" t="s">
        <v>995</v>
      </c>
      <c r="K161" s="1004">
        <v>6.5</v>
      </c>
      <c r="L161" s="1009" t="s">
        <v>996</v>
      </c>
      <c r="M161" s="987">
        <v>1230.0</v>
      </c>
      <c r="N161" s="993">
        <f>N160*(M161*6)</f>
        <v>-16780.7875</v>
      </c>
      <c r="O161" s="993">
        <f>O160*(M161*6)</f>
        <v>-5793.8125</v>
      </c>
      <c r="P161" s="1001"/>
      <c r="Q161" s="993">
        <f t="shared" si="40"/>
        <v>-22574.6</v>
      </c>
      <c r="R161" s="984" t="s">
        <v>997</v>
      </c>
      <c r="S161" s="996">
        <f>S158-S159-N171</f>
        <v>-1264762.817</v>
      </c>
    </row>
    <row r="162">
      <c r="J162" s="1010" t="s">
        <v>998</v>
      </c>
      <c r="K162" s="994"/>
      <c r="L162" s="1011"/>
      <c r="M162" s="1001"/>
      <c r="N162" s="1001"/>
      <c r="O162" s="1001"/>
      <c r="P162" s="1001"/>
      <c r="Q162" s="1001"/>
      <c r="R162" s="984" t="s">
        <v>301</v>
      </c>
      <c r="S162" s="1006">
        <f>S161/S158</f>
        <v>5.682092735</v>
      </c>
    </row>
    <row r="163">
      <c r="J163" s="1003" t="s">
        <v>999</v>
      </c>
      <c r="K163" s="1004">
        <v>1230.0</v>
      </c>
      <c r="L163" s="1005" t="s">
        <v>1000</v>
      </c>
      <c r="M163" s="3"/>
      <c r="N163" s="993">
        <f>Q161+(Q160*K169)</f>
        <v>-24409.93333</v>
      </c>
      <c r="O163" s="1001"/>
      <c r="P163" s="1012" t="s">
        <v>1001</v>
      </c>
      <c r="Q163" s="232"/>
      <c r="R163" s="232"/>
      <c r="S163" s="3"/>
    </row>
    <row r="164">
      <c r="J164" s="1014" t="s">
        <v>1002</v>
      </c>
      <c r="K164" s="1004">
        <v>3.0</v>
      </c>
      <c r="L164" s="1005" t="s">
        <v>1003</v>
      </c>
      <c r="M164" s="3"/>
      <c r="N164" s="993">
        <f>N163*K156+L157*K175*K156*110</f>
        <v>-723886.6833</v>
      </c>
      <c r="O164" s="1015"/>
      <c r="P164" s="1016" t="s">
        <v>1004</v>
      </c>
      <c r="Q164" s="1017">
        <v>567400.0</v>
      </c>
      <c r="R164" s="984" t="s">
        <v>1005</v>
      </c>
      <c r="S164" s="998">
        <v>100000.0</v>
      </c>
    </row>
    <row r="165">
      <c r="J165" s="1014" t="s">
        <v>1006</v>
      </c>
      <c r="K165" s="1004">
        <f>K156</f>
        <v>31</v>
      </c>
      <c r="L165" s="1005" t="s">
        <v>1007</v>
      </c>
      <c r="M165" s="3"/>
      <c r="N165" s="984" t="s">
        <v>401</v>
      </c>
      <c r="O165" s="1010" t="s">
        <v>375</v>
      </c>
      <c r="P165" s="1018" t="s">
        <v>1008</v>
      </c>
      <c r="Q165" s="1019">
        <f>L157*K170%*K156*300</f>
        <v>406875</v>
      </c>
      <c r="R165" s="995" t="s">
        <v>1009</v>
      </c>
      <c r="S165" s="993">
        <v>26250.0</v>
      </c>
    </row>
    <row r="166">
      <c r="J166" s="1003" t="s">
        <v>1010</v>
      </c>
      <c r="K166" s="1004">
        <v>1230.0</v>
      </c>
      <c r="L166" s="1005" t="s">
        <v>1011</v>
      </c>
      <c r="M166" s="3"/>
      <c r="N166" s="998">
        <f t="shared" ref="N166:N167" si="41">K158*1.15</f>
        <v>368000</v>
      </c>
      <c r="O166" s="1020">
        <v>15000.0</v>
      </c>
      <c r="P166" s="1021" t="s">
        <v>1012</v>
      </c>
      <c r="Q166" s="1019">
        <f>L157*K171*K156*100</f>
        <v>24412.5</v>
      </c>
      <c r="R166" s="1022" t="s">
        <v>1013</v>
      </c>
      <c r="S166" s="993">
        <v>25000.0</v>
      </c>
    </row>
    <row r="167">
      <c r="J167" s="1003" t="s">
        <v>1014</v>
      </c>
      <c r="K167" s="1004">
        <v>5.0</v>
      </c>
      <c r="L167" s="1005" t="s">
        <v>1015</v>
      </c>
      <c r="M167" s="3"/>
      <c r="N167" s="998">
        <f t="shared" si="41"/>
        <v>310500</v>
      </c>
      <c r="O167" s="998">
        <v>15000.0</v>
      </c>
      <c r="P167" s="1018" t="s">
        <v>1016</v>
      </c>
      <c r="Q167" s="1024">
        <f>L157*K172*K156*100</f>
        <v>100362.5</v>
      </c>
      <c r="R167" s="1025" t="s">
        <v>1017</v>
      </c>
      <c r="S167" s="3"/>
    </row>
    <row r="168">
      <c r="J168" s="1003" t="s">
        <v>1018</v>
      </c>
      <c r="K168" s="1004">
        <v>35.0</v>
      </c>
      <c r="L168" s="1026" t="s">
        <v>1019</v>
      </c>
      <c r="M168" s="3"/>
      <c r="N168" s="998">
        <f>(K156*3.5-43.4)*K160*K161</f>
        <v>550095</v>
      </c>
      <c r="O168" s="998">
        <f>(K156*3.5-43.4)*K169</f>
        <v>39060</v>
      </c>
      <c r="P168" s="1018" t="s">
        <v>1020</v>
      </c>
      <c r="Q168" s="1019">
        <f>L157*K173*K156*100</f>
        <v>35262.5</v>
      </c>
      <c r="R168" s="984" t="s">
        <v>1005</v>
      </c>
      <c r="S168" s="993">
        <v>60000.0</v>
      </c>
    </row>
    <row r="169">
      <c r="J169" s="1022" t="s">
        <v>1021</v>
      </c>
      <c r="K169" s="1027">
        <v>600.0</v>
      </c>
      <c r="L169" s="1000" t="s">
        <v>1022</v>
      </c>
      <c r="M169" s="3"/>
      <c r="N169" s="998">
        <f>K163*K164*K165</f>
        <v>114390</v>
      </c>
      <c r="O169" s="998">
        <f>K165*K169</f>
        <v>18600</v>
      </c>
      <c r="P169" s="1021" t="s">
        <v>133</v>
      </c>
      <c r="Q169" s="1019">
        <f>L157*K174*K156*100</f>
        <v>24412.5</v>
      </c>
      <c r="R169" s="995" t="s">
        <v>1009</v>
      </c>
      <c r="S169" s="993">
        <v>20000.0</v>
      </c>
    </row>
    <row r="170">
      <c r="J170" s="1028" t="s">
        <v>1023</v>
      </c>
      <c r="K170" s="1029">
        <v>25.0</v>
      </c>
      <c r="L170" s="1000" t="s">
        <v>1024</v>
      </c>
      <c r="M170" s="3"/>
      <c r="N170" s="998">
        <f>K166*K167*K168</f>
        <v>215250</v>
      </c>
      <c r="O170" s="998">
        <f>K168*K169</f>
        <v>21000</v>
      </c>
      <c r="P170" s="1018" t="s">
        <v>1025</v>
      </c>
      <c r="Q170" s="1019">
        <f>L157*K175*K156*250</f>
        <v>74593.75</v>
      </c>
      <c r="R170" s="1022" t="s">
        <v>1013</v>
      </c>
      <c r="S170" s="993">
        <v>19167.0</v>
      </c>
    </row>
    <row r="171">
      <c r="J171" s="984" t="s">
        <v>1012</v>
      </c>
      <c r="K171" s="1006">
        <v>0.045</v>
      </c>
      <c r="L171" s="1000" t="s">
        <v>1026</v>
      </c>
      <c r="M171" s="3"/>
      <c r="N171" s="998">
        <f>SUM(N166:O167)</f>
        <v>708500</v>
      </c>
      <c r="O171" s="1030"/>
      <c r="P171" s="984" t="s">
        <v>371</v>
      </c>
      <c r="Q171" s="996">
        <f>SUM(Q164:Q169)+SUM(S164:S166)</f>
        <v>1309975</v>
      </c>
      <c r="R171" s="984" t="s">
        <v>371</v>
      </c>
      <c r="S171" s="993">
        <f>S168+S169+S170</f>
        <v>99167</v>
      </c>
    </row>
    <row r="172">
      <c r="J172" s="1022" t="s">
        <v>1027</v>
      </c>
      <c r="K172" s="1006">
        <v>0.185</v>
      </c>
      <c r="L172" s="975"/>
      <c r="M172" s="975"/>
      <c r="N172" s="975"/>
      <c r="O172" s="975"/>
      <c r="P172" s="975"/>
      <c r="Q172" s="975"/>
      <c r="R172" s="975"/>
      <c r="S172" s="975"/>
    </row>
    <row r="173">
      <c r="J173" s="1022" t="s">
        <v>1028</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1025</v>
      </c>
      <c r="K175" s="1006">
        <v>0.055</v>
      </c>
      <c r="L175" s="975"/>
      <c r="M175" s="975"/>
      <c r="N175" s="975"/>
      <c r="O175" s="975"/>
      <c r="P175" s="975"/>
      <c r="Q175" s="975"/>
      <c r="R175" s="975"/>
      <c r="S175" s="975"/>
    </row>
    <row r="177">
      <c r="J177" s="976" t="s">
        <v>981</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984</v>
      </c>
      <c r="K178" s="985">
        <f>DAY(EOMONTH(K177,0))</f>
        <v>30</v>
      </c>
      <c r="L178" s="986" t="s">
        <v>985</v>
      </c>
      <c r="M178" s="986" t="s">
        <v>303</v>
      </c>
      <c r="N178" s="986" t="s">
        <v>322</v>
      </c>
      <c r="O178" s="986" t="s">
        <v>324</v>
      </c>
      <c r="P178" s="986" t="s">
        <v>324</v>
      </c>
      <c r="Q178" s="986" t="s">
        <v>986</v>
      </c>
      <c r="R178" s="984" t="s">
        <v>987</v>
      </c>
      <c r="S178" s="987">
        <v>1130.0</v>
      </c>
    </row>
    <row r="179">
      <c r="J179" s="984" t="s">
        <v>303</v>
      </c>
      <c r="K179" s="992">
        <f t="array" ref="K179">xlookup(L177,$B$3:$B$14,$C$3:$C$14)*100</f>
        <v>0</v>
      </c>
      <c r="L179" s="993">
        <f>SUM(N179:P179)</f>
        <v>175</v>
      </c>
      <c r="M179" s="993">
        <v>100.0</v>
      </c>
      <c r="N179" s="987">
        <v>137.0</v>
      </c>
      <c r="O179" s="987">
        <v>38.0</v>
      </c>
      <c r="P179" s="994"/>
      <c r="Q179" s="993">
        <f>L179*K178</f>
        <v>5250</v>
      </c>
      <c r="R179" s="995" t="s">
        <v>988</v>
      </c>
      <c r="S179" s="996">
        <f>Q193</f>
        <v>1290900</v>
      </c>
    </row>
    <row r="180">
      <c r="J180" s="984" t="s">
        <v>989</v>
      </c>
      <c r="K180" s="987">
        <v>320000.0</v>
      </c>
      <c r="L180" s="993">
        <f>L179*M180%</f>
        <v>-43.75</v>
      </c>
      <c r="M180" s="998">
        <f>K179-K192</f>
        <v>-25</v>
      </c>
      <c r="N180" s="993">
        <f>N179*M180%</f>
        <v>-34.25</v>
      </c>
      <c r="O180" s="993">
        <f>O179*M180%</f>
        <v>-9.5</v>
      </c>
      <c r="P180" s="993">
        <f>P179*M180%</f>
        <v>0</v>
      </c>
      <c r="Q180" s="993">
        <f>L180*K178</f>
        <v>-1312.5</v>
      </c>
      <c r="R180" s="984" t="s">
        <v>304</v>
      </c>
      <c r="S180" s="996">
        <f>S178*Q180+S179</f>
        <v>-192225</v>
      </c>
    </row>
    <row r="181">
      <c r="J181" s="984" t="s">
        <v>990</v>
      </c>
      <c r="K181" s="1033">
        <v>270000.0</v>
      </c>
      <c r="L181" s="1000" t="s">
        <v>991</v>
      </c>
      <c r="M181" s="3"/>
      <c r="N181" s="1032">
        <v>23.9</v>
      </c>
      <c r="O181" s="1032">
        <v>29.75</v>
      </c>
      <c r="P181" s="994"/>
      <c r="Q181" s="1001"/>
      <c r="R181" s="984" t="s">
        <v>992</v>
      </c>
      <c r="S181" s="993">
        <f>N186+SUM(N190:O192)+S193</f>
        <v>321061.5</v>
      </c>
    </row>
    <row r="182">
      <c r="J182" s="1003" t="s">
        <v>993</v>
      </c>
      <c r="K182" s="1004">
        <v>1300.0</v>
      </c>
      <c r="L182" s="1005" t="s">
        <v>994</v>
      </c>
      <c r="M182" s="3"/>
      <c r="N182" s="993">
        <f t="shared" ref="N182:O182" si="42">N180/(360/N181)</f>
        <v>-2.273819444</v>
      </c>
      <c r="O182" s="993">
        <f t="shared" si="42"/>
        <v>-0.7850694444</v>
      </c>
      <c r="P182" s="1001"/>
      <c r="Q182" s="993">
        <f t="shared" ref="Q182:Q183" si="43">N182+O182+P182</f>
        <v>-3.058888889</v>
      </c>
      <c r="R182" s="984" t="s">
        <v>302</v>
      </c>
      <c r="S182" s="1006">
        <f>S181/S180</f>
        <v>-1.670238002</v>
      </c>
    </row>
    <row r="183">
      <c r="J183" s="1008" t="s">
        <v>995</v>
      </c>
      <c r="K183" s="1004">
        <v>6.5</v>
      </c>
      <c r="L183" s="1009" t="s">
        <v>996</v>
      </c>
      <c r="M183" s="987">
        <v>1230.0</v>
      </c>
      <c r="N183" s="993">
        <f>N182*(M183*6)</f>
        <v>-16780.7875</v>
      </c>
      <c r="O183" s="993">
        <f>O182*(M183*6)</f>
        <v>-5793.8125</v>
      </c>
      <c r="P183" s="1001"/>
      <c r="Q183" s="993">
        <f t="shared" si="43"/>
        <v>-22574.6</v>
      </c>
      <c r="R183" s="984" t="s">
        <v>997</v>
      </c>
      <c r="S183" s="996">
        <f>S180-S181-N193</f>
        <v>-1221786.5</v>
      </c>
    </row>
    <row r="184">
      <c r="J184" s="1010" t="s">
        <v>998</v>
      </c>
      <c r="K184" s="994"/>
      <c r="L184" s="1011"/>
      <c r="M184" s="1001"/>
      <c r="N184" s="1001"/>
      <c r="O184" s="1001"/>
      <c r="P184" s="1001"/>
      <c r="Q184" s="1001"/>
      <c r="R184" s="984" t="s">
        <v>301</v>
      </c>
      <c r="S184" s="1006">
        <f>S183/S180</f>
        <v>6.35602289</v>
      </c>
    </row>
    <row r="185">
      <c r="J185" s="1003" t="s">
        <v>999</v>
      </c>
      <c r="K185" s="1004">
        <v>1230.0</v>
      </c>
      <c r="L185" s="1005" t="s">
        <v>1000</v>
      </c>
      <c r="M185" s="3"/>
      <c r="N185" s="993">
        <f>Q183+(Q182*K191)</f>
        <v>-24409.93333</v>
      </c>
      <c r="O185" s="1001"/>
      <c r="P185" s="1012" t="s">
        <v>1001</v>
      </c>
      <c r="Q185" s="232"/>
      <c r="R185" s="232"/>
      <c r="S185" s="3"/>
    </row>
    <row r="186">
      <c r="J186" s="1014" t="s">
        <v>1002</v>
      </c>
      <c r="K186" s="1004">
        <v>3.0</v>
      </c>
      <c r="L186" s="1005" t="s">
        <v>1003</v>
      </c>
      <c r="M186" s="3"/>
      <c r="N186" s="993">
        <f>N185*K178+L179*K197*K178*110</f>
        <v>-700535.5</v>
      </c>
      <c r="O186" s="1015"/>
      <c r="P186" s="1016" t="s">
        <v>1004</v>
      </c>
      <c r="Q186" s="1017">
        <v>567400.0</v>
      </c>
      <c r="R186" s="984" t="s">
        <v>1005</v>
      </c>
      <c r="S186" s="998">
        <v>100000.0</v>
      </c>
    </row>
    <row r="187">
      <c r="J187" s="1014" t="s">
        <v>1006</v>
      </c>
      <c r="K187" s="1004">
        <f>K178</f>
        <v>30</v>
      </c>
      <c r="L187" s="1005" t="s">
        <v>1007</v>
      </c>
      <c r="M187" s="3"/>
      <c r="N187" s="984" t="s">
        <v>401</v>
      </c>
      <c r="O187" s="1010" t="s">
        <v>375</v>
      </c>
      <c r="P187" s="1018" t="s">
        <v>1008</v>
      </c>
      <c r="Q187" s="1019">
        <f>L179*K192%*K178*300</f>
        <v>393750</v>
      </c>
      <c r="R187" s="995" t="s">
        <v>1009</v>
      </c>
      <c r="S187" s="993">
        <v>26250.0</v>
      </c>
    </row>
    <row r="188">
      <c r="J188" s="1003" t="s">
        <v>1010</v>
      </c>
      <c r="K188" s="1004">
        <v>1230.0</v>
      </c>
      <c r="L188" s="1005" t="s">
        <v>1011</v>
      </c>
      <c r="M188" s="3"/>
      <c r="N188" s="998">
        <f t="shared" ref="N188:N189" si="44">K180*1.15</f>
        <v>368000</v>
      </c>
      <c r="O188" s="1020">
        <v>15000.0</v>
      </c>
      <c r="P188" s="1021" t="s">
        <v>1012</v>
      </c>
      <c r="Q188" s="1019">
        <f>L179*K193*K178*100</f>
        <v>23625</v>
      </c>
      <c r="R188" s="1022" t="s">
        <v>1013</v>
      </c>
      <c r="S188" s="993">
        <v>25000.0</v>
      </c>
    </row>
    <row r="189">
      <c r="J189" s="1003" t="s">
        <v>1014</v>
      </c>
      <c r="K189" s="1004">
        <v>5.0</v>
      </c>
      <c r="L189" s="1005" t="s">
        <v>1015</v>
      </c>
      <c r="M189" s="3"/>
      <c r="N189" s="998">
        <f t="shared" si="44"/>
        <v>310500</v>
      </c>
      <c r="O189" s="998">
        <v>15000.0</v>
      </c>
      <c r="P189" s="1018" t="s">
        <v>1016</v>
      </c>
      <c r="Q189" s="1024">
        <f>L179*K194*K178*100</f>
        <v>97125</v>
      </c>
      <c r="R189" s="1025" t="s">
        <v>1017</v>
      </c>
      <c r="S189" s="3"/>
    </row>
    <row r="190">
      <c r="J190" s="1003" t="s">
        <v>1018</v>
      </c>
      <c r="K190" s="1004">
        <v>35.0</v>
      </c>
      <c r="L190" s="1026" t="s">
        <v>1019</v>
      </c>
      <c r="M190" s="3"/>
      <c r="N190" s="998">
        <f>(K178*3.5-43.4)*K182*K183</f>
        <v>520520</v>
      </c>
      <c r="O190" s="998">
        <f>(K178*3.5-43.4)*K191</f>
        <v>36960</v>
      </c>
      <c r="P190" s="1018" t="s">
        <v>1020</v>
      </c>
      <c r="Q190" s="1019">
        <f>L179*K195*K178*100</f>
        <v>34125</v>
      </c>
      <c r="R190" s="984" t="s">
        <v>1005</v>
      </c>
      <c r="S190" s="993">
        <v>60000.0</v>
      </c>
    </row>
    <row r="191">
      <c r="J191" s="1022" t="s">
        <v>1021</v>
      </c>
      <c r="K191" s="1027">
        <v>600.0</v>
      </c>
      <c r="L191" s="1000" t="s">
        <v>1022</v>
      </c>
      <c r="M191" s="3"/>
      <c r="N191" s="998">
        <f>K185*K186*K187</f>
        <v>110700</v>
      </c>
      <c r="O191" s="998">
        <f>K187*K191</f>
        <v>18000</v>
      </c>
      <c r="P191" s="1021" t="s">
        <v>133</v>
      </c>
      <c r="Q191" s="1019">
        <f>L179*K196*K178*100</f>
        <v>23625</v>
      </c>
      <c r="R191" s="995" t="s">
        <v>1009</v>
      </c>
      <c r="S191" s="993">
        <v>20000.0</v>
      </c>
    </row>
    <row r="192">
      <c r="J192" s="1028" t="s">
        <v>1023</v>
      </c>
      <c r="K192" s="1029">
        <v>25.0</v>
      </c>
      <c r="L192" s="1000" t="s">
        <v>1024</v>
      </c>
      <c r="M192" s="3"/>
      <c r="N192" s="998">
        <f>K188*K189*K190</f>
        <v>215250</v>
      </c>
      <c r="O192" s="998">
        <f>K190*K191</f>
        <v>21000</v>
      </c>
      <c r="P192" s="1018" t="s">
        <v>1025</v>
      </c>
      <c r="Q192" s="1019">
        <f>L179*K197*K178*250</f>
        <v>72187.5</v>
      </c>
      <c r="R192" s="1022" t="s">
        <v>1013</v>
      </c>
      <c r="S192" s="993">
        <v>19167.0</v>
      </c>
    </row>
    <row r="193">
      <c r="J193" s="984" t="s">
        <v>1012</v>
      </c>
      <c r="K193" s="1006">
        <v>0.045</v>
      </c>
      <c r="L193" s="1000" t="s">
        <v>1026</v>
      </c>
      <c r="M193" s="3"/>
      <c r="N193" s="998">
        <f>SUM(N188:O189)</f>
        <v>708500</v>
      </c>
      <c r="O193" s="1030"/>
      <c r="P193" s="984" t="s">
        <v>371</v>
      </c>
      <c r="Q193" s="996">
        <f>SUM(Q186:Q191)+SUM(S186:S188)</f>
        <v>1290900</v>
      </c>
      <c r="R193" s="984" t="s">
        <v>371</v>
      </c>
      <c r="S193" s="993">
        <f>S190+S191+S192</f>
        <v>99167</v>
      </c>
    </row>
    <row r="194">
      <c r="J194" s="1022" t="s">
        <v>1027</v>
      </c>
      <c r="K194" s="1006">
        <v>0.185</v>
      </c>
      <c r="L194" s="975"/>
      <c r="M194" s="975"/>
      <c r="N194" s="975"/>
      <c r="O194" s="975"/>
      <c r="P194" s="975"/>
      <c r="Q194" s="975"/>
      <c r="R194" s="975"/>
      <c r="S194" s="975"/>
    </row>
    <row r="195">
      <c r="J195" s="1022" t="s">
        <v>1028</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1025</v>
      </c>
      <c r="K197" s="1006">
        <v>0.055</v>
      </c>
      <c r="L197" s="975"/>
      <c r="M197" s="975"/>
      <c r="N197" s="975"/>
      <c r="O197" s="975"/>
      <c r="P197" s="975"/>
      <c r="Q197" s="975"/>
      <c r="R197" s="975"/>
      <c r="S197" s="975"/>
    </row>
    <row r="199">
      <c r="J199" s="976" t="s">
        <v>981</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984</v>
      </c>
      <c r="K200" s="985">
        <f>DAY(EOMONTH(K199,0))</f>
        <v>31</v>
      </c>
      <c r="L200" s="986" t="s">
        <v>985</v>
      </c>
      <c r="M200" s="986" t="s">
        <v>303</v>
      </c>
      <c r="N200" s="986" t="s">
        <v>322</v>
      </c>
      <c r="O200" s="986" t="s">
        <v>324</v>
      </c>
      <c r="P200" s="986" t="s">
        <v>324</v>
      </c>
      <c r="Q200" s="986" t="s">
        <v>986</v>
      </c>
      <c r="R200" s="984" t="s">
        <v>987</v>
      </c>
      <c r="S200" s="987">
        <v>1130.0</v>
      </c>
    </row>
    <row r="201">
      <c r="J201" s="984" t="s">
        <v>303</v>
      </c>
      <c r="K201" s="992">
        <f t="array" ref="K201">xlookup(L199,$B$3:$B$14,$C$3:$C$14)*100</f>
        <v>0</v>
      </c>
      <c r="L201" s="993">
        <f>SUM(N201:P201)</f>
        <v>175</v>
      </c>
      <c r="M201" s="993">
        <v>100.0</v>
      </c>
      <c r="N201" s="987">
        <v>137.0</v>
      </c>
      <c r="O201" s="987">
        <v>38.0</v>
      </c>
      <c r="P201" s="994"/>
      <c r="Q201" s="993">
        <f>L201*K200</f>
        <v>5425</v>
      </c>
      <c r="R201" s="995" t="s">
        <v>988</v>
      </c>
      <c r="S201" s="996">
        <f>Q215</f>
        <v>1309975</v>
      </c>
    </row>
    <row r="202">
      <c r="J202" s="984" t="s">
        <v>989</v>
      </c>
      <c r="K202" s="987">
        <v>320000.0</v>
      </c>
      <c r="L202" s="993">
        <f>L201*M202%</f>
        <v>-43.75</v>
      </c>
      <c r="M202" s="998">
        <f>K201-K214</f>
        <v>-25</v>
      </c>
      <c r="N202" s="993">
        <f>N201*M202%</f>
        <v>-34.25</v>
      </c>
      <c r="O202" s="993">
        <f>O201*M202%</f>
        <v>-9.5</v>
      </c>
      <c r="P202" s="993">
        <f>P201*M202%</f>
        <v>0</v>
      </c>
      <c r="Q202" s="993">
        <f>L202*K200</f>
        <v>-1356.25</v>
      </c>
      <c r="R202" s="984" t="s">
        <v>304</v>
      </c>
      <c r="S202" s="996">
        <f>S200*Q202+S201</f>
        <v>-222587.5</v>
      </c>
    </row>
    <row r="203">
      <c r="J203" s="984" t="s">
        <v>990</v>
      </c>
      <c r="K203" s="1033">
        <v>270000.0</v>
      </c>
      <c r="L203" s="1000" t="s">
        <v>991</v>
      </c>
      <c r="M203" s="3"/>
      <c r="N203" s="1032">
        <v>23.9</v>
      </c>
      <c r="O203" s="1032">
        <v>29.75</v>
      </c>
      <c r="P203" s="994"/>
      <c r="Q203" s="1001"/>
      <c r="R203" s="984" t="s">
        <v>992</v>
      </c>
      <c r="S203" s="993">
        <f>N208+SUM(N212:O214)+S215</f>
        <v>333675.3167</v>
      </c>
    </row>
    <row r="204">
      <c r="J204" s="1003" t="s">
        <v>993</v>
      </c>
      <c r="K204" s="1004">
        <v>1300.0</v>
      </c>
      <c r="L204" s="1005" t="s">
        <v>994</v>
      </c>
      <c r="M204" s="3"/>
      <c r="N204" s="993">
        <f t="shared" ref="N204:O204" si="45">N202/(360/N203)</f>
        <v>-2.273819444</v>
      </c>
      <c r="O204" s="993">
        <f t="shared" si="45"/>
        <v>-0.7850694444</v>
      </c>
      <c r="P204" s="1001"/>
      <c r="Q204" s="993">
        <f t="shared" ref="Q204:Q205" si="46">N204+O204+P204</f>
        <v>-3.058888889</v>
      </c>
      <c r="R204" s="984" t="s">
        <v>302</v>
      </c>
      <c r="S204" s="1006">
        <f>S203/S202</f>
        <v>-1.499074821</v>
      </c>
    </row>
    <row r="205">
      <c r="J205" s="1008" t="s">
        <v>995</v>
      </c>
      <c r="K205" s="1004">
        <v>6.5</v>
      </c>
      <c r="L205" s="1009" t="s">
        <v>996</v>
      </c>
      <c r="M205" s="987">
        <v>1230.0</v>
      </c>
      <c r="N205" s="993">
        <f>N204*(M205*6)</f>
        <v>-16780.7875</v>
      </c>
      <c r="O205" s="993">
        <f>O204*(M205*6)</f>
        <v>-5793.8125</v>
      </c>
      <c r="P205" s="1001"/>
      <c r="Q205" s="993">
        <f t="shared" si="46"/>
        <v>-22574.6</v>
      </c>
      <c r="R205" s="984" t="s">
        <v>997</v>
      </c>
      <c r="S205" s="996">
        <f>S202-S203-N215</f>
        <v>-1264762.817</v>
      </c>
    </row>
    <row r="206">
      <c r="J206" s="1010" t="s">
        <v>998</v>
      </c>
      <c r="K206" s="994"/>
      <c r="L206" s="1011"/>
      <c r="M206" s="1001"/>
      <c r="N206" s="1001"/>
      <c r="O206" s="1001"/>
      <c r="P206" s="1001"/>
      <c r="Q206" s="1001"/>
      <c r="R206" s="984" t="s">
        <v>301</v>
      </c>
      <c r="S206" s="1006">
        <f>S205/S202</f>
        <v>5.682092735</v>
      </c>
    </row>
    <row r="207">
      <c r="J207" s="1003" t="s">
        <v>999</v>
      </c>
      <c r="K207" s="1004">
        <v>1230.0</v>
      </c>
      <c r="L207" s="1005" t="s">
        <v>1000</v>
      </c>
      <c r="M207" s="3"/>
      <c r="N207" s="993">
        <f>Q205+(Q204*K213)</f>
        <v>-24409.93333</v>
      </c>
      <c r="O207" s="1001"/>
      <c r="P207" s="1012" t="s">
        <v>1001</v>
      </c>
      <c r="Q207" s="232"/>
      <c r="R207" s="232"/>
      <c r="S207" s="3"/>
    </row>
    <row r="208">
      <c r="J208" s="1014" t="s">
        <v>1002</v>
      </c>
      <c r="K208" s="1004">
        <v>3.0</v>
      </c>
      <c r="L208" s="1005" t="s">
        <v>1003</v>
      </c>
      <c r="M208" s="3"/>
      <c r="N208" s="993">
        <f>N207*K200+L201*K219*K200*110</f>
        <v>-723886.6833</v>
      </c>
      <c r="O208" s="1015"/>
      <c r="P208" s="1016" t="s">
        <v>1004</v>
      </c>
      <c r="Q208" s="1017">
        <v>567400.0</v>
      </c>
      <c r="R208" s="984" t="s">
        <v>1005</v>
      </c>
      <c r="S208" s="998">
        <v>100000.0</v>
      </c>
    </row>
    <row r="209">
      <c r="J209" s="1014" t="s">
        <v>1006</v>
      </c>
      <c r="K209" s="1004">
        <f>K200</f>
        <v>31</v>
      </c>
      <c r="L209" s="1005" t="s">
        <v>1007</v>
      </c>
      <c r="M209" s="3"/>
      <c r="N209" s="984" t="s">
        <v>401</v>
      </c>
      <c r="O209" s="1010" t="s">
        <v>375</v>
      </c>
      <c r="P209" s="1018" t="s">
        <v>1008</v>
      </c>
      <c r="Q209" s="1019">
        <f>L201*K214%*K200*300</f>
        <v>406875</v>
      </c>
      <c r="R209" s="995" t="s">
        <v>1009</v>
      </c>
      <c r="S209" s="993">
        <v>26250.0</v>
      </c>
    </row>
    <row r="210">
      <c r="J210" s="1003" t="s">
        <v>1010</v>
      </c>
      <c r="K210" s="1004">
        <v>1230.0</v>
      </c>
      <c r="L210" s="1005" t="s">
        <v>1011</v>
      </c>
      <c r="M210" s="3"/>
      <c r="N210" s="998">
        <f t="shared" ref="N210:N211" si="47">K202*1.15</f>
        <v>368000</v>
      </c>
      <c r="O210" s="1020">
        <v>15000.0</v>
      </c>
      <c r="P210" s="1021" t="s">
        <v>1012</v>
      </c>
      <c r="Q210" s="1019">
        <f>L201*K215*K200*100</f>
        <v>24412.5</v>
      </c>
      <c r="R210" s="1022" t="s">
        <v>1013</v>
      </c>
      <c r="S210" s="993">
        <v>25000.0</v>
      </c>
    </row>
    <row r="211">
      <c r="J211" s="1003" t="s">
        <v>1014</v>
      </c>
      <c r="K211" s="1004">
        <v>5.0</v>
      </c>
      <c r="L211" s="1005" t="s">
        <v>1015</v>
      </c>
      <c r="M211" s="3"/>
      <c r="N211" s="998">
        <f t="shared" si="47"/>
        <v>310500</v>
      </c>
      <c r="O211" s="998">
        <v>15000.0</v>
      </c>
      <c r="P211" s="1018" t="s">
        <v>1016</v>
      </c>
      <c r="Q211" s="1024">
        <f>L201*K216*K200*100</f>
        <v>100362.5</v>
      </c>
      <c r="R211" s="1025" t="s">
        <v>1017</v>
      </c>
      <c r="S211" s="3"/>
    </row>
    <row r="212">
      <c r="J212" s="1003" t="s">
        <v>1018</v>
      </c>
      <c r="K212" s="1004">
        <v>35.0</v>
      </c>
      <c r="L212" s="1026" t="s">
        <v>1019</v>
      </c>
      <c r="M212" s="3"/>
      <c r="N212" s="998">
        <f>(K200*3.5-43.4)*K204*K205</f>
        <v>550095</v>
      </c>
      <c r="O212" s="998">
        <f>(K200*3.5-43.4)*K213</f>
        <v>39060</v>
      </c>
      <c r="P212" s="1018" t="s">
        <v>1020</v>
      </c>
      <c r="Q212" s="1019">
        <f>L201*K217*K200*100</f>
        <v>35262.5</v>
      </c>
      <c r="R212" s="984" t="s">
        <v>1005</v>
      </c>
      <c r="S212" s="993">
        <v>60000.0</v>
      </c>
    </row>
    <row r="213">
      <c r="J213" s="1022" t="s">
        <v>1021</v>
      </c>
      <c r="K213" s="1027">
        <v>600.0</v>
      </c>
      <c r="L213" s="1000" t="s">
        <v>1022</v>
      </c>
      <c r="M213" s="3"/>
      <c r="N213" s="998">
        <f>K207*K208*K209</f>
        <v>114390</v>
      </c>
      <c r="O213" s="998">
        <f>K209*K213</f>
        <v>18600</v>
      </c>
      <c r="P213" s="1021" t="s">
        <v>133</v>
      </c>
      <c r="Q213" s="1019">
        <f>L201*K218*K200*100</f>
        <v>24412.5</v>
      </c>
      <c r="R213" s="995" t="s">
        <v>1009</v>
      </c>
      <c r="S213" s="993">
        <v>20000.0</v>
      </c>
    </row>
    <row r="214">
      <c r="J214" s="1028" t="s">
        <v>1023</v>
      </c>
      <c r="K214" s="1029">
        <v>25.0</v>
      </c>
      <c r="L214" s="1000" t="s">
        <v>1024</v>
      </c>
      <c r="M214" s="3"/>
      <c r="N214" s="998">
        <f>K210*K211*K212</f>
        <v>215250</v>
      </c>
      <c r="O214" s="998">
        <f>K212*K213</f>
        <v>21000</v>
      </c>
      <c r="P214" s="1018" t="s">
        <v>1025</v>
      </c>
      <c r="Q214" s="1019">
        <f>L201*K219*K200*250</f>
        <v>74593.75</v>
      </c>
      <c r="R214" s="1022" t="s">
        <v>1013</v>
      </c>
      <c r="S214" s="993">
        <v>19167.0</v>
      </c>
    </row>
    <row r="215">
      <c r="J215" s="984" t="s">
        <v>1012</v>
      </c>
      <c r="K215" s="1006">
        <v>0.045</v>
      </c>
      <c r="L215" s="1000" t="s">
        <v>1026</v>
      </c>
      <c r="M215" s="3"/>
      <c r="N215" s="998">
        <f>SUM(N210:O211)</f>
        <v>708500</v>
      </c>
      <c r="O215" s="1030"/>
      <c r="P215" s="984" t="s">
        <v>371</v>
      </c>
      <c r="Q215" s="996">
        <f>SUM(Q208:Q213)+SUM(S208:S210)</f>
        <v>1309975</v>
      </c>
      <c r="R215" s="984" t="s">
        <v>371</v>
      </c>
      <c r="S215" s="993">
        <f>S212+S213+S214</f>
        <v>99167</v>
      </c>
    </row>
    <row r="216">
      <c r="J216" s="1022" t="s">
        <v>1027</v>
      </c>
      <c r="K216" s="1006">
        <v>0.185</v>
      </c>
      <c r="L216" s="975"/>
      <c r="M216" s="975"/>
      <c r="N216" s="975"/>
      <c r="O216" s="975"/>
      <c r="P216" s="975"/>
      <c r="Q216" s="975"/>
      <c r="R216" s="975"/>
      <c r="S216" s="975"/>
    </row>
    <row r="217">
      <c r="J217" s="1022" t="s">
        <v>1028</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1025</v>
      </c>
      <c r="K219" s="1006">
        <v>0.055</v>
      </c>
      <c r="L219" s="975"/>
      <c r="M219" s="975"/>
      <c r="N219" s="975"/>
      <c r="O219" s="975"/>
      <c r="P219" s="975"/>
      <c r="Q219" s="975"/>
      <c r="R219" s="975"/>
      <c r="S219" s="975"/>
    </row>
    <row r="221">
      <c r="J221" s="976" t="s">
        <v>981</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984</v>
      </c>
      <c r="K222" s="985">
        <f>DAY(EOMONTH(K221,0))</f>
        <v>30</v>
      </c>
      <c r="L222" s="986" t="s">
        <v>985</v>
      </c>
      <c r="M222" s="986" t="s">
        <v>303</v>
      </c>
      <c r="N222" s="986" t="s">
        <v>322</v>
      </c>
      <c r="O222" s="986" t="s">
        <v>324</v>
      </c>
      <c r="P222" s="986" t="s">
        <v>324</v>
      </c>
      <c r="Q222" s="986" t="s">
        <v>986</v>
      </c>
      <c r="R222" s="984" t="s">
        <v>987</v>
      </c>
      <c r="S222" s="987">
        <v>1130.0</v>
      </c>
    </row>
    <row r="223">
      <c r="J223" s="984" t="s">
        <v>303</v>
      </c>
      <c r="K223" s="992">
        <f t="array" ref="K223">xlookup(L221,$B$3:$B$14,$C$3:$C$14)*100</f>
        <v>0</v>
      </c>
      <c r="L223" s="993">
        <f>SUM(N223:P223)</f>
        <v>175</v>
      </c>
      <c r="M223" s="993">
        <v>100.0</v>
      </c>
      <c r="N223" s="987">
        <v>137.0</v>
      </c>
      <c r="O223" s="987">
        <v>38.0</v>
      </c>
      <c r="P223" s="994"/>
      <c r="Q223" s="993">
        <f>L223*K222</f>
        <v>5250</v>
      </c>
      <c r="R223" s="995" t="s">
        <v>988</v>
      </c>
      <c r="S223" s="996">
        <f>Q237</f>
        <v>1363087.5</v>
      </c>
    </row>
    <row r="224">
      <c r="J224" s="984" t="s">
        <v>989</v>
      </c>
      <c r="K224" s="987">
        <v>320000.0</v>
      </c>
      <c r="L224" s="993">
        <f>L223*M224%</f>
        <v>-43.75</v>
      </c>
      <c r="M224" s="998">
        <f>K223-K236</f>
        <v>-25</v>
      </c>
      <c r="N224" s="993">
        <f>N223*M224%</f>
        <v>-34.25</v>
      </c>
      <c r="O224" s="993">
        <f>O223*M224%</f>
        <v>-9.5</v>
      </c>
      <c r="P224" s="993">
        <f>P223*M224%</f>
        <v>0</v>
      </c>
      <c r="Q224" s="993">
        <f>L224*K222</f>
        <v>-1312.5</v>
      </c>
      <c r="R224" s="984" t="s">
        <v>304</v>
      </c>
      <c r="S224" s="996">
        <f>S222*Q224+S223</f>
        <v>-120037.5</v>
      </c>
    </row>
    <row r="225">
      <c r="J225" s="984" t="s">
        <v>990</v>
      </c>
      <c r="K225" s="1033">
        <v>270000.0</v>
      </c>
      <c r="L225" s="1000" t="s">
        <v>991</v>
      </c>
      <c r="M225" s="3"/>
      <c r="N225" s="987">
        <v>22.926</v>
      </c>
      <c r="O225" s="987">
        <v>28.78</v>
      </c>
      <c r="P225" s="994"/>
      <c r="Q225" s="1001"/>
      <c r="R225" s="984" t="s">
        <v>992</v>
      </c>
      <c r="S225" s="993">
        <f>N230+SUM(N234:O236)+S237</f>
        <v>344873.5425</v>
      </c>
    </row>
    <row r="226">
      <c r="J226" s="1003" t="s">
        <v>993</v>
      </c>
      <c r="K226" s="1004">
        <v>1300.0</v>
      </c>
      <c r="L226" s="1005" t="s">
        <v>994</v>
      </c>
      <c r="M226" s="3"/>
      <c r="N226" s="993">
        <f t="shared" ref="N226:O226" si="48">N224/(360/N225)</f>
        <v>-2.181154167</v>
      </c>
      <c r="O226" s="993">
        <f t="shared" si="48"/>
        <v>-0.7594722222</v>
      </c>
      <c r="P226" s="1001"/>
      <c r="Q226" s="993">
        <f t="shared" ref="Q226:Q227" si="49">N226+O226+P226</f>
        <v>-2.940626389</v>
      </c>
      <c r="R226" s="984" t="s">
        <v>302</v>
      </c>
      <c r="S226" s="1006">
        <f>S225/S224</f>
        <v>-2.87304836</v>
      </c>
    </row>
    <row r="227">
      <c r="J227" s="1008" t="s">
        <v>995</v>
      </c>
      <c r="K227" s="1004">
        <v>6.5</v>
      </c>
      <c r="L227" s="1009" t="s">
        <v>996</v>
      </c>
      <c r="M227" s="987">
        <v>1230.0</v>
      </c>
      <c r="N227" s="993">
        <f>N226*(M227*6)</f>
        <v>-16096.91775</v>
      </c>
      <c r="O227" s="993">
        <f>O226*(M227*6)</f>
        <v>-5604.905</v>
      </c>
      <c r="P227" s="1001"/>
      <c r="Q227" s="993">
        <f t="shared" si="49"/>
        <v>-21701.82275</v>
      </c>
      <c r="R227" s="984" t="s">
        <v>997</v>
      </c>
      <c r="S227" s="996">
        <f>S224-S225-N237</f>
        <v>-1173411.043</v>
      </c>
    </row>
    <row r="228">
      <c r="J228" s="1010" t="s">
        <v>998</v>
      </c>
      <c r="K228" s="994"/>
      <c r="L228" s="1011"/>
      <c r="M228" s="1001"/>
      <c r="N228" s="1001"/>
      <c r="O228" s="1001"/>
      <c r="P228" s="1001"/>
      <c r="Q228" s="1001"/>
      <c r="R228" s="984" t="s">
        <v>301</v>
      </c>
      <c r="S228" s="1006">
        <f>S227/S224</f>
        <v>9.775370551</v>
      </c>
    </row>
    <row r="229">
      <c r="J229" s="1003" t="s">
        <v>999</v>
      </c>
      <c r="K229" s="1004">
        <v>1230.0</v>
      </c>
      <c r="L229" s="1005" t="s">
        <v>1000</v>
      </c>
      <c r="M229" s="3"/>
      <c r="N229" s="993">
        <f>Q227+(Q226*K235)</f>
        <v>-23466.19858</v>
      </c>
      <c r="O229" s="1001"/>
      <c r="P229" s="1012" t="s">
        <v>1001</v>
      </c>
      <c r="Q229" s="232"/>
      <c r="R229" s="232"/>
      <c r="S229" s="3"/>
    </row>
    <row r="230">
      <c r="J230" s="1014" t="s">
        <v>1002</v>
      </c>
      <c r="K230" s="1004">
        <v>3.0</v>
      </c>
      <c r="L230" s="1005" t="s">
        <v>1003</v>
      </c>
      <c r="M230" s="3"/>
      <c r="N230" s="993">
        <f>N229*K222+(L223*K241*K222*110)+(L223*K236%*K222*100)</f>
        <v>-540973.4575</v>
      </c>
      <c r="O230" s="1015"/>
      <c r="P230" s="1016" t="s">
        <v>1004</v>
      </c>
      <c r="Q230" s="1017">
        <v>567400.0</v>
      </c>
      <c r="R230" s="984" t="s">
        <v>1005</v>
      </c>
      <c r="S230" s="998">
        <v>100000.0</v>
      </c>
    </row>
    <row r="231">
      <c r="J231" s="1014" t="s">
        <v>1006</v>
      </c>
      <c r="K231" s="1004">
        <f>K222</f>
        <v>30</v>
      </c>
      <c r="L231" s="1005" t="s">
        <v>1007</v>
      </c>
      <c r="M231" s="3"/>
      <c r="N231" s="984" t="s">
        <v>401</v>
      </c>
      <c r="O231" s="1010" t="s">
        <v>375</v>
      </c>
      <c r="P231" s="1018" t="s">
        <v>1008</v>
      </c>
      <c r="Q231" s="1019">
        <f>L223*K236%*K222*300</f>
        <v>393750</v>
      </c>
      <c r="R231" s="995" t="s">
        <v>1009</v>
      </c>
      <c r="S231" s="993">
        <v>26250.0</v>
      </c>
    </row>
    <row r="232">
      <c r="J232" s="1003" t="s">
        <v>1010</v>
      </c>
      <c r="K232" s="1004">
        <v>1230.0</v>
      </c>
      <c r="L232" s="1005" t="s">
        <v>1011</v>
      </c>
      <c r="M232" s="3"/>
      <c r="N232" s="998">
        <f t="shared" ref="N232:N233" si="50">K224*1.15</f>
        <v>368000</v>
      </c>
      <c r="O232" s="1020">
        <v>15000.0</v>
      </c>
      <c r="P232" s="1021" t="s">
        <v>1012</v>
      </c>
      <c r="Q232" s="1019">
        <f>L223*K237*K222*100</f>
        <v>23625</v>
      </c>
      <c r="R232" s="1022" t="s">
        <v>1013</v>
      </c>
      <c r="S232" s="993">
        <v>25000.0</v>
      </c>
    </row>
    <row r="233">
      <c r="J233" s="1003" t="s">
        <v>1014</v>
      </c>
      <c r="K233" s="1004">
        <v>5.0</v>
      </c>
      <c r="L233" s="1005" t="s">
        <v>1015</v>
      </c>
      <c r="M233" s="3"/>
      <c r="N233" s="998">
        <f t="shared" si="50"/>
        <v>310500</v>
      </c>
      <c r="O233" s="998">
        <v>15000.0</v>
      </c>
      <c r="P233" s="1018" t="s">
        <v>1016</v>
      </c>
      <c r="Q233" s="1024">
        <f>L223*K238*K222*100</f>
        <v>97125</v>
      </c>
      <c r="R233" s="1025" t="s">
        <v>1017</v>
      </c>
      <c r="S233" s="3"/>
    </row>
    <row r="234">
      <c r="J234" s="1003" t="s">
        <v>1018</v>
      </c>
      <c r="K234" s="1004">
        <v>35.0</v>
      </c>
      <c r="L234" s="1026" t="s">
        <v>1019</v>
      </c>
      <c r="M234" s="3"/>
      <c r="N234" s="998">
        <f>(K222*3-43.4)*K226*K227</f>
        <v>393770</v>
      </c>
      <c r="O234" s="998">
        <f>(K222*3-43.4)*K235</f>
        <v>27960</v>
      </c>
      <c r="P234" s="1018" t="s">
        <v>1020</v>
      </c>
      <c r="Q234" s="1019">
        <f>L223*K239*K222*100</f>
        <v>34125</v>
      </c>
      <c r="R234" s="984" t="s">
        <v>1005</v>
      </c>
      <c r="S234" s="993">
        <v>60000.0</v>
      </c>
    </row>
    <row r="235">
      <c r="J235" s="1022" t="s">
        <v>1021</v>
      </c>
      <c r="K235" s="1027">
        <v>600.0</v>
      </c>
      <c r="L235" s="1000" t="s">
        <v>1022</v>
      </c>
      <c r="M235" s="3"/>
      <c r="N235" s="998">
        <f>K229*K230*K231</f>
        <v>110700</v>
      </c>
      <c r="O235" s="998">
        <f>K231*K235</f>
        <v>18000</v>
      </c>
      <c r="P235" s="1021" t="s">
        <v>133</v>
      </c>
      <c r="Q235" s="1019">
        <f>L223*K240*K222*100</f>
        <v>23625</v>
      </c>
      <c r="R235" s="995" t="s">
        <v>1009</v>
      </c>
      <c r="S235" s="993">
        <v>20000.0</v>
      </c>
    </row>
    <row r="236">
      <c r="J236" s="1028" t="s">
        <v>1023</v>
      </c>
      <c r="K236" s="1029">
        <v>25.0</v>
      </c>
      <c r="L236" s="1000" t="s">
        <v>1024</v>
      </c>
      <c r="M236" s="3"/>
      <c r="N236" s="998">
        <f>K232*K233*K234</f>
        <v>215250</v>
      </c>
      <c r="O236" s="998">
        <f>K234*K235</f>
        <v>21000</v>
      </c>
      <c r="P236" s="1018" t="s">
        <v>1025</v>
      </c>
      <c r="Q236" s="1019">
        <f>L223*K241*K222*250</f>
        <v>72187.5</v>
      </c>
      <c r="R236" s="1022" t="s">
        <v>1013</v>
      </c>
      <c r="S236" s="993">
        <v>19167.0</v>
      </c>
    </row>
    <row r="237">
      <c r="J237" s="984" t="s">
        <v>1012</v>
      </c>
      <c r="K237" s="1006">
        <v>0.045</v>
      </c>
      <c r="L237" s="1000" t="s">
        <v>1026</v>
      </c>
      <c r="M237" s="3"/>
      <c r="N237" s="998">
        <f>SUM(N232:O233)</f>
        <v>708500</v>
      </c>
      <c r="O237" s="1030"/>
      <c r="P237" s="984" t="s">
        <v>371</v>
      </c>
      <c r="Q237" s="996">
        <f>SUM(Q230:Q236)+SUM(S230:S232)</f>
        <v>1363087.5</v>
      </c>
      <c r="R237" s="984" t="s">
        <v>371</v>
      </c>
      <c r="S237" s="993">
        <f>S234+S235+S236</f>
        <v>99167</v>
      </c>
    </row>
    <row r="238">
      <c r="J238" s="1022" t="s">
        <v>1027</v>
      </c>
      <c r="K238" s="1006">
        <v>0.185</v>
      </c>
      <c r="L238" s="975"/>
      <c r="M238" s="975"/>
      <c r="N238" s="975"/>
      <c r="O238" s="975"/>
      <c r="P238" s="975"/>
      <c r="Q238" s="975"/>
      <c r="R238" s="975"/>
      <c r="S238" s="975"/>
    </row>
    <row r="239">
      <c r="J239" s="1022" t="s">
        <v>1028</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1025</v>
      </c>
      <c r="K241" s="1006">
        <v>0.055</v>
      </c>
      <c r="L241" s="975"/>
      <c r="M241" s="975"/>
      <c r="N241" s="975"/>
      <c r="O241" s="975"/>
      <c r="P241" s="975"/>
      <c r="Q241" s="975"/>
      <c r="R241" s="975"/>
      <c r="S241" s="975"/>
    </row>
    <row r="243">
      <c r="J243" s="976" t="s">
        <v>981</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984</v>
      </c>
      <c r="K244" s="985">
        <f>DAY(EOMONTH(K243,0))</f>
        <v>31</v>
      </c>
      <c r="L244" s="986" t="s">
        <v>985</v>
      </c>
      <c r="M244" s="986" t="s">
        <v>303</v>
      </c>
      <c r="N244" s="986" t="s">
        <v>322</v>
      </c>
      <c r="O244" s="986" t="s">
        <v>324</v>
      </c>
      <c r="P244" s="986" t="s">
        <v>324</v>
      </c>
      <c r="Q244" s="986" t="s">
        <v>986</v>
      </c>
      <c r="R244" s="984" t="s">
        <v>987</v>
      </c>
      <c r="S244" s="987">
        <v>1130.0</v>
      </c>
    </row>
    <row r="245">
      <c r="J245" s="984" t="s">
        <v>303</v>
      </c>
      <c r="K245" s="992">
        <f t="array" ref="K245">xlookup(L243,$B$3:$B$14,$C$3:$C$14)*100</f>
        <v>0</v>
      </c>
      <c r="L245" s="993">
        <f>SUM(N245:P245)</f>
        <v>175</v>
      </c>
      <c r="M245" s="993">
        <v>100.0</v>
      </c>
      <c r="N245" s="987">
        <v>137.0</v>
      </c>
      <c r="O245" s="987">
        <v>38.0</v>
      </c>
      <c r="P245" s="994"/>
      <c r="Q245" s="993">
        <f>L245*K244</f>
        <v>5425</v>
      </c>
      <c r="R245" s="995" t="s">
        <v>988</v>
      </c>
      <c r="S245" s="996">
        <f>Q259</f>
        <v>1384568.75</v>
      </c>
    </row>
    <row r="246">
      <c r="J246" s="984" t="s">
        <v>989</v>
      </c>
      <c r="K246" s="987">
        <v>320000.0</v>
      </c>
      <c r="L246" s="993">
        <f>L245*M246%</f>
        <v>-43.75</v>
      </c>
      <c r="M246" s="998">
        <f>K245-K258</f>
        <v>-25</v>
      </c>
      <c r="N246" s="993">
        <f>N245*M246%</f>
        <v>-34.25</v>
      </c>
      <c r="O246" s="993">
        <f>O245*M246%</f>
        <v>-9.5</v>
      </c>
      <c r="P246" s="993">
        <f>P245*M246%</f>
        <v>0</v>
      </c>
      <c r="Q246" s="993">
        <f>L246*K244</f>
        <v>-1356.25</v>
      </c>
      <c r="R246" s="984" t="s">
        <v>304</v>
      </c>
      <c r="S246" s="996">
        <f>S244*Q246+S245</f>
        <v>-147993.75</v>
      </c>
    </row>
    <row r="247">
      <c r="J247" s="984" t="s">
        <v>990</v>
      </c>
      <c r="K247" s="1033">
        <v>270000.0</v>
      </c>
      <c r="L247" s="1000" t="s">
        <v>991</v>
      </c>
      <c r="M247" s="3"/>
      <c r="N247" s="987">
        <v>22.926</v>
      </c>
      <c r="O247" s="987">
        <v>28.78</v>
      </c>
      <c r="P247" s="994"/>
      <c r="Q247" s="1001"/>
      <c r="R247" s="984" t="s">
        <v>992</v>
      </c>
      <c r="S247" s="993">
        <f>N252+SUM(N256:O258)+S259</f>
        <v>358281.0939</v>
      </c>
    </row>
    <row r="248">
      <c r="J248" s="1003" t="s">
        <v>993</v>
      </c>
      <c r="K248" s="1004">
        <v>1300.0</v>
      </c>
      <c r="L248" s="1005" t="s">
        <v>994</v>
      </c>
      <c r="M248" s="3"/>
      <c r="N248" s="993">
        <f t="shared" ref="N248:O248" si="51">N246/(360/N247)</f>
        <v>-2.181154167</v>
      </c>
      <c r="O248" s="993">
        <f t="shared" si="51"/>
        <v>-0.7594722222</v>
      </c>
      <c r="P248" s="1001"/>
      <c r="Q248" s="993">
        <f t="shared" ref="Q248:Q249" si="52">N248+O248+P248</f>
        <v>-2.940626389</v>
      </c>
      <c r="R248" s="984" t="s">
        <v>302</v>
      </c>
      <c r="S248" s="1006">
        <f>S247/S246</f>
        <v>-2.420920437</v>
      </c>
    </row>
    <row r="249">
      <c r="J249" s="1008" t="s">
        <v>995</v>
      </c>
      <c r="K249" s="1004">
        <v>6.5</v>
      </c>
      <c r="L249" s="1009" t="s">
        <v>996</v>
      </c>
      <c r="M249" s="987">
        <v>1230.0</v>
      </c>
      <c r="N249" s="993">
        <f>N248*(M249*6)</f>
        <v>-16096.91775</v>
      </c>
      <c r="O249" s="993">
        <f>O248*(M249*6)</f>
        <v>-5604.905</v>
      </c>
      <c r="P249" s="1001"/>
      <c r="Q249" s="993">
        <f t="shared" si="52"/>
        <v>-21701.82275</v>
      </c>
      <c r="R249" s="984" t="s">
        <v>997</v>
      </c>
      <c r="S249" s="996">
        <f>S246-S247-N259</f>
        <v>-1214774.844</v>
      </c>
    </row>
    <row r="250">
      <c r="J250" s="1010" t="s">
        <v>998</v>
      </c>
      <c r="K250" s="994"/>
      <c r="L250" s="1011"/>
      <c r="M250" s="1001"/>
      <c r="N250" s="1001"/>
      <c r="O250" s="1001"/>
      <c r="P250" s="1001"/>
      <c r="Q250" s="1001"/>
      <c r="R250" s="984" t="s">
        <v>301</v>
      </c>
      <c r="S250" s="1006">
        <f>S249/S246</f>
        <v>8.208284768</v>
      </c>
    </row>
    <row r="251">
      <c r="J251" s="1003" t="s">
        <v>999</v>
      </c>
      <c r="K251" s="1004">
        <v>1230.0</v>
      </c>
      <c r="L251" s="1005" t="s">
        <v>1000</v>
      </c>
      <c r="M251" s="3"/>
      <c r="N251" s="993">
        <f>Q249+(Q248*K257)</f>
        <v>-23466.19858</v>
      </c>
      <c r="O251" s="1001"/>
      <c r="P251" s="1012" t="s">
        <v>1001</v>
      </c>
      <c r="Q251" s="232"/>
      <c r="R251" s="232"/>
      <c r="S251" s="3"/>
    </row>
    <row r="252">
      <c r="J252" s="1014" t="s">
        <v>1002</v>
      </c>
      <c r="K252" s="1004">
        <v>3.0</v>
      </c>
      <c r="L252" s="1005" t="s">
        <v>1003</v>
      </c>
      <c r="M252" s="3"/>
      <c r="N252" s="993">
        <f>N251*K244+(L245*K263*K244*110)+(L245*K258%*K244*100)</f>
        <v>-559005.9061</v>
      </c>
      <c r="O252" s="1015"/>
      <c r="P252" s="1016" t="s">
        <v>1004</v>
      </c>
      <c r="Q252" s="1017">
        <v>567400.0</v>
      </c>
      <c r="R252" s="984" t="s">
        <v>1005</v>
      </c>
      <c r="S252" s="998">
        <v>100000.0</v>
      </c>
    </row>
    <row r="253">
      <c r="J253" s="1014" t="s">
        <v>1006</v>
      </c>
      <c r="K253" s="1004">
        <f>K244</f>
        <v>31</v>
      </c>
      <c r="L253" s="1005" t="s">
        <v>1007</v>
      </c>
      <c r="M253" s="3"/>
      <c r="N253" s="984" t="s">
        <v>401</v>
      </c>
      <c r="O253" s="1010" t="s">
        <v>375</v>
      </c>
      <c r="P253" s="1018" t="s">
        <v>1008</v>
      </c>
      <c r="Q253" s="1019">
        <f>L245*K258%*K244*300</f>
        <v>406875</v>
      </c>
      <c r="R253" s="995" t="s">
        <v>1009</v>
      </c>
      <c r="S253" s="993">
        <v>26250.0</v>
      </c>
    </row>
    <row r="254">
      <c r="J254" s="1003" t="s">
        <v>1010</v>
      </c>
      <c r="K254" s="1004">
        <v>1230.0</v>
      </c>
      <c r="L254" s="1005" t="s">
        <v>1011</v>
      </c>
      <c r="M254" s="3"/>
      <c r="N254" s="998">
        <f t="shared" ref="N254:N255" si="53">K246*1.15</f>
        <v>368000</v>
      </c>
      <c r="O254" s="1020">
        <v>15000.0</v>
      </c>
      <c r="P254" s="1021" t="s">
        <v>1012</v>
      </c>
      <c r="Q254" s="1019">
        <f>L245*K259*K244*100</f>
        <v>24412.5</v>
      </c>
      <c r="R254" s="1022" t="s">
        <v>1013</v>
      </c>
      <c r="S254" s="993">
        <v>25000.0</v>
      </c>
    </row>
    <row r="255">
      <c r="J255" s="1003" t="s">
        <v>1014</v>
      </c>
      <c r="K255" s="1004">
        <v>5.0</v>
      </c>
      <c r="L255" s="1005" t="s">
        <v>1015</v>
      </c>
      <c r="M255" s="3"/>
      <c r="N255" s="998">
        <f t="shared" si="53"/>
        <v>310500</v>
      </c>
      <c r="O255" s="998">
        <v>15000.0</v>
      </c>
      <c r="P255" s="1018" t="s">
        <v>1016</v>
      </c>
      <c r="Q255" s="1024">
        <f>L245*K260*K244*100</f>
        <v>100362.5</v>
      </c>
      <c r="R255" s="1025" t="s">
        <v>1017</v>
      </c>
      <c r="S255" s="3"/>
    </row>
    <row r="256">
      <c r="J256" s="1003" t="s">
        <v>1018</v>
      </c>
      <c r="K256" s="1004">
        <v>35.0</v>
      </c>
      <c r="L256" s="1026" t="s">
        <v>1019</v>
      </c>
      <c r="M256" s="3"/>
      <c r="N256" s="998">
        <f>(K244*3-43.4)*K248*K249</f>
        <v>419120</v>
      </c>
      <c r="O256" s="998">
        <f>(K244*3-43.4)*K257</f>
        <v>29760</v>
      </c>
      <c r="P256" s="1018" t="s">
        <v>1020</v>
      </c>
      <c r="Q256" s="1019">
        <f>L245*K261*K244*100</f>
        <v>35262.5</v>
      </c>
      <c r="R256" s="984" t="s">
        <v>1005</v>
      </c>
      <c r="S256" s="993">
        <v>60000.0</v>
      </c>
    </row>
    <row r="257">
      <c r="J257" s="1022" t="s">
        <v>1021</v>
      </c>
      <c r="K257" s="1027">
        <v>600.0</v>
      </c>
      <c r="L257" s="1000" t="s">
        <v>1022</v>
      </c>
      <c r="M257" s="3"/>
      <c r="N257" s="998">
        <f>K251*K252*K253</f>
        <v>114390</v>
      </c>
      <c r="O257" s="998">
        <f>K253*K257</f>
        <v>18600</v>
      </c>
      <c r="P257" s="1021" t="s">
        <v>133</v>
      </c>
      <c r="Q257" s="1019">
        <f>L245*K262*K244*100</f>
        <v>24412.5</v>
      </c>
      <c r="R257" s="995" t="s">
        <v>1009</v>
      </c>
      <c r="S257" s="993">
        <v>20000.0</v>
      </c>
    </row>
    <row r="258">
      <c r="J258" s="1028" t="s">
        <v>1023</v>
      </c>
      <c r="K258" s="1029">
        <v>25.0</v>
      </c>
      <c r="L258" s="1031" t="s">
        <v>1029</v>
      </c>
      <c r="M258" s="3"/>
      <c r="N258" s="998">
        <f>K254*K255*K256</f>
        <v>215250</v>
      </c>
      <c r="O258" s="998">
        <f>K256*K257</f>
        <v>21000</v>
      </c>
      <c r="P258" s="1018" t="s">
        <v>1025</v>
      </c>
      <c r="Q258" s="1019">
        <f>L245*K263*K244*250</f>
        <v>74593.75</v>
      </c>
      <c r="R258" s="1022" t="s">
        <v>1013</v>
      </c>
      <c r="S258" s="993">
        <v>19167.0</v>
      </c>
    </row>
    <row r="259">
      <c r="J259" s="984" t="s">
        <v>1012</v>
      </c>
      <c r="K259" s="1006">
        <v>0.045</v>
      </c>
      <c r="L259" s="1000" t="s">
        <v>1026</v>
      </c>
      <c r="M259" s="3"/>
      <c r="N259" s="998">
        <f>SUM(N254:O255)</f>
        <v>708500</v>
      </c>
      <c r="O259" s="1030"/>
      <c r="P259" s="984" t="s">
        <v>371</v>
      </c>
      <c r="Q259" s="996">
        <f>SUM(Q252:Q258)+SUM(S252:S254)</f>
        <v>1384568.75</v>
      </c>
      <c r="R259" s="984" t="s">
        <v>371</v>
      </c>
      <c r="S259" s="993">
        <f>S256+S257+S258</f>
        <v>99167</v>
      </c>
    </row>
    <row r="260">
      <c r="J260" s="1022" t="s">
        <v>1027</v>
      </c>
      <c r="K260" s="1006">
        <v>0.185</v>
      </c>
      <c r="L260" s="975"/>
      <c r="M260" s="975"/>
      <c r="N260" s="975"/>
      <c r="O260" s="975"/>
      <c r="P260" s="975"/>
      <c r="Q260" s="975"/>
      <c r="R260" s="975"/>
      <c r="S260" s="975"/>
    </row>
    <row r="261">
      <c r="J261" s="1022" t="s">
        <v>1028</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1025</v>
      </c>
      <c r="K263" s="1006">
        <v>0.055</v>
      </c>
      <c r="L263" s="975"/>
      <c r="M263" s="975"/>
      <c r="N263" s="975"/>
      <c r="O263" s="975"/>
      <c r="P263" s="975"/>
      <c r="Q263" s="975"/>
      <c r="R263" s="975"/>
      <c r="S263" s="975"/>
    </row>
    <row r="265">
      <c r="J265" s="976" t="s">
        <v>981</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984</v>
      </c>
      <c r="K266" s="985">
        <f>DAY(EOMONTH(K265,0))</f>
        <v>31</v>
      </c>
      <c r="L266" s="986" t="s">
        <v>985</v>
      </c>
      <c r="M266" s="986" t="s">
        <v>303</v>
      </c>
      <c r="N266" s="986" t="s">
        <v>322</v>
      </c>
      <c r="O266" s="986" t="s">
        <v>324</v>
      </c>
      <c r="P266" s="986" t="s">
        <v>324</v>
      </c>
      <c r="Q266" s="986" t="s">
        <v>986</v>
      </c>
      <c r="R266" s="984" t="s">
        <v>987</v>
      </c>
      <c r="S266" s="987">
        <v>1130.0</v>
      </c>
    </row>
    <row r="267">
      <c r="J267" s="984" t="s">
        <v>303</v>
      </c>
      <c r="K267" s="992">
        <f t="array" ref="K267">xlookup(L265,$B$3:$B$14,$C$3:$C$14)*100</f>
        <v>0</v>
      </c>
      <c r="L267" s="993">
        <f>SUM(N267:P267)</f>
        <v>175</v>
      </c>
      <c r="M267" s="993">
        <v>100.0</v>
      </c>
      <c r="N267" s="987">
        <v>137.0</v>
      </c>
      <c r="O267" s="987">
        <v>38.0</v>
      </c>
      <c r="P267" s="994"/>
      <c r="Q267" s="993">
        <f>L267*K266</f>
        <v>5425</v>
      </c>
      <c r="R267" s="995" t="s">
        <v>988</v>
      </c>
      <c r="S267" s="996">
        <f>Q281</f>
        <v>1384568.75</v>
      </c>
    </row>
    <row r="268">
      <c r="J268" s="984" t="s">
        <v>989</v>
      </c>
      <c r="K268" s="987">
        <v>320000.0</v>
      </c>
      <c r="L268" s="993">
        <f>L267*M268%</f>
        <v>-43.75</v>
      </c>
      <c r="M268" s="998">
        <f>K267-K280</f>
        <v>-25</v>
      </c>
      <c r="N268" s="993">
        <f>N267*M268%</f>
        <v>-34.25</v>
      </c>
      <c r="O268" s="993">
        <f>O267*M268%</f>
        <v>-9.5</v>
      </c>
      <c r="P268" s="993">
        <f>P267*M268%</f>
        <v>0</v>
      </c>
      <c r="Q268" s="993">
        <f>L268*K266</f>
        <v>-1356.25</v>
      </c>
      <c r="R268" s="984" t="s">
        <v>304</v>
      </c>
      <c r="S268" s="996">
        <f>S266*Q268+S267</f>
        <v>-147993.75</v>
      </c>
    </row>
    <row r="269">
      <c r="J269" s="984" t="s">
        <v>990</v>
      </c>
      <c r="K269" s="1033">
        <v>270000.0</v>
      </c>
      <c r="L269" s="1000" t="s">
        <v>991</v>
      </c>
      <c r="M269" s="3"/>
      <c r="N269" s="987">
        <v>22.926</v>
      </c>
      <c r="O269" s="987">
        <v>28.78</v>
      </c>
      <c r="P269" s="994"/>
      <c r="Q269" s="1001"/>
      <c r="R269" s="984" t="s">
        <v>992</v>
      </c>
      <c r="S269" s="993">
        <f>N274+SUM(N278:O280)+S281</f>
        <v>358281.0939</v>
      </c>
    </row>
    <row r="270">
      <c r="J270" s="1003" t="s">
        <v>993</v>
      </c>
      <c r="K270" s="1004">
        <v>1300.0</v>
      </c>
      <c r="L270" s="1005" t="s">
        <v>994</v>
      </c>
      <c r="M270" s="3"/>
      <c r="N270" s="993">
        <f t="shared" ref="N270:O270" si="54">N268/(360/N269)</f>
        <v>-2.181154167</v>
      </c>
      <c r="O270" s="993">
        <f t="shared" si="54"/>
        <v>-0.7594722222</v>
      </c>
      <c r="P270" s="1001"/>
      <c r="Q270" s="993">
        <f t="shared" ref="Q270:Q271" si="55">N270+O270+P270</f>
        <v>-2.940626389</v>
      </c>
      <c r="R270" s="984" t="s">
        <v>302</v>
      </c>
      <c r="S270" s="1006">
        <f>S269/S268</f>
        <v>-2.420920437</v>
      </c>
    </row>
    <row r="271">
      <c r="J271" s="1008" t="s">
        <v>995</v>
      </c>
      <c r="K271" s="1004">
        <v>6.5</v>
      </c>
      <c r="L271" s="1009" t="s">
        <v>996</v>
      </c>
      <c r="M271" s="987">
        <v>1230.0</v>
      </c>
      <c r="N271" s="993">
        <f>N270*(M271*6)</f>
        <v>-16096.91775</v>
      </c>
      <c r="O271" s="993">
        <f>O270*(M271*6)</f>
        <v>-5604.905</v>
      </c>
      <c r="P271" s="1001"/>
      <c r="Q271" s="993">
        <f t="shared" si="55"/>
        <v>-21701.82275</v>
      </c>
      <c r="R271" s="984" t="s">
        <v>997</v>
      </c>
      <c r="S271" s="996">
        <f>S268-S269-N281</f>
        <v>-1214774.844</v>
      </c>
    </row>
    <row r="272">
      <c r="J272" s="1010" t="s">
        <v>998</v>
      </c>
      <c r="K272" s="994"/>
      <c r="L272" s="1011"/>
      <c r="M272" s="1001"/>
      <c r="N272" s="1001"/>
      <c r="O272" s="1001"/>
      <c r="P272" s="1001"/>
      <c r="Q272" s="1001"/>
      <c r="R272" s="984" t="s">
        <v>301</v>
      </c>
      <c r="S272" s="1006">
        <f>S271/S268</f>
        <v>8.208284768</v>
      </c>
    </row>
    <row r="273">
      <c r="J273" s="1003" t="s">
        <v>999</v>
      </c>
      <c r="K273" s="1004">
        <v>1230.0</v>
      </c>
      <c r="L273" s="1005" t="s">
        <v>1000</v>
      </c>
      <c r="M273" s="3"/>
      <c r="N273" s="993">
        <f>Q271+(Q270*K279)</f>
        <v>-23466.19858</v>
      </c>
      <c r="O273" s="1001"/>
      <c r="P273" s="1012" t="s">
        <v>1001</v>
      </c>
      <c r="Q273" s="232"/>
      <c r="R273" s="232"/>
      <c r="S273" s="3"/>
    </row>
    <row r="274">
      <c r="J274" s="1014" t="s">
        <v>1002</v>
      </c>
      <c r="K274" s="1004">
        <v>3.0</v>
      </c>
      <c r="L274" s="1005" t="s">
        <v>1003</v>
      </c>
      <c r="M274" s="3"/>
      <c r="N274" s="993">
        <f>N273*K266+(L267*K285*K266*110)+(L267*K280%*K266*100)</f>
        <v>-559005.9061</v>
      </c>
      <c r="O274" s="1015"/>
      <c r="P274" s="1016" t="s">
        <v>1004</v>
      </c>
      <c r="Q274" s="1017">
        <v>567400.0</v>
      </c>
      <c r="R274" s="984" t="s">
        <v>1005</v>
      </c>
      <c r="S274" s="998">
        <v>100000.0</v>
      </c>
    </row>
    <row r="275">
      <c r="J275" s="1014" t="s">
        <v>1006</v>
      </c>
      <c r="K275" s="1004">
        <f>K266</f>
        <v>31</v>
      </c>
      <c r="L275" s="1005" t="s">
        <v>1007</v>
      </c>
      <c r="M275" s="3"/>
      <c r="N275" s="984" t="s">
        <v>401</v>
      </c>
      <c r="O275" s="1010" t="s">
        <v>375</v>
      </c>
      <c r="P275" s="1018" t="s">
        <v>1008</v>
      </c>
      <c r="Q275" s="1019">
        <f>L267*K280%*K266*300</f>
        <v>406875</v>
      </c>
      <c r="R275" s="995" t="s">
        <v>1009</v>
      </c>
      <c r="S275" s="993">
        <v>26250.0</v>
      </c>
    </row>
    <row r="276">
      <c r="J276" s="1003" t="s">
        <v>1010</v>
      </c>
      <c r="K276" s="1004">
        <v>1230.0</v>
      </c>
      <c r="L276" s="1005" t="s">
        <v>1011</v>
      </c>
      <c r="M276" s="3"/>
      <c r="N276" s="998">
        <f t="shared" ref="N276:N277" si="56">K268*1.15</f>
        <v>368000</v>
      </c>
      <c r="O276" s="1020">
        <v>15000.0</v>
      </c>
      <c r="P276" s="1021" t="s">
        <v>1012</v>
      </c>
      <c r="Q276" s="1019">
        <f>L267*K281*K266*100</f>
        <v>24412.5</v>
      </c>
      <c r="R276" s="1022" t="s">
        <v>1013</v>
      </c>
      <c r="S276" s="993">
        <v>25000.0</v>
      </c>
    </row>
    <row r="277">
      <c r="J277" s="1003" t="s">
        <v>1014</v>
      </c>
      <c r="K277" s="1004">
        <v>5.0</v>
      </c>
      <c r="L277" s="1005" t="s">
        <v>1015</v>
      </c>
      <c r="M277" s="3"/>
      <c r="N277" s="998">
        <f t="shared" si="56"/>
        <v>310500</v>
      </c>
      <c r="O277" s="998">
        <v>15000.0</v>
      </c>
      <c r="P277" s="1018" t="s">
        <v>1016</v>
      </c>
      <c r="Q277" s="1024">
        <f>L267*K282*K266*100</f>
        <v>100362.5</v>
      </c>
      <c r="R277" s="1025" t="s">
        <v>1017</v>
      </c>
      <c r="S277" s="3"/>
    </row>
    <row r="278">
      <c r="J278" s="1003" t="s">
        <v>1018</v>
      </c>
      <c r="K278" s="1004">
        <v>35.0</v>
      </c>
      <c r="L278" s="1026" t="s">
        <v>1019</v>
      </c>
      <c r="M278" s="3"/>
      <c r="N278" s="998">
        <f>(K266*3-43.4)*K270*K271</f>
        <v>419120</v>
      </c>
      <c r="O278" s="998">
        <f>(K266*3-43.4)*K279</f>
        <v>29760</v>
      </c>
      <c r="P278" s="1018" t="s">
        <v>1020</v>
      </c>
      <c r="Q278" s="1019">
        <f>L267*K283*K266*100</f>
        <v>35262.5</v>
      </c>
      <c r="R278" s="984" t="s">
        <v>1005</v>
      </c>
      <c r="S278" s="993">
        <v>60000.0</v>
      </c>
    </row>
    <row r="279">
      <c r="J279" s="1022" t="s">
        <v>1021</v>
      </c>
      <c r="K279" s="1027">
        <v>600.0</v>
      </c>
      <c r="L279" s="1000" t="s">
        <v>1022</v>
      </c>
      <c r="M279" s="3"/>
      <c r="N279" s="998">
        <f>K273*K274*K275</f>
        <v>114390</v>
      </c>
      <c r="O279" s="998">
        <f>K275*K279</f>
        <v>18600</v>
      </c>
      <c r="P279" s="1021" t="s">
        <v>133</v>
      </c>
      <c r="Q279" s="1019">
        <f>L267*K284*K266*100</f>
        <v>24412.5</v>
      </c>
      <c r="R279" s="995" t="s">
        <v>1009</v>
      </c>
      <c r="S279" s="993">
        <v>20000.0</v>
      </c>
    </row>
    <row r="280">
      <c r="J280" s="1028" t="s">
        <v>1023</v>
      </c>
      <c r="K280" s="1029">
        <v>25.0</v>
      </c>
      <c r="L280" s="1000" t="s">
        <v>1024</v>
      </c>
      <c r="M280" s="3"/>
      <c r="N280" s="998">
        <f>K276*K277*K278</f>
        <v>215250</v>
      </c>
      <c r="O280" s="998">
        <f>K278*K279</f>
        <v>21000</v>
      </c>
      <c r="P280" s="1018" t="s">
        <v>1025</v>
      </c>
      <c r="Q280" s="1019">
        <f>L267*K285*K266*250</f>
        <v>74593.75</v>
      </c>
      <c r="R280" s="1022" t="s">
        <v>1013</v>
      </c>
      <c r="S280" s="993">
        <v>19167.0</v>
      </c>
    </row>
    <row r="281">
      <c r="J281" s="984" t="s">
        <v>1012</v>
      </c>
      <c r="K281" s="1006">
        <v>0.045</v>
      </c>
      <c r="L281" s="1000" t="s">
        <v>1026</v>
      </c>
      <c r="M281" s="3"/>
      <c r="N281" s="998">
        <f>SUM(N276:O277)</f>
        <v>708500</v>
      </c>
      <c r="O281" s="1030"/>
      <c r="P281" s="984" t="s">
        <v>371</v>
      </c>
      <c r="Q281" s="996">
        <f>SUM(Q274:Q280)+SUM(S274:S276)</f>
        <v>1384568.75</v>
      </c>
      <c r="R281" s="984" t="s">
        <v>371</v>
      </c>
      <c r="S281" s="993">
        <f>S278+S279+S280</f>
        <v>99167</v>
      </c>
    </row>
    <row r="282">
      <c r="J282" s="1022" t="s">
        <v>1027</v>
      </c>
      <c r="K282" s="1006">
        <v>0.185</v>
      </c>
      <c r="L282" s="975"/>
      <c r="M282" s="975"/>
      <c r="N282" s="975"/>
      <c r="O282" s="975"/>
      <c r="P282" s="975"/>
      <c r="Q282" s="975"/>
      <c r="R282" s="975"/>
      <c r="S282" s="975"/>
    </row>
    <row r="283">
      <c r="J283" s="1022" t="s">
        <v>1028</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1025</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1030</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1031</v>
      </c>
      <c r="C2" s="200"/>
      <c r="D2" s="223"/>
      <c r="E2" s="223"/>
      <c r="F2" s="223"/>
      <c r="G2" s="223"/>
      <c r="H2" s="223"/>
      <c r="I2" s="223"/>
      <c r="J2" s="223"/>
      <c r="K2" s="200"/>
      <c r="L2" s="200"/>
      <c r="M2" s="200"/>
      <c r="N2" s="200"/>
      <c r="O2" s="1036"/>
      <c r="P2" s="1044">
        <f>month(P3)</f>
        <v>2</v>
      </c>
      <c r="Q2" s="1045" t="s">
        <v>1032</v>
      </c>
      <c r="R2" s="1046" t="s">
        <v>1033</v>
      </c>
      <c r="S2" s="1047" t="s">
        <v>1034</v>
      </c>
      <c r="T2" s="1047" t="s">
        <v>1035</v>
      </c>
      <c r="U2" s="1047" t="s">
        <v>1036</v>
      </c>
      <c r="V2" s="1048" t="s">
        <v>1037</v>
      </c>
      <c r="W2" s="1047" t="s">
        <v>1038</v>
      </c>
      <c r="X2" s="1047" t="s">
        <v>1039</v>
      </c>
      <c r="Y2" s="1044"/>
      <c r="Z2" s="1044">
        <f>month(Z3)</f>
        <v>3</v>
      </c>
      <c r="AA2" s="1045" t="s">
        <v>1032</v>
      </c>
      <c r="AB2" s="1046" t="s">
        <v>1033</v>
      </c>
      <c r="AC2" s="1047" t="s">
        <v>1034</v>
      </c>
      <c r="AD2" s="1047" t="s">
        <v>1035</v>
      </c>
      <c r="AE2" s="1047" t="s">
        <v>1036</v>
      </c>
      <c r="AF2" s="1048" t="s">
        <v>1040</v>
      </c>
      <c r="AG2" s="1047" t="s">
        <v>1038</v>
      </c>
      <c r="AH2" s="1047" t="s">
        <v>1039</v>
      </c>
      <c r="AI2" s="1044"/>
      <c r="AJ2" s="1044">
        <f>month(AJ3)</f>
        <v>4</v>
      </c>
      <c r="AK2" s="1045" t="s">
        <v>1032</v>
      </c>
      <c r="AL2" s="1046" t="s">
        <v>1033</v>
      </c>
      <c r="AM2" s="1047" t="s">
        <v>1034</v>
      </c>
      <c r="AN2" s="1047" t="s">
        <v>1035</v>
      </c>
      <c r="AO2" s="1047" t="s">
        <v>1036</v>
      </c>
      <c r="AP2" s="1048" t="s">
        <v>1041</v>
      </c>
      <c r="AQ2" s="1047" t="s">
        <v>1038</v>
      </c>
      <c r="AR2" s="1047" t="s">
        <v>1039</v>
      </c>
      <c r="AS2" s="1047"/>
      <c r="AT2" s="1044">
        <f>month(AT3)</f>
        <v>5</v>
      </c>
      <c r="AU2" s="1049" t="s">
        <v>1032</v>
      </c>
      <c r="AV2" s="1050" t="s">
        <v>1033</v>
      </c>
      <c r="AW2" s="1051" t="s">
        <v>1034</v>
      </c>
      <c r="AX2" s="1051" t="s">
        <v>1035</v>
      </c>
      <c r="AY2" s="1051" t="s">
        <v>1036</v>
      </c>
      <c r="AZ2" s="1052" t="s">
        <v>1042</v>
      </c>
      <c r="BA2" s="1051" t="s">
        <v>1038</v>
      </c>
      <c r="BB2" s="1051" t="s">
        <v>1039</v>
      </c>
      <c r="BC2" s="1044"/>
      <c r="BD2" s="1044">
        <f>month(BD3)</f>
        <v>6</v>
      </c>
      <c r="BE2" s="1045" t="s">
        <v>1032</v>
      </c>
      <c r="BF2" s="1046" t="s">
        <v>1033</v>
      </c>
      <c r="BG2" s="1047" t="s">
        <v>1034</v>
      </c>
      <c r="BH2" s="1047" t="s">
        <v>1035</v>
      </c>
      <c r="BI2" s="1047" t="s">
        <v>1036</v>
      </c>
      <c r="BJ2" s="1048" t="s">
        <v>1043</v>
      </c>
      <c r="BK2" s="1047" t="s">
        <v>1038</v>
      </c>
      <c r="BL2" s="1047" t="s">
        <v>1039</v>
      </c>
      <c r="BM2" s="1044"/>
      <c r="BN2" s="1044">
        <f>month(BN3)</f>
        <v>7</v>
      </c>
      <c r="BO2" s="1045" t="s">
        <v>1032</v>
      </c>
      <c r="BP2" s="1046" t="s">
        <v>1033</v>
      </c>
      <c r="BQ2" s="1047" t="s">
        <v>1034</v>
      </c>
      <c r="BR2" s="1047" t="s">
        <v>1035</v>
      </c>
      <c r="BS2" s="1047" t="s">
        <v>1036</v>
      </c>
      <c r="BT2" s="1048" t="s">
        <v>1044</v>
      </c>
      <c r="BU2" s="1047" t="s">
        <v>1038</v>
      </c>
      <c r="BV2" s="1047" t="s">
        <v>1039</v>
      </c>
      <c r="BW2" s="1047"/>
      <c r="BX2" s="1044">
        <f>month(BX3)</f>
        <v>8</v>
      </c>
      <c r="BY2" s="1045" t="s">
        <v>1032</v>
      </c>
      <c r="BZ2" s="1046" t="s">
        <v>1033</v>
      </c>
      <c r="CA2" s="1047" t="s">
        <v>1034</v>
      </c>
      <c r="CB2" s="1047" t="s">
        <v>1035</v>
      </c>
      <c r="CC2" s="1047" t="s">
        <v>1036</v>
      </c>
      <c r="CD2" s="1048" t="s">
        <v>1045</v>
      </c>
      <c r="CE2" s="1047" t="s">
        <v>1038</v>
      </c>
      <c r="CF2" s="1047" t="s">
        <v>1039</v>
      </c>
      <c r="CG2" s="1044"/>
      <c r="CH2" s="1044">
        <f>month(CH3)</f>
        <v>9</v>
      </c>
      <c r="CI2" s="1045" t="s">
        <v>1032</v>
      </c>
      <c r="CJ2" s="1046" t="s">
        <v>1033</v>
      </c>
      <c r="CK2" s="1047" t="s">
        <v>1034</v>
      </c>
      <c r="CL2" s="1047" t="s">
        <v>1035</v>
      </c>
      <c r="CM2" s="1047" t="s">
        <v>1036</v>
      </c>
      <c r="CN2" s="1048" t="s">
        <v>1046</v>
      </c>
      <c r="CO2" s="1047" t="s">
        <v>1038</v>
      </c>
      <c r="CP2" s="1047" t="s">
        <v>1039</v>
      </c>
      <c r="CQ2" s="1044"/>
      <c r="CR2" s="1044">
        <f>month(CR3)</f>
        <v>10</v>
      </c>
      <c r="CS2" s="1045" t="s">
        <v>1032</v>
      </c>
      <c r="CT2" s="1046" t="s">
        <v>1033</v>
      </c>
      <c r="CU2" s="1047" t="s">
        <v>1034</v>
      </c>
      <c r="CV2" s="1047" t="s">
        <v>1035</v>
      </c>
      <c r="CW2" s="1047" t="s">
        <v>1036</v>
      </c>
      <c r="CX2" s="1048" t="s">
        <v>1047</v>
      </c>
      <c r="CY2" s="1047" t="s">
        <v>1038</v>
      </c>
      <c r="CZ2" s="1047" t="s">
        <v>1039</v>
      </c>
      <c r="DA2" s="1047"/>
      <c r="DB2" s="1044">
        <f>month(DB3)</f>
        <v>11</v>
      </c>
      <c r="DC2" s="1045" t="s">
        <v>1032</v>
      </c>
      <c r="DD2" s="1046" t="s">
        <v>1033</v>
      </c>
      <c r="DE2" s="1047" t="s">
        <v>1034</v>
      </c>
      <c r="DF2" s="1047" t="s">
        <v>1035</v>
      </c>
      <c r="DG2" s="1047" t="s">
        <v>1036</v>
      </c>
      <c r="DH2" s="1048" t="s">
        <v>1048</v>
      </c>
      <c r="DI2" s="1047" t="s">
        <v>1038</v>
      </c>
      <c r="DJ2" s="1047" t="s">
        <v>1039</v>
      </c>
      <c r="DK2" s="1044"/>
      <c r="DL2" s="1044">
        <f>month(DL3)</f>
        <v>12</v>
      </c>
      <c r="DM2" s="1045" t="s">
        <v>1032</v>
      </c>
      <c r="DN2" s="1046" t="s">
        <v>1033</v>
      </c>
      <c r="DO2" s="1047" t="s">
        <v>1034</v>
      </c>
      <c r="DP2" s="1047" t="s">
        <v>1035</v>
      </c>
      <c r="DQ2" s="1047" t="s">
        <v>1036</v>
      </c>
      <c r="DR2" s="1048" t="s">
        <v>1049</v>
      </c>
      <c r="DS2" s="1047" t="s">
        <v>1038</v>
      </c>
      <c r="DT2" s="1047" t="s">
        <v>1039</v>
      </c>
      <c r="DU2" s="1044"/>
      <c r="DV2" s="1044">
        <f>month(DV3)</f>
        <v>1</v>
      </c>
      <c r="DW2" s="1045" t="s">
        <v>1032</v>
      </c>
      <c r="DX2" s="1046" t="s">
        <v>1033</v>
      </c>
      <c r="DY2" s="1047" t="s">
        <v>1034</v>
      </c>
      <c r="DZ2" s="1047" t="s">
        <v>1035</v>
      </c>
      <c r="EA2" s="1047" t="s">
        <v>1036</v>
      </c>
      <c r="EB2" s="1048" t="s">
        <v>1050</v>
      </c>
      <c r="EC2" s="1047" t="s">
        <v>1038</v>
      </c>
      <c r="ED2" s="1047" t="s">
        <v>1039</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1051</v>
      </c>
      <c r="D3" s="1057" t="s">
        <v>635</v>
      </c>
      <c r="E3" s="1057" t="s">
        <v>1052</v>
      </c>
      <c r="F3" s="1058" t="s">
        <v>1053</v>
      </c>
      <c r="G3" s="1059" t="s">
        <v>1054</v>
      </c>
      <c r="H3" s="1060" t="s">
        <v>1055</v>
      </c>
      <c r="I3" s="1057" t="s">
        <v>1056</v>
      </c>
      <c r="J3" s="1057" t="s">
        <v>1057</v>
      </c>
      <c r="K3" s="200"/>
      <c r="L3" s="1061" t="s">
        <v>96</v>
      </c>
      <c r="M3" s="1061" t="s">
        <v>604</v>
      </c>
      <c r="N3" s="200"/>
      <c r="O3" s="1036"/>
      <c r="P3" s="1062">
        <v>46054.0</v>
      </c>
      <c r="Q3" s="1063" t="s">
        <v>80</v>
      </c>
      <c r="R3" s="1064" t="s">
        <v>1051</v>
      </c>
      <c r="S3" s="1063" t="s">
        <v>635</v>
      </c>
      <c r="T3" s="1063" t="s">
        <v>1058</v>
      </c>
      <c r="U3" s="1063" t="s">
        <v>1059</v>
      </c>
      <c r="V3" s="1063" t="s">
        <v>1060</v>
      </c>
      <c r="W3" s="1063" t="s">
        <v>1061</v>
      </c>
      <c r="X3" s="1063" t="s">
        <v>1062</v>
      </c>
      <c r="Y3" s="1065"/>
      <c r="Z3" s="1062">
        <v>46082.0</v>
      </c>
      <c r="AA3" s="1063" t="s">
        <v>80</v>
      </c>
      <c r="AB3" s="1064" t="s">
        <v>1051</v>
      </c>
      <c r="AC3" s="1063" t="s">
        <v>635</v>
      </c>
      <c r="AD3" s="1063" t="s">
        <v>1058</v>
      </c>
      <c r="AE3" s="1063" t="s">
        <v>1059</v>
      </c>
      <c r="AF3" s="1063" t="s">
        <v>1060</v>
      </c>
      <c r="AG3" s="1063" t="s">
        <v>1061</v>
      </c>
      <c r="AH3" s="1063" t="s">
        <v>1062</v>
      </c>
      <c r="AI3" s="1066"/>
      <c r="AJ3" s="1067">
        <v>46113.0</v>
      </c>
      <c r="AK3" s="1063" t="s">
        <v>80</v>
      </c>
      <c r="AL3" s="1064" t="s">
        <v>1051</v>
      </c>
      <c r="AM3" s="1063" t="s">
        <v>635</v>
      </c>
      <c r="AN3" s="1063" t="s">
        <v>1058</v>
      </c>
      <c r="AO3" s="1063" t="s">
        <v>1059</v>
      </c>
      <c r="AP3" s="1063" t="s">
        <v>1060</v>
      </c>
      <c r="AQ3" s="1063" t="s">
        <v>1061</v>
      </c>
      <c r="AR3" s="1063" t="s">
        <v>1062</v>
      </c>
      <c r="AS3" s="1065"/>
      <c r="AT3" s="1067">
        <v>46143.0</v>
      </c>
      <c r="AU3" s="1068" t="s">
        <v>80</v>
      </c>
      <c r="AV3" s="1069" t="s">
        <v>1051</v>
      </c>
      <c r="AW3" s="1068" t="s">
        <v>635</v>
      </c>
      <c r="AX3" s="1068" t="s">
        <v>1058</v>
      </c>
      <c r="AY3" s="1068" t="s">
        <v>1059</v>
      </c>
      <c r="AZ3" s="1068" t="s">
        <v>1060</v>
      </c>
      <c r="BA3" s="1068" t="s">
        <v>1061</v>
      </c>
      <c r="BB3" s="1068" t="s">
        <v>1062</v>
      </c>
      <c r="BC3" s="1065"/>
      <c r="BD3" s="1067">
        <v>46174.0</v>
      </c>
      <c r="BE3" s="1063" t="s">
        <v>80</v>
      </c>
      <c r="BF3" s="1064" t="s">
        <v>1051</v>
      </c>
      <c r="BG3" s="1063" t="s">
        <v>635</v>
      </c>
      <c r="BH3" s="1063" t="s">
        <v>1058</v>
      </c>
      <c r="BI3" s="1063" t="s">
        <v>1059</v>
      </c>
      <c r="BJ3" s="1063" t="s">
        <v>1060</v>
      </c>
      <c r="BK3" s="1063" t="s">
        <v>1061</v>
      </c>
      <c r="BL3" s="1063" t="s">
        <v>1062</v>
      </c>
      <c r="BM3" s="1066"/>
      <c r="BN3" s="1067">
        <v>46205.0</v>
      </c>
      <c r="BO3" s="1063" t="s">
        <v>80</v>
      </c>
      <c r="BP3" s="1064" t="s">
        <v>1051</v>
      </c>
      <c r="BQ3" s="1063" t="s">
        <v>635</v>
      </c>
      <c r="BR3" s="1063" t="s">
        <v>1058</v>
      </c>
      <c r="BS3" s="1063" t="s">
        <v>1059</v>
      </c>
      <c r="BT3" s="1063" t="s">
        <v>1060</v>
      </c>
      <c r="BU3" s="1063" t="s">
        <v>1061</v>
      </c>
      <c r="BV3" s="1063" t="s">
        <v>1062</v>
      </c>
      <c r="BW3" s="1065"/>
      <c r="BX3" s="1067">
        <v>46235.0</v>
      </c>
      <c r="BY3" s="1063" t="s">
        <v>80</v>
      </c>
      <c r="BZ3" s="1064" t="s">
        <v>1051</v>
      </c>
      <c r="CA3" s="1063" t="s">
        <v>635</v>
      </c>
      <c r="CB3" s="1063" t="s">
        <v>1058</v>
      </c>
      <c r="CC3" s="1063" t="s">
        <v>1059</v>
      </c>
      <c r="CD3" s="1063" t="s">
        <v>1060</v>
      </c>
      <c r="CE3" s="1063" t="s">
        <v>1061</v>
      </c>
      <c r="CF3" s="1063" t="s">
        <v>1062</v>
      </c>
      <c r="CG3" s="1065"/>
      <c r="CH3" s="1067">
        <v>46266.0</v>
      </c>
      <c r="CI3" s="1063" t="s">
        <v>80</v>
      </c>
      <c r="CJ3" s="1064" t="s">
        <v>1051</v>
      </c>
      <c r="CK3" s="1063" t="s">
        <v>635</v>
      </c>
      <c r="CL3" s="1063" t="s">
        <v>1058</v>
      </c>
      <c r="CM3" s="1063" t="s">
        <v>1059</v>
      </c>
      <c r="CN3" s="1063" t="s">
        <v>1060</v>
      </c>
      <c r="CO3" s="1063" t="s">
        <v>1061</v>
      </c>
      <c r="CP3" s="1063" t="s">
        <v>1062</v>
      </c>
      <c r="CQ3" s="1066"/>
      <c r="CR3" s="1067">
        <v>46296.0</v>
      </c>
      <c r="CS3" s="1063" t="s">
        <v>80</v>
      </c>
      <c r="CT3" s="1064" t="s">
        <v>1051</v>
      </c>
      <c r="CU3" s="1063" t="s">
        <v>635</v>
      </c>
      <c r="CV3" s="1063" t="s">
        <v>1058</v>
      </c>
      <c r="CW3" s="1063" t="s">
        <v>1059</v>
      </c>
      <c r="CX3" s="1063" t="s">
        <v>1060</v>
      </c>
      <c r="CY3" s="1063" t="s">
        <v>1061</v>
      </c>
      <c r="CZ3" s="1063" t="s">
        <v>1062</v>
      </c>
      <c r="DA3" s="1065"/>
      <c r="DB3" s="1067">
        <v>46327.0</v>
      </c>
      <c r="DC3" s="1063" t="s">
        <v>80</v>
      </c>
      <c r="DD3" s="1064" t="s">
        <v>1051</v>
      </c>
      <c r="DE3" s="1063" t="s">
        <v>635</v>
      </c>
      <c r="DF3" s="1063" t="s">
        <v>1058</v>
      </c>
      <c r="DG3" s="1063" t="s">
        <v>1059</v>
      </c>
      <c r="DH3" s="1063" t="s">
        <v>1060</v>
      </c>
      <c r="DI3" s="1063" t="s">
        <v>1061</v>
      </c>
      <c r="DJ3" s="1063" t="s">
        <v>1062</v>
      </c>
      <c r="DK3" s="1065"/>
      <c r="DL3" s="1067">
        <v>46357.0</v>
      </c>
      <c r="DM3" s="1063" t="s">
        <v>80</v>
      </c>
      <c r="DN3" s="1064" t="s">
        <v>1051</v>
      </c>
      <c r="DO3" s="1063" t="s">
        <v>635</v>
      </c>
      <c r="DP3" s="1063" t="s">
        <v>1058</v>
      </c>
      <c r="DQ3" s="1063" t="s">
        <v>1059</v>
      </c>
      <c r="DR3" s="1063" t="s">
        <v>1060</v>
      </c>
      <c r="DS3" s="1063" t="s">
        <v>1061</v>
      </c>
      <c r="DT3" s="1063" t="s">
        <v>1062</v>
      </c>
      <c r="DU3" s="1065"/>
      <c r="DV3" s="1067">
        <v>46388.0</v>
      </c>
      <c r="DW3" s="1063" t="s">
        <v>80</v>
      </c>
      <c r="DX3" s="1064" t="s">
        <v>1051</v>
      </c>
      <c r="DY3" s="1063" t="s">
        <v>635</v>
      </c>
      <c r="DZ3" s="1063" t="s">
        <v>1058</v>
      </c>
      <c r="EA3" s="1063" t="s">
        <v>1059</v>
      </c>
      <c r="EB3" s="1063" t="s">
        <v>1060</v>
      </c>
      <c r="EC3" s="1063" t="s">
        <v>1061</v>
      </c>
      <c r="ED3" s="1063" t="s">
        <v>1062</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29</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189.1</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1063</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IFERROR(__xludf.DUMMYFUNCTION("IMPORTRANGE($P$7,$P$4&amp;AO$2)"),6.0)</f>
        <v>6</v>
      </c>
      <c r="AP4" s="228">
        <f t="shared" ref="AP4:AP299" si="7">COUNTIF(INDIRECT(AP$2 &amp; "L9:L"), AL4)</f>
        <v>0</v>
      </c>
      <c r="AQ4" s="1083">
        <f>IFERROR(__xludf.DUMMYFUNCTION("IMPORTRANGE($P$7,$P$4&amp;AQ$2)"),38.583333333333336)</f>
        <v>38.58333333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478</v>
      </c>
      <c r="D5" s="1073" t="s">
        <v>89</v>
      </c>
      <c r="E5" s="1073" t="s">
        <v>996</v>
      </c>
      <c r="F5" s="1074">
        <f t="shared" si="2"/>
        <v>29</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179.65</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1064</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IFERROR(__xludf.DUMMYFUNCTION("""COMPUTED_VALUE"""),6.0)</f>
        <v>6</v>
      </c>
      <c r="AP5" s="228">
        <f t="shared" si="7"/>
        <v>0</v>
      </c>
      <c r="AQ5" s="1083">
        <f>IFERROR(__xludf.DUMMYFUNCTION("""COMPUTED_VALUE"""),38.266666666666666)</f>
        <v>38.26666667</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996</v>
      </c>
      <c r="F6" s="1074">
        <f t="shared" si="2"/>
        <v>32</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218.85</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1065</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IFERROR(__xludf.DUMMYFUNCTION("""COMPUTED_VALUE"""),8.0)</f>
        <v>8</v>
      </c>
      <c r="AP6" s="228">
        <f t="shared" si="7"/>
        <v>0</v>
      </c>
      <c r="AQ6" s="1083">
        <f>IFERROR(__xludf.DUMMYFUNCTION("""COMPUTED_VALUE"""),56.166666666666664)</f>
        <v>56.16666667</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188</v>
      </c>
      <c r="D7" s="1073" t="s">
        <v>89</v>
      </c>
      <c r="E7" s="1073" t="s">
        <v>996</v>
      </c>
      <c r="F7" s="1074">
        <f t="shared" si="2"/>
        <v>29</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192.8833333</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1066</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IFERROR(__xludf.DUMMYFUNCTION("""COMPUTED_VALUE"""),9.0)</f>
        <v>9</v>
      </c>
      <c r="AP7" s="228">
        <f t="shared" si="7"/>
        <v>0</v>
      </c>
      <c r="AQ7" s="1083">
        <f>IFERROR(__xludf.DUMMYFUNCTION("""COMPUTED_VALUE"""),59.13333333333333)</f>
        <v>59.13333333</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483</v>
      </c>
      <c r="D8" s="1073" t="s">
        <v>89</v>
      </c>
      <c r="E8" s="1073" t="s">
        <v>996</v>
      </c>
      <c r="F8" s="1074">
        <f t="shared" si="2"/>
        <v>33</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205.5166667</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IFERROR(__xludf.DUMMYFUNCTION("""COMPUTED_VALUE"""),7.0)</f>
        <v>7</v>
      </c>
      <c r="AP8" s="228">
        <f t="shared" si="7"/>
        <v>0</v>
      </c>
      <c r="AQ8" s="1083">
        <f>IFERROR(__xludf.DUMMYFUNCTION("""COMPUTED_VALUE"""),43.61666666666667)</f>
        <v>43.61666667</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198</v>
      </c>
      <c r="D9" s="1073" t="s">
        <v>89</v>
      </c>
      <c r="E9" s="1073" t="s">
        <v>996</v>
      </c>
      <c r="F9" s="1074">
        <f t="shared" si="2"/>
        <v>26</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169.25</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IFERROR(__xludf.DUMMYFUNCTION("""COMPUTED_VALUE"""),9.0)</f>
        <v>9</v>
      </c>
      <c r="AP9" s="228">
        <f t="shared" si="7"/>
        <v>0</v>
      </c>
      <c r="AQ9" s="1083">
        <f>IFERROR(__xludf.DUMMYFUNCTION("""COMPUTED_VALUE"""),61.88333333333333)</f>
        <v>61.88333333</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544</v>
      </c>
      <c r="D10" s="1073" t="s">
        <v>615</v>
      </c>
      <c r="E10" s="1073" t="s">
        <v>996</v>
      </c>
      <c r="F10" s="1074">
        <f t="shared" si="2"/>
        <v>45</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135.5</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IFERROR(__xludf.DUMMYFUNCTION("""COMPUTED_VALUE"""),10.0)</f>
        <v>10</v>
      </c>
      <c r="AP10" s="228">
        <f t="shared" si="7"/>
        <v>0</v>
      </c>
      <c r="AQ10" s="1083">
        <f>IFERROR(__xludf.DUMMYFUNCTION("""COMPUTED_VALUE"""),30.05)</f>
        <v>30.05</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517</v>
      </c>
      <c r="D11" s="1073" t="s">
        <v>615</v>
      </c>
      <c r="E11" s="1073" t="s">
        <v>996</v>
      </c>
      <c r="F11" s="1074">
        <f t="shared" si="2"/>
        <v>23</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72.18333333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IFERROR(__xludf.DUMMYFUNCTION("""COMPUTED_VALUE"""),5.0)</f>
        <v>5</v>
      </c>
      <c r="AP11" s="228">
        <f t="shared" si="7"/>
        <v>0</v>
      </c>
      <c r="AQ11" s="1083">
        <f>IFERROR(__xludf.DUMMYFUNCTION("""COMPUTED_VALUE"""),13.233333333333333)</f>
        <v>13.23333333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545</v>
      </c>
      <c r="D12" s="1073" t="s">
        <v>90</v>
      </c>
      <c r="E12" s="1073" t="s">
        <v>1067</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486</v>
      </c>
      <c r="D13" s="1073" t="s">
        <v>90</v>
      </c>
      <c r="E13" s="1073" t="s">
        <v>1068</v>
      </c>
      <c r="F13" s="1074">
        <f t="shared" si="2"/>
        <v>54</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284.1666667</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IFERROR(__xludf.DUMMYFUNCTION("""COMPUTED_VALUE"""),13.0)</f>
        <v>13</v>
      </c>
      <c r="AP13" s="228">
        <f t="shared" si="7"/>
        <v>0</v>
      </c>
      <c r="AQ13" s="1083">
        <f>IFERROR(__xludf.DUMMYFUNCTION("""COMPUTED_VALUE"""),67.38333333333334)</f>
        <v>67.38333333</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489</v>
      </c>
      <c r="D14" s="1073" t="s">
        <v>90</v>
      </c>
      <c r="E14" s="1073" t="s">
        <v>1068</v>
      </c>
      <c r="F14" s="1074">
        <f t="shared" si="2"/>
        <v>31</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161.5</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IFERROR(__xludf.DUMMYFUNCTION("""COMPUTED_VALUE"""),6.0)</f>
        <v>6</v>
      </c>
      <c r="AP14" s="228">
        <f t="shared" si="7"/>
        <v>0</v>
      </c>
      <c r="AQ14" s="1083">
        <f>IFERROR(__xludf.DUMMYFUNCTION("""COMPUTED_VALUE"""),30.616666666666667)</f>
        <v>30.61666667</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499</v>
      </c>
      <c r="D15" s="1073" t="s">
        <v>90</v>
      </c>
      <c r="E15" s="1073" t="s">
        <v>1068</v>
      </c>
      <c r="F15" s="1074">
        <f t="shared" si="2"/>
        <v>52</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267.25</v>
      </c>
      <c r="J15" s="1077">
        <f t="shared" si="26"/>
        <v>755</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IFERROR(__xludf.DUMMYFUNCTION("""COMPUTED_VALUE"""),13.0)</f>
        <v>13</v>
      </c>
      <c r="AP15" s="228">
        <f t="shared" si="7"/>
        <v>0</v>
      </c>
      <c r="AQ15" s="1083">
        <f>IFERROR(__xludf.DUMMYFUNCTION("""COMPUTED_VALUE"""),62.8)</f>
        <v>62.8</v>
      </c>
      <c r="AR15" s="228">
        <f>IFERROR(__xludf.DUMMYFUNCTION("""COMPUTED_VALUE"""),183.0)</f>
        <v>183</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497</v>
      </c>
      <c r="D16" s="1073" t="s">
        <v>90</v>
      </c>
      <c r="E16" s="1073" t="s">
        <v>1068</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1068</v>
      </c>
      <c r="F17" s="1074">
        <f t="shared" si="2"/>
        <v>65</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413.7666667</v>
      </c>
      <c r="J17" s="1077">
        <f t="shared" si="28"/>
        <v>1146</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IFERROR(__xludf.DUMMYFUNCTION("""COMPUTED_VALUE"""),14.0)</f>
        <v>14</v>
      </c>
      <c r="AP17" s="228">
        <f t="shared" si="7"/>
        <v>0</v>
      </c>
      <c r="AQ17" s="1083">
        <f>IFERROR(__xludf.DUMMYFUNCTION("""COMPUTED_VALUE"""),91.48333333333333)</f>
        <v>91.48333333</v>
      </c>
      <c r="AR17" s="228">
        <f>IFERROR(__xludf.DUMMYFUNCTION("""COMPUTED_VALUE"""),247.0)</f>
        <v>247</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550</v>
      </c>
      <c r="D18" s="1073" t="s">
        <v>90</v>
      </c>
      <c r="E18" s="1073" t="s">
        <v>1067</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507</v>
      </c>
      <c r="D19" s="1073" t="s">
        <v>90</v>
      </c>
      <c r="E19" s="1073" t="s">
        <v>1068</v>
      </c>
      <c r="F19" s="1074">
        <f t="shared" si="2"/>
        <v>33</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185.4333333</v>
      </c>
      <c r="J19" s="1077">
        <f t="shared" si="30"/>
        <v>415</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IFERROR(__xludf.DUMMYFUNCTION("""COMPUTED_VALUE"""),6.0)</f>
        <v>6</v>
      </c>
      <c r="AP19" s="228">
        <f t="shared" si="7"/>
        <v>0</v>
      </c>
      <c r="AQ19" s="1083">
        <f>IFERROR(__xludf.DUMMYFUNCTION("""COMPUTED_VALUE"""),33.21666666666667)</f>
        <v>33.21666667</v>
      </c>
      <c r="AR19" s="228">
        <f>IFERROR(__xludf.DUMMYFUNCTION("""COMPUTED_VALUE"""),77.0)</f>
        <v>77</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502</v>
      </c>
      <c r="D20" s="1073" t="s">
        <v>90</v>
      </c>
      <c r="E20" s="1073" t="s">
        <v>996</v>
      </c>
      <c r="F20" s="1074">
        <f t="shared" si="2"/>
        <v>33</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169.3833333</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IFERROR(__xludf.DUMMYFUNCTION("""COMPUTED_VALUE"""),9.0)</f>
        <v>9</v>
      </c>
      <c r="AP20" s="228">
        <f t="shared" si="7"/>
        <v>0</v>
      </c>
      <c r="AQ20" s="1083">
        <f>IFERROR(__xludf.DUMMYFUNCTION("""COMPUTED_VALUE"""),45.35)</f>
        <v>45.35</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189</v>
      </c>
      <c r="D21" s="1073" t="s">
        <v>90</v>
      </c>
      <c r="E21" s="1073" t="s">
        <v>1068</v>
      </c>
      <c r="F21" s="1074">
        <f t="shared" si="2"/>
        <v>58</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214.6333333</v>
      </c>
      <c r="J21" s="1077">
        <f t="shared" si="32"/>
        <v>853</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IFERROR(__xludf.DUMMYFUNCTION("""COMPUTED_VALUE"""),11.0)</f>
        <v>11</v>
      </c>
      <c r="AP21" s="228">
        <f t="shared" si="7"/>
        <v>0</v>
      </c>
      <c r="AQ21" s="1083">
        <f>IFERROR(__xludf.DUMMYFUNCTION("""COMPUTED_VALUE"""),73.51666666666667)</f>
        <v>73.51666667</v>
      </c>
      <c r="AR21" s="228">
        <f>IFERROR(__xludf.DUMMYFUNCTION("""COMPUTED_VALUE"""),166.0)</f>
        <v>166</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182</v>
      </c>
      <c r="D22" s="1073" t="s">
        <v>90</v>
      </c>
      <c r="E22" s="1073" t="s">
        <v>1068</v>
      </c>
      <c r="F22" s="1074">
        <f t="shared" si="2"/>
        <v>54</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317.8166667</v>
      </c>
      <c r="J22" s="1077">
        <f t="shared" si="33"/>
        <v>891</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IFERROR(__xludf.DUMMYFUNCTION("""COMPUTED_VALUE"""),13.0)</f>
        <v>13</v>
      </c>
      <c r="AP22" s="228">
        <f t="shared" si="7"/>
        <v>0</v>
      </c>
      <c r="AQ22" s="1083">
        <f>IFERROR(__xludf.DUMMYFUNCTION("""COMPUTED_VALUE"""),75.23333333333333)</f>
        <v>75.23333333</v>
      </c>
      <c r="AR22" s="228">
        <f>IFERROR(__xludf.DUMMYFUNCTION("""COMPUTED_VALUE"""),220.0)</f>
        <v>220</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1067</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505</v>
      </c>
      <c r="D24" s="1073" t="s">
        <v>90</v>
      </c>
      <c r="E24" s="1073" t="s">
        <v>1068</v>
      </c>
      <c r="F24" s="1074">
        <f t="shared" si="2"/>
        <v>43</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241.6</v>
      </c>
      <c r="J24" s="1077">
        <f t="shared" si="35"/>
        <v>123</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IFERROR(__xludf.DUMMYFUNCTION("""COMPUTED_VALUE"""),11.0)</f>
        <v>11</v>
      </c>
      <c r="AP24" s="228">
        <f t="shared" si="7"/>
        <v>0</v>
      </c>
      <c r="AQ24" s="1083">
        <f>IFERROR(__xludf.DUMMYFUNCTION("""COMPUTED_VALUE"""),53.5)</f>
        <v>53.5</v>
      </c>
      <c r="AR24" s="228">
        <f>IFERROR(__xludf.DUMMYFUNCTION("""COMPUTED_VALUE"""),123.0)</f>
        <v>123</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512</v>
      </c>
      <c r="D25" s="1073" t="s">
        <v>90</v>
      </c>
      <c r="E25" s="1073" t="s">
        <v>996</v>
      </c>
      <c r="F25" s="1074">
        <f t="shared" si="2"/>
        <v>13</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83.75</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IFERROR(__xludf.DUMMYFUNCTION("""COMPUTED_VALUE"""),2.0)</f>
        <v>2</v>
      </c>
      <c r="AP25" s="228">
        <f t="shared" si="7"/>
        <v>0</v>
      </c>
      <c r="AQ25" s="1083">
        <f>IFERROR(__xludf.DUMMYFUNCTION("""COMPUTED_VALUE"""),13.6)</f>
        <v>13.6</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1067</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1068</v>
      </c>
      <c r="F27" s="1074">
        <f t="shared" si="2"/>
        <v>40</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252.4333333</v>
      </c>
      <c r="J27" s="1077">
        <f t="shared" si="38"/>
        <v>95</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IFERROR(__xludf.DUMMYFUNCTION("""COMPUTED_VALUE"""),9.0)</f>
        <v>9</v>
      </c>
      <c r="AP27" s="228">
        <f t="shared" si="7"/>
        <v>0</v>
      </c>
      <c r="AQ27" s="1083">
        <f>IFERROR(__xludf.DUMMYFUNCTION("""COMPUTED_VALUE"""),52.0)</f>
        <v>52</v>
      </c>
      <c r="AR27" s="228">
        <f>IFERROR(__xludf.DUMMYFUNCTION("""COMPUTED_VALUE"""),95.0)</f>
        <v>95</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509</v>
      </c>
      <c r="D28" s="1073" t="s">
        <v>90</v>
      </c>
      <c r="E28" s="1073" t="s">
        <v>1068</v>
      </c>
      <c r="F28" s="1074">
        <f t="shared" si="2"/>
        <v>51</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338.35</v>
      </c>
      <c r="J28" s="1077">
        <f t="shared" si="39"/>
        <v>118</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IFERROR(__xludf.DUMMYFUNCTION("""COMPUTED_VALUE"""),9.0)</f>
        <v>9</v>
      </c>
      <c r="AP28" s="228">
        <f t="shared" si="7"/>
        <v>0</v>
      </c>
      <c r="AQ28" s="1083">
        <f>IFERROR(__xludf.DUMMYFUNCTION("""COMPUTED_VALUE"""),61.61666666666667)</f>
        <v>61.61666667</v>
      </c>
      <c r="AR28" s="228">
        <f>IFERROR(__xludf.DUMMYFUNCTION("""COMPUTED_VALUE"""),118.0)</f>
        <v>118</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1068</v>
      </c>
      <c r="F29" s="1074">
        <f t="shared" si="2"/>
        <v>43</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287.0666667</v>
      </c>
      <c r="J29" s="1077">
        <f t="shared" si="40"/>
        <v>109</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IFERROR(__xludf.DUMMYFUNCTION("""COMPUTED_VALUE"""),9.0)</f>
        <v>9</v>
      </c>
      <c r="AP29" s="228">
        <f t="shared" si="7"/>
        <v>0</v>
      </c>
      <c r="AQ29" s="1083">
        <f>IFERROR(__xludf.DUMMYFUNCTION("""COMPUTED_VALUE"""),58.6)</f>
        <v>58.6</v>
      </c>
      <c r="AR29" s="228">
        <f>IFERROR(__xludf.DUMMYFUNCTION("""COMPUTED_VALUE"""),109.0)</f>
        <v>109</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554</v>
      </c>
      <c r="D30" s="1073" t="s">
        <v>90</v>
      </c>
      <c r="E30" s="1073" t="s">
        <v>1067</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510</v>
      </c>
      <c r="D31" s="1073" t="s">
        <v>90</v>
      </c>
      <c r="E31" s="1073" t="s">
        <v>996</v>
      </c>
      <c r="F31" s="1074">
        <f t="shared" si="2"/>
        <v>18</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109.85</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IFERROR(__xludf.DUMMYFUNCTION("""COMPUTED_VALUE"""),11.0)</f>
        <v>11</v>
      </c>
      <c r="AP31" s="228">
        <f t="shared" si="7"/>
        <v>0</v>
      </c>
      <c r="AQ31" s="1083">
        <f>IFERROR(__xludf.DUMMYFUNCTION("""COMPUTED_VALUE"""),63.583333333333336)</f>
        <v>63.58333333</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511</v>
      </c>
      <c r="D32" s="1073" t="s">
        <v>90</v>
      </c>
      <c r="E32" s="1073" t="s">
        <v>996</v>
      </c>
      <c r="F32" s="1074">
        <f t="shared" si="2"/>
        <v>8</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49.55</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IFERROR(__xludf.DUMMYFUNCTION("""COMPUTED_VALUE"""),4.0)</f>
        <v>4</v>
      </c>
      <c r="AP32" s="228">
        <f t="shared" si="7"/>
        <v>0</v>
      </c>
      <c r="AQ32" s="1083">
        <f>IFERROR(__xludf.DUMMYFUNCTION("""COMPUTED_VALUE"""),24.133333333333333)</f>
        <v>24.13333333</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v>2433.0</v>
      </c>
      <c r="C33" s="1105" t="s">
        <v>514</v>
      </c>
      <c r="D33" s="1073" t="s">
        <v>90</v>
      </c>
      <c r="E33" s="1073" t="s">
        <v>996</v>
      </c>
      <c r="F33" s="1074">
        <f t="shared" si="2"/>
        <v>11</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63.51666667</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5">
        <f>IFERROR(__xludf.DUMMYFUNCTION("""COMPUTED_VALUE"""),2433.0)</f>
        <v>2433</v>
      </c>
      <c r="AL33" s="184" t="str">
        <f>IFERROR(__xludf.DUMMYFUNCTION("""COMPUTED_VALUE"""),"アスミタ")</f>
        <v>アスミタ</v>
      </c>
      <c r="AM33" s="228" t="str">
        <f>IFERROR(__xludf.DUMMYFUNCTION("""COMPUTED_VALUE"""),"メイド")</f>
        <v>メイド</v>
      </c>
      <c r="AN33" s="228" t="str">
        <f>IFERROR(__xludf.DUMMYFUNCTION("""COMPUTED_VALUE"""),"時給")</f>
        <v>時給</v>
      </c>
      <c r="AO33" s="1082">
        <f>IFERROR(__xludf.DUMMYFUNCTION("""COMPUTED_VALUE"""),11.0)</f>
        <v>11</v>
      </c>
      <c r="AP33" s="228">
        <f t="shared" si="7"/>
        <v>0</v>
      </c>
      <c r="AQ33" s="1083">
        <f>IFERROR(__xludf.DUMMYFUNCTION("""COMPUTED_VALUE"""),63.516666666666666)</f>
        <v>63.51666667</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v>2435.0</v>
      </c>
      <c r="C34" s="1105" t="s">
        <v>555</v>
      </c>
      <c r="D34" s="1073" t="s">
        <v>90</v>
      </c>
      <c r="E34" s="1073" t="s">
        <v>996</v>
      </c>
      <c r="F34" s="1074">
        <f t="shared" si="2"/>
        <v>3</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15.61666667</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5">
        <f>IFERROR(__xludf.DUMMYFUNCTION("""COMPUTED_VALUE"""),2435.0)</f>
        <v>2435</v>
      </c>
      <c r="AL34" s="184" t="str">
        <f>IFERROR(__xludf.DUMMYFUNCTION("""COMPUTED_VALUE"""),"今井")</f>
        <v>今井</v>
      </c>
      <c r="AM34" s="228" t="str">
        <f>IFERROR(__xludf.DUMMYFUNCTION("""COMPUTED_VALUE"""),"メイド")</f>
        <v>メイド</v>
      </c>
      <c r="AN34" s="228" t="str">
        <f>IFERROR(__xludf.DUMMYFUNCTION("""COMPUTED_VALUE"""),"時給")</f>
        <v>時給</v>
      </c>
      <c r="AO34" s="1082">
        <f>IFERROR(__xludf.DUMMYFUNCTION("""COMPUTED_VALUE"""),3.0)</f>
        <v>3</v>
      </c>
      <c r="AP34" s="228">
        <f t="shared" si="7"/>
        <v>0</v>
      </c>
      <c r="AQ34" s="1083">
        <f>IFERROR(__xludf.DUMMYFUNCTION("""COMPUTED_VALUE"""),15.616666666666667)</f>
        <v>15.61666667</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v>2436.0</v>
      </c>
      <c r="C35" s="1105" t="s">
        <v>556</v>
      </c>
      <c r="D35" s="1073" t="s">
        <v>90</v>
      </c>
      <c r="E35" s="1073" t="s">
        <v>996</v>
      </c>
      <c r="F35" s="1074">
        <f t="shared" si="2"/>
        <v>3</v>
      </c>
      <c r="G35" s="1075" t="str">
        <f t="shared" si="3"/>
        <v>該当</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15.51666667</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5">
        <f>IFERROR(__xludf.DUMMYFUNCTION("""COMPUTED_VALUE"""),2436.0)</f>
        <v>2436</v>
      </c>
      <c r="AL35" s="184" t="str">
        <f>IFERROR(__xludf.DUMMYFUNCTION("""COMPUTED_VALUE"""),"ソフィア")</f>
        <v>ソフィア</v>
      </c>
      <c r="AM35" s="228" t="str">
        <f>IFERROR(__xludf.DUMMYFUNCTION("""COMPUTED_VALUE"""),"メイド")</f>
        <v>メイド</v>
      </c>
      <c r="AN35" s="228" t="str">
        <f>IFERROR(__xludf.DUMMYFUNCTION("""COMPUTED_VALUE"""),"時給")</f>
        <v>時給</v>
      </c>
      <c r="AO35" s="1082">
        <f>IFERROR(__xludf.DUMMYFUNCTION("""COMPUTED_VALUE"""),3.0)</f>
        <v>3</v>
      </c>
      <c r="AP35" s="228">
        <f t="shared" si="7"/>
        <v>0</v>
      </c>
      <c r="AQ35" s="1083">
        <f>IFERROR(__xludf.DUMMYFUNCTION("""COMPUTED_VALUE"""),15.516666666666667)</f>
        <v>15.51666667</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1067</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1067</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1067</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1067</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1067</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1067</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1067</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1067</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1067</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1067</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1067</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1067</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1067</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1067</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1067</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1067</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1067</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1067</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1067</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1067</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1067</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1067</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1067</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1067</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1067</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1067</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1067</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1067</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1067</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1067</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1067</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1067</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1067</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1067</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1067</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1067</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1067</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1067</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1067</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1067</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1067</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1067</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1067</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1067</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1067</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1067</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1067</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1067</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1067</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1067</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1067</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1067</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1067</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1067</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1067</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1067</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1067</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1067</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1067</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1067</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1067</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1067</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1067</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1069</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""日別集計!D5:AH5""),""ファイルなし"")"),81609.66666666667)</f>
        <v>81609.66667</v>
      </c>
      <c r="C5" s="24">
        <f>IFERROR(__xludf.DUMMYFUNCTION("""COMPUTED_VALUE"""),85528.5)</f>
        <v>85528.5</v>
      </c>
      <c r="D5" s="24">
        <f>IFERROR(__xludf.DUMMYFUNCTION("""COMPUTED_VALUE"""),97713.0)</f>
        <v>97713</v>
      </c>
      <c r="E5" s="24">
        <f>IFERROR(__xludf.DUMMYFUNCTION("""COMPUTED_VALUE"""),95402.83333333334)</f>
        <v>95402.83333</v>
      </c>
      <c r="F5" s="24">
        <f>IFERROR(__xludf.DUMMYFUNCTION("""COMPUTED_VALUE"""),103893.16666666667)</f>
        <v>103893.1667</v>
      </c>
      <c r="G5" s="24">
        <f>IFERROR(__xludf.DUMMYFUNCTION("""COMPUTED_VALUE"""),104842.5)</f>
        <v>104842.5</v>
      </c>
      <c r="H5" s="24">
        <f>IFERROR(__xludf.DUMMYFUNCTION("""COMPUTED_VALUE"""),85636.5)</f>
        <v>85636.5</v>
      </c>
      <c r="I5" s="24">
        <f>IFERROR(__xludf.DUMMYFUNCTION("""COMPUTED_VALUE"""),105280.33333333333)</f>
        <v>105280.3333</v>
      </c>
      <c r="J5" s="24">
        <f>IFERROR(__xludf.DUMMYFUNCTION("""COMPUTED_VALUE"""),96191.83333333333)</f>
        <v>96191.83333</v>
      </c>
      <c r="K5" s="24">
        <f>IFERROR(__xludf.DUMMYFUNCTION("""COMPUTED_VALUE"""),88731.5)</f>
        <v>88731.5</v>
      </c>
      <c r="L5" s="24">
        <f>IFERROR(__xludf.DUMMYFUNCTION("""COMPUTED_VALUE"""),102583.33333333333)</f>
        <v>102583.3333</v>
      </c>
      <c r="M5" s="24">
        <f>IFERROR(__xludf.DUMMYFUNCTION("""COMPUTED_VALUE"""),99750.5)</f>
        <v>99750.5</v>
      </c>
      <c r="N5" s="24">
        <f>IFERROR(__xludf.DUMMYFUNCTION("""COMPUTED_VALUE"""),86288.0)</f>
        <v>86288</v>
      </c>
      <c r="O5" s="24">
        <f>IFERROR(__xludf.DUMMYFUNCTION("""COMPUTED_VALUE"""),88222.0)</f>
        <v>88222</v>
      </c>
      <c r="P5" s="24">
        <f>IFERROR(__xludf.DUMMYFUNCTION("""COMPUTED_VALUE"""),115124.16666666667)</f>
        <v>115124.1667</v>
      </c>
      <c r="Q5" s="24">
        <f>IFERROR(__xludf.DUMMYFUNCTION("""COMPUTED_VALUE"""),108951.83333333334)</f>
        <v>108951.8333</v>
      </c>
      <c r="R5" s="24">
        <f>IFERROR(__xludf.DUMMYFUNCTION("""COMPUTED_VALUE"""),100128.33333333333)</f>
        <v>100128.3333</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1070</v>
      </c>
      <c r="C30" s="247"/>
      <c r="D30" s="247"/>
      <c r="E30" s="247"/>
      <c r="F30" s="250"/>
    </row>
    <row r="31">
      <c r="B31" s="1116" t="s">
        <v>1071</v>
      </c>
      <c r="C31" s="1117" t="s">
        <v>303</v>
      </c>
      <c r="D31" s="1117" t="s">
        <v>304</v>
      </c>
      <c r="E31" s="1117" t="s">
        <v>997</v>
      </c>
      <c r="F31" s="1118" t="s">
        <v>301</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1072</v>
      </c>
      <c r="E44" s="1123" t="s">
        <v>1072</v>
      </c>
      <c r="F44" s="1123" t="s">
        <v>1072</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291</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292</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293</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293</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294</v>
      </c>
      <c r="C5" s="77"/>
      <c r="D5" s="321">
        <v>46054.0</v>
      </c>
      <c r="E5" s="77"/>
      <c r="F5" s="322" t="s">
        <v>295</v>
      </c>
      <c r="G5" s="323">
        <f>DAY(EOMONTH(D5,0))</f>
        <v>28</v>
      </c>
      <c r="H5" s="324" t="s">
        <v>296</v>
      </c>
      <c r="I5" s="322" t="s">
        <v>297</v>
      </c>
      <c r="J5" s="325" t="b">
        <v>0</v>
      </c>
      <c r="K5" s="322" t="s">
        <v>298</v>
      </c>
      <c r="L5" s="326" t="b">
        <v>0</v>
      </c>
      <c r="M5" s="327" t="s">
        <v>299</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300</v>
      </c>
      <c r="C6" s="331" t="s">
        <v>301</v>
      </c>
      <c r="D6" s="93"/>
      <c r="E6" s="332" t="s">
        <v>302</v>
      </c>
      <c r="F6" s="77"/>
      <c r="G6" s="333" t="s">
        <v>303</v>
      </c>
      <c r="H6" s="333" t="s">
        <v>304</v>
      </c>
      <c r="I6" s="333" t="s">
        <v>305</v>
      </c>
      <c r="J6" s="333" t="s">
        <v>306</v>
      </c>
      <c r="K6" s="331" t="s">
        <v>307</v>
      </c>
      <c r="L6" s="334" t="s">
        <v>308</v>
      </c>
      <c r="M6" s="335" t="s">
        <v>309</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310</v>
      </c>
      <c r="AW6" s="77"/>
      <c r="AX6" s="339"/>
      <c r="AY6" s="340" t="s">
        <v>311</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312</v>
      </c>
      <c r="H7" s="348">
        <f t="array" ref="H7">xlookup($D$5,'🌟目標数値'!$A$3:$A$14,'🌟目標数値'!E$3:E14)</f>
        <v>4642325</v>
      </c>
      <c r="I7" s="348" t="s">
        <v>312</v>
      </c>
      <c r="J7" s="349" t="s">
        <v>312</v>
      </c>
      <c r="K7" s="350" t="s">
        <v>312</v>
      </c>
      <c r="L7" s="350" t="s">
        <v>312</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314</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315</v>
      </c>
      <c r="C9" s="371" t="s">
        <v>312</v>
      </c>
      <c r="D9" s="77"/>
      <c r="E9" s="372" t="s">
        <v>312</v>
      </c>
      <c r="F9" s="77"/>
      <c r="G9" s="373" t="s">
        <v>312</v>
      </c>
      <c r="H9" s="374">
        <f>H7/G5*COUNTIFS($E$11:$E$41,"&gt;0")</f>
        <v>0</v>
      </c>
      <c r="I9" s="374" t="s">
        <v>312</v>
      </c>
      <c r="J9" s="375" t="s">
        <v>312</v>
      </c>
      <c r="K9" s="376" t="s">
        <v>312</v>
      </c>
      <c r="L9" s="376" t="s">
        <v>312</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9"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316</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317</v>
      </c>
      <c r="C11" s="385" t="s">
        <v>279</v>
      </c>
      <c r="D11" s="386" t="s">
        <v>318</v>
      </c>
      <c r="E11" s="386" t="s">
        <v>319</v>
      </c>
      <c r="F11" s="386" t="s">
        <v>320</v>
      </c>
      <c r="G11" s="386" t="s">
        <v>321</v>
      </c>
      <c r="H11" s="387" t="s">
        <v>322</v>
      </c>
      <c r="I11" s="387" t="s">
        <v>323</v>
      </c>
      <c r="J11" s="387" t="s">
        <v>324</v>
      </c>
      <c r="K11" s="387" t="s">
        <v>325</v>
      </c>
      <c r="L11" s="387" t="s">
        <v>326</v>
      </c>
      <c r="M11" s="387" t="s">
        <v>327</v>
      </c>
      <c r="N11" s="387" t="s">
        <v>328</v>
      </c>
      <c r="O11" s="387" t="s">
        <v>329</v>
      </c>
      <c r="P11" s="387" t="s">
        <v>330</v>
      </c>
      <c r="Q11" s="387" t="s">
        <v>331</v>
      </c>
      <c r="R11" s="387" t="s">
        <v>332</v>
      </c>
      <c r="S11" s="387" t="s">
        <v>333</v>
      </c>
      <c r="T11" s="387" t="s">
        <v>334</v>
      </c>
      <c r="U11" s="387" t="s">
        <v>335</v>
      </c>
      <c r="V11" s="387" t="s">
        <v>336</v>
      </c>
      <c r="W11" s="384" t="s">
        <v>337</v>
      </c>
      <c r="X11" s="384" t="s">
        <v>338</v>
      </c>
      <c r="Y11" s="384" t="s">
        <v>339</v>
      </c>
      <c r="Z11" s="384" t="s">
        <v>340</v>
      </c>
      <c r="AA11" s="384" t="s">
        <v>341</v>
      </c>
      <c r="AB11" s="384" t="s">
        <v>342</v>
      </c>
      <c r="AC11" s="388" t="s">
        <v>343</v>
      </c>
      <c r="AD11" s="389" t="s">
        <v>344</v>
      </c>
      <c r="AE11" s="389" t="s">
        <v>345</v>
      </c>
      <c r="AF11" s="389" t="s">
        <v>346</v>
      </c>
      <c r="AG11" s="388" t="s">
        <v>347</v>
      </c>
      <c r="AH11" s="389" t="s">
        <v>348</v>
      </c>
      <c r="AI11" s="389" t="s">
        <v>349</v>
      </c>
      <c r="AJ11" s="389" t="s">
        <v>350</v>
      </c>
      <c r="AK11" s="389" t="s">
        <v>351</v>
      </c>
      <c r="AL11" s="389" t="s">
        <v>352</v>
      </c>
      <c r="AM11" s="389" t="s">
        <v>353</v>
      </c>
      <c r="AN11" s="389" t="s">
        <v>354</v>
      </c>
      <c r="AO11" s="389" t="s">
        <v>355</v>
      </c>
      <c r="AP11" s="389" t="s">
        <v>356</v>
      </c>
      <c r="AQ11" s="389" t="s">
        <v>357</v>
      </c>
      <c r="AR11" s="389" t="s">
        <v>358</v>
      </c>
      <c r="AS11" s="384" t="s">
        <v>359</v>
      </c>
      <c r="AT11" s="386" t="s">
        <v>360</v>
      </c>
      <c r="AU11" s="390" t="s">
        <v>361</v>
      </c>
      <c r="AV11" s="384" t="s">
        <v>37</v>
      </c>
      <c r="AW11" s="391" t="s">
        <v>362</v>
      </c>
      <c r="AX11" s="392"/>
      <c r="AY11" s="393">
        <f>$D$5</f>
        <v>46054</v>
      </c>
      <c r="BI11" s="215" t="s">
        <v>96</v>
      </c>
      <c r="BJ11" s="215" t="s">
        <v>97</v>
      </c>
      <c r="BL11" s="394" t="s">
        <v>96</v>
      </c>
      <c r="BM11" s="394" t="s">
        <v>363</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364</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366</v>
      </c>
      <c r="AZ13" s="413" t="s">
        <v>367</v>
      </c>
      <c r="BA13" s="413" t="s">
        <v>368</v>
      </c>
      <c r="BB13" s="413" t="s">
        <v>369</v>
      </c>
      <c r="BC13" s="329"/>
      <c r="BD13" s="412" t="s">
        <v>90</v>
      </c>
      <c r="BE13" s="413" t="s">
        <v>370</v>
      </c>
      <c r="BF13" s="413" t="s">
        <v>368</v>
      </c>
      <c r="BG13" s="413" t="s">
        <v>369</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371</v>
      </c>
      <c r="AZ20" s="434">
        <f>IFERROR(__xludf.DUMMYFUNCTION("IMPORTRANGE(""https://docs.google.com/spreadsheets/d/1QbHfX9wvC_RRupa4CCe_ZxA6O4e2Ap9vqX5hrZPeQRg/edit?gid=284905409#gid=284905409"",""date2_1!B7"")/G5*COUNTIFS($E$13:$E$43,""&gt;0"")+sum(AZ14:BA19)"),0.0)</f>
        <v>0</v>
      </c>
      <c r="BA20" s="435"/>
      <c r="BB20" s="436"/>
      <c r="BC20" s="315"/>
      <c r="BD20" s="433" t="s">
        <v>371</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372</v>
      </c>
      <c r="AZ22" s="438"/>
      <c r="BA22" s="438"/>
      <c r="BB22" s="439" t="s">
        <v>373</v>
      </c>
      <c r="BC22" s="329"/>
      <c r="BD22" s="440"/>
      <c r="BE22" s="439" t="s">
        <v>374</v>
      </c>
      <c r="BF22" s="439" t="s">
        <v>375</v>
      </c>
      <c r="BG22" s="439" t="s">
        <v>371</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376</v>
      </c>
      <c r="AZ23" s="442">
        <f>AR44</f>
        <v>0</v>
      </c>
      <c r="BA23" s="77"/>
      <c r="BB23" s="443">
        <f>AZ23-AZ24</f>
        <v>0</v>
      </c>
      <c r="BC23" s="315"/>
      <c r="BD23" s="444" t="s">
        <v>377</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378</v>
      </c>
      <c r="AZ24" s="442">
        <f>BE36</f>
        <v>0</v>
      </c>
      <c r="BA24" s="77"/>
      <c r="BB24" s="446"/>
      <c r="BC24" s="315"/>
      <c r="BD24" s="441" t="s">
        <v>379</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380</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381</v>
      </c>
      <c r="AZ29" s="452" t="s">
        <v>304</v>
      </c>
      <c r="BA29" s="452" t="s">
        <v>382</v>
      </c>
      <c r="BB29" s="452" t="s">
        <v>383</v>
      </c>
      <c r="BC29" s="315"/>
      <c r="BD29" s="453" t="s">
        <v>384</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385</v>
      </c>
      <c r="AZ30" s="445">
        <f>AS46</f>
        <v>0</v>
      </c>
      <c r="BA30" s="456" t="s">
        <v>312</v>
      </c>
      <c r="BB30" s="443">
        <f>SUM(AZ30:AZ36)</f>
        <v>0</v>
      </c>
      <c r="BC30" s="315"/>
      <c r="BD30" s="457" t="s">
        <v>386</v>
      </c>
      <c r="BE30" s="458" t="s">
        <v>387</v>
      </c>
      <c r="BF30" s="458" t="s">
        <v>388</v>
      </c>
      <c r="BG30" s="459" t="s">
        <v>371</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390</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392</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394</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396</v>
      </c>
      <c r="AZ36" s="423">
        <f>BB40</f>
        <v>0</v>
      </c>
      <c r="BA36" s="423"/>
      <c r="BB36" s="222"/>
      <c r="BC36" s="315"/>
      <c r="BD36" s="433" t="s">
        <v>371</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397</v>
      </c>
      <c r="AZ38" s="470"/>
      <c r="BA38" s="315"/>
      <c r="BB38" s="392"/>
      <c r="BC38" s="315"/>
      <c r="BD38" s="315" t="s">
        <v>398</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381</v>
      </c>
      <c r="AZ39" s="452" t="s">
        <v>304</v>
      </c>
      <c r="BA39" s="452" t="s">
        <v>399</v>
      </c>
      <c r="BB39" s="452" t="s">
        <v>383</v>
      </c>
      <c r="BC39" s="329"/>
      <c r="BD39" s="451" t="s">
        <v>400</v>
      </c>
      <c r="BE39" s="452" t="s">
        <v>401</v>
      </c>
      <c r="BF39" s="452" t="s">
        <v>399</v>
      </c>
      <c r="BG39" s="452" t="s">
        <v>371</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371</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387</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409</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410</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411</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412</v>
      </c>
      <c r="M2" s="532"/>
      <c r="N2" s="533" t="s">
        <v>1073</v>
      </c>
      <c r="O2" s="534"/>
      <c r="P2" s="535"/>
      <c r="Q2" s="536"/>
      <c r="R2" s="536"/>
      <c r="S2" s="537"/>
      <c r="T2" s="536"/>
      <c r="U2" s="536"/>
      <c r="V2" s="536"/>
      <c r="W2" s="536"/>
      <c r="X2" s="536"/>
      <c r="Y2" s="538"/>
      <c r="Z2" s="281"/>
      <c r="AA2" s="281"/>
      <c r="AB2" s="281"/>
      <c r="AC2" s="281"/>
      <c r="AD2" s="281"/>
      <c r="AE2" s="281"/>
      <c r="AF2" s="539"/>
      <c r="AG2" s="540"/>
      <c r="AH2" s="541"/>
      <c r="AI2" s="542" t="s">
        <v>1074</v>
      </c>
      <c r="AJ2" s="281"/>
      <c r="AS2" s="281"/>
      <c r="AT2" s="543" t="s">
        <v>415</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416</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417</v>
      </c>
      <c r="AU3" s="559"/>
      <c r="AV3" s="560" t="s">
        <v>52</v>
      </c>
      <c r="AW3" s="560" t="s">
        <v>54</v>
      </c>
      <c r="AX3" s="560" t="s">
        <v>34</v>
      </c>
      <c r="AY3" s="560" t="s">
        <v>57</v>
      </c>
      <c r="AZ3" s="560" t="s">
        <v>59</v>
      </c>
      <c r="BA3" s="560" t="s">
        <v>61</v>
      </c>
      <c r="BB3" s="560" t="s">
        <v>63</v>
      </c>
      <c r="BC3" s="560" t="s">
        <v>65</v>
      </c>
      <c r="BD3" s="560" t="s">
        <v>67</v>
      </c>
      <c r="BE3" s="560" t="s">
        <v>69</v>
      </c>
      <c r="BF3" s="560" t="s">
        <v>71</v>
      </c>
      <c r="BG3" s="561" t="s">
        <v>73</v>
      </c>
      <c r="BH3" s="562" t="s">
        <v>371</v>
      </c>
      <c r="BI3" s="200"/>
      <c r="BJ3" s="563" t="s">
        <v>418</v>
      </c>
      <c r="BK3" s="3"/>
      <c r="BL3" s="564">
        <v>46113.0</v>
      </c>
      <c r="BT3" s="200"/>
      <c r="BU3" s="200"/>
      <c r="BV3" s="200"/>
      <c r="BW3" s="200"/>
      <c r="BX3" s="200"/>
    </row>
    <row r="4" ht="24.75" customHeight="1">
      <c r="A4" s="529"/>
      <c r="B4" s="565" t="s">
        <v>419</v>
      </c>
      <c r="C4" s="566"/>
      <c r="D4" s="567"/>
      <c r="E4" s="568" t="s">
        <v>420</v>
      </c>
      <c r="F4" s="528"/>
      <c r="G4" s="529"/>
      <c r="H4" s="529"/>
      <c r="I4" s="569" t="s">
        <v>421</v>
      </c>
      <c r="J4" s="3"/>
      <c r="K4" s="570" t="s">
        <v>422</v>
      </c>
      <c r="L4" s="571"/>
      <c r="M4" s="572" t="s">
        <v>423</v>
      </c>
      <c r="N4" s="573"/>
      <c r="O4" s="574"/>
      <c r="P4" s="575" t="s">
        <v>424</v>
      </c>
      <c r="Q4" s="576" t="s">
        <v>425</v>
      </c>
      <c r="R4" s="574"/>
      <c r="S4" s="574"/>
      <c r="T4" s="575" t="s">
        <v>426</v>
      </c>
      <c r="U4" s="576" t="s">
        <v>427</v>
      </c>
      <c r="V4" s="574"/>
      <c r="W4" s="574"/>
      <c r="X4" s="577" t="s">
        <v>217</v>
      </c>
      <c r="Y4" s="576" t="s">
        <v>428</v>
      </c>
      <c r="Z4" s="574"/>
      <c r="AA4" s="574"/>
      <c r="AB4" s="578" t="s">
        <v>429</v>
      </c>
      <c r="AC4" s="576" t="s">
        <v>430</v>
      </c>
      <c r="AD4" s="574"/>
      <c r="AE4" s="574"/>
      <c r="AF4" s="579" t="s">
        <v>431</v>
      </c>
      <c r="AG4" s="576" t="s">
        <v>432</v>
      </c>
      <c r="AH4" s="574"/>
      <c r="AI4" s="574"/>
      <c r="AJ4" s="579" t="s">
        <v>433</v>
      </c>
      <c r="AK4" s="576" t="s">
        <v>434</v>
      </c>
      <c r="AL4" s="574"/>
      <c r="AM4" s="580"/>
      <c r="AN4" s="581"/>
      <c r="AO4" s="581"/>
      <c r="AP4" s="555"/>
      <c r="AQ4" s="582"/>
      <c r="AR4" s="557"/>
      <c r="AS4" s="200"/>
      <c r="AT4" s="583" t="s">
        <v>1075</v>
      </c>
      <c r="AU4" s="584" t="s">
        <v>238</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437</v>
      </c>
      <c r="C5" s="590"/>
      <c r="D5" s="529"/>
      <c r="E5" s="591" t="s">
        <v>438</v>
      </c>
      <c r="F5" s="590"/>
      <c r="G5" s="529"/>
      <c r="H5" s="529"/>
      <c r="I5" s="592" t="b">
        <v>0</v>
      </c>
      <c r="J5" s="3"/>
      <c r="K5" s="593"/>
      <c r="L5" s="594"/>
      <c r="M5" s="595" t="s">
        <v>439</v>
      </c>
      <c r="N5" s="596"/>
      <c r="O5" s="574"/>
      <c r="P5" s="597" t="s">
        <v>440</v>
      </c>
      <c r="Q5" s="576" t="s">
        <v>441</v>
      </c>
      <c r="R5" s="574"/>
      <c r="S5" s="574"/>
      <c r="T5" s="597" t="s">
        <v>442</v>
      </c>
      <c r="U5" s="576" t="s">
        <v>443</v>
      </c>
      <c r="V5" s="574"/>
      <c r="W5" s="574"/>
      <c r="X5" s="597" t="s">
        <v>444</v>
      </c>
      <c r="Y5" s="576" t="s">
        <v>445</v>
      </c>
      <c r="Z5" s="574"/>
      <c r="AA5" s="574"/>
      <c r="AB5" s="597" t="s">
        <v>446</v>
      </c>
      <c r="AC5" s="576" t="s">
        <v>447</v>
      </c>
      <c r="AD5" s="574"/>
      <c r="AE5" s="574"/>
      <c r="AF5" s="597" t="s">
        <v>448</v>
      </c>
      <c r="AG5" s="576" t="s">
        <v>449</v>
      </c>
      <c r="AH5" s="574"/>
      <c r="AI5" s="574"/>
      <c r="AJ5" s="597" t="s">
        <v>450</v>
      </c>
      <c r="AK5" s="576" t="s">
        <v>451</v>
      </c>
      <c r="AL5" s="574"/>
      <c r="AM5" s="580"/>
      <c r="AN5" s="581"/>
      <c r="AO5" s="581"/>
      <c r="AP5" s="555"/>
      <c r="AQ5" s="582"/>
      <c r="AR5" s="557"/>
      <c r="AS5" s="200"/>
      <c r="AT5" s="598" t="s">
        <v>142</v>
      </c>
      <c r="AU5" s="584" t="s">
        <v>240</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46130</v>
      </c>
      <c r="C7" s="614"/>
      <c r="D7" s="529"/>
      <c r="E7" s="615">
        <f>today()+1</f>
        <v>46131</v>
      </c>
      <c r="F7" s="616"/>
      <c r="G7" s="529"/>
      <c r="H7" s="529"/>
      <c r="I7" s="617" t="s">
        <v>453</v>
      </c>
      <c r="J7" s="618" t="s">
        <v>454</v>
      </c>
      <c r="K7" s="619">
        <v>46054.0</v>
      </c>
      <c r="L7" s="620" t="s">
        <v>455</v>
      </c>
      <c r="M7" s="621" t="s">
        <v>456</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457</v>
      </c>
      <c r="AT7" s="625" t="s">
        <v>458</v>
      </c>
      <c r="AU7" s="626" t="s">
        <v>81</v>
      </c>
      <c r="AV7" s="626" t="s">
        <v>459</v>
      </c>
      <c r="AW7" s="626" t="s">
        <v>460</v>
      </c>
      <c r="AX7" s="626" t="s">
        <v>461</v>
      </c>
      <c r="AY7" s="626" t="s">
        <v>462</v>
      </c>
      <c r="AZ7" s="626" t="s">
        <v>463</v>
      </c>
      <c r="BA7" s="626" t="s">
        <v>82</v>
      </c>
      <c r="BB7" s="627" t="s">
        <v>369</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318</v>
      </c>
      <c r="C8" s="629" t="str">
        <f>TEXT(B7,"ddd")</f>
        <v>土</v>
      </c>
      <c r="D8" s="119"/>
      <c r="E8" s="630" t="s">
        <v>318</v>
      </c>
      <c r="F8" s="631" t="str">
        <f>TEXT(E7,"ddd")</f>
        <v>日</v>
      </c>
      <c r="G8" s="200"/>
      <c r="H8" s="200"/>
      <c r="I8" s="617"/>
      <c r="J8" s="632" t="s">
        <v>464</v>
      </c>
      <c r="K8" s="620" t="s">
        <v>465</v>
      </c>
      <c r="L8" s="633" t="s">
        <v>466</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467</v>
      </c>
      <c r="L9" s="639" t="s">
        <v>135</v>
      </c>
      <c r="M9" s="640" t="s">
        <v>468</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469</v>
      </c>
      <c r="L10" s="639" t="s">
        <v>135</v>
      </c>
      <c r="M10" s="640" t="s">
        <v>470</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471</v>
      </c>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472</v>
      </c>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471</v>
      </c>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サウド</v>
      </c>
      <c r="C14" s="637" t="str">
        <f t="shared" si="5"/>
        <v>#N/A</v>
      </c>
      <c r="D14" s="200"/>
      <c r="E14" s="636" t="str">
        <f t="shared" si="6"/>
        <v>サウド</v>
      </c>
      <c r="F14" s="637" t="str">
        <f t="shared" si="7"/>
        <v>#N/A</v>
      </c>
      <c r="G14" s="200"/>
      <c r="H14" s="200"/>
      <c r="I14" s="172" t="b">
        <v>0</v>
      </c>
      <c r="J14" s="618"/>
      <c r="K14" s="638" t="s">
        <v>474</v>
      </c>
      <c r="L14" s="639" t="s">
        <v>472</v>
      </c>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t="s">
        <v>494</v>
      </c>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478</v>
      </c>
      <c r="L17" s="639" t="s">
        <v>479</v>
      </c>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3" t="s">
        <v>651</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481</v>
      </c>
      <c r="L18" s="639" t="s">
        <v>479</v>
      </c>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3" t="s">
        <v>652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479</v>
      </c>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3" t="s">
        <v>653</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188</v>
      </c>
      <c r="L20" s="639" t="s">
        <v>479</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3"/>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483</v>
      </c>
      <c r="L21" s="639" t="s">
        <v>479</v>
      </c>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3" t="s">
        <v>655</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198</v>
      </c>
      <c r="L22" s="639" t="s">
        <v>479</v>
      </c>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si="5"/>
        <v/>
      </c>
      <c r="D25" s="200"/>
      <c r="E25" s="636" t="str">
        <f t="shared" si="6"/>
        <v/>
      </c>
      <c r="F25" s="637" t="str">
        <f t="shared" si="7"/>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4"/>
      <c r="BM25" s="200"/>
      <c r="BN25" s="200"/>
      <c r="BO25" s="200"/>
      <c r="BP25" s="200"/>
      <c r="BQ25" s="200"/>
      <c r="BR25" s="200"/>
      <c r="BS25" s="200"/>
      <c r="BT25" s="200"/>
      <c r="BU25" s="200"/>
      <c r="BV25" s="200"/>
      <c r="BW25" s="200"/>
      <c r="BX25" s="200"/>
    </row>
    <row r="26">
      <c r="A26" s="200"/>
      <c r="B26" s="636" t="str">
        <f t="shared" si="4"/>
        <v>ガルセス</v>
      </c>
      <c r="C26" s="637" t="str">
        <f t="shared" si="5"/>
        <v>#N/A</v>
      </c>
      <c r="D26" s="200"/>
      <c r="E26" s="636" t="str">
        <f t="shared" si="6"/>
        <v>ガルセス</v>
      </c>
      <c r="F26" s="637" t="str">
        <f t="shared" si="7"/>
        <v>#N/A</v>
      </c>
      <c r="G26" s="200"/>
      <c r="H26" s="200"/>
      <c r="I26" s="172" t="b">
        <v>0</v>
      </c>
      <c r="J26" s="618"/>
      <c r="K26" s="638" t="s">
        <v>486</v>
      </c>
      <c r="L26" s="639" t="s">
        <v>135</v>
      </c>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4"/>
      <c r="BM26" s="200"/>
      <c r="BN26" s="200"/>
      <c r="BO26" s="200"/>
      <c r="BP26" s="200"/>
      <c r="BQ26" s="200"/>
      <c r="BR26" s="200"/>
      <c r="BS26" s="200"/>
      <c r="BT26" s="200"/>
      <c r="BU26" s="200"/>
      <c r="BV26" s="200"/>
      <c r="BW26" s="200"/>
      <c r="BX26" s="200"/>
    </row>
    <row r="27">
      <c r="A27" s="200"/>
      <c r="B27" s="636" t="str">
        <f t="shared" si="4"/>
        <v>グレース</v>
      </c>
      <c r="C27" s="637" t="str">
        <f t="shared" si="5"/>
        <v>#N/A</v>
      </c>
      <c r="D27" s="200"/>
      <c r="E27" s="636" t="str">
        <f t="shared" si="6"/>
        <v>グレース</v>
      </c>
      <c r="F27" s="637" t="str">
        <f t="shared" si="7"/>
        <v>#N/A</v>
      </c>
      <c r="G27" s="200"/>
      <c r="H27" s="200"/>
      <c r="I27" s="172" t="b">
        <v>0</v>
      </c>
      <c r="J27" s="618"/>
      <c r="K27" s="638" t="s">
        <v>489</v>
      </c>
      <c r="L27" s="639" t="s">
        <v>135</v>
      </c>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4"/>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4"/>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4"/>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4"/>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4"/>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4"/>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4"/>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5"/>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4"/>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5"/>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4"/>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4"/>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4"/>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4"/>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5"/>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4"/>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5"/>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4"/>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491</v>
      </c>
      <c r="L41" s="639" t="s">
        <v>479</v>
      </c>
      <c r="M41" s="640" t="s">
        <v>217</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4"/>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492</v>
      </c>
      <c r="L42" s="639" t="s">
        <v>479</v>
      </c>
      <c r="M42" s="640" t="s">
        <v>429</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4"/>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6" t="b">
        <v>0</v>
      </c>
      <c r="J43" s="618"/>
      <c r="K43" s="657" t="s">
        <v>493</v>
      </c>
      <c r="L43" s="658" t="s">
        <v>494</v>
      </c>
      <c r="M43" s="659"/>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60"/>
      <c r="AV43" s="660"/>
      <c r="AW43" s="660"/>
      <c r="AX43" s="660"/>
      <c r="AY43" s="660"/>
      <c r="AZ43" s="660"/>
      <c r="BA43" s="660"/>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4"/>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495</v>
      </c>
      <c r="L44" s="639" t="s">
        <v>494</v>
      </c>
      <c r="M44" s="640" t="s">
        <v>496</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4"/>
      <c r="BM44" s="200"/>
      <c r="BN44" s="200"/>
      <c r="BO44" s="200"/>
      <c r="BP44" s="200"/>
      <c r="BQ44" s="200"/>
      <c r="BR44" s="200"/>
      <c r="BS44" s="200"/>
      <c r="BT44" s="200"/>
      <c r="BU44" s="200"/>
      <c r="BV44" s="200"/>
      <c r="BW44" s="200"/>
      <c r="BX44" s="200"/>
    </row>
    <row r="45">
      <c r="A45" s="200"/>
      <c r="B45" s="636" t="str">
        <f t="shared" si="4"/>
        <v/>
      </c>
      <c r="C45" s="637" t="str">
        <f t="shared" si="5"/>
        <v/>
      </c>
      <c r="D45" s="200"/>
      <c r="E45" s="636" t="str">
        <f t="shared" si="6"/>
        <v/>
      </c>
      <c r="F45" s="637" t="str">
        <f t="shared" si="7"/>
        <v/>
      </c>
      <c r="G45" s="200"/>
      <c r="H45" s="200"/>
      <c r="I45" s="172" t="b">
        <v>0</v>
      </c>
      <c r="J45" s="618"/>
      <c r="K45" s="638"/>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4"/>
      <c r="BM45" s="200"/>
      <c r="BN45" s="200"/>
      <c r="BO45" s="200"/>
      <c r="BP45" s="200"/>
      <c r="BQ45" s="200"/>
      <c r="BR45" s="200"/>
      <c r="BS45" s="200"/>
      <c r="BT45" s="200"/>
      <c r="BU45" s="200"/>
      <c r="BV45" s="200"/>
      <c r="BW45" s="200"/>
      <c r="BX45" s="200"/>
    </row>
    <row r="46">
      <c r="A46" s="200"/>
      <c r="B46" s="636" t="str">
        <f t="shared" si="4"/>
        <v/>
      </c>
      <c r="C46" s="637" t="str">
        <f t="shared" si="5"/>
        <v/>
      </c>
      <c r="D46" s="200"/>
      <c r="E46" s="636" t="str">
        <f t="shared" si="6"/>
        <v/>
      </c>
      <c r="F46" s="637" t="str">
        <f t="shared" si="7"/>
        <v/>
      </c>
      <c r="G46" s="200"/>
      <c r="H46" s="200"/>
      <c r="I46" s="172" t="b">
        <v>0</v>
      </c>
      <c r="J46" s="618"/>
      <c r="K46" s="638"/>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4"/>
      <c r="BM46" s="200"/>
      <c r="BN46" s="200"/>
      <c r="BO46" s="200"/>
      <c r="BP46" s="200"/>
      <c r="BQ46" s="200"/>
      <c r="BR46" s="200"/>
      <c r="BS46" s="200"/>
      <c r="BT46" s="200"/>
      <c r="BU46" s="200"/>
      <c r="BV46" s="200"/>
      <c r="BW46" s="200"/>
      <c r="BX46" s="200"/>
    </row>
    <row r="47">
      <c r="A47" s="200"/>
      <c r="B47" s="636" t="str">
        <f t="shared" si="4"/>
        <v/>
      </c>
      <c r="C47" s="637" t="str">
        <f t="shared" si="5"/>
        <v/>
      </c>
      <c r="D47" s="200"/>
      <c r="E47" s="636" t="str">
        <f t="shared" si="6"/>
        <v/>
      </c>
      <c r="F47" s="637" t="str">
        <f t="shared" si="7"/>
        <v/>
      </c>
      <c r="G47" s="200"/>
      <c r="H47" s="200"/>
      <c r="I47" s="172" t="b">
        <v>0</v>
      </c>
      <c r="J47" s="618"/>
      <c r="K47" s="638"/>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4"/>
      <c r="BM47" s="200"/>
      <c r="BN47" s="200"/>
      <c r="BO47" s="200"/>
      <c r="BP47" s="200"/>
      <c r="BQ47" s="200"/>
      <c r="BR47" s="200"/>
      <c r="BS47" s="200"/>
      <c r="BT47" s="200"/>
      <c r="BU47" s="200"/>
      <c r="BV47" s="200"/>
      <c r="BW47" s="200"/>
      <c r="BX47" s="200"/>
    </row>
    <row r="48">
      <c r="A48" s="200"/>
      <c r="B48" s="636" t="str">
        <f t="shared" si="4"/>
        <v/>
      </c>
      <c r="C48" s="637" t="str">
        <f t="shared" si="5"/>
        <v/>
      </c>
      <c r="D48" s="200"/>
      <c r="E48" s="636" t="str">
        <f t="shared" si="6"/>
        <v/>
      </c>
      <c r="F48" s="637" t="str">
        <f t="shared" si="7"/>
        <v/>
      </c>
      <c r="G48" s="200"/>
      <c r="H48" s="200"/>
      <c r="I48" s="172" t="b">
        <v>0</v>
      </c>
      <c r="J48" s="618"/>
      <c r="K48" s="638"/>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4"/>
      <c r="BM48" s="200"/>
      <c r="BN48" s="200"/>
      <c r="BO48" s="200"/>
      <c r="BP48" s="200"/>
      <c r="BQ48" s="200"/>
      <c r="BR48" s="200"/>
      <c r="BS48" s="200"/>
      <c r="BT48" s="200"/>
      <c r="BU48" s="200"/>
      <c r="BV48" s="200"/>
      <c r="BW48" s="200"/>
      <c r="BX48" s="200"/>
    </row>
    <row r="49">
      <c r="A49" s="200"/>
      <c r="B49" s="636" t="str">
        <f t="shared" si="4"/>
        <v/>
      </c>
      <c r="C49" s="637" t="str">
        <f t="shared" si="5"/>
        <v/>
      </c>
      <c r="D49" s="200"/>
      <c r="E49" s="636" t="str">
        <f t="shared" si="6"/>
        <v/>
      </c>
      <c r="F49" s="637" t="str">
        <f t="shared" si="7"/>
        <v/>
      </c>
      <c r="G49" s="200"/>
      <c r="H49" s="200"/>
      <c r="I49" s="172" t="b">
        <v>0</v>
      </c>
      <c r="J49" s="618"/>
      <c r="K49" s="638"/>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4"/>
      <c r="BM49" s="200"/>
      <c r="BN49" s="200"/>
      <c r="BO49" s="200"/>
      <c r="BP49" s="200"/>
      <c r="BQ49" s="200"/>
      <c r="BR49" s="200"/>
      <c r="BS49" s="200"/>
      <c r="BT49" s="200"/>
      <c r="BU49" s="200"/>
      <c r="BV49" s="200"/>
      <c r="BW49" s="200"/>
      <c r="BX49" s="200"/>
    </row>
    <row r="50">
      <c r="A50" s="200"/>
      <c r="B50" s="636" t="str">
        <f t="shared" si="4"/>
        <v/>
      </c>
      <c r="C50" s="637" t="str">
        <f t="shared" si="5"/>
        <v/>
      </c>
      <c r="D50" s="200"/>
      <c r="E50" s="636" t="str">
        <f t="shared" si="6"/>
        <v/>
      </c>
      <c r="F50" s="637" t="str">
        <f t="shared" si="7"/>
        <v/>
      </c>
      <c r="G50" s="200"/>
      <c r="H50" s="200"/>
      <c r="I50" s="172" t="b">
        <v>0</v>
      </c>
      <c r="J50" s="618"/>
      <c r="K50" s="638"/>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4"/>
      <c r="BM50" s="200"/>
      <c r="BN50" s="200"/>
      <c r="BO50" s="200"/>
      <c r="BP50" s="200"/>
      <c r="BQ50" s="200"/>
      <c r="BR50" s="200"/>
      <c r="BS50" s="200"/>
      <c r="BT50" s="200"/>
      <c r="BU50" s="200"/>
      <c r="BV50" s="200"/>
      <c r="BW50" s="200"/>
      <c r="BX50" s="200"/>
    </row>
    <row r="51">
      <c r="A51" s="200"/>
      <c r="B51" s="636" t="str">
        <f t="shared" si="4"/>
        <v/>
      </c>
      <c r="C51" s="637" t="str">
        <f t="shared" si="5"/>
        <v/>
      </c>
      <c r="D51" s="200"/>
      <c r="E51" s="636" t="str">
        <f t="shared" si="6"/>
        <v/>
      </c>
      <c r="F51" s="637" t="str">
        <f t="shared" si="7"/>
        <v/>
      </c>
      <c r="G51" s="200"/>
      <c r="H51" s="200"/>
      <c r="I51" s="172" t="b">
        <v>0</v>
      </c>
      <c r="J51" s="618"/>
      <c r="K51" s="638"/>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4"/>
      <c r="BM51" s="200"/>
      <c r="BN51" s="200"/>
      <c r="BO51" s="200"/>
      <c r="BP51" s="200"/>
      <c r="BQ51" s="200"/>
      <c r="BR51" s="200"/>
      <c r="BS51" s="200"/>
      <c r="BT51" s="200"/>
      <c r="BU51" s="200"/>
      <c r="BV51" s="200"/>
      <c r="BW51" s="200"/>
      <c r="BX51" s="200"/>
    </row>
    <row r="52">
      <c r="A52" s="200"/>
      <c r="B52" s="636" t="str">
        <f t="shared" si="4"/>
        <v/>
      </c>
      <c r="C52" s="637" t="str">
        <f t="shared" si="5"/>
        <v/>
      </c>
      <c r="D52" s="200"/>
      <c r="E52" s="636" t="str">
        <f t="shared" si="6"/>
        <v/>
      </c>
      <c r="F52" s="637" t="str">
        <f t="shared" si="7"/>
        <v/>
      </c>
      <c r="G52" s="200"/>
      <c r="H52" s="200"/>
      <c r="I52" s="172" t="b">
        <v>0</v>
      </c>
      <c r="J52" s="618"/>
      <c r="K52" s="638"/>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4"/>
      <c r="BM52" s="200"/>
      <c r="BN52" s="200"/>
      <c r="BO52" s="200"/>
      <c r="BP52" s="200"/>
      <c r="BQ52" s="200"/>
      <c r="BR52" s="200"/>
      <c r="BS52" s="200"/>
      <c r="BT52" s="200"/>
      <c r="BU52" s="200"/>
      <c r="BV52" s="200"/>
      <c r="BW52" s="200"/>
      <c r="BX52" s="200"/>
    </row>
    <row r="53">
      <c r="A53" s="200"/>
      <c r="B53" s="636" t="str">
        <f t="shared" si="4"/>
        <v/>
      </c>
      <c r="C53" s="637" t="str">
        <f t="shared" si="5"/>
        <v/>
      </c>
      <c r="D53" s="200"/>
      <c r="E53" s="636" t="str">
        <f t="shared" si="6"/>
        <v/>
      </c>
      <c r="F53" s="637" t="str">
        <f t="shared" si="7"/>
        <v/>
      </c>
      <c r="G53" s="200"/>
      <c r="H53" s="200"/>
      <c r="I53" s="172" t="b">
        <v>0</v>
      </c>
      <c r="J53" s="618"/>
      <c r="K53" s="638"/>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4"/>
      <c r="BM53" s="200"/>
      <c r="BN53" s="200"/>
      <c r="BO53" s="200"/>
      <c r="BP53" s="200"/>
      <c r="BQ53" s="200"/>
      <c r="BR53" s="200"/>
      <c r="BS53" s="200"/>
      <c r="BT53" s="200"/>
      <c r="BU53" s="200"/>
      <c r="BV53" s="200"/>
      <c r="BW53" s="200"/>
      <c r="BX53" s="200"/>
    </row>
    <row r="54">
      <c r="A54" s="200"/>
      <c r="B54" s="636" t="str">
        <f t="shared" si="4"/>
        <v/>
      </c>
      <c r="C54" s="637" t="str">
        <f t="shared" si="5"/>
        <v/>
      </c>
      <c r="D54" s="200"/>
      <c r="E54" s="636" t="str">
        <f t="shared" si="6"/>
        <v/>
      </c>
      <c r="F54" s="637" t="str">
        <f t="shared" si="7"/>
        <v/>
      </c>
      <c r="G54" s="200"/>
      <c r="H54" s="200"/>
      <c r="I54" s="172" t="b">
        <v>0</v>
      </c>
      <c r="J54" s="618"/>
      <c r="K54" s="638"/>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4"/>
      <c r="BM54" s="200"/>
      <c r="BN54" s="200"/>
      <c r="BO54" s="200"/>
      <c r="BP54" s="200"/>
      <c r="BQ54" s="200"/>
      <c r="BR54" s="200"/>
      <c r="BS54" s="200"/>
      <c r="BT54" s="200"/>
      <c r="BU54" s="200"/>
      <c r="BV54" s="200"/>
      <c r="BW54" s="200"/>
      <c r="BX54" s="200"/>
    </row>
    <row r="55">
      <c r="A55" s="200"/>
      <c r="B55" s="636" t="str">
        <f t="shared" si="4"/>
        <v/>
      </c>
      <c r="C55" s="637" t="str">
        <f t="shared" si="5"/>
        <v/>
      </c>
      <c r="D55" s="200"/>
      <c r="E55" s="636" t="str">
        <f t="shared" si="6"/>
        <v/>
      </c>
      <c r="F55" s="637" t="str">
        <f t="shared" si="7"/>
        <v/>
      </c>
      <c r="G55" s="200"/>
      <c r="H55" s="200"/>
      <c r="I55" s="172" t="b">
        <v>0</v>
      </c>
      <c r="J55" s="618"/>
      <c r="K55" s="638"/>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4"/>
      <c r="BM55" s="200"/>
      <c r="BN55" s="200"/>
      <c r="BO55" s="200"/>
      <c r="BP55" s="200"/>
      <c r="BQ55" s="200"/>
      <c r="BR55" s="200"/>
      <c r="BS55" s="200"/>
      <c r="BT55" s="200"/>
      <c r="BU55" s="200"/>
      <c r="BV55" s="200"/>
      <c r="BW55" s="200"/>
      <c r="BX55" s="200"/>
    </row>
    <row r="56">
      <c r="A56" s="200"/>
      <c r="B56" s="636" t="str">
        <f t="shared" si="4"/>
        <v/>
      </c>
      <c r="C56" s="637" t="str">
        <f t="shared" si="5"/>
        <v/>
      </c>
      <c r="D56" s="200"/>
      <c r="E56" s="636" t="str">
        <f t="shared" si="6"/>
        <v/>
      </c>
      <c r="F56" s="637" t="str">
        <f t="shared" si="7"/>
        <v/>
      </c>
      <c r="G56" s="200"/>
      <c r="H56" s="200"/>
      <c r="I56" s="172" t="b">
        <v>0</v>
      </c>
      <c r="J56" s="618"/>
      <c r="K56" s="638"/>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4"/>
      <c r="BM56" s="200"/>
      <c r="BN56" s="200"/>
      <c r="BO56" s="200"/>
      <c r="BP56" s="200"/>
      <c r="BQ56" s="200"/>
      <c r="BR56" s="200"/>
      <c r="BS56" s="200"/>
      <c r="BT56" s="200"/>
      <c r="BU56" s="200"/>
      <c r="BV56" s="200"/>
      <c r="BW56" s="200"/>
      <c r="BX56" s="200"/>
    </row>
    <row r="57">
      <c r="A57" s="200"/>
      <c r="B57" s="636" t="str">
        <f t="shared" si="4"/>
        <v/>
      </c>
      <c r="C57" s="637" t="str">
        <f t="shared" si="5"/>
        <v/>
      </c>
      <c r="D57" s="200"/>
      <c r="E57" s="636" t="str">
        <f t="shared" si="6"/>
        <v/>
      </c>
      <c r="F57" s="637" t="str">
        <f t="shared" si="7"/>
        <v/>
      </c>
      <c r="G57" s="200"/>
      <c r="H57" s="200"/>
      <c r="I57" s="172" t="b">
        <v>0</v>
      </c>
      <c r="J57" s="618"/>
      <c r="K57" s="638"/>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4"/>
      <c r="BM57" s="200"/>
      <c r="BN57" s="200"/>
      <c r="BO57" s="200"/>
      <c r="BP57" s="200"/>
      <c r="BQ57" s="200"/>
      <c r="BR57" s="200"/>
      <c r="BS57" s="200"/>
      <c r="BT57" s="200"/>
      <c r="BU57" s="200"/>
      <c r="BV57" s="200"/>
      <c r="BW57" s="200"/>
      <c r="BX57" s="200"/>
    </row>
    <row r="58">
      <c r="A58" s="200"/>
      <c r="B58" s="636" t="str">
        <f t="shared" si="4"/>
        <v/>
      </c>
      <c r="C58" s="637" t="str">
        <f t="shared" si="5"/>
        <v/>
      </c>
      <c r="D58" s="200"/>
      <c r="E58" s="636" t="str">
        <f t="shared" si="6"/>
        <v/>
      </c>
      <c r="F58" s="637" t="str">
        <f t="shared" si="7"/>
        <v/>
      </c>
      <c r="G58" s="200"/>
      <c r="H58" s="200"/>
      <c r="I58" s="172" t="b">
        <v>0</v>
      </c>
      <c r="J58" s="618"/>
      <c r="K58" s="638"/>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4"/>
      <c r="BM58" s="200"/>
      <c r="BN58" s="200"/>
      <c r="BO58" s="200"/>
      <c r="BP58" s="200"/>
      <c r="BQ58" s="200"/>
      <c r="BR58" s="200"/>
      <c r="BS58" s="200"/>
      <c r="BT58" s="200"/>
      <c r="BU58" s="200"/>
      <c r="BV58" s="200"/>
      <c r="BW58" s="200"/>
      <c r="BX58" s="200"/>
    </row>
    <row r="59">
      <c r="A59" s="200"/>
      <c r="B59" s="636" t="str">
        <f t="shared" si="4"/>
        <v/>
      </c>
      <c r="C59" s="637" t="str">
        <f t="shared" si="5"/>
        <v/>
      </c>
      <c r="D59" s="200"/>
      <c r="E59" s="636" t="str">
        <f t="shared" si="6"/>
        <v/>
      </c>
      <c r="F59" s="637" t="str">
        <f t="shared" si="7"/>
        <v/>
      </c>
      <c r="G59" s="200"/>
      <c r="H59" s="200"/>
      <c r="I59" s="172" t="b">
        <v>0</v>
      </c>
      <c r="J59" s="618"/>
      <c r="K59" s="638"/>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4"/>
      <c r="BM59" s="200"/>
      <c r="BN59" s="200"/>
      <c r="BO59" s="200"/>
      <c r="BP59" s="200"/>
      <c r="BQ59" s="200"/>
      <c r="BR59" s="200"/>
      <c r="BS59" s="200"/>
      <c r="BT59" s="200"/>
      <c r="BU59" s="200"/>
      <c r="BV59" s="200"/>
      <c r="BW59" s="200"/>
      <c r="BX59" s="200"/>
    </row>
    <row r="60">
      <c r="A60" s="200"/>
      <c r="B60" s="636" t="str">
        <f t="shared" si="4"/>
        <v/>
      </c>
      <c r="C60" s="637" t="str">
        <f t="shared" si="5"/>
        <v/>
      </c>
      <c r="D60" s="200"/>
      <c r="E60" s="636" t="str">
        <f t="shared" si="6"/>
        <v/>
      </c>
      <c r="F60" s="637" t="str">
        <f t="shared" si="7"/>
        <v/>
      </c>
      <c r="G60" s="200"/>
      <c r="H60" s="200"/>
      <c r="I60" s="172" t="b">
        <v>0</v>
      </c>
      <c r="J60" s="618"/>
      <c r="K60" s="638"/>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4"/>
      <c r="BM60" s="200"/>
      <c r="BN60" s="200"/>
      <c r="BO60" s="200"/>
      <c r="BP60" s="200"/>
      <c r="BQ60" s="200"/>
      <c r="BR60" s="200"/>
      <c r="BS60" s="200"/>
      <c r="BT60" s="200"/>
      <c r="BU60" s="200"/>
      <c r="BV60" s="200"/>
      <c r="BW60" s="200"/>
      <c r="BX60" s="200"/>
    </row>
    <row r="61">
      <c r="A61" s="200"/>
      <c r="B61" s="636" t="str">
        <f t="shared" si="4"/>
        <v/>
      </c>
      <c r="C61" s="637" t="str">
        <f t="shared" si="5"/>
        <v/>
      </c>
      <c r="D61" s="200"/>
      <c r="E61" s="636" t="str">
        <f t="shared" si="6"/>
        <v/>
      </c>
      <c r="F61" s="637" t="str">
        <f t="shared" si="7"/>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4"/>
      <c r="BM61" s="200"/>
      <c r="BN61" s="200"/>
      <c r="BO61" s="200"/>
      <c r="BP61" s="200"/>
      <c r="BQ61" s="200"/>
      <c r="BR61" s="200"/>
      <c r="BS61" s="200"/>
      <c r="BT61" s="200"/>
      <c r="BU61" s="200"/>
      <c r="BV61" s="200"/>
      <c r="BW61" s="200"/>
      <c r="BX61" s="200"/>
    </row>
    <row r="62">
      <c r="A62" s="200"/>
      <c r="B62" s="636" t="str">
        <f t="shared" si="4"/>
        <v/>
      </c>
      <c r="C62" s="637" t="str">
        <f t="shared" si="5"/>
        <v/>
      </c>
      <c r="D62" s="200"/>
      <c r="E62" s="636" t="str">
        <f t="shared" si="6"/>
        <v/>
      </c>
      <c r="F62" s="637" t="str">
        <f t="shared" si="7"/>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4"/>
      <c r="BM62" s="200"/>
      <c r="BN62" s="200"/>
      <c r="BO62" s="200"/>
      <c r="BP62" s="200"/>
      <c r="BQ62" s="200"/>
      <c r="BR62" s="200"/>
      <c r="BS62" s="200"/>
      <c r="BT62" s="200"/>
      <c r="BU62" s="200"/>
      <c r="BV62" s="200"/>
      <c r="BW62" s="200"/>
      <c r="BX62" s="200"/>
    </row>
    <row r="63">
      <c r="A63" s="200"/>
      <c r="B63" s="636" t="str">
        <f t="shared" si="4"/>
        <v/>
      </c>
      <c r="C63" s="637" t="str">
        <f t="shared" si="5"/>
        <v/>
      </c>
      <c r="D63" s="200"/>
      <c r="E63" s="636" t="str">
        <f t="shared" si="6"/>
        <v/>
      </c>
      <c r="F63" s="637" t="str">
        <f t="shared" si="7"/>
        <v/>
      </c>
      <c r="G63" s="200"/>
      <c r="H63" s="200"/>
      <c r="I63" s="172" t="b">
        <v>0</v>
      </c>
      <c r="J63" s="618"/>
      <c r="K63" s="638"/>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4"/>
      <c r="BM63" s="200"/>
      <c r="BN63" s="200"/>
      <c r="BO63" s="200"/>
      <c r="BP63" s="200"/>
      <c r="BQ63" s="200"/>
      <c r="BR63" s="200"/>
      <c r="BS63" s="200"/>
      <c r="BT63" s="200"/>
      <c r="BU63" s="200"/>
      <c r="BV63" s="200"/>
      <c r="BW63" s="200"/>
      <c r="BX63" s="200"/>
    </row>
    <row r="64">
      <c r="A64" s="200"/>
      <c r="B64" s="636" t="str">
        <f t="shared" si="4"/>
        <v/>
      </c>
      <c r="C64" s="637" t="str">
        <f t="shared" si="5"/>
        <v/>
      </c>
      <c r="D64" s="200"/>
      <c r="E64" s="636" t="str">
        <f t="shared" si="6"/>
        <v/>
      </c>
      <c r="F64" s="637" t="str">
        <f t="shared" si="7"/>
        <v/>
      </c>
      <c r="G64" s="200"/>
      <c r="H64" s="200"/>
      <c r="I64" s="172" t="b">
        <v>0</v>
      </c>
      <c r="J64" s="618"/>
      <c r="K64" s="638"/>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4"/>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4"/>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5"/>
      <c r="L66" s="661"/>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4"/>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5"/>
      <c r="L67" s="661"/>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4"/>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5"/>
      <c r="L68" s="661"/>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4"/>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4"/>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4"/>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4"/>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5"/>
      <c r="L72" s="661"/>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4"/>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5"/>
      <c r="L73" s="661"/>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4"/>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5"/>
      <c r="L74" s="661"/>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4"/>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5"/>
      <c r="L75" s="661"/>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4"/>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5"/>
      <c r="L76" s="661"/>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4"/>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5"/>
      <c r="L77" s="661"/>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4"/>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5"/>
      <c r="L78" s="661"/>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4"/>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4"/>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4"/>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4"/>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5"/>
      <c r="L82" s="661"/>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4"/>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5"/>
      <c r="L83" s="661"/>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4"/>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5"/>
      <c r="L84" s="661"/>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4"/>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5"/>
      <c r="L85" s="661"/>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4"/>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5"/>
      <c r="L86" s="661"/>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4"/>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5"/>
      <c r="L87" s="661"/>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4"/>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5"/>
      <c r="L88" s="661"/>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4"/>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4"/>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4"/>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4"/>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4"/>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4"/>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4"/>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4"/>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4"/>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4"/>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4"/>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4"/>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4"/>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4"/>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4"/>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4"/>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4"/>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4"/>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4"/>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4"/>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4"/>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4"/>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4"/>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4"/>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4"/>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4"/>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4"/>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4"/>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4"/>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4"/>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4"/>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4"/>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4"/>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4"/>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4"/>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4"/>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4"/>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4"/>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4"/>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4"/>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4"/>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4"/>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4"/>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4"/>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4"/>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4"/>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4"/>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4"/>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4"/>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4"/>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4"/>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4"/>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4"/>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4"/>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4"/>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4"/>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4"/>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4"/>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4"/>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4"/>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4"/>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4"/>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4"/>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4"/>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4"/>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4"/>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4"/>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4"/>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4"/>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4"/>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4"/>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4"/>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4"/>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4"/>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4"/>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4"/>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4"/>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4"/>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4"/>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4"/>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4"/>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4"/>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4"/>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2"/>
      <c r="B1" s="662"/>
      <c r="C1" s="662"/>
      <c r="D1" s="663"/>
      <c r="E1" s="662"/>
      <c r="F1" s="662"/>
      <c r="G1" s="662"/>
      <c r="H1" s="662"/>
      <c r="I1" s="662"/>
      <c r="J1" s="662"/>
      <c r="K1" s="662"/>
      <c r="L1" s="662"/>
      <c r="M1" s="662"/>
      <c r="N1" s="662"/>
      <c r="O1" s="662"/>
      <c r="P1" s="662"/>
      <c r="Q1" s="662"/>
      <c r="R1" s="662"/>
      <c r="S1" s="662"/>
      <c r="T1" s="664"/>
      <c r="U1" s="665"/>
      <c r="V1" s="666"/>
      <c r="W1" s="662"/>
      <c r="X1" s="662"/>
      <c r="Y1" s="662"/>
      <c r="Z1" s="662"/>
    </row>
    <row r="2" ht="33.0" customHeight="1">
      <c r="A2" s="662"/>
      <c r="B2" s="531" t="s">
        <v>519</v>
      </c>
      <c r="C2" s="531"/>
      <c r="D2" s="531"/>
      <c r="E2" s="531"/>
      <c r="F2" s="667" t="s">
        <v>520</v>
      </c>
      <c r="G2" s="668"/>
      <c r="H2" s="232"/>
      <c r="I2" s="232"/>
      <c r="J2" s="232"/>
      <c r="K2" s="232"/>
      <c r="L2" s="232"/>
      <c r="M2" s="232"/>
      <c r="N2" s="232"/>
      <c r="O2" s="232"/>
      <c r="P2" s="232"/>
      <c r="Q2" s="3"/>
      <c r="R2" s="669" t="s">
        <v>522</v>
      </c>
      <c r="S2" s="662"/>
      <c r="T2" s="664"/>
      <c r="U2" s="670"/>
      <c r="V2" s="666"/>
      <c r="W2" s="662"/>
      <c r="X2" s="662"/>
      <c r="Y2" s="662"/>
      <c r="Z2" s="662"/>
    </row>
    <row r="3" ht="33.0" customHeight="1">
      <c r="A3" s="662"/>
      <c r="B3" s="671" t="s">
        <v>523</v>
      </c>
      <c r="C3" s="531"/>
      <c r="D3" s="531"/>
      <c r="E3" s="531"/>
      <c r="F3" s="672" t="s">
        <v>524</v>
      </c>
      <c r="G3" s="673"/>
      <c r="H3" s="232"/>
      <c r="I3" s="232"/>
      <c r="J3" s="232"/>
      <c r="K3" s="232"/>
      <c r="L3" s="232"/>
      <c r="M3" s="232"/>
      <c r="N3" s="232"/>
      <c r="O3" s="232"/>
      <c r="P3" s="232"/>
      <c r="Q3" s="3"/>
      <c r="R3" s="674" t="s">
        <v>522</v>
      </c>
      <c r="S3" s="662"/>
      <c r="T3" s="664"/>
      <c r="U3" s="665"/>
      <c r="V3" s="666"/>
      <c r="W3" s="662"/>
      <c r="X3" s="662"/>
      <c r="Y3" s="662"/>
      <c r="Z3" s="662"/>
    </row>
    <row r="4" ht="7.5" customHeight="1">
      <c r="A4" s="662"/>
      <c r="B4" s="662"/>
      <c r="C4" s="662"/>
      <c r="D4" s="663"/>
      <c r="E4" s="662"/>
      <c r="F4" s="662"/>
      <c r="G4" s="662"/>
      <c r="H4" s="662"/>
      <c r="I4" s="662"/>
      <c r="J4" s="662"/>
      <c r="K4" s="662"/>
      <c r="L4" s="662"/>
      <c r="M4" s="662"/>
      <c r="N4" s="662"/>
      <c r="O4" s="662"/>
      <c r="P4" s="662"/>
      <c r="Q4" s="662"/>
      <c r="R4" s="662"/>
      <c r="S4" s="662"/>
      <c r="T4" s="664"/>
      <c r="U4" s="665"/>
      <c r="V4" s="666"/>
      <c r="W4" s="662"/>
      <c r="X4" s="662"/>
      <c r="Y4" s="662"/>
      <c r="Z4" s="662"/>
    </row>
    <row r="5" ht="38.25" customHeight="1">
      <c r="A5" s="662"/>
      <c r="B5" s="675" t="s">
        <v>294</v>
      </c>
      <c r="C5" s="676"/>
      <c r="D5" s="677">
        <v>46054.0</v>
      </c>
      <c r="E5" s="676"/>
      <c r="F5" s="678" t="s">
        <v>526</v>
      </c>
      <c r="G5" s="679" t="s">
        <v>527</v>
      </c>
      <c r="H5" s="680"/>
      <c r="I5" s="680"/>
      <c r="J5" s="680"/>
      <c r="K5" s="680"/>
      <c r="L5" s="680"/>
      <c r="M5" s="680"/>
      <c r="N5" s="680"/>
      <c r="O5" s="680"/>
      <c r="P5" s="680"/>
      <c r="Q5" s="118"/>
      <c r="R5" s="681"/>
      <c r="S5" s="662"/>
      <c r="T5" s="664"/>
      <c r="U5" s="665"/>
      <c r="V5" s="682" t="s">
        <v>528</v>
      </c>
      <c r="W5" s="662"/>
      <c r="X5" s="662"/>
      <c r="Y5" s="662"/>
      <c r="Z5" s="662"/>
    </row>
    <row r="6">
      <c r="A6" s="662"/>
      <c r="B6" s="683" t="s">
        <v>529</v>
      </c>
      <c r="C6" s="684" t="s">
        <v>279</v>
      </c>
      <c r="D6" s="684" t="s">
        <v>318</v>
      </c>
      <c r="E6" s="684" t="s">
        <v>530</v>
      </c>
      <c r="F6" s="684" t="s">
        <v>84</v>
      </c>
      <c r="G6" s="685" t="s">
        <v>531</v>
      </c>
      <c r="H6" s="686" t="s">
        <v>37</v>
      </c>
      <c r="I6" s="687" t="s">
        <v>532</v>
      </c>
      <c r="J6" s="687" t="s">
        <v>533</v>
      </c>
      <c r="K6" s="687" t="s">
        <v>534</v>
      </c>
      <c r="L6" s="688" t="s">
        <v>535</v>
      </c>
      <c r="M6" s="689"/>
      <c r="N6" s="690" t="s">
        <v>536</v>
      </c>
      <c r="O6" s="691" t="s">
        <v>537</v>
      </c>
      <c r="P6" s="680"/>
      <c r="Q6" s="118"/>
      <c r="R6" s="692"/>
      <c r="S6" s="693" t="s">
        <v>96</v>
      </c>
      <c r="T6" s="693" t="s">
        <v>97</v>
      </c>
      <c r="U6" s="665"/>
      <c r="V6" s="694" t="s">
        <v>538</v>
      </c>
      <c r="W6" s="695"/>
      <c r="X6" s="696" t="s">
        <v>294</v>
      </c>
      <c r="Y6" s="662"/>
      <c r="Z6" s="662"/>
    </row>
    <row r="7">
      <c r="A7" s="662"/>
      <c r="B7" s="697"/>
      <c r="C7" s="698"/>
      <c r="D7" s="698"/>
      <c r="E7" s="698"/>
      <c r="F7" s="698"/>
      <c r="G7" s="699"/>
      <c r="H7" s="698"/>
      <c r="I7" s="698"/>
      <c r="J7" s="698"/>
      <c r="K7" s="698"/>
      <c r="L7" s="700" t="s">
        <v>539</v>
      </c>
      <c r="M7" s="700" t="s">
        <v>540</v>
      </c>
      <c r="N7" s="698"/>
      <c r="O7" s="701"/>
      <c r="P7" s="702"/>
      <c r="Q7" s="703"/>
      <c r="R7" s="692"/>
      <c r="S7" s="222"/>
      <c r="T7" s="222"/>
      <c r="V7" s="704">
        <f>month(D5)</f>
        <v>2</v>
      </c>
      <c r="W7" s="705"/>
      <c r="X7" s="696" t="s">
        <v>541</v>
      </c>
      <c r="Y7" s="662"/>
      <c r="Z7" s="662"/>
    </row>
    <row r="8" ht="17.25" customHeight="1" collapsed="1">
      <c r="A8" s="662"/>
      <c r="B8" s="706" t="s">
        <v>542</v>
      </c>
      <c r="C8" s="707"/>
      <c r="D8" s="707"/>
      <c r="E8" s="707"/>
      <c r="F8" s="708"/>
      <c r="G8" s="709"/>
      <c r="H8" s="710"/>
      <c r="I8" s="710"/>
      <c r="J8" s="711"/>
      <c r="K8" s="711"/>
      <c r="L8" s="712"/>
      <c r="M8" s="712"/>
      <c r="N8" s="713"/>
      <c r="O8" s="714"/>
      <c r="P8" s="714"/>
      <c r="Q8" s="715"/>
      <c r="R8" s="664"/>
      <c r="S8" s="228" t="str">
        <f t="array" ref="S8">IFERROR(INDEX('💻シート作成'!$D$6:$D1001, MATCH(T8, '💻シート作成'!$E$6:$E1001, 0)), "")</f>
        <v/>
      </c>
      <c r="T8" s="171" t="str">
        <f>IFERROR(__xludf.DUMMYFUNCTION("filter('💻シート作成'!E6:E1001,'💻シート作成'!E6:E1001&lt;&gt;"""")"),"💭口コミ")</f>
        <v>💭口コミ</v>
      </c>
      <c r="V8" s="716" t="str">
        <f t="array" ref="V8:V104">xlookup(V7, '🏆皆勤アワード'!P2:DV2,'🏆皆勤アワード'!R4:DX100)</f>
        <v>小田原</v>
      </c>
      <c r="W8" s="717"/>
      <c r="X8" s="718">
        <v>46054.0</v>
      </c>
      <c r="Y8" s="662"/>
      <c r="Z8" s="662"/>
    </row>
    <row r="9" hidden="1" outlineLevel="1">
      <c r="A9" s="662"/>
      <c r="B9" s="719"/>
      <c r="C9" s="720">
        <f>D5</f>
        <v>46054</v>
      </c>
      <c r="D9" s="721" t="str">
        <f>TEXT(C9,"ddd")</f>
        <v>日</v>
      </c>
      <c r="E9" s="722"/>
      <c r="F9" s="723" t="s">
        <v>594</v>
      </c>
      <c r="G9" s="724" t="s">
        <v>595</v>
      </c>
      <c r="H9" s="725"/>
      <c r="I9" s="726">
        <v>0.0</v>
      </c>
      <c r="J9" s="721"/>
      <c r="K9" s="721"/>
      <c r="L9" s="727"/>
      <c r="M9" s="727"/>
      <c r="N9" s="725"/>
      <c r="O9" s="728"/>
      <c r="Q9" s="729"/>
      <c r="R9" s="664"/>
      <c r="S9" s="228" t="str">
        <f t="array" ref="S9">IFERROR(INDEX('💻シート作成'!$D$6:$D1001, MATCH(T9, '💻シート作成'!$E$6:$E1001, 0)), "")</f>
        <v/>
      </c>
      <c r="T9" s="171" t="str">
        <f>IFERROR(__xludf.DUMMYFUNCTION("""COMPUTED_VALUE"""),"🔵クレーム")</f>
        <v>🔵クレーム</v>
      </c>
      <c r="U9" s="670"/>
      <c r="V9" s="716" t="s">
        <v>478</v>
      </c>
      <c r="W9" s="717"/>
      <c r="X9" s="718">
        <v>46082.0</v>
      </c>
      <c r="Y9" s="662"/>
      <c r="Z9" s="662"/>
    </row>
    <row r="10" hidden="1" outlineLevel="1">
      <c r="B10" s="730"/>
      <c r="C10" s="731"/>
      <c r="D10" s="731"/>
      <c r="E10" s="731"/>
      <c r="F10" s="731"/>
      <c r="G10" s="732"/>
      <c r="H10" s="731"/>
      <c r="I10" s="731"/>
      <c r="J10" s="731"/>
      <c r="K10" s="731"/>
      <c r="L10" s="733"/>
      <c r="M10" s="733"/>
      <c r="N10" s="731"/>
      <c r="O10" s="734"/>
      <c r="Q10" s="729"/>
      <c r="R10" s="662"/>
      <c r="S10" s="228" t="str">
        <f t="array" ref="S10">IFERROR(INDEX('💻シート作成'!$D$6:$D1001, MATCH(T10, '💻シート作成'!$E$6:$E1001, 0)), "")</f>
        <v/>
      </c>
      <c r="T10" s="171" t="str">
        <f>IFERROR(__xludf.DUMMYFUNCTION("""COMPUTED_VALUE"""),"✅安全チェック")</f>
        <v>✅安全チェック</v>
      </c>
      <c r="U10" s="670"/>
      <c r="V10" s="716" t="s">
        <v>545</v>
      </c>
      <c r="W10" s="717"/>
      <c r="X10" s="718">
        <v>46113.0</v>
      </c>
      <c r="Y10" s="662"/>
      <c r="Z10" s="662"/>
    </row>
    <row r="11" hidden="1" outlineLevel="1">
      <c r="B11" s="730"/>
      <c r="C11" s="731"/>
      <c r="D11" s="731"/>
      <c r="E11" s="731"/>
      <c r="F11" s="731"/>
      <c r="G11" s="732"/>
      <c r="H11" s="731"/>
      <c r="I11" s="731"/>
      <c r="J11" s="731"/>
      <c r="K11" s="731"/>
      <c r="L11" s="733"/>
      <c r="M11" s="733"/>
      <c r="N11" s="731"/>
      <c r="O11" s="734"/>
      <c r="Q11" s="729"/>
      <c r="R11" s="662"/>
      <c r="S11" s="228" t="str">
        <f t="array" ref="S11">IFERROR(INDEX('💻シート作成'!$D$6:$D1001, MATCH(T11, '💻シート作成'!$E$6:$E1001, 0)), "")</f>
        <v/>
      </c>
      <c r="T11" s="171" t="str">
        <f>IFERROR(__xludf.DUMMYFUNCTION("""COMPUTED_VALUE"""),"👭メイド人数計算")</f>
        <v>👭メイド人数計算</v>
      </c>
      <c r="U11" s="670"/>
      <c r="V11" s="716" t="s">
        <v>486</v>
      </c>
      <c r="W11" s="717"/>
      <c r="X11" s="718">
        <v>46143.0</v>
      </c>
      <c r="Y11" s="662"/>
      <c r="Z11" s="662"/>
    </row>
    <row r="12" hidden="1" outlineLevel="1">
      <c r="B12" s="730"/>
      <c r="C12" s="731"/>
      <c r="D12" s="731"/>
      <c r="E12" s="731"/>
      <c r="F12" s="731"/>
      <c r="G12" s="732"/>
      <c r="H12" s="731"/>
      <c r="I12" s="731"/>
      <c r="J12" s="731"/>
      <c r="K12" s="731"/>
      <c r="L12" s="733"/>
      <c r="M12" s="733"/>
      <c r="N12" s="731"/>
      <c r="O12" s="734"/>
      <c r="Q12" s="729"/>
      <c r="R12" s="664"/>
      <c r="S12" s="228" t="str">
        <f t="array" ref="S12">IFERROR(INDEX('💻シート作成'!$D$6:$D1001, MATCH(T12, '💻シート作成'!$E$6:$E1001, 0)), "")</f>
        <v>1月</v>
      </c>
      <c r="T12" s="172" t="str">
        <f>IFERROR(__xludf.DUMMYFUNCTION("""COMPUTED_VALUE"""),"①R9_1集計")</f>
        <v>①R9_1集計</v>
      </c>
      <c r="U12" s="670"/>
      <c r="V12" s="716" t="s">
        <v>489</v>
      </c>
      <c r="W12" s="717"/>
      <c r="X12" s="718">
        <v>46174.0</v>
      </c>
      <c r="Y12" s="662"/>
      <c r="Z12" s="662"/>
    </row>
    <row r="13" hidden="1" outlineLevel="1">
      <c r="B13" s="730"/>
      <c r="C13" s="731"/>
      <c r="D13" s="731"/>
      <c r="E13" s="731"/>
      <c r="F13" s="731"/>
      <c r="G13" s="732"/>
      <c r="H13" s="731"/>
      <c r="I13" s="731"/>
      <c r="J13" s="731"/>
      <c r="K13" s="731"/>
      <c r="L13" s="733"/>
      <c r="M13" s="733"/>
      <c r="N13" s="731"/>
      <c r="O13" s="734"/>
      <c r="Q13" s="729"/>
      <c r="R13" s="662"/>
      <c r="S13" s="228" t="str">
        <f t="array" ref="S13">IFERROR(INDEX('💻シート作成'!$D$6:$D1001, MATCH(T13, '💻シート作成'!$E$6:$E1001, 0)), "")</f>
        <v>1月</v>
      </c>
      <c r="T13" s="172" t="str">
        <f>IFERROR(__xludf.DUMMYFUNCTION("""COMPUTED_VALUE"""),"②R9_1シフト")</f>
        <v>②R9_1シフト</v>
      </c>
      <c r="U13" s="670"/>
      <c r="V13" s="716" t="s">
        <v>499</v>
      </c>
      <c r="W13" s="717"/>
      <c r="X13" s="718">
        <v>46204.0</v>
      </c>
      <c r="Y13" s="662"/>
      <c r="Z13" s="662"/>
    </row>
    <row r="14" hidden="1" outlineLevel="1">
      <c r="B14" s="730"/>
      <c r="C14" s="731"/>
      <c r="D14" s="731"/>
      <c r="E14" s="731"/>
      <c r="F14" s="731"/>
      <c r="G14" s="732"/>
      <c r="H14" s="731"/>
      <c r="I14" s="731"/>
      <c r="J14" s="731"/>
      <c r="K14" s="731"/>
      <c r="L14" s="735"/>
      <c r="M14" s="733"/>
      <c r="N14" s="731"/>
      <c r="O14" s="734"/>
      <c r="Q14" s="729"/>
      <c r="R14" s="662"/>
      <c r="S14" s="228" t="str">
        <f t="array" ref="S14">IFERROR(INDEX('💻シート作成'!$D$6:$D1001, MATCH(T14, '💻シート作成'!$E$6:$E1001, 0)), "")</f>
        <v>1月</v>
      </c>
      <c r="T14" s="172" t="str">
        <f>IFERROR(__xludf.DUMMYFUNCTION("""COMPUTED_VALUE"""),"③R9_1日報")</f>
        <v>③R9_1日報</v>
      </c>
      <c r="U14" s="670"/>
      <c r="V14" s="716" t="s">
        <v>544</v>
      </c>
      <c r="W14" s="717"/>
      <c r="X14" s="718">
        <v>46235.0</v>
      </c>
      <c r="Y14" s="662"/>
      <c r="Z14" s="662"/>
    </row>
    <row r="15" hidden="1" outlineLevel="1">
      <c r="B15" s="730"/>
      <c r="C15" s="731"/>
      <c r="D15" s="731"/>
      <c r="E15" s="731"/>
      <c r="F15" s="731"/>
      <c r="G15" s="732"/>
      <c r="H15" s="731"/>
      <c r="I15" s="731"/>
      <c r="J15" s="731"/>
      <c r="K15" s="731"/>
      <c r="L15" s="735"/>
      <c r="M15" s="733"/>
      <c r="N15" s="731"/>
      <c r="O15" s="734"/>
      <c r="Q15" s="729"/>
      <c r="R15" s="662"/>
      <c r="S15" s="228" t="str">
        <f t="array" ref="S15">IFERROR(INDEX('💻シート作成'!$D$6:$D1001, MATCH(T15, '💻シート作成'!$E$6:$E1001, 0)), "")</f>
        <v>1月</v>
      </c>
      <c r="T15" s="172" t="str">
        <f>IFERROR(__xludf.DUMMYFUNCTION("""COMPUTED_VALUE"""),"④R9_1月報")</f>
        <v>④R9_1月報</v>
      </c>
      <c r="U15" s="670"/>
      <c r="V15" s="716" t="s">
        <v>497</v>
      </c>
      <c r="W15" s="717"/>
      <c r="X15" s="718">
        <v>46266.0</v>
      </c>
      <c r="Y15" s="662"/>
      <c r="Z15" s="662"/>
    </row>
    <row r="16" hidden="1" outlineLevel="1">
      <c r="B16" s="730"/>
      <c r="C16" s="731"/>
      <c r="D16" s="731"/>
      <c r="E16" s="731"/>
      <c r="F16" s="731"/>
      <c r="G16" s="732"/>
      <c r="H16" s="731"/>
      <c r="I16" s="731"/>
      <c r="J16" s="731"/>
      <c r="K16" s="731"/>
      <c r="L16" s="735"/>
      <c r="M16" s="733"/>
      <c r="N16" s="731"/>
      <c r="O16" s="734"/>
      <c r="Q16" s="729"/>
      <c r="R16" s="662"/>
      <c r="S16" s="228" t="str">
        <f t="array" ref="S16">IFERROR(INDEX('💻シート作成'!$D$6:$D1001, MATCH(T16, '💻シート作成'!$E$6:$E1001, 0)), "")</f>
        <v>12月</v>
      </c>
      <c r="T16" s="172" t="str">
        <f>IFERROR(__xludf.DUMMYFUNCTION("""COMPUTED_VALUE"""),"①R8_12集計")</f>
        <v>①R8_12集計</v>
      </c>
      <c r="U16" s="670"/>
      <c r="V16" s="716" t="s">
        <v>113</v>
      </c>
      <c r="W16" s="717"/>
      <c r="X16" s="718">
        <v>46296.0</v>
      </c>
      <c r="Y16" s="662"/>
      <c r="Z16" s="662"/>
    </row>
    <row r="17" hidden="1" outlineLevel="1">
      <c r="B17" s="730"/>
      <c r="C17" s="731"/>
      <c r="D17" s="731"/>
      <c r="E17" s="731"/>
      <c r="F17" s="731"/>
      <c r="G17" s="732"/>
      <c r="H17" s="731"/>
      <c r="I17" s="731"/>
      <c r="J17" s="731"/>
      <c r="K17" s="731"/>
      <c r="L17" s="735"/>
      <c r="M17" s="733"/>
      <c r="N17" s="731"/>
      <c r="O17" s="734"/>
      <c r="Q17" s="729"/>
      <c r="R17" s="662"/>
      <c r="S17" s="228" t="str">
        <f t="array" ref="S17">IFERROR(INDEX('💻シート作成'!$D$6:$D1001, MATCH(T17, '💻シート作成'!$E$6:$E1001, 0)), "")</f>
        <v>12月</v>
      </c>
      <c r="T17" s="172" t="str">
        <f>IFERROR(__xludf.DUMMYFUNCTION("""COMPUTED_VALUE"""),"②R8_12シフト")</f>
        <v>②R8_12シフト</v>
      </c>
      <c r="U17" s="670"/>
      <c r="V17" s="716" t="s">
        <v>171</v>
      </c>
      <c r="W17" s="717"/>
      <c r="X17" s="718">
        <v>46327.0</v>
      </c>
      <c r="Y17" s="662"/>
      <c r="Z17" s="662"/>
    </row>
    <row r="18" hidden="1" outlineLevel="1">
      <c r="B18" s="730"/>
      <c r="C18" s="731"/>
      <c r="D18" s="731"/>
      <c r="E18" s="731"/>
      <c r="F18" s="698"/>
      <c r="G18" s="699"/>
      <c r="H18" s="698"/>
      <c r="I18" s="698"/>
      <c r="J18" s="698"/>
      <c r="K18" s="698"/>
      <c r="L18" s="736"/>
      <c r="M18" s="737"/>
      <c r="N18" s="698"/>
      <c r="O18" s="701"/>
      <c r="P18" s="702"/>
      <c r="Q18" s="738"/>
      <c r="R18" s="662"/>
      <c r="S18" s="228" t="str">
        <f t="array" ref="S18">IFERROR(INDEX('💻シート作成'!$D$6:$D1001, MATCH(T18, '💻シート作成'!$E$6:$E1001, 0)), "")</f>
        <v>12月</v>
      </c>
      <c r="T18" s="172" t="str">
        <f>IFERROR(__xludf.DUMMYFUNCTION("""COMPUTED_VALUE"""),"③R8_12日報")</f>
        <v>③R8_12日報</v>
      </c>
      <c r="U18" s="670"/>
      <c r="V18" s="716" t="s">
        <v>188</v>
      </c>
      <c r="W18" s="717"/>
      <c r="X18" s="718">
        <v>46357.0</v>
      </c>
      <c r="Y18" s="662"/>
      <c r="Z18" s="662"/>
    </row>
    <row r="19" hidden="1" outlineLevel="1">
      <c r="B19" s="739"/>
      <c r="C19" s="698"/>
      <c r="D19" s="698"/>
      <c r="E19" s="698"/>
      <c r="F19" s="740" t="s">
        <v>546</v>
      </c>
      <c r="G19" s="741"/>
      <c r="H19" s="742"/>
      <c r="I19" s="742"/>
      <c r="J19" s="742"/>
      <c r="K19" s="742"/>
      <c r="L19" s="741"/>
      <c r="M19" s="741"/>
      <c r="N19" s="741"/>
      <c r="O19" s="741"/>
      <c r="P19" s="741"/>
      <c r="Q19" s="743"/>
      <c r="R19" s="662"/>
      <c r="S19" s="228" t="str">
        <f t="array" ref="S19">IFERROR(INDEX('💻シート作成'!$D$6:$D1001, MATCH(T19, '💻シート作成'!$E$6:$E1001, 0)), "")</f>
        <v>12月</v>
      </c>
      <c r="T19" s="172" t="str">
        <f>IFERROR(__xludf.DUMMYFUNCTION("""COMPUTED_VALUE"""),"④R8_12月報")</f>
        <v>④R8_12月報</v>
      </c>
      <c r="U19" s="670"/>
      <c r="V19" s="716" t="s">
        <v>483</v>
      </c>
      <c r="W19" s="717"/>
      <c r="X19" s="718">
        <v>46388.0</v>
      </c>
      <c r="Y19" s="662"/>
      <c r="Z19" s="662"/>
    </row>
    <row r="20" hidden="1" outlineLevel="1">
      <c r="A20" s="662"/>
      <c r="B20" s="744"/>
      <c r="C20" s="745">
        <f>IF(C9="","",IF(DAY(C9+1)=1,"",C9+1))</f>
        <v>46055</v>
      </c>
      <c r="D20" s="746" t="str">
        <f>TEXT(C20,"ddd")</f>
        <v>月</v>
      </c>
      <c r="E20" s="747"/>
      <c r="F20" s="748" t="s">
        <v>594</v>
      </c>
      <c r="G20" s="749" t="s">
        <v>595</v>
      </c>
      <c r="H20" s="750"/>
      <c r="I20" s="751">
        <v>0.0</v>
      </c>
      <c r="J20" s="1129"/>
      <c r="K20" s="1129"/>
      <c r="L20" s="752"/>
      <c r="M20" s="752"/>
      <c r="N20" s="748"/>
      <c r="O20" s="753"/>
      <c r="Q20" s="729"/>
      <c r="R20" s="662"/>
      <c r="S20" s="228" t="str">
        <f t="array" ref="S20">IFERROR(INDEX('💻シート作成'!$D$6:$D1001, MATCH(T20, '💻シート作成'!$E$6:$E1001, 0)), "")</f>
        <v>11月</v>
      </c>
      <c r="T20" s="172" t="str">
        <f>IFERROR(__xludf.DUMMYFUNCTION("""COMPUTED_VALUE"""),"①R8_11集計")</f>
        <v>①R8_11集計</v>
      </c>
      <c r="U20" s="754"/>
      <c r="V20" s="716" t="s">
        <v>517</v>
      </c>
      <c r="W20" s="717"/>
      <c r="X20" s="718"/>
      <c r="Y20" s="662"/>
      <c r="Z20" s="662"/>
    </row>
    <row r="21" hidden="1" outlineLevel="1">
      <c r="A21" s="662"/>
      <c r="B21" s="730"/>
      <c r="C21" s="731"/>
      <c r="D21" s="731"/>
      <c r="E21" s="731"/>
      <c r="F21" s="731"/>
      <c r="G21" s="732"/>
      <c r="H21" s="731"/>
      <c r="I21" s="731"/>
      <c r="J21" s="731"/>
      <c r="K21" s="731"/>
      <c r="L21" s="755"/>
      <c r="M21" s="755"/>
      <c r="N21" s="731"/>
      <c r="O21" s="734"/>
      <c r="Q21" s="729"/>
      <c r="R21" s="662"/>
      <c r="S21" s="228" t="str">
        <f t="array" ref="S21">IFERROR(INDEX('💻シート作成'!$D$6:$D1001, MATCH(T21, '💻シート作成'!$E$6:$E1001, 0)), "")</f>
        <v>11月</v>
      </c>
      <c r="T21" s="172" t="str">
        <f>IFERROR(__xludf.DUMMYFUNCTION("""COMPUTED_VALUE"""),"②R8_11シフト")</f>
        <v>②R8_11シフト</v>
      </c>
      <c r="U21" s="754"/>
      <c r="V21" s="716" t="s">
        <v>550</v>
      </c>
      <c r="W21" s="717"/>
      <c r="X21" s="718"/>
      <c r="Y21" s="662"/>
      <c r="Z21" s="662"/>
    </row>
    <row r="22" hidden="1" outlineLevel="1">
      <c r="A22" s="662"/>
      <c r="B22" s="730"/>
      <c r="C22" s="731"/>
      <c r="D22" s="731"/>
      <c r="E22" s="731"/>
      <c r="F22" s="731"/>
      <c r="G22" s="732"/>
      <c r="H22" s="731"/>
      <c r="I22" s="731"/>
      <c r="J22" s="731"/>
      <c r="K22" s="731"/>
      <c r="L22" s="755"/>
      <c r="M22" s="755"/>
      <c r="N22" s="731"/>
      <c r="O22" s="734"/>
      <c r="Q22" s="729"/>
      <c r="R22" s="662"/>
      <c r="S22" s="228" t="str">
        <f t="array" ref="S22">IFERROR(INDEX('💻シート作成'!$D$6:$D1001, MATCH(T22, '💻シート作成'!$E$6:$E1001, 0)), "")</f>
        <v>11月</v>
      </c>
      <c r="T22" s="172" t="str">
        <f>IFERROR(__xludf.DUMMYFUNCTION("""COMPUTED_VALUE"""),"③R8_11日報")</f>
        <v>③R8_11日報</v>
      </c>
      <c r="U22" s="754"/>
      <c r="V22" s="716" t="s">
        <v>120</v>
      </c>
      <c r="W22" s="717"/>
      <c r="X22" s="718"/>
      <c r="Y22" s="662"/>
      <c r="Z22" s="662"/>
    </row>
    <row r="23" hidden="1" outlineLevel="1">
      <c r="A23" s="662"/>
      <c r="B23" s="730"/>
      <c r="C23" s="731"/>
      <c r="D23" s="731"/>
      <c r="E23" s="731"/>
      <c r="F23" s="731"/>
      <c r="G23" s="732"/>
      <c r="H23" s="731"/>
      <c r="I23" s="731"/>
      <c r="J23" s="731"/>
      <c r="K23" s="731"/>
      <c r="L23" s="756"/>
      <c r="M23" s="755"/>
      <c r="N23" s="731"/>
      <c r="O23" s="734"/>
      <c r="Q23" s="729"/>
      <c r="R23" s="662"/>
      <c r="S23" s="228" t="str">
        <f t="array" ref="S23">IFERROR(INDEX('💻シート作成'!$D$6:$D1001, MATCH(T23, '💻シート作成'!$E$6:$E1001, 0)), "")</f>
        <v>11月</v>
      </c>
      <c r="T23" s="172" t="str">
        <f>IFERROR(__xludf.DUMMYFUNCTION("""COMPUTED_VALUE"""),"④R8_11月報")</f>
        <v>④R8_11月報</v>
      </c>
      <c r="U23" s="665"/>
      <c r="V23" s="716" t="s">
        <v>507</v>
      </c>
      <c r="W23" s="662"/>
      <c r="X23" s="757"/>
      <c r="Y23" s="662"/>
      <c r="Z23" s="662"/>
    </row>
    <row r="24" hidden="1" outlineLevel="1">
      <c r="A24" s="662"/>
      <c r="B24" s="730"/>
      <c r="C24" s="731"/>
      <c r="D24" s="731"/>
      <c r="E24" s="731"/>
      <c r="F24" s="731"/>
      <c r="G24" s="732"/>
      <c r="H24" s="731"/>
      <c r="I24" s="731"/>
      <c r="J24" s="731"/>
      <c r="K24" s="731"/>
      <c r="L24" s="756"/>
      <c r="M24" s="755"/>
      <c r="N24" s="731"/>
      <c r="O24" s="734"/>
      <c r="Q24" s="729"/>
      <c r="R24" s="662"/>
      <c r="S24" s="228" t="str">
        <f t="array" ref="S24">IFERROR(INDEX('💻シート作成'!$D$6:$D1001, MATCH(T24, '💻シート作成'!$E$6:$E1001, 0)), "")</f>
        <v>10月</v>
      </c>
      <c r="T24" s="172" t="str">
        <f>IFERROR(__xludf.DUMMYFUNCTION("""COMPUTED_VALUE"""),"①R8_10集計")</f>
        <v>①R8_10集計</v>
      </c>
      <c r="U24" s="665"/>
      <c r="V24" s="716" t="s">
        <v>810</v>
      </c>
      <c r="W24" s="662"/>
      <c r="X24" s="757"/>
      <c r="Y24" s="662"/>
      <c r="Z24" s="662"/>
    </row>
    <row r="25" hidden="1" outlineLevel="1">
      <c r="A25" s="662"/>
      <c r="B25" s="730"/>
      <c r="C25" s="731"/>
      <c r="D25" s="731"/>
      <c r="E25" s="731"/>
      <c r="F25" s="731"/>
      <c r="G25" s="732"/>
      <c r="H25" s="731"/>
      <c r="I25" s="731"/>
      <c r="J25" s="731"/>
      <c r="K25" s="731"/>
      <c r="L25" s="756"/>
      <c r="M25" s="755"/>
      <c r="N25" s="731"/>
      <c r="O25" s="734"/>
      <c r="Q25" s="729"/>
      <c r="R25" s="662"/>
      <c r="S25" s="228" t="str">
        <f t="array" ref="S25">IFERROR(INDEX('💻シート作成'!$D$6:$D1001, MATCH(T25, '💻シート作成'!$E$6:$E1001, 0)), "")</f>
        <v>10月</v>
      </c>
      <c r="T25" s="172" t="str">
        <f>IFERROR(__xludf.DUMMYFUNCTION("""COMPUTED_VALUE"""),"②R8_10シフト")</f>
        <v>②R8_10シフト</v>
      </c>
      <c r="U25" s="665"/>
      <c r="V25" s="716" t="s">
        <v>502</v>
      </c>
      <c r="W25" s="662"/>
      <c r="X25" s="757"/>
      <c r="Y25" s="662"/>
      <c r="Z25" s="662"/>
    </row>
    <row r="26" hidden="1" outlineLevel="1">
      <c r="A26" s="662"/>
      <c r="B26" s="730"/>
      <c r="C26" s="731"/>
      <c r="D26" s="731"/>
      <c r="E26" s="731"/>
      <c r="F26" s="731"/>
      <c r="G26" s="732"/>
      <c r="H26" s="731"/>
      <c r="I26" s="731"/>
      <c r="J26" s="731"/>
      <c r="K26" s="731"/>
      <c r="L26" s="756"/>
      <c r="M26" s="755"/>
      <c r="N26" s="731"/>
      <c r="O26" s="734"/>
      <c r="Q26" s="729"/>
      <c r="R26" s="662"/>
      <c r="S26" s="228" t="str">
        <f t="array" ref="S26">IFERROR(INDEX('💻シート作成'!$D$6:$D1001, MATCH(T26, '💻シート作成'!$E$6:$E1001, 0)), "")</f>
        <v>10月</v>
      </c>
      <c r="T26" s="172" t="str">
        <f>IFERROR(__xludf.DUMMYFUNCTION("""COMPUTED_VALUE"""),"③R8_10日報")</f>
        <v>③R8_10日報</v>
      </c>
      <c r="U26" s="665"/>
      <c r="V26" s="716" t="s">
        <v>189</v>
      </c>
      <c r="W26" s="662"/>
      <c r="X26" s="757"/>
      <c r="Y26" s="662"/>
      <c r="Z26" s="662"/>
    </row>
    <row r="27" hidden="1" outlineLevel="1">
      <c r="A27" s="662"/>
      <c r="B27" s="730"/>
      <c r="C27" s="731"/>
      <c r="D27" s="731"/>
      <c r="E27" s="731"/>
      <c r="F27" s="731"/>
      <c r="G27" s="732"/>
      <c r="H27" s="731"/>
      <c r="I27" s="731"/>
      <c r="J27" s="731"/>
      <c r="K27" s="731"/>
      <c r="L27" s="756"/>
      <c r="M27" s="755"/>
      <c r="N27" s="731"/>
      <c r="O27" s="734"/>
      <c r="Q27" s="729"/>
      <c r="R27" s="662"/>
      <c r="S27" s="228" t="str">
        <f t="array" ref="S27">IFERROR(INDEX('💻シート作成'!$D$6:$D1001, MATCH(T27, '💻シート作成'!$E$6:$E1001, 0)), "")</f>
        <v>10月</v>
      </c>
      <c r="T27" s="172" t="str">
        <f>IFERROR(__xludf.DUMMYFUNCTION("""COMPUTED_VALUE"""),"④R8_10月報")</f>
        <v>④R8_10月報</v>
      </c>
      <c r="U27" s="665"/>
      <c r="V27" s="716" t="s">
        <v>182</v>
      </c>
      <c r="W27" s="662"/>
      <c r="X27" s="757"/>
      <c r="Y27" s="662"/>
      <c r="Z27" s="662"/>
    </row>
    <row r="28" hidden="1" outlineLevel="1">
      <c r="A28" s="662"/>
      <c r="B28" s="730"/>
      <c r="C28" s="731"/>
      <c r="D28" s="731"/>
      <c r="E28" s="731"/>
      <c r="F28" s="731"/>
      <c r="G28" s="732"/>
      <c r="H28" s="731"/>
      <c r="I28" s="731"/>
      <c r="J28" s="731"/>
      <c r="K28" s="731"/>
      <c r="L28" s="756"/>
      <c r="M28" s="755"/>
      <c r="N28" s="731"/>
      <c r="O28" s="734"/>
      <c r="Q28" s="729"/>
      <c r="R28" s="662"/>
      <c r="S28" s="228" t="str">
        <f t="array" ref="S28">IFERROR(INDEX('💻シート作成'!$D$6:$D1001, MATCH(T28, '💻シート作成'!$E$6:$E1001, 0)), "")</f>
        <v>9月</v>
      </c>
      <c r="T28" s="172" t="str">
        <f>IFERROR(__xludf.DUMMYFUNCTION("""COMPUTED_VALUE"""),"①R8_9集計")</f>
        <v>①R8_9集計</v>
      </c>
      <c r="U28" s="665"/>
      <c r="V28" s="716" t="s">
        <v>112</v>
      </c>
      <c r="W28" s="662"/>
      <c r="X28" s="757"/>
      <c r="Y28" s="662"/>
      <c r="Z28" s="662"/>
    </row>
    <row r="29" hidden="1" outlineLevel="1">
      <c r="A29" s="662"/>
      <c r="B29" s="730"/>
      <c r="C29" s="731"/>
      <c r="D29" s="731"/>
      <c r="E29" s="731"/>
      <c r="F29" s="698"/>
      <c r="G29" s="699"/>
      <c r="H29" s="698"/>
      <c r="I29" s="698"/>
      <c r="J29" s="698"/>
      <c r="K29" s="698"/>
      <c r="L29" s="756"/>
      <c r="M29" s="755"/>
      <c r="N29" s="698"/>
      <c r="O29" s="701"/>
      <c r="P29" s="702"/>
      <c r="Q29" s="738"/>
      <c r="R29" s="662"/>
      <c r="S29" s="228" t="str">
        <f t="array" ref="S29">IFERROR(INDEX('💻シート作成'!$D$6:$D1001, MATCH(T29, '💻シート作成'!$E$6:$E1001, 0)), "")</f>
        <v>9月</v>
      </c>
      <c r="T29" s="172" t="str">
        <f>IFERROR(__xludf.DUMMYFUNCTION("""COMPUTED_VALUE"""),"②R8_9シフト")</f>
        <v>②R8_9シフト</v>
      </c>
      <c r="U29" s="665"/>
      <c r="V29" s="716" t="s">
        <v>505</v>
      </c>
      <c r="W29" s="662"/>
      <c r="X29" s="757"/>
      <c r="Y29" s="662"/>
      <c r="Z29" s="662"/>
    </row>
    <row r="30" hidden="1" outlineLevel="1">
      <c r="A30" s="662"/>
      <c r="B30" s="739"/>
      <c r="C30" s="698"/>
      <c r="D30" s="698"/>
      <c r="E30" s="698"/>
      <c r="F30" s="758" t="s">
        <v>546</v>
      </c>
      <c r="G30" s="759"/>
      <c r="H30" s="742"/>
      <c r="I30" s="742"/>
      <c r="J30" s="742"/>
      <c r="K30" s="742"/>
      <c r="L30" s="759"/>
      <c r="M30" s="759"/>
      <c r="N30" s="759"/>
      <c r="O30" s="759"/>
      <c r="P30" s="759"/>
      <c r="Q30" s="760"/>
      <c r="R30" s="662"/>
      <c r="S30" s="228" t="str">
        <f t="array" ref="S30">IFERROR(INDEX('💻シート作成'!$D$6:$D1001, MATCH(T30, '💻シート作成'!$E$6:$E1001, 0)), "")</f>
        <v>9月</v>
      </c>
      <c r="T30" s="172" t="str">
        <f>IFERROR(__xludf.DUMMYFUNCTION("""COMPUTED_VALUE"""),"③R8_9日報")</f>
        <v>③R8_9日報</v>
      </c>
      <c r="U30" s="665"/>
      <c r="V30" s="716" t="s">
        <v>512</v>
      </c>
      <c r="W30" s="662"/>
      <c r="X30" s="757"/>
      <c r="Y30" s="662"/>
      <c r="Z30" s="662"/>
    </row>
    <row r="31" hidden="1" outlineLevel="1">
      <c r="A31" s="662"/>
      <c r="B31" s="761"/>
      <c r="C31" s="762">
        <f>IF(C20="","",IF(DAY(C20+1)=1,"",C20+1))</f>
        <v>46056</v>
      </c>
      <c r="D31" s="763" t="str">
        <f>TEXT(C31,"ddd")</f>
        <v>火</v>
      </c>
      <c r="E31" s="764"/>
      <c r="F31" s="765" t="s">
        <v>594</v>
      </c>
      <c r="G31" s="766" t="s">
        <v>595</v>
      </c>
      <c r="H31" s="767"/>
      <c r="I31" s="768">
        <v>0.0</v>
      </c>
      <c r="J31" s="763"/>
      <c r="K31" s="763"/>
      <c r="L31" s="769"/>
      <c r="M31" s="769"/>
      <c r="N31" s="765"/>
      <c r="O31" s="770"/>
      <c r="P31" s="771"/>
      <c r="Q31" s="772"/>
      <c r="R31" s="662"/>
      <c r="S31" s="228" t="str">
        <f t="array" ref="S31">IFERROR(INDEX('💻シート作成'!$D$6:$D1001, MATCH(T31, '💻シート作成'!$E$6:$E1001, 0)), "")</f>
        <v>9月</v>
      </c>
      <c r="T31" s="172" t="str">
        <f>IFERROR(__xludf.DUMMYFUNCTION("""COMPUTED_VALUE"""),"④R8_9月報")</f>
        <v>④R8_9月報</v>
      </c>
      <c r="U31" s="665"/>
      <c r="V31" s="716" t="s">
        <v>165</v>
      </c>
      <c r="W31" s="662"/>
      <c r="X31" s="757"/>
      <c r="Y31" s="662"/>
      <c r="Z31" s="662"/>
    </row>
    <row r="32" hidden="1" outlineLevel="1">
      <c r="A32" s="662"/>
      <c r="B32" s="730"/>
      <c r="C32" s="731"/>
      <c r="D32" s="731"/>
      <c r="E32" s="731"/>
      <c r="F32" s="731"/>
      <c r="G32" s="732"/>
      <c r="H32" s="731"/>
      <c r="I32" s="731"/>
      <c r="J32" s="731"/>
      <c r="K32" s="731"/>
      <c r="L32" s="769"/>
      <c r="M32" s="769"/>
      <c r="N32" s="731"/>
      <c r="O32" s="734"/>
      <c r="Q32" s="729"/>
      <c r="R32" s="662"/>
      <c r="S32" s="228" t="str">
        <f t="array" ref="S32">IFERROR(INDEX('💻シート作成'!$D$6:$D1001, MATCH(T32, '💻シート作成'!$E$6:$E1001, 0)), "")</f>
        <v>8月</v>
      </c>
      <c r="T32" s="172" t="str">
        <f>IFERROR(__xludf.DUMMYFUNCTION("""COMPUTED_VALUE"""),"①R8_8集計")</f>
        <v>①R8_8集計</v>
      </c>
      <c r="U32" s="665"/>
      <c r="V32" s="716" t="s">
        <v>159</v>
      </c>
      <c r="W32" s="662"/>
      <c r="X32" s="757"/>
      <c r="Y32" s="662"/>
      <c r="Z32" s="662"/>
    </row>
    <row r="33" hidden="1" outlineLevel="1">
      <c r="A33" s="662"/>
      <c r="B33" s="730"/>
      <c r="C33" s="731"/>
      <c r="D33" s="731"/>
      <c r="E33" s="731"/>
      <c r="F33" s="731"/>
      <c r="G33" s="732"/>
      <c r="H33" s="731"/>
      <c r="I33" s="731"/>
      <c r="J33" s="731"/>
      <c r="K33" s="731"/>
      <c r="L33" s="769"/>
      <c r="M33" s="769"/>
      <c r="N33" s="731"/>
      <c r="O33" s="734"/>
      <c r="Q33" s="729"/>
      <c r="R33" s="662"/>
      <c r="S33" s="228" t="str">
        <f t="array" ref="S33">IFERROR(INDEX('💻シート作成'!$D$6:$D1001, MATCH(T33, '💻シート作成'!$E$6:$E1001, 0)), "")</f>
        <v>8月</v>
      </c>
      <c r="T33" s="172" t="str">
        <f>IFERROR(__xludf.DUMMYFUNCTION("""COMPUTED_VALUE"""),"②R8_8シフト")</f>
        <v>②R8_8シフト</v>
      </c>
      <c r="U33" s="665"/>
      <c r="V33" s="716" t="s">
        <v>509</v>
      </c>
      <c r="W33" s="662"/>
      <c r="X33" s="757"/>
      <c r="Y33" s="662"/>
      <c r="Z33" s="662"/>
    </row>
    <row r="34" hidden="1" outlineLevel="1">
      <c r="A34" s="662"/>
      <c r="B34" s="730"/>
      <c r="C34" s="731"/>
      <c r="D34" s="731"/>
      <c r="E34" s="731"/>
      <c r="F34" s="731"/>
      <c r="G34" s="732"/>
      <c r="H34" s="731"/>
      <c r="I34" s="731"/>
      <c r="J34" s="731"/>
      <c r="K34" s="731"/>
      <c r="L34" s="773"/>
      <c r="M34" s="769"/>
      <c r="N34" s="731"/>
      <c r="O34" s="734"/>
      <c r="Q34" s="729"/>
      <c r="R34" s="662"/>
      <c r="S34" s="228" t="str">
        <f t="array" ref="S34">IFERROR(INDEX('💻シート作成'!$D$6:$D1001, MATCH(T34, '💻シート作成'!$E$6:$E1001, 0)), "")</f>
        <v>8月</v>
      </c>
      <c r="T34" s="172" t="str">
        <f>IFERROR(__xludf.DUMMYFUNCTION("""COMPUTED_VALUE"""),"③R8_8日報")</f>
        <v>③R8_8日報</v>
      </c>
      <c r="U34" s="665"/>
      <c r="V34" s="716" t="s">
        <v>125</v>
      </c>
      <c r="W34" s="662"/>
      <c r="X34" s="757"/>
      <c r="Y34" s="662"/>
      <c r="Z34" s="662"/>
    </row>
    <row r="35" hidden="1" outlineLevel="1">
      <c r="A35" s="662"/>
      <c r="B35" s="730"/>
      <c r="C35" s="731"/>
      <c r="D35" s="731"/>
      <c r="E35" s="731"/>
      <c r="F35" s="731"/>
      <c r="G35" s="732"/>
      <c r="H35" s="731"/>
      <c r="I35" s="731"/>
      <c r="J35" s="731"/>
      <c r="K35" s="731"/>
      <c r="L35" s="773"/>
      <c r="M35" s="769"/>
      <c r="N35" s="731"/>
      <c r="O35" s="734"/>
      <c r="Q35" s="729"/>
      <c r="R35" s="662"/>
      <c r="S35" s="228" t="str">
        <f t="array" ref="S35">IFERROR(INDEX('💻シート作成'!$D$6:$D1001, MATCH(T35, '💻シート作成'!$E$6:$E1001, 0)), "")</f>
        <v>8月</v>
      </c>
      <c r="T35" s="172" t="str">
        <f>IFERROR(__xludf.DUMMYFUNCTION("""COMPUTED_VALUE"""),"④R8_8月報")</f>
        <v>④R8_8月報</v>
      </c>
      <c r="U35" s="665"/>
      <c r="V35" s="774" t="s">
        <v>554</v>
      </c>
      <c r="W35" s="662"/>
      <c r="X35" s="757"/>
      <c r="Y35" s="662"/>
      <c r="Z35" s="662"/>
    </row>
    <row r="36" hidden="1" outlineLevel="1">
      <c r="A36" s="662"/>
      <c r="B36" s="730"/>
      <c r="C36" s="731"/>
      <c r="D36" s="731"/>
      <c r="E36" s="731"/>
      <c r="F36" s="731"/>
      <c r="G36" s="732"/>
      <c r="H36" s="731"/>
      <c r="I36" s="731"/>
      <c r="J36" s="731"/>
      <c r="K36" s="731"/>
      <c r="L36" s="773"/>
      <c r="M36" s="769"/>
      <c r="N36" s="731"/>
      <c r="O36" s="734"/>
      <c r="Q36" s="729"/>
      <c r="R36" s="662"/>
      <c r="S36" s="228" t="str">
        <f t="array" ref="S36">IFERROR(INDEX('💻シート作成'!$D$6:$D1001, MATCH(T36, '💻シート作成'!$E$6:$E1001, 0)), "")</f>
        <v>7月</v>
      </c>
      <c r="T36" s="172" t="str">
        <f>IFERROR(__xludf.DUMMYFUNCTION("""COMPUTED_VALUE"""),"①R8_7集計")</f>
        <v>①R8_7集計</v>
      </c>
      <c r="U36" s="665"/>
      <c r="V36" s="774" t="s">
        <v>198</v>
      </c>
      <c r="W36" s="662"/>
      <c r="X36" s="757"/>
      <c r="Y36" s="662"/>
      <c r="Z36" s="662"/>
    </row>
    <row r="37" hidden="1" outlineLevel="1">
      <c r="A37" s="662"/>
      <c r="B37" s="730"/>
      <c r="C37" s="731"/>
      <c r="D37" s="731"/>
      <c r="E37" s="731"/>
      <c r="F37" s="731"/>
      <c r="G37" s="732"/>
      <c r="H37" s="731"/>
      <c r="I37" s="731"/>
      <c r="J37" s="731"/>
      <c r="K37" s="731"/>
      <c r="L37" s="773"/>
      <c r="M37" s="769"/>
      <c r="N37" s="731"/>
      <c r="O37" s="734"/>
      <c r="Q37" s="729"/>
      <c r="R37" s="662"/>
      <c r="S37" s="228" t="str">
        <f t="array" ref="S37">IFERROR(INDEX('💻シート作成'!$D$6:$D1001, MATCH(T37, '💻シート作成'!$E$6:$E1001, 0)), "")</f>
        <v>7月</v>
      </c>
      <c r="T37" s="172" t="str">
        <f>IFERROR(__xludf.DUMMYFUNCTION("""COMPUTED_VALUE"""),"②R8_7シフト")</f>
        <v>②R8_7シフト</v>
      </c>
      <c r="U37" s="665"/>
      <c r="V37" s="716" t="s">
        <v>813</v>
      </c>
      <c r="W37" s="662"/>
      <c r="X37" s="757"/>
      <c r="Y37" s="662"/>
      <c r="Z37" s="662"/>
    </row>
    <row r="38" hidden="1" outlineLevel="1">
      <c r="A38" s="662"/>
      <c r="B38" s="730"/>
      <c r="C38" s="731"/>
      <c r="D38" s="731"/>
      <c r="E38" s="731"/>
      <c r="F38" s="731"/>
      <c r="G38" s="732"/>
      <c r="H38" s="731"/>
      <c r="I38" s="731"/>
      <c r="J38" s="731"/>
      <c r="K38" s="731"/>
      <c r="L38" s="773"/>
      <c r="M38" s="769"/>
      <c r="N38" s="731"/>
      <c r="O38" s="734"/>
      <c r="Q38" s="729"/>
      <c r="R38" s="662"/>
      <c r="S38" s="228" t="str">
        <f t="array" ref="S38">IFERROR(INDEX('💻シート作成'!$D$6:$D1001, MATCH(T38, '💻シート作成'!$E$6:$E1001, 0)), "")</f>
        <v>7月</v>
      </c>
      <c r="T38" s="172" t="str">
        <f>IFERROR(__xludf.DUMMYFUNCTION("""COMPUTED_VALUE"""),"③R8_7日報")</f>
        <v>③R8_7日報</v>
      </c>
      <c r="U38" s="665"/>
      <c r="V38" s="774" t="s">
        <v>132</v>
      </c>
      <c r="W38" s="662"/>
      <c r="X38" s="757"/>
      <c r="Y38" s="662"/>
      <c r="Z38" s="662"/>
    </row>
    <row r="39" hidden="1" outlineLevel="1">
      <c r="A39" s="662"/>
      <c r="B39" s="730"/>
      <c r="C39" s="731"/>
      <c r="D39" s="731"/>
      <c r="E39" s="731"/>
      <c r="F39" s="731"/>
      <c r="G39" s="732"/>
      <c r="H39" s="731"/>
      <c r="I39" s="731"/>
      <c r="J39" s="731"/>
      <c r="K39" s="731"/>
      <c r="L39" s="773"/>
      <c r="M39" s="769"/>
      <c r="N39" s="731"/>
      <c r="O39" s="734"/>
      <c r="Q39" s="729"/>
      <c r="R39" s="662"/>
      <c r="S39" s="228" t="str">
        <f t="array" ref="S39">IFERROR(INDEX('💻シート作成'!$D$6:$D1001, MATCH(T39, '💻シート作成'!$E$6:$E1001, 0)), "")</f>
        <v>7月</v>
      </c>
      <c r="T39" s="172" t="str">
        <f>IFERROR(__xludf.DUMMYFUNCTION("""COMPUTED_VALUE"""),"④R8_7月報")</f>
        <v>④R8_7月報</v>
      </c>
      <c r="U39" s="665"/>
      <c r="V39" s="716" t="s">
        <v>814</v>
      </c>
      <c r="W39" s="662"/>
      <c r="X39" s="757"/>
      <c r="Y39" s="662"/>
      <c r="Z39" s="662"/>
    </row>
    <row r="40" hidden="1" outlineLevel="1">
      <c r="A40" s="662"/>
      <c r="B40" s="730"/>
      <c r="C40" s="731"/>
      <c r="D40" s="731"/>
      <c r="E40" s="731"/>
      <c r="F40" s="698"/>
      <c r="G40" s="699"/>
      <c r="H40" s="698"/>
      <c r="I40" s="698"/>
      <c r="J40" s="698"/>
      <c r="K40" s="698"/>
      <c r="L40" s="773"/>
      <c r="M40" s="769"/>
      <c r="N40" s="698"/>
      <c r="O40" s="701"/>
      <c r="P40" s="702"/>
      <c r="Q40" s="738"/>
      <c r="R40" s="662"/>
      <c r="S40" s="228" t="str">
        <f t="array" ref="S40">IFERROR(INDEX('💻シート作成'!$D$6:$D1001, MATCH(T40, '💻シート作成'!$E$6:$E1001, 0)), "")</f>
        <v>6月</v>
      </c>
      <c r="T40" s="172" t="str">
        <f>IFERROR(__xludf.DUMMYFUNCTION("""COMPUTED_VALUE"""),"①R8_6集計")</f>
        <v>①R8_6集計</v>
      </c>
      <c r="U40" s="665"/>
      <c r="V40" s="716" t="s">
        <v>815</v>
      </c>
      <c r="W40" s="662"/>
      <c r="X40" s="757"/>
      <c r="Y40" s="662"/>
      <c r="Z40" s="662"/>
    </row>
    <row r="41" hidden="1" outlineLevel="1">
      <c r="A41" s="662"/>
      <c r="B41" s="739"/>
      <c r="C41" s="698"/>
      <c r="D41" s="698"/>
      <c r="E41" s="698"/>
      <c r="F41" s="740" t="s">
        <v>546</v>
      </c>
      <c r="G41" s="741"/>
      <c r="H41" s="742"/>
      <c r="I41" s="742"/>
      <c r="J41" s="742"/>
      <c r="K41" s="742"/>
      <c r="L41" s="741"/>
      <c r="M41" s="741"/>
      <c r="N41" s="741"/>
      <c r="O41" s="741"/>
      <c r="P41" s="741"/>
      <c r="Q41" s="743"/>
      <c r="R41" s="662"/>
      <c r="S41" s="228" t="str">
        <f t="array" ref="S41">IFERROR(INDEX('💻シート作成'!$D$6:$D1001, MATCH(T41, '💻シート作成'!$E$6:$E1001, 0)), "")</f>
        <v>6月</v>
      </c>
      <c r="T41" s="172" t="str">
        <f>IFERROR(__xludf.DUMMYFUNCTION("""COMPUTED_VALUE"""),"②R8_6シフト")</f>
        <v>②R8_6シフト</v>
      </c>
      <c r="U41" s="665"/>
      <c r="V41" s="716" t="s">
        <v>817</v>
      </c>
      <c r="W41" s="662"/>
      <c r="X41" s="757"/>
      <c r="Y41" s="662"/>
      <c r="Z41" s="662"/>
    </row>
    <row r="42" hidden="1" outlineLevel="1">
      <c r="A42" s="662"/>
      <c r="B42" s="744"/>
      <c r="C42" s="745">
        <f>IF(C31="","",IF(DAY(C31+1)=1,"",C31+1))</f>
        <v>46057</v>
      </c>
      <c r="D42" s="746" t="str">
        <f>TEXT(C42,"ddd")</f>
        <v>水</v>
      </c>
      <c r="E42" s="747"/>
      <c r="F42" s="775" t="s">
        <v>594</v>
      </c>
      <c r="G42" s="776" t="s">
        <v>595</v>
      </c>
      <c r="H42" s="777"/>
      <c r="I42" s="778">
        <v>0.0</v>
      </c>
      <c r="J42" s="746"/>
      <c r="K42" s="746"/>
      <c r="L42" s="755"/>
      <c r="M42" s="755"/>
      <c r="N42" s="775"/>
      <c r="O42" s="779"/>
      <c r="P42" s="771"/>
      <c r="Q42" s="772"/>
      <c r="R42" s="662"/>
      <c r="S42" s="228" t="str">
        <f t="array" ref="S42">IFERROR(INDEX('💻シート作成'!$D$6:$D1001, MATCH(T42, '💻シート作成'!$E$6:$E1001, 0)), "")</f>
        <v>6月</v>
      </c>
      <c r="T42" s="172" t="str">
        <f>IFERROR(__xludf.DUMMYFUNCTION("""COMPUTED_VALUE"""),"③R8_6日報")</f>
        <v>③R8_6日報</v>
      </c>
      <c r="U42" s="665"/>
      <c r="V42" s="716" t="s">
        <v>679</v>
      </c>
      <c r="W42" s="662"/>
      <c r="X42" s="757"/>
      <c r="Y42" s="662"/>
      <c r="Z42" s="662"/>
    </row>
    <row r="43" hidden="1" outlineLevel="1">
      <c r="A43" s="662"/>
      <c r="B43" s="730"/>
      <c r="C43" s="731"/>
      <c r="D43" s="731"/>
      <c r="E43" s="731"/>
      <c r="F43" s="731"/>
      <c r="G43" s="732"/>
      <c r="H43" s="731"/>
      <c r="I43" s="731"/>
      <c r="J43" s="731"/>
      <c r="K43" s="731"/>
      <c r="L43" s="755"/>
      <c r="M43" s="755"/>
      <c r="N43" s="731"/>
      <c r="O43" s="734"/>
      <c r="Q43" s="729"/>
      <c r="R43" s="662"/>
      <c r="S43" s="228" t="str">
        <f t="array" ref="S43">IFERROR(INDEX('💻シート作成'!$D$6:$D1001, MATCH(T43, '💻シート作成'!$E$6:$E1001, 0)), "")</f>
        <v>6月</v>
      </c>
      <c r="T43" s="172" t="str">
        <f>IFERROR(__xludf.DUMMYFUNCTION("""COMPUTED_VALUE"""),"④R8_6月報")</f>
        <v>④R8_6月報</v>
      </c>
      <c r="U43" s="665"/>
      <c r="V43" s="774" t="s">
        <v>819</v>
      </c>
      <c r="W43" s="662"/>
      <c r="X43" s="757"/>
      <c r="Y43" s="662"/>
      <c r="Z43" s="662"/>
    </row>
    <row r="44" hidden="1" outlineLevel="1">
      <c r="A44" s="662"/>
      <c r="B44" s="730"/>
      <c r="C44" s="731"/>
      <c r="D44" s="731"/>
      <c r="E44" s="731"/>
      <c r="F44" s="731"/>
      <c r="G44" s="732"/>
      <c r="H44" s="731"/>
      <c r="I44" s="731"/>
      <c r="J44" s="731"/>
      <c r="K44" s="731"/>
      <c r="L44" s="755"/>
      <c r="M44" s="755"/>
      <c r="N44" s="731"/>
      <c r="O44" s="734"/>
      <c r="Q44" s="729"/>
      <c r="R44" s="662"/>
      <c r="S44" s="228" t="str">
        <f t="array" ref="S44">IFERROR(INDEX('💻シート作成'!$D$6:$D1001, MATCH(T44, '💻シート作成'!$E$6:$E1001, 0)), "")</f>
        <v>5月</v>
      </c>
      <c r="T44" s="172" t="str">
        <f>IFERROR(__xludf.DUMMYFUNCTION("""COMPUTED_VALUE"""),"①R8_5集計")</f>
        <v>①R8_5集計</v>
      </c>
      <c r="U44" s="665"/>
      <c r="V44" s="716" t="s">
        <v>820</v>
      </c>
      <c r="W44" s="662"/>
      <c r="X44" s="757"/>
      <c r="Y44" s="662"/>
      <c r="Z44" s="662"/>
    </row>
    <row r="45" hidden="1" outlineLevel="1">
      <c r="A45" s="662"/>
      <c r="B45" s="730"/>
      <c r="C45" s="731"/>
      <c r="D45" s="731"/>
      <c r="E45" s="731"/>
      <c r="F45" s="731"/>
      <c r="G45" s="732"/>
      <c r="H45" s="731"/>
      <c r="I45" s="731"/>
      <c r="J45" s="731"/>
      <c r="K45" s="731"/>
      <c r="L45" s="756"/>
      <c r="M45" s="755"/>
      <c r="N45" s="731"/>
      <c r="O45" s="734"/>
      <c r="Q45" s="729"/>
      <c r="R45" s="662"/>
      <c r="S45" s="228" t="str">
        <f t="array" ref="S45">IFERROR(INDEX('💻シート作成'!$D$6:$D1001, MATCH(T45, '💻シート作成'!$E$6:$E1001, 0)), "")</f>
        <v>5月</v>
      </c>
      <c r="T45" s="172" t="str">
        <f>IFERROR(__xludf.DUMMYFUNCTION("""COMPUTED_VALUE"""),"②R8_5シフト")</f>
        <v>②R8_5シフト</v>
      </c>
      <c r="U45" s="665"/>
      <c r="V45" s="774"/>
      <c r="W45" s="662"/>
      <c r="X45" s="757"/>
      <c r="Y45" s="662"/>
      <c r="Z45" s="662"/>
    </row>
    <row r="46" hidden="1" outlineLevel="1">
      <c r="A46" s="662"/>
      <c r="B46" s="730"/>
      <c r="C46" s="731"/>
      <c r="D46" s="731"/>
      <c r="E46" s="731"/>
      <c r="F46" s="731"/>
      <c r="G46" s="732"/>
      <c r="H46" s="731"/>
      <c r="I46" s="731"/>
      <c r="J46" s="731"/>
      <c r="K46" s="731"/>
      <c r="L46" s="756"/>
      <c r="M46" s="755"/>
      <c r="N46" s="731"/>
      <c r="O46" s="734"/>
      <c r="Q46" s="729"/>
      <c r="R46" s="662"/>
      <c r="S46" s="228" t="str">
        <f t="array" ref="S46">IFERROR(INDEX('💻シート作成'!$D$6:$D1001, MATCH(T46, '💻シート作成'!$E$6:$E1001, 0)), "")</f>
        <v>5月</v>
      </c>
      <c r="T46" s="172" t="str">
        <f>IFERROR(__xludf.DUMMYFUNCTION("""COMPUTED_VALUE"""),"③R8_5日報")</f>
        <v>③R8_5日報</v>
      </c>
      <c r="U46" s="665"/>
      <c r="V46" s="774"/>
      <c r="W46" s="662"/>
      <c r="X46" s="757"/>
      <c r="Y46" s="662"/>
      <c r="Z46" s="662"/>
    </row>
    <row r="47" hidden="1" outlineLevel="1">
      <c r="A47" s="662"/>
      <c r="B47" s="730"/>
      <c r="C47" s="731"/>
      <c r="D47" s="731"/>
      <c r="E47" s="731"/>
      <c r="F47" s="731"/>
      <c r="G47" s="732"/>
      <c r="H47" s="731"/>
      <c r="I47" s="731"/>
      <c r="J47" s="731"/>
      <c r="K47" s="731"/>
      <c r="L47" s="756"/>
      <c r="M47" s="755"/>
      <c r="N47" s="731"/>
      <c r="O47" s="734"/>
      <c r="Q47" s="729"/>
      <c r="R47" s="662"/>
      <c r="S47" s="228" t="str">
        <f t="array" ref="S47">IFERROR(INDEX('💻シート作成'!$D$6:$D1001, MATCH(T47, '💻シート作成'!$E$6:$E1001, 0)), "")</f>
        <v>5月</v>
      </c>
      <c r="T47" s="172" t="str">
        <f>IFERROR(__xludf.DUMMYFUNCTION("""COMPUTED_VALUE"""),"④R8_5月報")</f>
        <v>④R8_5月報</v>
      </c>
      <c r="U47" s="665"/>
      <c r="V47" s="774"/>
      <c r="W47" s="662"/>
      <c r="X47" s="757"/>
      <c r="Y47" s="662"/>
      <c r="Z47" s="662"/>
    </row>
    <row r="48" hidden="1" outlineLevel="1">
      <c r="A48" s="662"/>
      <c r="B48" s="730"/>
      <c r="C48" s="731"/>
      <c r="D48" s="731"/>
      <c r="E48" s="731"/>
      <c r="F48" s="731"/>
      <c r="G48" s="732"/>
      <c r="H48" s="731"/>
      <c r="I48" s="731"/>
      <c r="J48" s="731"/>
      <c r="K48" s="731"/>
      <c r="L48" s="756"/>
      <c r="M48" s="755"/>
      <c r="N48" s="731"/>
      <c r="O48" s="734"/>
      <c r="Q48" s="729"/>
      <c r="R48" s="662"/>
      <c r="S48" s="228" t="str">
        <f t="array" ref="S48">IFERROR(INDEX('💻シート作成'!$D$6:$D1001, MATCH(T48, '💻シート作成'!$E$6:$E1001, 0)), "")</f>
        <v>4月</v>
      </c>
      <c r="T48" s="171" t="str">
        <f>IFERROR(__xludf.DUMMYFUNCTION("""COMPUTED_VALUE"""),"①R8_4集計")</f>
        <v>①R8_4集計</v>
      </c>
      <c r="U48" s="665"/>
      <c r="V48" s="774"/>
      <c r="W48" s="662"/>
      <c r="X48" s="757"/>
      <c r="Y48" s="662"/>
      <c r="Z48" s="662"/>
    </row>
    <row r="49" hidden="1" outlineLevel="1">
      <c r="A49" s="662"/>
      <c r="B49" s="730"/>
      <c r="C49" s="731"/>
      <c r="D49" s="731"/>
      <c r="E49" s="731"/>
      <c r="F49" s="731"/>
      <c r="G49" s="732"/>
      <c r="H49" s="731"/>
      <c r="I49" s="731"/>
      <c r="J49" s="731"/>
      <c r="K49" s="731"/>
      <c r="L49" s="756"/>
      <c r="M49" s="755"/>
      <c r="N49" s="731"/>
      <c r="O49" s="734"/>
      <c r="Q49" s="729"/>
      <c r="R49" s="662"/>
      <c r="S49" s="228" t="str">
        <f t="array" ref="S49">IFERROR(INDEX('💻シート作成'!$D$6:$D1001, MATCH(T49, '💻シート作成'!$E$6:$E1001, 0)), "")</f>
        <v>4月</v>
      </c>
      <c r="T49" s="171" t="str">
        <f>IFERROR(__xludf.DUMMYFUNCTION("""COMPUTED_VALUE"""),"②R8_4シフト")</f>
        <v>②R8_4シフト</v>
      </c>
      <c r="U49" s="665"/>
      <c r="V49" s="774"/>
      <c r="W49" s="662"/>
      <c r="X49" s="757"/>
      <c r="Y49" s="662"/>
      <c r="Z49" s="662"/>
    </row>
    <row r="50" hidden="1" outlineLevel="1">
      <c r="A50" s="662"/>
      <c r="B50" s="730"/>
      <c r="C50" s="731"/>
      <c r="D50" s="731"/>
      <c r="E50" s="731"/>
      <c r="F50" s="731"/>
      <c r="G50" s="732"/>
      <c r="H50" s="731"/>
      <c r="I50" s="731"/>
      <c r="J50" s="731"/>
      <c r="K50" s="731"/>
      <c r="L50" s="756"/>
      <c r="M50" s="755"/>
      <c r="N50" s="731"/>
      <c r="O50" s="734"/>
      <c r="Q50" s="729"/>
      <c r="R50" s="662"/>
      <c r="S50" s="228" t="str">
        <f t="array" ref="S50">IFERROR(INDEX('💻シート作成'!$D$6:$D1001, MATCH(T50, '💻シート作成'!$E$6:$E1001, 0)), "")</f>
        <v>4月</v>
      </c>
      <c r="T50" s="171" t="str">
        <f>IFERROR(__xludf.DUMMYFUNCTION("""COMPUTED_VALUE"""),"③R8_4日報")</f>
        <v>③R8_4日報</v>
      </c>
      <c r="U50" s="665"/>
      <c r="V50" s="774"/>
      <c r="W50" s="662"/>
      <c r="X50" s="757"/>
      <c r="Y50" s="662"/>
      <c r="Z50" s="662"/>
    </row>
    <row r="51" hidden="1" outlineLevel="1">
      <c r="A51" s="662"/>
      <c r="B51" s="730"/>
      <c r="C51" s="731"/>
      <c r="D51" s="731"/>
      <c r="E51" s="731"/>
      <c r="F51" s="698"/>
      <c r="G51" s="699"/>
      <c r="H51" s="698"/>
      <c r="I51" s="698"/>
      <c r="J51" s="698"/>
      <c r="K51" s="698"/>
      <c r="L51" s="756"/>
      <c r="M51" s="755"/>
      <c r="N51" s="698"/>
      <c r="O51" s="701"/>
      <c r="P51" s="702"/>
      <c r="Q51" s="738"/>
      <c r="R51" s="662"/>
      <c r="S51" s="228" t="str">
        <f t="array" ref="S51">IFERROR(INDEX('💻シート作成'!$D$6:$D1001, MATCH(T51, '💻シート作成'!$E$6:$E1001, 0)), "")</f>
        <v>4月</v>
      </c>
      <c r="T51" s="171" t="str">
        <f>IFERROR(__xludf.DUMMYFUNCTION("""COMPUTED_VALUE"""),"④R8_4月報")</f>
        <v>④R8_4月報</v>
      </c>
      <c r="U51" s="665"/>
      <c r="V51" s="774"/>
      <c r="W51" s="662"/>
      <c r="X51" s="757"/>
      <c r="Y51" s="662"/>
      <c r="Z51" s="662"/>
    </row>
    <row r="52" hidden="1" outlineLevel="1">
      <c r="A52" s="662"/>
      <c r="B52" s="739"/>
      <c r="C52" s="698"/>
      <c r="D52" s="698"/>
      <c r="E52" s="698"/>
      <c r="F52" s="758" t="s">
        <v>546</v>
      </c>
      <c r="G52" s="759"/>
      <c r="H52" s="742"/>
      <c r="I52" s="742"/>
      <c r="J52" s="742"/>
      <c r="K52" s="742"/>
      <c r="L52" s="759"/>
      <c r="M52" s="759"/>
      <c r="N52" s="759"/>
      <c r="O52" s="759"/>
      <c r="P52" s="759"/>
      <c r="Q52" s="760"/>
      <c r="R52" s="662"/>
      <c r="S52" s="228" t="str">
        <f t="array" ref="S52">IFERROR(INDEX('💻シート作成'!$D$6:$D1001, MATCH(T52, '💻シート作成'!$E$6:$E1001, 0)), "")</f>
        <v>3月</v>
      </c>
      <c r="T52" s="171" t="str">
        <f>IFERROR(__xludf.DUMMYFUNCTION("""COMPUTED_VALUE"""),"①R8_3集計")</f>
        <v>①R8_3集計</v>
      </c>
      <c r="U52" s="665"/>
      <c r="V52" s="774"/>
      <c r="W52" s="662"/>
      <c r="X52" s="757"/>
      <c r="Y52" s="662"/>
      <c r="Z52" s="662"/>
    </row>
    <row r="53" hidden="1" outlineLevel="1">
      <c r="A53" s="662"/>
      <c r="B53" s="761"/>
      <c r="C53" s="762">
        <f>IF(C42="","",IF(DAY(C42+1)=1,"",C42+1))</f>
        <v>46058</v>
      </c>
      <c r="D53" s="763" t="str">
        <f>TEXT(C53,"ddd")</f>
        <v>木</v>
      </c>
      <c r="E53" s="764"/>
      <c r="F53" s="765" t="s">
        <v>594</v>
      </c>
      <c r="G53" s="766" t="s">
        <v>595</v>
      </c>
      <c r="H53" s="767"/>
      <c r="I53" s="768">
        <v>0.0</v>
      </c>
      <c r="J53" s="763"/>
      <c r="K53" s="763"/>
      <c r="L53" s="769"/>
      <c r="M53" s="769"/>
      <c r="N53" s="765"/>
      <c r="O53" s="770"/>
      <c r="P53" s="771"/>
      <c r="Q53" s="772"/>
      <c r="R53" s="662"/>
      <c r="S53" s="228" t="str">
        <f t="array" ref="S53">IFERROR(INDEX('💻シート作成'!$D$6:$D1001, MATCH(T53, '💻シート作成'!$E$6:$E1001, 0)), "")</f>
        <v>3月</v>
      </c>
      <c r="T53" s="171" t="str">
        <f>IFERROR(__xludf.DUMMYFUNCTION("""COMPUTED_VALUE"""),"②R8_3シフト")</f>
        <v>②R8_3シフト</v>
      </c>
      <c r="U53" s="665"/>
      <c r="V53" s="774"/>
      <c r="W53" s="662"/>
      <c r="X53" s="757"/>
      <c r="Y53" s="662"/>
      <c r="Z53" s="662"/>
    </row>
    <row r="54" hidden="1" outlineLevel="1">
      <c r="A54" s="662"/>
      <c r="B54" s="730"/>
      <c r="C54" s="731"/>
      <c r="D54" s="731"/>
      <c r="E54" s="731"/>
      <c r="F54" s="731"/>
      <c r="G54" s="732"/>
      <c r="H54" s="731"/>
      <c r="I54" s="731"/>
      <c r="J54" s="731"/>
      <c r="K54" s="731"/>
      <c r="L54" s="769"/>
      <c r="M54" s="769"/>
      <c r="N54" s="731"/>
      <c r="O54" s="734"/>
      <c r="Q54" s="729"/>
      <c r="R54" s="662"/>
      <c r="S54" s="228" t="str">
        <f t="array" ref="S54">IFERROR(INDEX('💻シート作成'!$D$6:$D1001, MATCH(T54, '💻シート作成'!$E$6:$E1001, 0)), "")</f>
        <v>3月</v>
      </c>
      <c r="T54" s="171" t="str">
        <f>IFERROR(__xludf.DUMMYFUNCTION("""COMPUTED_VALUE"""),"③R8_3日報")</f>
        <v>③R8_3日報</v>
      </c>
      <c r="U54" s="665"/>
      <c r="V54" s="774"/>
      <c r="W54" s="662"/>
      <c r="X54" s="757"/>
      <c r="Y54" s="662"/>
      <c r="Z54" s="662"/>
    </row>
    <row r="55" hidden="1" outlineLevel="1">
      <c r="A55" s="662"/>
      <c r="B55" s="730"/>
      <c r="C55" s="731"/>
      <c r="D55" s="731"/>
      <c r="E55" s="731"/>
      <c r="F55" s="731"/>
      <c r="G55" s="732"/>
      <c r="H55" s="731"/>
      <c r="I55" s="731"/>
      <c r="J55" s="731"/>
      <c r="K55" s="731"/>
      <c r="L55" s="769"/>
      <c r="M55" s="769"/>
      <c r="N55" s="731"/>
      <c r="O55" s="734"/>
      <c r="Q55" s="729"/>
      <c r="R55" s="662"/>
      <c r="S55" s="228" t="str">
        <f t="array" ref="S55">IFERROR(INDEX('💻シート作成'!$D$6:$D1001, MATCH(T55, '💻シート作成'!$E$6:$E1001, 0)), "")</f>
        <v>3月</v>
      </c>
      <c r="T55" s="171" t="str">
        <f>IFERROR(__xludf.DUMMYFUNCTION("""COMPUTED_VALUE"""),"④R8_3月報")</f>
        <v>④R8_3月報</v>
      </c>
      <c r="U55" s="665"/>
      <c r="V55" s="774"/>
      <c r="W55" s="662"/>
      <c r="X55" s="757"/>
      <c r="Y55" s="662"/>
      <c r="Z55" s="662"/>
    </row>
    <row r="56" hidden="1" outlineLevel="1">
      <c r="A56" s="662"/>
      <c r="B56" s="730"/>
      <c r="C56" s="731"/>
      <c r="D56" s="731"/>
      <c r="E56" s="731"/>
      <c r="F56" s="731"/>
      <c r="G56" s="732"/>
      <c r="H56" s="731"/>
      <c r="I56" s="731"/>
      <c r="J56" s="731"/>
      <c r="K56" s="731"/>
      <c r="L56" s="773"/>
      <c r="M56" s="769"/>
      <c r="N56" s="731"/>
      <c r="O56" s="734"/>
      <c r="Q56" s="729"/>
      <c r="R56" s="662"/>
      <c r="S56" s="228" t="str">
        <f t="array" ref="S56">IFERROR(INDEX('💻シート作成'!$D$6:$D1001, MATCH(T56, '💻シート作成'!$E$6:$E1001, 0)), "")</f>
        <v>2月</v>
      </c>
      <c r="T56" s="171" t="str">
        <f>IFERROR(__xludf.DUMMYFUNCTION("""COMPUTED_VALUE"""),"①R8_2集計")</f>
        <v>①R8_2集計</v>
      </c>
      <c r="U56" s="665"/>
      <c r="V56" s="774"/>
      <c r="W56" s="662"/>
      <c r="X56" s="757"/>
      <c r="Y56" s="662"/>
      <c r="Z56" s="662"/>
    </row>
    <row r="57" hidden="1" outlineLevel="1">
      <c r="A57" s="662"/>
      <c r="B57" s="730"/>
      <c r="C57" s="731"/>
      <c r="D57" s="731"/>
      <c r="E57" s="731"/>
      <c r="F57" s="731"/>
      <c r="G57" s="732"/>
      <c r="H57" s="731"/>
      <c r="I57" s="731"/>
      <c r="J57" s="731"/>
      <c r="K57" s="731"/>
      <c r="L57" s="773"/>
      <c r="M57" s="769"/>
      <c r="N57" s="731"/>
      <c r="O57" s="734"/>
      <c r="Q57" s="729"/>
      <c r="R57" s="662"/>
      <c r="S57" s="228" t="str">
        <f t="array" ref="S57">IFERROR(INDEX('💻シート作成'!$D$6:$D1001, MATCH(T57, '💻シート作成'!$E$6:$E1001, 0)), "")</f>
        <v>2月</v>
      </c>
      <c r="T57" s="171" t="str">
        <f>IFERROR(__xludf.DUMMYFUNCTION("""COMPUTED_VALUE"""),"②R8_2シフト")</f>
        <v>②R8_2シフト</v>
      </c>
      <c r="U57" s="665"/>
      <c r="V57" s="774"/>
      <c r="W57" s="662"/>
      <c r="X57" s="757"/>
      <c r="Y57" s="662"/>
      <c r="Z57" s="662"/>
    </row>
    <row r="58" hidden="1" outlineLevel="1">
      <c r="A58" s="662"/>
      <c r="B58" s="730"/>
      <c r="C58" s="731"/>
      <c r="D58" s="731"/>
      <c r="E58" s="731"/>
      <c r="F58" s="731"/>
      <c r="G58" s="732"/>
      <c r="H58" s="731"/>
      <c r="I58" s="731"/>
      <c r="J58" s="731"/>
      <c r="K58" s="731"/>
      <c r="L58" s="773"/>
      <c r="M58" s="769"/>
      <c r="N58" s="731"/>
      <c r="O58" s="734"/>
      <c r="Q58" s="729"/>
      <c r="R58" s="662"/>
      <c r="S58" s="228" t="str">
        <f t="array" ref="S58">IFERROR(INDEX('💻シート作成'!$D$6:$D1001, MATCH(T58, '💻シート作成'!$E$6:$E1001, 0)), "")</f>
        <v>2月</v>
      </c>
      <c r="T58" s="171" t="str">
        <f>IFERROR(__xludf.DUMMYFUNCTION("""COMPUTED_VALUE"""),"③R8_2日報")</f>
        <v>③R8_2日報</v>
      </c>
      <c r="U58" s="665"/>
      <c r="V58" s="774"/>
      <c r="W58" s="662"/>
      <c r="X58" s="757"/>
      <c r="Y58" s="662"/>
      <c r="Z58" s="662"/>
    </row>
    <row r="59" hidden="1" outlineLevel="1">
      <c r="A59" s="662"/>
      <c r="B59" s="730"/>
      <c r="C59" s="731"/>
      <c r="D59" s="731"/>
      <c r="E59" s="731"/>
      <c r="F59" s="731"/>
      <c r="G59" s="732"/>
      <c r="H59" s="731"/>
      <c r="I59" s="731"/>
      <c r="J59" s="731"/>
      <c r="K59" s="731"/>
      <c r="L59" s="773"/>
      <c r="M59" s="769"/>
      <c r="N59" s="731"/>
      <c r="O59" s="734"/>
      <c r="Q59" s="729"/>
      <c r="R59" s="662"/>
      <c r="S59" s="228" t="str">
        <f t="array" ref="S59">IFERROR(INDEX('💻シート作成'!$D$6:$D1001, MATCH(T59, '💻シート作成'!$E$6:$E1001, 0)), "")</f>
        <v>2月</v>
      </c>
      <c r="T59" s="171" t="str">
        <f>IFERROR(__xludf.DUMMYFUNCTION("""COMPUTED_VALUE"""),"④R8_2月報")</f>
        <v>④R8_2月報</v>
      </c>
      <c r="U59" s="665"/>
      <c r="V59" s="774"/>
      <c r="W59" s="662"/>
      <c r="X59" s="757"/>
      <c r="Y59" s="662"/>
      <c r="Z59" s="662"/>
    </row>
    <row r="60" hidden="1" outlineLevel="1">
      <c r="A60" s="662"/>
      <c r="B60" s="730"/>
      <c r="C60" s="731"/>
      <c r="D60" s="731"/>
      <c r="E60" s="731"/>
      <c r="F60" s="731"/>
      <c r="G60" s="732"/>
      <c r="H60" s="731"/>
      <c r="I60" s="731"/>
      <c r="J60" s="731"/>
      <c r="K60" s="731"/>
      <c r="L60" s="773"/>
      <c r="M60" s="769"/>
      <c r="N60" s="731"/>
      <c r="O60" s="734"/>
      <c r="Q60" s="729"/>
      <c r="R60" s="662"/>
      <c r="S60" s="228" t="str">
        <f t="array" ref="S60">IFERROR(INDEX('💻シート作成'!$D$6:$D1001, MATCH(T60, '💻シート作成'!$E$6:$E1001, 0)), "")</f>
        <v/>
      </c>
      <c r="T60" s="171" t="str">
        <f>IFERROR(__xludf.DUMMYFUNCTION("""COMPUTED_VALUE"""),"💻シート作成")</f>
        <v>💻シート作成</v>
      </c>
      <c r="U60" s="665"/>
      <c r="V60" s="774"/>
      <c r="W60" s="662"/>
      <c r="X60" s="757"/>
      <c r="Y60" s="662"/>
      <c r="Z60" s="662"/>
    </row>
    <row r="61" hidden="1" outlineLevel="1">
      <c r="A61" s="662"/>
      <c r="B61" s="730"/>
      <c r="C61" s="731"/>
      <c r="D61" s="731"/>
      <c r="E61" s="731"/>
      <c r="F61" s="731"/>
      <c r="G61" s="732"/>
      <c r="H61" s="731"/>
      <c r="I61" s="731"/>
      <c r="J61" s="731"/>
      <c r="K61" s="731"/>
      <c r="L61" s="773"/>
      <c r="M61" s="769"/>
      <c r="N61" s="731"/>
      <c r="O61" s="734"/>
      <c r="Q61" s="729"/>
      <c r="R61" s="662"/>
      <c r="S61" s="228" t="str">
        <f t="array" ref="S61">IFERROR(INDEX('💻シート作成'!$D$6:$D1001, MATCH(T61, '💻シート作成'!$E$6:$E1001, 0)), "")</f>
        <v/>
      </c>
      <c r="T61" s="171" t="str">
        <f>IFERROR(__xludf.DUMMYFUNCTION("""COMPUTED_VALUE"""),"🌟目標数値")</f>
        <v>🌟目標数値</v>
      </c>
      <c r="U61" s="665"/>
      <c r="V61" s="774"/>
      <c r="W61" s="662"/>
      <c r="X61" s="757"/>
      <c r="Y61" s="662"/>
      <c r="Z61" s="662"/>
    </row>
    <row r="62" hidden="1" outlineLevel="1">
      <c r="A62" s="662"/>
      <c r="B62" s="730"/>
      <c r="C62" s="731"/>
      <c r="D62" s="731"/>
      <c r="E62" s="731"/>
      <c r="F62" s="698"/>
      <c r="G62" s="699"/>
      <c r="H62" s="698"/>
      <c r="I62" s="698"/>
      <c r="J62" s="698"/>
      <c r="K62" s="698"/>
      <c r="L62" s="773"/>
      <c r="M62" s="769"/>
      <c r="N62" s="698"/>
      <c r="O62" s="701"/>
      <c r="P62" s="702"/>
      <c r="Q62" s="738"/>
      <c r="R62" s="662"/>
      <c r="S62" s="228" t="str">
        <f t="array" ref="S62">IFERROR(INDEX('💻シート作成'!$D$6:$D1001, MATCH(T62, '💻シート作成'!$E$6:$E1001, 0)), "")</f>
        <v/>
      </c>
      <c r="T62" s="171" t="str">
        <f>IFERROR(__xludf.DUMMYFUNCTION("""COMPUTED_VALUE"""),"🏆皆勤アワード")</f>
        <v>🏆皆勤アワード</v>
      </c>
      <c r="U62" s="665"/>
      <c r="V62" s="774"/>
      <c r="W62" s="662"/>
      <c r="X62" s="757"/>
      <c r="Y62" s="662"/>
      <c r="Z62" s="662"/>
    </row>
    <row r="63" hidden="1" outlineLevel="1">
      <c r="A63" s="662"/>
      <c r="B63" s="739"/>
      <c r="C63" s="698"/>
      <c r="D63" s="698"/>
      <c r="E63" s="698"/>
      <c r="F63" s="740" t="s">
        <v>546</v>
      </c>
      <c r="G63" s="741"/>
      <c r="H63" s="742"/>
      <c r="I63" s="742"/>
      <c r="J63" s="742"/>
      <c r="K63" s="742"/>
      <c r="L63" s="741"/>
      <c r="M63" s="741"/>
      <c r="N63" s="741"/>
      <c r="O63" s="741"/>
      <c r="P63" s="741"/>
      <c r="Q63" s="743"/>
      <c r="R63" s="662"/>
      <c r="S63" s="228" t="str">
        <f t="array" ref="S63">IFERROR(INDEX('💻シート作成'!$D$6:$D1001, MATCH(T63, '💻シート作成'!$E$6:$E1001, 0)), "")</f>
        <v/>
      </c>
      <c r="T63" s="171" t="str">
        <f>IFERROR(__xludf.DUMMYFUNCTION("""COMPUTED_VALUE"""),"⚙️抽出用")</f>
        <v>⚙️抽出用</v>
      </c>
      <c r="U63" s="665"/>
      <c r="V63" s="774"/>
      <c r="W63" s="662"/>
      <c r="X63" s="757"/>
      <c r="Y63" s="662"/>
      <c r="Z63" s="662"/>
    </row>
    <row r="64" collapsed="1">
      <c r="A64" s="662"/>
      <c r="B64" s="780" t="s">
        <v>564</v>
      </c>
      <c r="C64" s="781"/>
      <c r="D64" s="781"/>
      <c r="E64" s="781"/>
      <c r="F64" s="782"/>
      <c r="G64" s="783"/>
      <c r="H64" s="784"/>
      <c r="I64" s="784"/>
      <c r="J64" s="785"/>
      <c r="K64" s="785"/>
      <c r="L64" s="783"/>
      <c r="M64" s="783"/>
      <c r="N64" s="786"/>
      <c r="O64" s="787"/>
      <c r="P64" s="787"/>
      <c r="Q64" s="788"/>
      <c r="R64" s="662"/>
      <c r="S64" s="228" t="str">
        <f t="array" ref="S64">IFERROR(INDEX('💻シート作成'!$D$6:$D1001, MATCH(T64, '💻シート作成'!$E$6:$E1001, 0)), "")</f>
        <v/>
      </c>
      <c r="T64" s="171" t="str">
        <f>IFERROR(__xludf.DUMMYFUNCTION("""COMPUTED_VALUE"""),"①集計_原本")</f>
        <v>①集計_原本</v>
      </c>
      <c r="U64" s="665"/>
      <c r="V64" s="774"/>
      <c r="W64" s="662"/>
      <c r="X64" s="757"/>
      <c r="Y64" s="662"/>
      <c r="Z64" s="662"/>
    </row>
    <row r="65" hidden="1" outlineLevel="1">
      <c r="A65" s="662"/>
      <c r="B65" s="744"/>
      <c r="C65" s="745">
        <f>IF(C53="","",IF(DAY(C53+1)=1,"",C53+1))</f>
        <v>46059</v>
      </c>
      <c r="D65" s="746" t="str">
        <f>TEXT(C65,"ddd")</f>
        <v>金</v>
      </c>
      <c r="E65" s="747"/>
      <c r="F65" s="775" t="s">
        <v>594</v>
      </c>
      <c r="G65" s="776" t="s">
        <v>595</v>
      </c>
      <c r="H65" s="777"/>
      <c r="I65" s="778">
        <v>0.0</v>
      </c>
      <c r="J65" s="746"/>
      <c r="K65" s="746"/>
      <c r="L65" s="755"/>
      <c r="M65" s="755"/>
      <c r="N65" s="775"/>
      <c r="O65" s="779"/>
      <c r="P65" s="771"/>
      <c r="Q65" s="772"/>
      <c r="R65" s="662"/>
      <c r="S65" s="228" t="str">
        <f t="array" ref="S65">IFERROR(INDEX('💻シート作成'!$D$6:$D1001, MATCH(T65, '💻シート作成'!$E$6:$E1001, 0)), "")</f>
        <v/>
      </c>
      <c r="T65" s="171" t="str">
        <f>IFERROR(__xludf.DUMMYFUNCTION("""COMPUTED_VALUE"""),"②シフト_原本")</f>
        <v>②シフト_原本</v>
      </c>
      <c r="U65" s="665"/>
      <c r="V65" s="774"/>
      <c r="W65" s="662"/>
      <c r="X65" s="757"/>
      <c r="Y65" s="662"/>
      <c r="Z65" s="662"/>
    </row>
    <row r="66" hidden="1" outlineLevel="1">
      <c r="A66" s="662"/>
      <c r="B66" s="730"/>
      <c r="C66" s="731"/>
      <c r="D66" s="731"/>
      <c r="E66" s="731"/>
      <c r="F66" s="731"/>
      <c r="G66" s="732"/>
      <c r="H66" s="731"/>
      <c r="I66" s="731"/>
      <c r="J66" s="731"/>
      <c r="K66" s="731"/>
      <c r="L66" s="755"/>
      <c r="M66" s="755"/>
      <c r="N66" s="731"/>
      <c r="O66" s="734"/>
      <c r="Q66" s="729"/>
      <c r="R66" s="662"/>
      <c r="S66" s="228" t="str">
        <f t="array" ref="S66">IFERROR(INDEX('💻シート作成'!$D$6:$D1001, MATCH(T66, '💻シート作成'!$E$6:$E1001, 0)), "")</f>
        <v/>
      </c>
      <c r="T66" s="171" t="str">
        <f>IFERROR(__xludf.DUMMYFUNCTION("""COMPUTED_VALUE"""),"③日報_原本")</f>
        <v>③日報_原本</v>
      </c>
      <c r="U66" s="665"/>
      <c r="V66" s="774"/>
      <c r="W66" s="662"/>
      <c r="X66" s="757"/>
      <c r="Y66" s="662"/>
      <c r="Z66" s="662"/>
    </row>
    <row r="67" hidden="1" outlineLevel="1">
      <c r="A67" s="662"/>
      <c r="B67" s="730"/>
      <c r="C67" s="731"/>
      <c r="D67" s="731"/>
      <c r="E67" s="731"/>
      <c r="F67" s="731"/>
      <c r="G67" s="732"/>
      <c r="H67" s="731"/>
      <c r="I67" s="731"/>
      <c r="J67" s="731"/>
      <c r="K67" s="731"/>
      <c r="L67" s="755"/>
      <c r="M67" s="755"/>
      <c r="N67" s="731"/>
      <c r="O67" s="734"/>
      <c r="Q67" s="729"/>
      <c r="R67" s="662"/>
      <c r="S67" s="228" t="str">
        <f t="array" ref="S67">IFERROR(INDEX('💻シート作成'!$D$6:$D1001, MATCH(T67, '💻シート作成'!$E$6:$E1001, 0)), "")</f>
        <v/>
      </c>
      <c r="T67" s="171" t="str">
        <f>IFERROR(__xludf.DUMMYFUNCTION("""COMPUTED_VALUE"""),"④月報_原本")</f>
        <v>④月報_原本</v>
      </c>
      <c r="U67" s="665"/>
      <c r="V67" s="774"/>
      <c r="W67" s="662"/>
      <c r="X67" s="757"/>
      <c r="Y67" s="662"/>
      <c r="Z67" s="662"/>
    </row>
    <row r="68" hidden="1" outlineLevel="1">
      <c r="A68" s="662"/>
      <c r="B68" s="730"/>
      <c r="C68" s="731"/>
      <c r="D68" s="731"/>
      <c r="E68" s="731"/>
      <c r="F68" s="731"/>
      <c r="G68" s="732"/>
      <c r="H68" s="731"/>
      <c r="I68" s="731"/>
      <c r="J68" s="731"/>
      <c r="K68" s="731"/>
      <c r="L68" s="756"/>
      <c r="M68" s="755"/>
      <c r="N68" s="731"/>
      <c r="O68" s="734"/>
      <c r="Q68" s="729"/>
      <c r="R68" s="662"/>
      <c r="S68" s="228" t="str">
        <f t="array" ref="S68">IFERROR(INDEX('💻シート作成'!$D$6:$D1001, MATCH(T68, '💻シート作成'!$E$6:$E1001, 0)), "")</f>
        <v/>
      </c>
      <c r="T68" s="172"/>
      <c r="U68" s="665"/>
      <c r="V68" s="774"/>
      <c r="W68" s="662"/>
      <c r="X68" s="757"/>
      <c r="Y68" s="662"/>
      <c r="Z68" s="662"/>
    </row>
    <row r="69" hidden="1" outlineLevel="1">
      <c r="A69" s="662"/>
      <c r="B69" s="730"/>
      <c r="C69" s="731"/>
      <c r="D69" s="731"/>
      <c r="E69" s="731"/>
      <c r="F69" s="731"/>
      <c r="G69" s="732"/>
      <c r="H69" s="731"/>
      <c r="I69" s="731"/>
      <c r="J69" s="731"/>
      <c r="K69" s="731"/>
      <c r="L69" s="756"/>
      <c r="M69" s="755"/>
      <c r="N69" s="731"/>
      <c r="O69" s="734"/>
      <c r="Q69" s="729"/>
      <c r="R69" s="662"/>
      <c r="S69" s="228" t="str">
        <f t="array" ref="S69">IFERROR(INDEX('💻シート作成'!$D$6:$D1001, MATCH(T69, '💻シート作成'!$E$6:$E1001, 0)), "")</f>
        <v/>
      </c>
      <c r="T69" s="172"/>
      <c r="U69" s="665"/>
      <c r="V69" s="774"/>
      <c r="W69" s="662"/>
      <c r="X69" s="757"/>
      <c r="Y69" s="662"/>
      <c r="Z69" s="662"/>
    </row>
    <row r="70" hidden="1" outlineLevel="1">
      <c r="A70" s="662"/>
      <c r="B70" s="730"/>
      <c r="C70" s="731"/>
      <c r="D70" s="731"/>
      <c r="E70" s="731"/>
      <c r="F70" s="731"/>
      <c r="G70" s="732"/>
      <c r="H70" s="731"/>
      <c r="I70" s="731"/>
      <c r="J70" s="731"/>
      <c r="K70" s="731"/>
      <c r="L70" s="756"/>
      <c r="M70" s="755"/>
      <c r="N70" s="731"/>
      <c r="O70" s="734"/>
      <c r="Q70" s="729"/>
      <c r="R70" s="662"/>
      <c r="S70" s="228" t="str">
        <f t="array" ref="S70">IFERROR(INDEX('💻シート作成'!$D$6:$D1001, MATCH(T70, '💻シート作成'!$E$6:$E1001, 0)), "")</f>
        <v/>
      </c>
      <c r="T70" s="172"/>
      <c r="U70" s="665"/>
      <c r="V70" s="774"/>
      <c r="W70" s="662"/>
      <c r="X70" s="757"/>
      <c r="Y70" s="662"/>
      <c r="Z70" s="662"/>
    </row>
    <row r="71" hidden="1" outlineLevel="1">
      <c r="A71" s="662"/>
      <c r="B71" s="730"/>
      <c r="C71" s="731"/>
      <c r="D71" s="731"/>
      <c r="E71" s="731"/>
      <c r="F71" s="731"/>
      <c r="G71" s="732"/>
      <c r="H71" s="731"/>
      <c r="I71" s="731"/>
      <c r="J71" s="731"/>
      <c r="K71" s="731"/>
      <c r="L71" s="756"/>
      <c r="M71" s="755"/>
      <c r="N71" s="731"/>
      <c r="O71" s="734"/>
      <c r="Q71" s="729"/>
      <c r="R71" s="662"/>
      <c r="S71" s="228" t="str">
        <f t="array" ref="S71">IFERROR(INDEX('💻シート作成'!$D$6:$D1001, MATCH(T71, '💻シート作成'!$E$6:$E1001, 0)), "")</f>
        <v/>
      </c>
      <c r="T71" s="172"/>
      <c r="U71" s="665"/>
      <c r="V71" s="774"/>
      <c r="W71" s="662"/>
      <c r="X71" s="757"/>
      <c r="Y71" s="662"/>
      <c r="Z71" s="662"/>
    </row>
    <row r="72" hidden="1" outlineLevel="1">
      <c r="A72" s="662"/>
      <c r="B72" s="730"/>
      <c r="C72" s="731"/>
      <c r="D72" s="731"/>
      <c r="E72" s="731"/>
      <c r="F72" s="731"/>
      <c r="G72" s="732"/>
      <c r="H72" s="731"/>
      <c r="I72" s="731"/>
      <c r="J72" s="731"/>
      <c r="K72" s="731"/>
      <c r="L72" s="756"/>
      <c r="M72" s="755"/>
      <c r="N72" s="731"/>
      <c r="O72" s="734"/>
      <c r="Q72" s="729"/>
      <c r="R72" s="662"/>
      <c r="S72" s="228" t="str">
        <f t="array" ref="S72">IFERROR(INDEX('💻シート作成'!$D$6:$D1001, MATCH(T72, '💻シート作成'!$E$6:$E1001, 0)), "")</f>
        <v/>
      </c>
      <c r="T72" s="172"/>
      <c r="U72" s="665"/>
      <c r="V72" s="774"/>
      <c r="W72" s="662"/>
      <c r="X72" s="757"/>
      <c r="Y72" s="662"/>
      <c r="Z72" s="662"/>
    </row>
    <row r="73" hidden="1" outlineLevel="1">
      <c r="A73" s="662"/>
      <c r="B73" s="730"/>
      <c r="C73" s="731"/>
      <c r="D73" s="731"/>
      <c r="E73" s="731"/>
      <c r="F73" s="731"/>
      <c r="G73" s="732"/>
      <c r="H73" s="731"/>
      <c r="I73" s="731"/>
      <c r="J73" s="731"/>
      <c r="K73" s="731"/>
      <c r="L73" s="756"/>
      <c r="M73" s="755"/>
      <c r="N73" s="731"/>
      <c r="O73" s="734"/>
      <c r="Q73" s="729"/>
      <c r="R73" s="662"/>
      <c r="S73" s="228" t="str">
        <f t="array" ref="S73">IFERROR(INDEX('💻シート作成'!$D$6:$D1001, MATCH(T73, '💻シート作成'!$E$6:$E1001, 0)), "")</f>
        <v/>
      </c>
      <c r="T73" s="172"/>
      <c r="U73" s="665"/>
      <c r="V73" s="774"/>
      <c r="W73" s="662"/>
      <c r="X73" s="757"/>
      <c r="Y73" s="662"/>
      <c r="Z73" s="662"/>
    </row>
    <row r="74" hidden="1" outlineLevel="1">
      <c r="A74" s="662"/>
      <c r="B74" s="730"/>
      <c r="C74" s="731"/>
      <c r="D74" s="731"/>
      <c r="E74" s="731"/>
      <c r="F74" s="698"/>
      <c r="G74" s="699"/>
      <c r="H74" s="698"/>
      <c r="I74" s="698"/>
      <c r="J74" s="698"/>
      <c r="K74" s="698"/>
      <c r="L74" s="756"/>
      <c r="M74" s="755"/>
      <c r="N74" s="698"/>
      <c r="O74" s="701"/>
      <c r="P74" s="702"/>
      <c r="Q74" s="738"/>
      <c r="R74" s="662"/>
      <c r="S74" s="228" t="str">
        <f t="array" ref="S74">IFERROR(INDEX('💻シート作成'!$D$6:$D1001, MATCH(T74, '💻シート作成'!$E$6:$E1001, 0)), "")</f>
        <v/>
      </c>
      <c r="T74" s="172"/>
      <c r="U74" s="665"/>
      <c r="V74" s="774"/>
      <c r="W74" s="662"/>
      <c r="X74" s="757"/>
      <c r="Y74" s="662"/>
      <c r="Z74" s="662"/>
    </row>
    <row r="75" hidden="1" outlineLevel="1">
      <c r="A75" s="662"/>
      <c r="B75" s="739"/>
      <c r="C75" s="698"/>
      <c r="D75" s="698"/>
      <c r="E75" s="698"/>
      <c r="F75" s="758" t="s">
        <v>546</v>
      </c>
      <c r="G75" s="759"/>
      <c r="H75" s="742"/>
      <c r="I75" s="742"/>
      <c r="J75" s="742"/>
      <c r="K75" s="742"/>
      <c r="L75" s="759"/>
      <c r="M75" s="759"/>
      <c r="N75" s="759"/>
      <c r="O75" s="759"/>
      <c r="P75" s="759"/>
      <c r="Q75" s="760"/>
      <c r="R75" s="662"/>
      <c r="S75" s="228" t="str">
        <f t="array" ref="S75">IFERROR(INDEX('💻シート作成'!$D$6:$D1001, MATCH(T75, '💻シート作成'!$E$6:$E1001, 0)), "")</f>
        <v/>
      </c>
      <c r="T75" s="172"/>
      <c r="U75" s="665"/>
      <c r="V75" s="774"/>
      <c r="W75" s="662"/>
      <c r="X75" s="757"/>
      <c r="Y75" s="662"/>
      <c r="Z75" s="662"/>
    </row>
    <row r="76" hidden="1" outlineLevel="1">
      <c r="A76" s="662"/>
      <c r="B76" s="761"/>
      <c r="C76" s="762">
        <f>IF(C65="","",IF(DAY(C65+1)=1,"",C65+1))</f>
        <v>46060</v>
      </c>
      <c r="D76" s="763" t="str">
        <f>TEXT(C76,"ddd")</f>
        <v>土</v>
      </c>
      <c r="E76" s="764"/>
      <c r="F76" s="765" t="s">
        <v>594</v>
      </c>
      <c r="G76" s="766" t="s">
        <v>595</v>
      </c>
      <c r="H76" s="767"/>
      <c r="I76" s="768">
        <v>0.0</v>
      </c>
      <c r="J76" s="763"/>
      <c r="K76" s="763"/>
      <c r="L76" s="769"/>
      <c r="M76" s="769"/>
      <c r="N76" s="765"/>
      <c r="O76" s="770"/>
      <c r="P76" s="771"/>
      <c r="Q76" s="772"/>
      <c r="R76" s="662"/>
      <c r="S76" s="228" t="str">
        <f t="array" ref="S76">IFERROR(INDEX('💻シート作成'!$D$6:$D1001, MATCH(T76, '💻シート作成'!$E$6:$E1001, 0)), "")</f>
        <v/>
      </c>
      <c r="T76" s="172"/>
      <c r="U76" s="665"/>
      <c r="V76" s="774"/>
      <c r="W76" s="662"/>
      <c r="X76" s="757"/>
      <c r="Y76" s="662"/>
      <c r="Z76" s="662"/>
    </row>
    <row r="77" hidden="1" outlineLevel="1">
      <c r="A77" s="662"/>
      <c r="B77" s="730"/>
      <c r="C77" s="731"/>
      <c r="D77" s="731"/>
      <c r="E77" s="731"/>
      <c r="F77" s="731"/>
      <c r="G77" s="732"/>
      <c r="H77" s="731"/>
      <c r="I77" s="731"/>
      <c r="J77" s="731"/>
      <c r="K77" s="731"/>
      <c r="L77" s="769"/>
      <c r="M77" s="769"/>
      <c r="N77" s="731"/>
      <c r="O77" s="734"/>
      <c r="Q77" s="729"/>
      <c r="R77" s="662"/>
      <c r="S77" s="228" t="str">
        <f t="array" ref="S77">IFERROR(INDEX('💻シート作成'!$D$6:$D1001, MATCH(T77, '💻シート作成'!$E$6:$E1001, 0)), "")</f>
        <v/>
      </c>
      <c r="T77" s="172"/>
      <c r="U77" s="665"/>
      <c r="V77" s="774"/>
      <c r="W77" s="662"/>
      <c r="X77" s="757"/>
      <c r="Y77" s="662"/>
      <c r="Z77" s="662"/>
    </row>
    <row r="78" hidden="1" outlineLevel="1">
      <c r="A78" s="662"/>
      <c r="B78" s="730"/>
      <c r="C78" s="731"/>
      <c r="D78" s="731"/>
      <c r="E78" s="731"/>
      <c r="F78" s="731"/>
      <c r="G78" s="732"/>
      <c r="H78" s="731"/>
      <c r="I78" s="731"/>
      <c r="J78" s="731"/>
      <c r="K78" s="731"/>
      <c r="L78" s="769"/>
      <c r="M78" s="769"/>
      <c r="N78" s="731"/>
      <c r="O78" s="734"/>
      <c r="Q78" s="729"/>
      <c r="R78" s="662"/>
      <c r="S78" s="228" t="str">
        <f t="array" ref="S78">IFERROR(INDEX('💻シート作成'!$D$6:$D1001, MATCH(T78, '💻シート作成'!$E$6:$E1001, 0)), "")</f>
        <v/>
      </c>
      <c r="T78" s="172"/>
      <c r="U78" s="665"/>
      <c r="V78" s="774"/>
      <c r="W78" s="662"/>
      <c r="X78" s="757"/>
      <c r="Y78" s="662"/>
      <c r="Z78" s="662"/>
    </row>
    <row r="79" hidden="1" outlineLevel="1">
      <c r="A79" s="662"/>
      <c r="B79" s="730"/>
      <c r="C79" s="731"/>
      <c r="D79" s="731"/>
      <c r="E79" s="731"/>
      <c r="F79" s="731"/>
      <c r="G79" s="732"/>
      <c r="H79" s="731"/>
      <c r="I79" s="731"/>
      <c r="J79" s="731"/>
      <c r="K79" s="731"/>
      <c r="L79" s="773"/>
      <c r="M79" s="769"/>
      <c r="N79" s="731"/>
      <c r="O79" s="734"/>
      <c r="Q79" s="729"/>
      <c r="R79" s="662"/>
      <c r="S79" s="228" t="str">
        <f t="array" ref="S79">IFERROR(INDEX('💻シート作成'!$D$6:$D1001, MATCH(T79, '💻シート作成'!$E$6:$E1001, 0)), "")</f>
        <v/>
      </c>
      <c r="T79" s="172"/>
      <c r="U79" s="665"/>
      <c r="V79" s="774"/>
      <c r="W79" s="662"/>
      <c r="X79" s="757"/>
      <c r="Y79" s="662"/>
      <c r="Z79" s="662"/>
    </row>
    <row r="80" hidden="1" outlineLevel="1">
      <c r="A80" s="662"/>
      <c r="B80" s="730"/>
      <c r="C80" s="731"/>
      <c r="D80" s="731"/>
      <c r="E80" s="731"/>
      <c r="F80" s="731"/>
      <c r="G80" s="732"/>
      <c r="H80" s="731"/>
      <c r="I80" s="731"/>
      <c r="J80" s="731"/>
      <c r="K80" s="731"/>
      <c r="L80" s="773"/>
      <c r="M80" s="769"/>
      <c r="N80" s="731"/>
      <c r="O80" s="734"/>
      <c r="Q80" s="729"/>
      <c r="R80" s="662"/>
      <c r="S80" s="228" t="str">
        <f t="array" ref="S80">IFERROR(INDEX('💻シート作成'!$D$6:$D1001, MATCH(T80, '💻シート作成'!$E$6:$E1001, 0)), "")</f>
        <v/>
      </c>
      <c r="T80" s="172"/>
      <c r="U80" s="665"/>
      <c r="V80" s="774"/>
      <c r="W80" s="662"/>
      <c r="X80" s="757"/>
      <c r="Y80" s="662"/>
      <c r="Z80" s="662"/>
    </row>
    <row r="81" hidden="1" outlineLevel="1">
      <c r="A81" s="662"/>
      <c r="B81" s="730"/>
      <c r="C81" s="731"/>
      <c r="D81" s="731"/>
      <c r="E81" s="731"/>
      <c r="F81" s="731"/>
      <c r="G81" s="732"/>
      <c r="H81" s="731"/>
      <c r="I81" s="731"/>
      <c r="J81" s="731"/>
      <c r="K81" s="731"/>
      <c r="L81" s="773"/>
      <c r="M81" s="769"/>
      <c r="N81" s="731"/>
      <c r="O81" s="734"/>
      <c r="Q81" s="729"/>
      <c r="R81" s="662"/>
      <c r="S81" s="228" t="str">
        <f t="array" ref="S81">IFERROR(INDEX('💻シート作成'!$D$6:$D1001, MATCH(T81, '💻シート作成'!$E$6:$E1001, 0)), "")</f>
        <v/>
      </c>
      <c r="T81" s="172"/>
      <c r="U81" s="665"/>
      <c r="V81" s="774"/>
      <c r="W81" s="662"/>
      <c r="X81" s="757"/>
      <c r="Y81" s="662"/>
      <c r="Z81" s="662"/>
    </row>
    <row r="82" hidden="1" outlineLevel="1">
      <c r="A82" s="662"/>
      <c r="B82" s="730"/>
      <c r="C82" s="731"/>
      <c r="D82" s="731"/>
      <c r="E82" s="731"/>
      <c r="F82" s="731"/>
      <c r="G82" s="732"/>
      <c r="H82" s="731"/>
      <c r="I82" s="731"/>
      <c r="J82" s="731"/>
      <c r="K82" s="731"/>
      <c r="L82" s="773"/>
      <c r="M82" s="769"/>
      <c r="N82" s="731"/>
      <c r="O82" s="734"/>
      <c r="Q82" s="729"/>
      <c r="R82" s="662"/>
      <c r="S82" s="228" t="str">
        <f t="array" ref="S82">IFERROR(INDEX('💻シート作成'!$D$6:$D1001, MATCH(T82, '💻シート作成'!$E$6:$E1001, 0)), "")</f>
        <v/>
      </c>
      <c r="T82" s="172"/>
      <c r="U82" s="665"/>
      <c r="V82" s="774"/>
      <c r="W82" s="662"/>
      <c r="X82" s="757"/>
      <c r="Y82" s="662"/>
      <c r="Z82" s="662"/>
    </row>
    <row r="83" hidden="1" outlineLevel="1">
      <c r="A83" s="662"/>
      <c r="B83" s="730"/>
      <c r="C83" s="731"/>
      <c r="D83" s="731"/>
      <c r="E83" s="731"/>
      <c r="F83" s="731"/>
      <c r="G83" s="732"/>
      <c r="H83" s="731"/>
      <c r="I83" s="731"/>
      <c r="J83" s="731"/>
      <c r="K83" s="731"/>
      <c r="L83" s="773"/>
      <c r="M83" s="769"/>
      <c r="N83" s="731"/>
      <c r="O83" s="734"/>
      <c r="Q83" s="729"/>
      <c r="R83" s="662"/>
      <c r="S83" s="228" t="str">
        <f t="array" ref="S83">IFERROR(INDEX('💻シート作成'!$D$6:$D1001, MATCH(T83, '💻シート作成'!$E$6:$E1001, 0)), "")</f>
        <v/>
      </c>
      <c r="T83" s="172"/>
      <c r="U83" s="665"/>
      <c r="V83" s="774"/>
      <c r="W83" s="662"/>
      <c r="X83" s="757"/>
      <c r="Y83" s="662"/>
      <c r="Z83" s="662"/>
    </row>
    <row r="84" hidden="1" outlineLevel="1">
      <c r="A84" s="662"/>
      <c r="B84" s="730"/>
      <c r="C84" s="731"/>
      <c r="D84" s="731"/>
      <c r="E84" s="731"/>
      <c r="F84" s="731"/>
      <c r="G84" s="732"/>
      <c r="H84" s="731"/>
      <c r="I84" s="731"/>
      <c r="J84" s="731"/>
      <c r="K84" s="731"/>
      <c r="L84" s="773"/>
      <c r="M84" s="769"/>
      <c r="N84" s="731"/>
      <c r="O84" s="734"/>
      <c r="Q84" s="729"/>
      <c r="R84" s="662"/>
      <c r="S84" s="228" t="str">
        <f t="array" ref="S84">IFERROR(INDEX('💻シート作成'!$D$6:$D1001, MATCH(T84, '💻シート作成'!$E$6:$E1001, 0)), "")</f>
        <v/>
      </c>
      <c r="T84" s="172"/>
      <c r="U84" s="665"/>
      <c r="V84" s="774"/>
      <c r="W84" s="662"/>
      <c r="X84" s="757"/>
      <c r="Y84" s="662"/>
      <c r="Z84" s="662"/>
    </row>
    <row r="85" hidden="1" outlineLevel="1">
      <c r="A85" s="662"/>
      <c r="B85" s="730"/>
      <c r="C85" s="731"/>
      <c r="D85" s="731"/>
      <c r="E85" s="731"/>
      <c r="F85" s="698"/>
      <c r="G85" s="699"/>
      <c r="H85" s="698"/>
      <c r="I85" s="698"/>
      <c r="J85" s="698"/>
      <c r="K85" s="698"/>
      <c r="L85" s="773"/>
      <c r="M85" s="769"/>
      <c r="N85" s="698"/>
      <c r="O85" s="701"/>
      <c r="P85" s="702"/>
      <c r="Q85" s="738"/>
      <c r="R85" s="662"/>
      <c r="S85" s="228" t="str">
        <f t="array" ref="S85">IFERROR(INDEX('💻シート作成'!$D$6:$D1001, MATCH(T85, '💻シート作成'!$E$6:$E1001, 0)), "")</f>
        <v/>
      </c>
      <c r="T85" s="172"/>
      <c r="U85" s="665"/>
      <c r="V85" s="774"/>
      <c r="W85" s="662"/>
      <c r="X85" s="757"/>
      <c r="Y85" s="662"/>
      <c r="Z85" s="662"/>
    </row>
    <row r="86" hidden="1" outlineLevel="1">
      <c r="A86" s="662"/>
      <c r="B86" s="739"/>
      <c r="C86" s="698"/>
      <c r="D86" s="698"/>
      <c r="E86" s="698"/>
      <c r="F86" s="740" t="s">
        <v>546</v>
      </c>
      <c r="G86" s="741"/>
      <c r="H86" s="742"/>
      <c r="I86" s="742"/>
      <c r="J86" s="742"/>
      <c r="K86" s="742"/>
      <c r="L86" s="741"/>
      <c r="M86" s="741"/>
      <c r="N86" s="741"/>
      <c r="O86" s="741"/>
      <c r="P86" s="741"/>
      <c r="Q86" s="743"/>
      <c r="R86" s="662"/>
      <c r="S86" s="228" t="str">
        <f t="array" ref="S86">IFERROR(INDEX('💻シート作成'!$D$6:$D1001, MATCH(T86, '💻シート作成'!$E$6:$E1001, 0)), "")</f>
        <v/>
      </c>
      <c r="T86" s="172"/>
      <c r="U86" s="665"/>
      <c r="V86" s="774"/>
      <c r="W86" s="662"/>
      <c r="X86" s="757"/>
      <c r="Y86" s="662"/>
      <c r="Z86" s="662"/>
    </row>
    <row r="87" hidden="1" outlineLevel="1">
      <c r="A87" s="662"/>
      <c r="B87" s="744"/>
      <c r="C87" s="745">
        <f>IF(C76="","",IF(DAY(C76+1)=1,"",C76+1))</f>
        <v>46061</v>
      </c>
      <c r="D87" s="746" t="str">
        <f>TEXT(C87,"ddd")</f>
        <v>日</v>
      </c>
      <c r="E87" s="747"/>
      <c r="F87" s="775" t="s">
        <v>594</v>
      </c>
      <c r="G87" s="776" t="s">
        <v>595</v>
      </c>
      <c r="H87" s="777"/>
      <c r="I87" s="778">
        <v>0.0</v>
      </c>
      <c r="J87" s="746"/>
      <c r="K87" s="746"/>
      <c r="L87" s="755"/>
      <c r="M87" s="755"/>
      <c r="N87" s="775"/>
      <c r="O87" s="779"/>
      <c r="P87" s="771"/>
      <c r="Q87" s="772"/>
      <c r="R87" s="662"/>
      <c r="S87" s="228" t="str">
        <f t="array" ref="S87">IFERROR(INDEX('💻シート作成'!$D$6:$D1001, MATCH(T87, '💻シート作成'!$E$6:$E1001, 0)), "")</f>
        <v/>
      </c>
      <c r="T87" s="172"/>
      <c r="U87" s="665"/>
      <c r="V87" s="774"/>
      <c r="W87" s="662"/>
      <c r="X87" s="757"/>
      <c r="Y87" s="662"/>
      <c r="Z87" s="662"/>
    </row>
    <row r="88" hidden="1" outlineLevel="1">
      <c r="A88" s="662"/>
      <c r="B88" s="730"/>
      <c r="C88" s="731"/>
      <c r="D88" s="731"/>
      <c r="E88" s="731"/>
      <c r="F88" s="731"/>
      <c r="G88" s="732"/>
      <c r="H88" s="731"/>
      <c r="I88" s="731"/>
      <c r="J88" s="731"/>
      <c r="K88" s="731"/>
      <c r="L88" s="755"/>
      <c r="M88" s="755"/>
      <c r="N88" s="731"/>
      <c r="O88" s="734"/>
      <c r="Q88" s="729"/>
      <c r="R88" s="662"/>
      <c r="S88" s="228" t="str">
        <f t="array" ref="S88">IFERROR(INDEX('💻シート作成'!$D$6:$D1001, MATCH(T88, '💻シート作成'!$E$6:$E1001, 0)), "")</f>
        <v/>
      </c>
      <c r="T88" s="172"/>
      <c r="U88" s="665"/>
      <c r="V88" s="774"/>
      <c r="W88" s="662"/>
      <c r="X88" s="757"/>
      <c r="Y88" s="662"/>
      <c r="Z88" s="662"/>
    </row>
    <row r="89" hidden="1" outlineLevel="1">
      <c r="A89" s="662"/>
      <c r="B89" s="730"/>
      <c r="C89" s="731"/>
      <c r="D89" s="731"/>
      <c r="E89" s="731"/>
      <c r="F89" s="731"/>
      <c r="G89" s="732"/>
      <c r="H89" s="731"/>
      <c r="I89" s="731"/>
      <c r="J89" s="731"/>
      <c r="K89" s="731"/>
      <c r="L89" s="755"/>
      <c r="M89" s="755"/>
      <c r="N89" s="731"/>
      <c r="O89" s="734"/>
      <c r="Q89" s="729"/>
      <c r="R89" s="662"/>
      <c r="S89" s="228" t="str">
        <f t="array" ref="S89">IFERROR(INDEX('💻シート作成'!$D$6:$D1001, MATCH(T89, '💻シート作成'!$E$6:$E1001, 0)), "")</f>
        <v/>
      </c>
      <c r="T89" s="172"/>
      <c r="U89" s="665"/>
      <c r="V89" s="774"/>
      <c r="W89" s="662"/>
      <c r="X89" s="757"/>
      <c r="Y89" s="662"/>
      <c r="Z89" s="662"/>
    </row>
    <row r="90" hidden="1" outlineLevel="1">
      <c r="A90" s="662"/>
      <c r="B90" s="730"/>
      <c r="C90" s="731"/>
      <c r="D90" s="731"/>
      <c r="E90" s="731"/>
      <c r="F90" s="731"/>
      <c r="G90" s="732"/>
      <c r="H90" s="731"/>
      <c r="I90" s="731"/>
      <c r="J90" s="731"/>
      <c r="K90" s="731"/>
      <c r="L90" s="756"/>
      <c r="M90" s="755"/>
      <c r="N90" s="731"/>
      <c r="O90" s="734"/>
      <c r="Q90" s="729"/>
      <c r="R90" s="662"/>
      <c r="S90" s="228" t="str">
        <f t="array" ref="S90">IFERROR(INDEX('💻シート作成'!$D$6:$D1001, MATCH(T90, '💻シート作成'!$E$6:$E1001, 0)), "")</f>
        <v/>
      </c>
      <c r="T90" s="172"/>
      <c r="U90" s="665"/>
      <c r="V90" s="774"/>
      <c r="W90" s="662"/>
      <c r="X90" s="757"/>
      <c r="Y90" s="662"/>
      <c r="Z90" s="662"/>
    </row>
    <row r="91" hidden="1" outlineLevel="1">
      <c r="A91" s="662"/>
      <c r="B91" s="730"/>
      <c r="C91" s="731"/>
      <c r="D91" s="731"/>
      <c r="E91" s="731"/>
      <c r="F91" s="731"/>
      <c r="G91" s="732"/>
      <c r="H91" s="731"/>
      <c r="I91" s="731"/>
      <c r="J91" s="731"/>
      <c r="K91" s="731"/>
      <c r="L91" s="756"/>
      <c r="M91" s="755"/>
      <c r="N91" s="731"/>
      <c r="O91" s="734"/>
      <c r="Q91" s="729"/>
      <c r="R91" s="662"/>
      <c r="S91" s="228" t="str">
        <f t="array" ref="S91">IFERROR(INDEX('💻シート作成'!$D$6:$D1001, MATCH(T91, '💻シート作成'!$E$6:$E1001, 0)), "")</f>
        <v/>
      </c>
      <c r="T91" s="172"/>
      <c r="U91" s="665"/>
      <c r="V91" s="774"/>
      <c r="W91" s="662"/>
      <c r="X91" s="757"/>
      <c r="Y91" s="662"/>
      <c r="Z91" s="662"/>
    </row>
    <row r="92" hidden="1" outlineLevel="1">
      <c r="A92" s="662"/>
      <c r="B92" s="730"/>
      <c r="C92" s="731"/>
      <c r="D92" s="731"/>
      <c r="E92" s="731"/>
      <c r="F92" s="731"/>
      <c r="G92" s="732"/>
      <c r="H92" s="731"/>
      <c r="I92" s="731"/>
      <c r="J92" s="731"/>
      <c r="K92" s="731"/>
      <c r="L92" s="756"/>
      <c r="M92" s="755"/>
      <c r="N92" s="731"/>
      <c r="O92" s="734"/>
      <c r="Q92" s="729"/>
      <c r="R92" s="662"/>
      <c r="S92" s="228" t="str">
        <f t="array" ref="S92">IFERROR(INDEX('💻シート作成'!$D$6:$D1001, MATCH(T92, '💻シート作成'!$E$6:$E1001, 0)), "")</f>
        <v/>
      </c>
      <c r="T92" s="172"/>
      <c r="U92" s="665"/>
      <c r="V92" s="774"/>
      <c r="W92" s="662"/>
      <c r="X92" s="757"/>
      <c r="Y92" s="662"/>
      <c r="Z92" s="662"/>
    </row>
    <row r="93" hidden="1" outlineLevel="1">
      <c r="A93" s="662"/>
      <c r="B93" s="730"/>
      <c r="C93" s="731"/>
      <c r="D93" s="731"/>
      <c r="E93" s="731"/>
      <c r="F93" s="731"/>
      <c r="G93" s="732"/>
      <c r="H93" s="731"/>
      <c r="I93" s="731"/>
      <c r="J93" s="731"/>
      <c r="K93" s="731"/>
      <c r="L93" s="756"/>
      <c r="M93" s="755"/>
      <c r="N93" s="731"/>
      <c r="O93" s="734"/>
      <c r="Q93" s="729"/>
      <c r="R93" s="662"/>
      <c r="S93" s="228" t="str">
        <f t="array" ref="S93">IFERROR(INDEX('💻シート作成'!$D$6:$D1001, MATCH(T93, '💻シート作成'!$E$6:$E1001, 0)), "")</f>
        <v/>
      </c>
      <c r="T93" s="172"/>
      <c r="U93" s="665"/>
      <c r="V93" s="774"/>
      <c r="W93" s="662"/>
      <c r="X93" s="757"/>
      <c r="Y93" s="662"/>
      <c r="Z93" s="662"/>
    </row>
    <row r="94" hidden="1" outlineLevel="1">
      <c r="A94" s="662"/>
      <c r="B94" s="730"/>
      <c r="C94" s="731"/>
      <c r="D94" s="731"/>
      <c r="E94" s="731"/>
      <c r="F94" s="731"/>
      <c r="G94" s="732"/>
      <c r="H94" s="731"/>
      <c r="I94" s="731"/>
      <c r="J94" s="731"/>
      <c r="K94" s="731"/>
      <c r="L94" s="756"/>
      <c r="M94" s="755"/>
      <c r="N94" s="731"/>
      <c r="O94" s="734"/>
      <c r="Q94" s="729"/>
      <c r="R94" s="662"/>
      <c r="S94" s="228" t="str">
        <f t="array" ref="S94">IFERROR(INDEX('💻シート作成'!$D$6:$D1001, MATCH(T94, '💻シート作成'!$E$6:$E1001, 0)), "")</f>
        <v/>
      </c>
      <c r="T94" s="172"/>
      <c r="U94" s="665"/>
      <c r="V94" s="774"/>
      <c r="W94" s="662"/>
      <c r="X94" s="757"/>
      <c r="Y94" s="662"/>
      <c r="Z94" s="662"/>
    </row>
    <row r="95" hidden="1" outlineLevel="1">
      <c r="A95" s="662"/>
      <c r="B95" s="730"/>
      <c r="C95" s="731"/>
      <c r="D95" s="731"/>
      <c r="E95" s="731"/>
      <c r="F95" s="731"/>
      <c r="G95" s="732"/>
      <c r="H95" s="731"/>
      <c r="I95" s="731"/>
      <c r="J95" s="731"/>
      <c r="K95" s="731"/>
      <c r="L95" s="756"/>
      <c r="M95" s="755"/>
      <c r="N95" s="731"/>
      <c r="O95" s="734"/>
      <c r="Q95" s="729"/>
      <c r="R95" s="662"/>
      <c r="S95" s="228" t="str">
        <f t="array" ref="S95">IFERROR(INDEX('💻シート作成'!$D$6:$D1001, MATCH(T95, '💻シート作成'!$E$6:$E1001, 0)), "")</f>
        <v/>
      </c>
      <c r="T95" s="172"/>
      <c r="U95" s="665"/>
      <c r="V95" s="774"/>
      <c r="W95" s="662"/>
      <c r="X95" s="757"/>
      <c r="Y95" s="662"/>
      <c r="Z95" s="662"/>
    </row>
    <row r="96" hidden="1" outlineLevel="1">
      <c r="A96" s="662"/>
      <c r="B96" s="730"/>
      <c r="C96" s="731"/>
      <c r="D96" s="731"/>
      <c r="E96" s="731"/>
      <c r="F96" s="698"/>
      <c r="G96" s="699"/>
      <c r="H96" s="698"/>
      <c r="I96" s="698"/>
      <c r="J96" s="698"/>
      <c r="K96" s="698"/>
      <c r="L96" s="756"/>
      <c r="M96" s="755"/>
      <c r="N96" s="698"/>
      <c r="O96" s="701"/>
      <c r="P96" s="702"/>
      <c r="Q96" s="738"/>
      <c r="R96" s="662"/>
      <c r="S96" s="228" t="str">
        <f t="array" ref="S96">IFERROR(INDEX('💻シート作成'!$D$6:$D1001, MATCH(T96, '💻シート作成'!$E$6:$E1001, 0)), "")</f>
        <v/>
      </c>
      <c r="T96" s="172"/>
      <c r="U96" s="665"/>
      <c r="V96" s="774"/>
      <c r="W96" s="662"/>
      <c r="X96" s="757"/>
      <c r="Y96" s="662"/>
      <c r="Z96" s="662"/>
    </row>
    <row r="97" hidden="1" outlineLevel="1">
      <c r="A97" s="662"/>
      <c r="B97" s="739"/>
      <c r="C97" s="698"/>
      <c r="D97" s="698"/>
      <c r="E97" s="698"/>
      <c r="F97" s="758" t="s">
        <v>546</v>
      </c>
      <c r="G97" s="759"/>
      <c r="H97" s="742"/>
      <c r="I97" s="742"/>
      <c r="J97" s="742"/>
      <c r="K97" s="742"/>
      <c r="L97" s="759"/>
      <c r="M97" s="759"/>
      <c r="N97" s="759"/>
      <c r="O97" s="759"/>
      <c r="P97" s="759"/>
      <c r="Q97" s="760"/>
      <c r="R97" s="662"/>
      <c r="S97" s="228" t="str">
        <f t="array" ref="S97">IFERROR(INDEX('💻シート作成'!$D$6:$D1001, MATCH(T97, '💻シート作成'!$E$6:$E1001, 0)), "")</f>
        <v/>
      </c>
      <c r="T97" s="172"/>
      <c r="U97" s="665"/>
      <c r="V97" s="774"/>
      <c r="W97" s="662"/>
      <c r="X97" s="757"/>
      <c r="Y97" s="662"/>
      <c r="Z97" s="662"/>
    </row>
    <row r="98" hidden="1" outlineLevel="1">
      <c r="A98" s="662"/>
      <c r="B98" s="761"/>
      <c r="C98" s="762">
        <f>IF(C87="","",IF(DAY(C87+1)=1,"",C87+1))</f>
        <v>46062</v>
      </c>
      <c r="D98" s="763" t="str">
        <f>TEXT(C98,"ddd")</f>
        <v>月</v>
      </c>
      <c r="E98" s="764"/>
      <c r="F98" s="765" t="s">
        <v>594</v>
      </c>
      <c r="G98" s="766" t="s">
        <v>595</v>
      </c>
      <c r="H98" s="767"/>
      <c r="I98" s="768">
        <v>0.0</v>
      </c>
      <c r="J98" s="763"/>
      <c r="K98" s="763"/>
      <c r="L98" s="769"/>
      <c r="M98" s="769"/>
      <c r="N98" s="765"/>
      <c r="O98" s="770"/>
      <c r="P98" s="771"/>
      <c r="Q98" s="772"/>
      <c r="R98" s="662"/>
      <c r="S98" s="228" t="str">
        <f t="array" ref="S98">IFERROR(INDEX('💻シート作成'!$D$6:$D1001, MATCH(T98, '💻シート作成'!$E$6:$E1001, 0)), "")</f>
        <v/>
      </c>
      <c r="T98" s="172"/>
      <c r="U98" s="665"/>
      <c r="V98" s="774"/>
      <c r="W98" s="662"/>
      <c r="X98" s="757"/>
      <c r="Y98" s="662"/>
      <c r="Z98" s="662"/>
    </row>
    <row r="99" hidden="1" outlineLevel="1">
      <c r="A99" s="662"/>
      <c r="B99" s="730"/>
      <c r="C99" s="731"/>
      <c r="D99" s="731"/>
      <c r="E99" s="731"/>
      <c r="F99" s="731"/>
      <c r="G99" s="732"/>
      <c r="H99" s="731"/>
      <c r="I99" s="731"/>
      <c r="J99" s="731"/>
      <c r="K99" s="731"/>
      <c r="L99" s="769"/>
      <c r="M99" s="769"/>
      <c r="N99" s="731"/>
      <c r="O99" s="734"/>
      <c r="Q99" s="729"/>
      <c r="R99" s="662"/>
      <c r="S99" s="228" t="str">
        <f t="array" ref="S99">IFERROR(INDEX('💻シート作成'!$D$6:$D1001, MATCH(T99, '💻シート作成'!$E$6:$E1001, 0)), "")</f>
        <v/>
      </c>
      <c r="T99" s="172"/>
      <c r="U99" s="665"/>
      <c r="V99" s="774"/>
      <c r="W99" s="662"/>
      <c r="X99" s="757"/>
      <c r="Y99" s="662"/>
      <c r="Z99" s="662"/>
    </row>
    <row r="100" hidden="1" outlineLevel="1">
      <c r="A100" s="662"/>
      <c r="B100" s="730"/>
      <c r="C100" s="731"/>
      <c r="D100" s="731"/>
      <c r="E100" s="731"/>
      <c r="F100" s="731"/>
      <c r="G100" s="732"/>
      <c r="H100" s="731"/>
      <c r="I100" s="731"/>
      <c r="J100" s="731"/>
      <c r="K100" s="731"/>
      <c r="L100" s="769"/>
      <c r="M100" s="769"/>
      <c r="N100" s="731"/>
      <c r="O100" s="734"/>
      <c r="Q100" s="729"/>
      <c r="R100" s="662"/>
      <c r="S100" s="228" t="str">
        <f t="array" ref="S100">IFERROR(INDEX('💻シート作成'!$D$6:$D1001, MATCH(T100, '💻シート作成'!$E$6:$E1001, 0)), "")</f>
        <v/>
      </c>
      <c r="T100" s="172"/>
      <c r="U100" s="665"/>
      <c r="V100" s="774"/>
      <c r="W100" s="662"/>
      <c r="X100" s="757"/>
      <c r="Y100" s="662"/>
      <c r="Z100" s="662"/>
    </row>
    <row r="101" hidden="1" outlineLevel="1">
      <c r="A101" s="662"/>
      <c r="B101" s="730"/>
      <c r="C101" s="731"/>
      <c r="D101" s="731"/>
      <c r="E101" s="731"/>
      <c r="F101" s="731"/>
      <c r="G101" s="732"/>
      <c r="H101" s="731"/>
      <c r="I101" s="731"/>
      <c r="J101" s="731"/>
      <c r="K101" s="731"/>
      <c r="L101" s="773"/>
      <c r="M101" s="769"/>
      <c r="N101" s="731"/>
      <c r="O101" s="734"/>
      <c r="Q101" s="729"/>
      <c r="R101" s="662"/>
      <c r="S101" s="228" t="str">
        <f t="array" ref="S101">IFERROR(INDEX('💻シート作成'!$D$6:$D1001, MATCH(T101, '💻シート作成'!$E$6:$E1001, 0)), "")</f>
        <v/>
      </c>
      <c r="T101" s="172"/>
      <c r="U101" s="665"/>
      <c r="V101" s="774"/>
      <c r="W101" s="662"/>
      <c r="X101" s="757"/>
      <c r="Y101" s="662"/>
      <c r="Z101" s="662"/>
    </row>
    <row r="102" hidden="1" outlineLevel="1">
      <c r="A102" s="662"/>
      <c r="B102" s="730"/>
      <c r="C102" s="731"/>
      <c r="D102" s="731"/>
      <c r="E102" s="731"/>
      <c r="F102" s="731"/>
      <c r="G102" s="732"/>
      <c r="H102" s="731"/>
      <c r="I102" s="731"/>
      <c r="J102" s="731"/>
      <c r="K102" s="731"/>
      <c r="L102" s="773"/>
      <c r="M102" s="769"/>
      <c r="N102" s="731"/>
      <c r="O102" s="734"/>
      <c r="Q102" s="729"/>
      <c r="R102" s="662"/>
      <c r="S102" s="228" t="str">
        <f t="array" ref="S102">IFERROR(INDEX('💻シート作成'!$D$6:$D1001, MATCH(T102, '💻シート作成'!$E$6:$E1001, 0)), "")</f>
        <v/>
      </c>
      <c r="T102" s="172"/>
      <c r="U102" s="665"/>
      <c r="V102" s="774"/>
      <c r="W102" s="662"/>
      <c r="X102" s="757"/>
      <c r="Y102" s="662"/>
      <c r="Z102" s="662"/>
    </row>
    <row r="103" hidden="1" outlineLevel="1">
      <c r="A103" s="662"/>
      <c r="B103" s="730"/>
      <c r="C103" s="731"/>
      <c r="D103" s="731"/>
      <c r="E103" s="731"/>
      <c r="F103" s="731"/>
      <c r="G103" s="732"/>
      <c r="H103" s="731"/>
      <c r="I103" s="731"/>
      <c r="J103" s="731"/>
      <c r="K103" s="731"/>
      <c r="L103" s="773"/>
      <c r="M103" s="769"/>
      <c r="N103" s="731"/>
      <c r="O103" s="734"/>
      <c r="Q103" s="729"/>
      <c r="R103" s="662"/>
      <c r="S103" s="228" t="str">
        <f t="array" ref="S103">IFERROR(INDEX('💻シート作成'!$D$6:$D1001, MATCH(T103, '💻シート作成'!$E$6:$E1001, 0)), "")</f>
        <v/>
      </c>
      <c r="T103" s="172"/>
      <c r="U103" s="665"/>
      <c r="V103" s="774"/>
      <c r="W103" s="662"/>
      <c r="X103" s="757"/>
      <c r="Y103" s="662"/>
      <c r="Z103" s="662"/>
    </row>
    <row r="104" hidden="1" outlineLevel="1">
      <c r="A104" s="662"/>
      <c r="B104" s="730"/>
      <c r="C104" s="731"/>
      <c r="D104" s="731"/>
      <c r="E104" s="731"/>
      <c r="F104" s="731"/>
      <c r="G104" s="732"/>
      <c r="H104" s="731"/>
      <c r="I104" s="731"/>
      <c r="J104" s="731"/>
      <c r="K104" s="731"/>
      <c r="L104" s="773"/>
      <c r="M104" s="769"/>
      <c r="N104" s="731"/>
      <c r="O104" s="734"/>
      <c r="Q104" s="729"/>
      <c r="R104" s="662"/>
      <c r="S104" s="228" t="str">
        <f t="array" ref="S104">IFERROR(INDEX('💻シート作成'!$D$6:$D1001, MATCH(T104, '💻シート作成'!$E$6:$E1001, 0)), "")</f>
        <v/>
      </c>
      <c r="T104" s="172"/>
      <c r="U104" s="665"/>
      <c r="V104" s="774"/>
      <c r="W104" s="662"/>
      <c r="X104" s="757"/>
      <c r="Y104" s="662"/>
      <c r="Z104" s="662"/>
    </row>
    <row r="105" hidden="1" outlineLevel="1">
      <c r="A105" s="662"/>
      <c r="B105" s="730"/>
      <c r="C105" s="731"/>
      <c r="D105" s="731"/>
      <c r="E105" s="731"/>
      <c r="F105" s="731"/>
      <c r="G105" s="732"/>
      <c r="H105" s="731"/>
      <c r="I105" s="731"/>
      <c r="J105" s="731"/>
      <c r="K105" s="731"/>
      <c r="L105" s="773"/>
      <c r="M105" s="769"/>
      <c r="N105" s="731"/>
      <c r="O105" s="734"/>
      <c r="Q105" s="729"/>
      <c r="R105" s="662"/>
      <c r="S105" s="228" t="str">
        <f t="array" ref="S105">IFERROR(INDEX('💻シート作成'!$D$6:$D1001, MATCH(T105, '💻シート作成'!$E$6:$E1001, 0)), "")</f>
        <v/>
      </c>
      <c r="T105" s="172"/>
      <c r="U105" s="665"/>
      <c r="V105" s="774"/>
      <c r="W105" s="662"/>
      <c r="X105" s="757"/>
      <c r="Y105" s="662"/>
      <c r="Z105" s="662"/>
    </row>
    <row r="106" hidden="1" outlineLevel="1">
      <c r="A106" s="662"/>
      <c r="B106" s="730"/>
      <c r="C106" s="731"/>
      <c r="D106" s="731"/>
      <c r="E106" s="731"/>
      <c r="F106" s="731"/>
      <c r="G106" s="732"/>
      <c r="H106" s="731"/>
      <c r="I106" s="731"/>
      <c r="J106" s="731"/>
      <c r="K106" s="731"/>
      <c r="L106" s="773"/>
      <c r="M106" s="769"/>
      <c r="N106" s="731"/>
      <c r="O106" s="734"/>
      <c r="Q106" s="729"/>
      <c r="R106" s="662"/>
      <c r="S106" s="228" t="str">
        <f t="array" ref="S106">IFERROR(INDEX('💻シート作成'!$D$6:$D1001, MATCH(T106, '💻シート作成'!$E$6:$E1001, 0)), "")</f>
        <v/>
      </c>
      <c r="T106" s="172"/>
      <c r="U106" s="665"/>
      <c r="V106" s="774"/>
      <c r="W106" s="662"/>
      <c r="X106" s="757"/>
      <c r="Y106" s="662"/>
      <c r="Z106" s="662"/>
    </row>
    <row r="107" hidden="1" outlineLevel="1">
      <c r="A107" s="662"/>
      <c r="B107" s="730"/>
      <c r="C107" s="731"/>
      <c r="D107" s="731"/>
      <c r="E107" s="731"/>
      <c r="F107" s="698"/>
      <c r="G107" s="699"/>
      <c r="H107" s="698"/>
      <c r="I107" s="698"/>
      <c r="J107" s="698"/>
      <c r="K107" s="698"/>
      <c r="L107" s="773"/>
      <c r="M107" s="769"/>
      <c r="N107" s="698"/>
      <c r="O107" s="701"/>
      <c r="P107" s="702"/>
      <c r="Q107" s="738"/>
      <c r="R107" s="662"/>
      <c r="S107" s="228" t="str">
        <f t="array" ref="S107">IFERROR(INDEX('💻シート作成'!$D$6:$D1001, MATCH(T107, '💻シート作成'!$E$6:$E1001, 0)), "")</f>
        <v/>
      </c>
      <c r="T107" s="172"/>
      <c r="U107" s="665"/>
      <c r="V107" s="774"/>
      <c r="W107" s="662"/>
      <c r="X107" s="757"/>
      <c r="Y107" s="662"/>
      <c r="Z107" s="662"/>
    </row>
    <row r="108" hidden="1" outlineLevel="1">
      <c r="A108" s="662"/>
      <c r="B108" s="739"/>
      <c r="C108" s="698"/>
      <c r="D108" s="698"/>
      <c r="E108" s="698"/>
      <c r="F108" s="740" t="s">
        <v>546</v>
      </c>
      <c r="G108" s="741"/>
      <c r="H108" s="742"/>
      <c r="I108" s="742"/>
      <c r="J108" s="742"/>
      <c r="K108" s="742"/>
      <c r="L108" s="741"/>
      <c r="M108" s="741"/>
      <c r="N108" s="741"/>
      <c r="O108" s="741"/>
      <c r="P108" s="741"/>
      <c r="Q108" s="743"/>
      <c r="R108" s="662"/>
      <c r="S108" s="228" t="str">
        <f t="array" ref="S108">IFERROR(INDEX('💻シート作成'!$D$6:$D1001, MATCH(T108, '💻シート作成'!$E$6:$E1001, 0)), "")</f>
        <v/>
      </c>
      <c r="T108" s="184"/>
      <c r="U108" s="665"/>
      <c r="V108" s="774"/>
      <c r="W108" s="662"/>
      <c r="X108" s="757"/>
      <c r="Y108" s="662"/>
      <c r="Z108" s="662"/>
    </row>
    <row r="109" hidden="1" outlineLevel="1">
      <c r="A109" s="662"/>
      <c r="B109" s="744"/>
      <c r="C109" s="745">
        <f>IF(C98="","",IF(DAY(C98+1)=1,"",C98+1))</f>
        <v>46063</v>
      </c>
      <c r="D109" s="746" t="str">
        <f>TEXT(C109,"ddd")</f>
        <v>火</v>
      </c>
      <c r="E109" s="747"/>
      <c r="F109" s="775" t="s">
        <v>594</v>
      </c>
      <c r="G109" s="776" t="s">
        <v>595</v>
      </c>
      <c r="H109" s="777"/>
      <c r="I109" s="778">
        <v>0.0</v>
      </c>
      <c r="J109" s="746"/>
      <c r="K109" s="746"/>
      <c r="L109" s="755"/>
      <c r="M109" s="755"/>
      <c r="N109" s="775"/>
      <c r="O109" s="779"/>
      <c r="P109" s="771"/>
      <c r="Q109" s="772"/>
      <c r="R109" s="662"/>
      <c r="S109" s="228" t="str">
        <f t="array" ref="S109">IFERROR(INDEX('💻シート作成'!$D$6:$D1001, MATCH(T109, '💻シート作成'!$E$6:$E1001, 0)), "")</f>
        <v/>
      </c>
      <c r="T109" s="172"/>
      <c r="U109" s="665"/>
      <c r="V109" s="774"/>
      <c r="W109" s="662"/>
      <c r="X109" s="757"/>
      <c r="Y109" s="662"/>
      <c r="Z109" s="662"/>
    </row>
    <row r="110" hidden="1" outlineLevel="1">
      <c r="A110" s="662"/>
      <c r="B110" s="730"/>
      <c r="C110" s="731"/>
      <c r="D110" s="731"/>
      <c r="E110" s="731"/>
      <c r="F110" s="731"/>
      <c r="G110" s="732"/>
      <c r="H110" s="731"/>
      <c r="I110" s="731"/>
      <c r="J110" s="731"/>
      <c r="K110" s="731"/>
      <c r="L110" s="755"/>
      <c r="M110" s="755"/>
      <c r="N110" s="731"/>
      <c r="O110" s="734"/>
      <c r="Q110" s="729"/>
      <c r="R110" s="662"/>
      <c r="S110" s="228" t="str">
        <f t="array" ref="S110">IFERROR(INDEX('💻シート作成'!$D$6:$D1001, MATCH(T110, '💻シート作成'!$E$6:$E1001, 0)), "")</f>
        <v/>
      </c>
      <c r="T110" s="184"/>
      <c r="U110" s="665"/>
      <c r="V110" s="774"/>
      <c r="W110" s="662"/>
      <c r="X110" s="757"/>
      <c r="Y110" s="662"/>
      <c r="Z110" s="662"/>
    </row>
    <row r="111" hidden="1" outlineLevel="1">
      <c r="A111" s="662"/>
      <c r="B111" s="730"/>
      <c r="C111" s="731"/>
      <c r="D111" s="731"/>
      <c r="E111" s="731"/>
      <c r="F111" s="731"/>
      <c r="G111" s="732"/>
      <c r="H111" s="731"/>
      <c r="I111" s="731"/>
      <c r="J111" s="731"/>
      <c r="K111" s="731"/>
      <c r="L111" s="755"/>
      <c r="M111" s="755"/>
      <c r="N111" s="731"/>
      <c r="O111" s="734"/>
      <c r="Q111" s="729"/>
      <c r="R111" s="662"/>
      <c r="S111" s="228" t="str">
        <f t="array" ref="S111">IFERROR(INDEX('💻シート作成'!$D$6:$D1001, MATCH(T111, '💻シート作成'!$E$6:$E1001, 0)), "")</f>
        <v/>
      </c>
      <c r="T111" s="184"/>
      <c r="U111" s="665"/>
      <c r="V111" s="774"/>
      <c r="W111" s="662"/>
      <c r="X111" s="757"/>
      <c r="Y111" s="662"/>
      <c r="Z111" s="662"/>
    </row>
    <row r="112" hidden="1" outlineLevel="1">
      <c r="A112" s="662"/>
      <c r="B112" s="730"/>
      <c r="C112" s="731"/>
      <c r="D112" s="731"/>
      <c r="E112" s="731"/>
      <c r="F112" s="731"/>
      <c r="G112" s="732"/>
      <c r="H112" s="731"/>
      <c r="I112" s="731"/>
      <c r="J112" s="731"/>
      <c r="K112" s="731"/>
      <c r="L112" s="756"/>
      <c r="M112" s="755"/>
      <c r="N112" s="731"/>
      <c r="O112" s="734"/>
      <c r="Q112" s="729"/>
      <c r="R112" s="662"/>
      <c r="S112" s="228" t="str">
        <f t="array" ref="S112">IFERROR(INDEX('💻シート作成'!$D$6:$D1001, MATCH(T112, '💻シート作成'!$E$6:$E1001, 0)), "")</f>
        <v/>
      </c>
      <c r="T112" s="184"/>
      <c r="U112" s="665"/>
      <c r="V112" s="774"/>
      <c r="W112" s="662"/>
      <c r="X112" s="757"/>
      <c r="Y112" s="662"/>
      <c r="Z112" s="662"/>
    </row>
    <row r="113" hidden="1" outlineLevel="1">
      <c r="A113" s="662"/>
      <c r="B113" s="730"/>
      <c r="C113" s="731"/>
      <c r="D113" s="731"/>
      <c r="E113" s="731"/>
      <c r="F113" s="731"/>
      <c r="G113" s="732"/>
      <c r="H113" s="731"/>
      <c r="I113" s="731"/>
      <c r="J113" s="731"/>
      <c r="K113" s="731"/>
      <c r="L113" s="756"/>
      <c r="M113" s="755"/>
      <c r="N113" s="731"/>
      <c r="O113" s="734"/>
      <c r="Q113" s="729"/>
      <c r="R113" s="662"/>
      <c r="S113" s="228" t="str">
        <f t="array" ref="S113">IFERROR(INDEX('💻シート作成'!$D$6:$D1001, MATCH(T113, '💻シート作成'!$E$6:$E1001, 0)), "")</f>
        <v/>
      </c>
      <c r="T113" s="184"/>
      <c r="U113" s="665"/>
      <c r="V113" s="774"/>
      <c r="W113" s="662"/>
      <c r="X113" s="757"/>
      <c r="Y113" s="662"/>
      <c r="Z113" s="662"/>
    </row>
    <row r="114" hidden="1" outlineLevel="1">
      <c r="A114" s="662"/>
      <c r="B114" s="730"/>
      <c r="C114" s="731"/>
      <c r="D114" s="731"/>
      <c r="E114" s="731"/>
      <c r="F114" s="731"/>
      <c r="G114" s="732"/>
      <c r="H114" s="731"/>
      <c r="I114" s="731"/>
      <c r="J114" s="731"/>
      <c r="K114" s="731"/>
      <c r="L114" s="756"/>
      <c r="M114" s="755"/>
      <c r="N114" s="731"/>
      <c r="O114" s="734"/>
      <c r="Q114" s="729"/>
      <c r="R114" s="662"/>
      <c r="S114" s="228" t="str">
        <f t="array" ref="S114">IFERROR(INDEX('💻シート作成'!$D$6:$D1001, MATCH(T114, '💻シート作成'!$E$6:$E1001, 0)), "")</f>
        <v/>
      </c>
      <c r="T114" s="184"/>
      <c r="U114" s="665"/>
      <c r="V114" s="774"/>
      <c r="W114" s="662"/>
      <c r="X114" s="757"/>
      <c r="Y114" s="662"/>
      <c r="Z114" s="662"/>
    </row>
    <row r="115" hidden="1" outlineLevel="1">
      <c r="A115" s="662"/>
      <c r="B115" s="730"/>
      <c r="C115" s="731"/>
      <c r="D115" s="731"/>
      <c r="E115" s="731"/>
      <c r="F115" s="731"/>
      <c r="G115" s="732"/>
      <c r="H115" s="731"/>
      <c r="I115" s="731"/>
      <c r="J115" s="731"/>
      <c r="K115" s="731"/>
      <c r="L115" s="756"/>
      <c r="M115" s="755"/>
      <c r="N115" s="731"/>
      <c r="O115" s="734"/>
      <c r="Q115" s="729"/>
      <c r="R115" s="662"/>
      <c r="S115" s="228" t="str">
        <f t="array" ref="S115">IFERROR(INDEX('💻シート作成'!$D$6:$D1001, MATCH(T115, '💻シート作成'!$E$6:$E1001, 0)), "")</f>
        <v/>
      </c>
      <c r="T115" s="184"/>
      <c r="U115" s="665"/>
      <c r="V115" s="774"/>
      <c r="W115" s="662"/>
      <c r="X115" s="757"/>
      <c r="Y115" s="662"/>
      <c r="Z115" s="662"/>
    </row>
    <row r="116" hidden="1" outlineLevel="1">
      <c r="A116" s="662"/>
      <c r="B116" s="730"/>
      <c r="C116" s="731"/>
      <c r="D116" s="731"/>
      <c r="E116" s="731"/>
      <c r="F116" s="731"/>
      <c r="G116" s="732"/>
      <c r="H116" s="731"/>
      <c r="I116" s="731"/>
      <c r="J116" s="731"/>
      <c r="K116" s="731"/>
      <c r="L116" s="756"/>
      <c r="M116" s="755"/>
      <c r="N116" s="731"/>
      <c r="O116" s="734"/>
      <c r="Q116" s="729"/>
      <c r="R116" s="662"/>
      <c r="S116" s="228" t="str">
        <f t="array" ref="S116">IFERROR(INDEX('💻シート作成'!$D$6:$D1001, MATCH(T116, '💻シート作成'!$E$6:$E1001, 0)), "")</f>
        <v/>
      </c>
      <c r="T116" s="184"/>
      <c r="U116" s="665"/>
      <c r="V116" s="774"/>
      <c r="W116" s="662"/>
      <c r="X116" s="757"/>
      <c r="Y116" s="662"/>
      <c r="Z116" s="662"/>
    </row>
    <row r="117" hidden="1" outlineLevel="1">
      <c r="A117" s="662"/>
      <c r="B117" s="730"/>
      <c r="C117" s="731"/>
      <c r="D117" s="731"/>
      <c r="E117" s="731"/>
      <c r="F117" s="731"/>
      <c r="G117" s="732"/>
      <c r="H117" s="731"/>
      <c r="I117" s="731"/>
      <c r="J117" s="731"/>
      <c r="K117" s="731"/>
      <c r="L117" s="756"/>
      <c r="M117" s="755"/>
      <c r="N117" s="731"/>
      <c r="O117" s="734"/>
      <c r="Q117" s="729"/>
      <c r="R117" s="662"/>
      <c r="S117" s="228" t="str">
        <f t="array" ref="S117">IFERROR(INDEX('💻シート作成'!$D$6:$D1001, MATCH(T117, '💻シート作成'!$E$6:$E1001, 0)), "")</f>
        <v/>
      </c>
      <c r="T117" s="184"/>
      <c r="U117" s="665"/>
      <c r="V117" s="774"/>
      <c r="W117" s="662"/>
      <c r="X117" s="757"/>
      <c r="Y117" s="662"/>
      <c r="Z117" s="662"/>
    </row>
    <row r="118" hidden="1" outlineLevel="1">
      <c r="A118" s="662"/>
      <c r="B118" s="730"/>
      <c r="C118" s="731"/>
      <c r="D118" s="731"/>
      <c r="E118" s="731"/>
      <c r="F118" s="698"/>
      <c r="G118" s="699"/>
      <c r="H118" s="698"/>
      <c r="I118" s="698"/>
      <c r="J118" s="698"/>
      <c r="K118" s="698"/>
      <c r="L118" s="756"/>
      <c r="M118" s="755"/>
      <c r="N118" s="698"/>
      <c r="O118" s="701"/>
      <c r="P118" s="702"/>
      <c r="Q118" s="738"/>
      <c r="R118" s="662"/>
      <c r="S118" s="228" t="str">
        <f t="array" ref="S118">IFERROR(INDEX('💻シート作成'!$D$6:$D1001, MATCH(T118, '💻シート作成'!$E$6:$E1001, 0)), "")</f>
        <v/>
      </c>
      <c r="T118" s="184"/>
      <c r="U118" s="665"/>
      <c r="V118" s="774"/>
      <c r="W118" s="662"/>
      <c r="X118" s="757"/>
      <c r="Y118" s="662"/>
      <c r="Z118" s="662"/>
    </row>
    <row r="119" hidden="1" outlineLevel="1">
      <c r="A119" s="662"/>
      <c r="B119" s="739"/>
      <c r="C119" s="698"/>
      <c r="D119" s="698"/>
      <c r="E119" s="698"/>
      <c r="F119" s="758" t="s">
        <v>546</v>
      </c>
      <c r="G119" s="759"/>
      <c r="H119" s="742"/>
      <c r="I119" s="742"/>
      <c r="J119" s="742"/>
      <c r="K119" s="742"/>
      <c r="L119" s="759"/>
      <c r="M119" s="759"/>
      <c r="N119" s="759"/>
      <c r="O119" s="759"/>
      <c r="P119" s="759"/>
      <c r="Q119" s="760"/>
      <c r="R119" s="662"/>
      <c r="S119" s="228" t="str">
        <f t="array" ref="S119">IFERROR(INDEX('💻シート作成'!$D$6:$D1001, MATCH(T119, '💻シート作成'!$E$6:$E1001, 0)), "")</f>
        <v/>
      </c>
      <c r="T119" s="184"/>
      <c r="U119" s="665"/>
      <c r="V119" s="774"/>
      <c r="W119" s="662"/>
      <c r="X119" s="757"/>
      <c r="Y119" s="662"/>
      <c r="Z119" s="662"/>
    </row>
    <row r="120" collapsed="1">
      <c r="A120" s="662"/>
      <c r="B120" s="780" t="s">
        <v>578</v>
      </c>
      <c r="C120" s="781"/>
      <c r="D120" s="781"/>
      <c r="E120" s="781"/>
      <c r="F120" s="782"/>
      <c r="G120" s="783"/>
      <c r="H120" s="784"/>
      <c r="I120" s="784"/>
      <c r="J120" s="785"/>
      <c r="K120" s="785"/>
      <c r="L120" s="783"/>
      <c r="M120" s="783"/>
      <c r="N120" s="786"/>
      <c r="O120" s="787"/>
      <c r="P120" s="787"/>
      <c r="Q120" s="788"/>
      <c r="R120" s="662"/>
      <c r="S120" s="228" t="str">
        <f t="array" ref="S120">IFERROR(INDEX('💻シート作成'!$D$6:$D1001, MATCH(T120, '💻シート作成'!$E$6:$E1001, 0)), "")</f>
        <v/>
      </c>
      <c r="T120" s="184"/>
      <c r="U120" s="665"/>
      <c r="V120" s="774"/>
      <c r="W120" s="662"/>
      <c r="X120" s="757"/>
      <c r="Y120" s="662"/>
      <c r="Z120" s="662"/>
    </row>
    <row r="121" hidden="1" outlineLevel="1">
      <c r="A121" s="662"/>
      <c r="B121" s="761"/>
      <c r="C121" s="762">
        <f>IF(C109="","",IF(DAY(C109+1)=1,"",C109+1))</f>
        <v>46064</v>
      </c>
      <c r="D121" s="763" t="str">
        <f>TEXT(C121,"ddd")</f>
        <v>水</v>
      </c>
      <c r="E121" s="764"/>
      <c r="F121" s="765" t="s">
        <v>594</v>
      </c>
      <c r="G121" s="766" t="s">
        <v>595</v>
      </c>
      <c r="H121" s="767"/>
      <c r="I121" s="768">
        <v>0.0</v>
      </c>
      <c r="J121" s="763"/>
      <c r="K121" s="763"/>
      <c r="L121" s="769"/>
      <c r="M121" s="769"/>
      <c r="N121" s="765"/>
      <c r="O121" s="770"/>
      <c r="P121" s="771"/>
      <c r="Q121" s="772"/>
      <c r="R121" s="662"/>
      <c r="S121" s="228" t="str">
        <f t="array" ref="S121">IFERROR(INDEX('💻シート作成'!$D$6:$D1001, MATCH(T121, '💻シート作成'!$E$6:$E1001, 0)), "")</f>
        <v/>
      </c>
      <c r="T121" s="184"/>
      <c r="U121" s="665"/>
      <c r="V121" s="774"/>
      <c r="W121" s="662"/>
      <c r="X121" s="757"/>
      <c r="Y121" s="662"/>
      <c r="Z121" s="662"/>
    </row>
    <row r="122" hidden="1" outlineLevel="1">
      <c r="A122" s="662"/>
      <c r="B122" s="730"/>
      <c r="C122" s="731"/>
      <c r="D122" s="731"/>
      <c r="E122" s="731"/>
      <c r="F122" s="731"/>
      <c r="G122" s="732"/>
      <c r="H122" s="731"/>
      <c r="I122" s="731"/>
      <c r="J122" s="731"/>
      <c r="K122" s="731"/>
      <c r="L122" s="769"/>
      <c r="M122" s="769"/>
      <c r="N122" s="731"/>
      <c r="O122" s="734"/>
      <c r="Q122" s="729"/>
      <c r="R122" s="662"/>
      <c r="S122" s="228" t="str">
        <f t="array" ref="S122">IFERROR(INDEX('💻シート作成'!$D$6:$D1001, MATCH(T122, '💻シート作成'!$E$6:$E1001, 0)), "")</f>
        <v/>
      </c>
      <c r="T122" s="184"/>
      <c r="U122" s="665"/>
      <c r="V122" s="774"/>
      <c r="W122" s="662"/>
      <c r="X122" s="757"/>
      <c r="Y122" s="662"/>
      <c r="Z122" s="662"/>
    </row>
    <row r="123" hidden="1" outlineLevel="1">
      <c r="A123" s="662"/>
      <c r="B123" s="730"/>
      <c r="C123" s="731"/>
      <c r="D123" s="731"/>
      <c r="E123" s="731"/>
      <c r="F123" s="731"/>
      <c r="G123" s="732"/>
      <c r="H123" s="731"/>
      <c r="I123" s="731"/>
      <c r="J123" s="731"/>
      <c r="K123" s="731"/>
      <c r="L123" s="769"/>
      <c r="M123" s="769"/>
      <c r="N123" s="731"/>
      <c r="O123" s="734"/>
      <c r="Q123" s="729"/>
      <c r="R123" s="662"/>
      <c r="S123" s="228" t="str">
        <f t="array" ref="S123">IFERROR(INDEX('💻シート作成'!$D$6:$D1001, MATCH(T123, '💻シート作成'!$E$6:$E1001, 0)), "")</f>
        <v/>
      </c>
      <c r="T123" s="184"/>
      <c r="U123" s="665"/>
      <c r="V123" s="774"/>
      <c r="W123" s="662"/>
      <c r="X123" s="757"/>
      <c r="Y123" s="662"/>
      <c r="Z123" s="662"/>
    </row>
    <row r="124" hidden="1" outlineLevel="1">
      <c r="A124" s="662"/>
      <c r="B124" s="730"/>
      <c r="C124" s="731"/>
      <c r="D124" s="731"/>
      <c r="E124" s="731"/>
      <c r="F124" s="731"/>
      <c r="G124" s="732"/>
      <c r="H124" s="731"/>
      <c r="I124" s="731"/>
      <c r="J124" s="731"/>
      <c r="K124" s="731"/>
      <c r="L124" s="773"/>
      <c r="M124" s="769"/>
      <c r="N124" s="731"/>
      <c r="O124" s="734"/>
      <c r="Q124" s="729"/>
      <c r="R124" s="662"/>
      <c r="S124" s="228" t="str">
        <f t="array" ref="S124">IFERROR(INDEX('💻シート作成'!$D$6:$D1001, MATCH(T124, '💻シート作成'!$E$6:$E1001, 0)), "")</f>
        <v/>
      </c>
      <c r="T124" s="184"/>
      <c r="U124" s="665"/>
      <c r="V124" s="774"/>
      <c r="W124" s="662"/>
      <c r="X124" s="757"/>
      <c r="Y124" s="662"/>
      <c r="Z124" s="662"/>
    </row>
    <row r="125" hidden="1" outlineLevel="1">
      <c r="A125" s="662"/>
      <c r="B125" s="730"/>
      <c r="C125" s="731"/>
      <c r="D125" s="731"/>
      <c r="E125" s="731"/>
      <c r="F125" s="731"/>
      <c r="G125" s="732"/>
      <c r="H125" s="731"/>
      <c r="I125" s="731"/>
      <c r="J125" s="731"/>
      <c r="K125" s="731"/>
      <c r="L125" s="773"/>
      <c r="M125" s="769"/>
      <c r="N125" s="731"/>
      <c r="O125" s="734"/>
      <c r="Q125" s="729"/>
      <c r="R125" s="662"/>
      <c r="S125" s="228" t="str">
        <f t="array" ref="S125">IFERROR(INDEX('💻シート作成'!$D$6:$D1001, MATCH(T125, '💻シート作成'!$E$6:$E1001, 0)), "")</f>
        <v/>
      </c>
      <c r="T125" s="184"/>
      <c r="U125" s="665"/>
      <c r="V125" s="774"/>
      <c r="W125" s="662"/>
      <c r="X125" s="757"/>
      <c r="Y125" s="662"/>
      <c r="Z125" s="662"/>
    </row>
    <row r="126" hidden="1" outlineLevel="1">
      <c r="A126" s="662"/>
      <c r="B126" s="730"/>
      <c r="C126" s="731"/>
      <c r="D126" s="731"/>
      <c r="E126" s="731"/>
      <c r="F126" s="731"/>
      <c r="G126" s="732"/>
      <c r="H126" s="731"/>
      <c r="I126" s="731"/>
      <c r="J126" s="731"/>
      <c r="K126" s="731"/>
      <c r="L126" s="773"/>
      <c r="M126" s="769"/>
      <c r="N126" s="731"/>
      <c r="O126" s="734"/>
      <c r="Q126" s="729"/>
      <c r="R126" s="662"/>
      <c r="S126" s="228" t="str">
        <f t="array" ref="S126">IFERROR(INDEX('💻シート作成'!$D$6:$D1001, MATCH(T126, '💻シート作成'!$E$6:$E1001, 0)), "")</f>
        <v/>
      </c>
      <c r="T126" s="184"/>
      <c r="U126" s="665"/>
      <c r="V126" s="774"/>
      <c r="W126" s="662"/>
      <c r="X126" s="757"/>
      <c r="Y126" s="662"/>
      <c r="Z126" s="662"/>
    </row>
    <row r="127" hidden="1" outlineLevel="1">
      <c r="A127" s="662"/>
      <c r="B127" s="730"/>
      <c r="C127" s="731"/>
      <c r="D127" s="731"/>
      <c r="E127" s="731"/>
      <c r="F127" s="731"/>
      <c r="G127" s="732"/>
      <c r="H127" s="731"/>
      <c r="I127" s="731"/>
      <c r="J127" s="731"/>
      <c r="K127" s="731"/>
      <c r="L127" s="773"/>
      <c r="M127" s="769"/>
      <c r="N127" s="731"/>
      <c r="O127" s="734"/>
      <c r="Q127" s="729"/>
      <c r="R127" s="662"/>
      <c r="S127" s="228" t="str">
        <f t="array" ref="S127">IFERROR(INDEX('💻シート作成'!$D$6:$D1001, MATCH(T127, '💻シート作成'!$E$6:$E1001, 0)), "")</f>
        <v/>
      </c>
      <c r="T127" s="184"/>
      <c r="U127" s="665"/>
      <c r="V127" s="774"/>
      <c r="W127" s="662"/>
      <c r="X127" s="757"/>
      <c r="Y127" s="662"/>
      <c r="Z127" s="662"/>
    </row>
    <row r="128" hidden="1" outlineLevel="1">
      <c r="A128" s="662"/>
      <c r="B128" s="730"/>
      <c r="C128" s="731"/>
      <c r="D128" s="731"/>
      <c r="E128" s="731"/>
      <c r="F128" s="731"/>
      <c r="G128" s="732"/>
      <c r="H128" s="731"/>
      <c r="I128" s="731"/>
      <c r="J128" s="731"/>
      <c r="K128" s="731"/>
      <c r="L128" s="773"/>
      <c r="M128" s="769"/>
      <c r="N128" s="731"/>
      <c r="O128" s="734"/>
      <c r="Q128" s="729"/>
      <c r="R128" s="662"/>
      <c r="S128" s="228" t="str">
        <f t="array" ref="S128">IFERROR(INDEX('💻シート作成'!$D$6:$D1001, MATCH(T128, '💻シート作成'!$E$6:$E1001, 0)), "")</f>
        <v/>
      </c>
      <c r="T128" s="184"/>
      <c r="U128" s="665"/>
      <c r="V128" s="774"/>
      <c r="W128" s="662"/>
      <c r="X128" s="757"/>
      <c r="Y128" s="662"/>
      <c r="Z128" s="662"/>
    </row>
    <row r="129" hidden="1" outlineLevel="1">
      <c r="A129" s="662"/>
      <c r="B129" s="730"/>
      <c r="C129" s="731"/>
      <c r="D129" s="731"/>
      <c r="E129" s="731"/>
      <c r="F129" s="731"/>
      <c r="G129" s="732"/>
      <c r="H129" s="731"/>
      <c r="I129" s="731"/>
      <c r="J129" s="731"/>
      <c r="K129" s="731"/>
      <c r="L129" s="773"/>
      <c r="M129" s="769"/>
      <c r="N129" s="731"/>
      <c r="O129" s="734"/>
      <c r="Q129" s="729"/>
      <c r="R129" s="662"/>
      <c r="S129" s="228" t="str">
        <f t="array" ref="S129">IFERROR(INDEX('💻シート作成'!$D$6:$D1001, MATCH(T129, '💻シート作成'!$E$6:$E1001, 0)), "")</f>
        <v/>
      </c>
      <c r="T129" s="184"/>
      <c r="U129" s="665"/>
      <c r="V129" s="774"/>
      <c r="W129" s="662"/>
      <c r="X129" s="757"/>
      <c r="Y129" s="662"/>
      <c r="Z129" s="662"/>
    </row>
    <row r="130" hidden="1" outlineLevel="1">
      <c r="A130" s="662"/>
      <c r="B130" s="730"/>
      <c r="C130" s="731"/>
      <c r="D130" s="731"/>
      <c r="E130" s="731"/>
      <c r="F130" s="698"/>
      <c r="G130" s="699"/>
      <c r="H130" s="698"/>
      <c r="I130" s="698"/>
      <c r="J130" s="698"/>
      <c r="K130" s="698"/>
      <c r="L130" s="773"/>
      <c r="M130" s="769"/>
      <c r="N130" s="698"/>
      <c r="O130" s="701"/>
      <c r="P130" s="702"/>
      <c r="Q130" s="738"/>
      <c r="R130" s="662"/>
      <c r="S130" s="228" t="str">
        <f t="array" ref="S130">IFERROR(INDEX('💻シート作成'!$D$6:$D1001, MATCH(T130, '💻シート作成'!$E$6:$E1001, 0)), "")</f>
        <v/>
      </c>
      <c r="T130" s="184"/>
      <c r="U130" s="665"/>
      <c r="V130" s="774"/>
      <c r="W130" s="662"/>
      <c r="X130" s="757"/>
      <c r="Y130" s="662"/>
      <c r="Z130" s="662"/>
    </row>
    <row r="131" hidden="1" outlineLevel="1">
      <c r="A131" s="662"/>
      <c r="B131" s="739"/>
      <c r="C131" s="698"/>
      <c r="D131" s="698"/>
      <c r="E131" s="698"/>
      <c r="F131" s="740" t="s">
        <v>546</v>
      </c>
      <c r="G131" s="741"/>
      <c r="H131" s="742"/>
      <c r="I131" s="742"/>
      <c r="J131" s="742"/>
      <c r="K131" s="742"/>
      <c r="L131" s="741"/>
      <c r="M131" s="741"/>
      <c r="N131" s="741"/>
      <c r="O131" s="741"/>
      <c r="P131" s="741"/>
      <c r="Q131" s="743"/>
      <c r="R131" s="662"/>
      <c r="S131" s="228" t="str">
        <f t="array" ref="S131">IFERROR(INDEX('💻シート作成'!$D$6:$D1001, MATCH(T131, '💻シート作成'!$E$6:$E1001, 0)), "")</f>
        <v/>
      </c>
      <c r="T131" s="184"/>
      <c r="U131" s="665"/>
      <c r="V131" s="774"/>
      <c r="W131" s="662"/>
      <c r="X131" s="757"/>
      <c r="Y131" s="662"/>
      <c r="Z131" s="662"/>
    </row>
    <row r="132" hidden="1" outlineLevel="1">
      <c r="A132" s="662"/>
      <c r="B132" s="744"/>
      <c r="C132" s="745">
        <f>IF(C121="","",IF(DAY(C121+1)=1,"",C121+1))</f>
        <v>46065</v>
      </c>
      <c r="D132" s="746" t="str">
        <f>TEXT(C132,"ddd")</f>
        <v>木</v>
      </c>
      <c r="E132" s="747"/>
      <c r="F132" s="775" t="s">
        <v>594</v>
      </c>
      <c r="G132" s="776" t="s">
        <v>595</v>
      </c>
      <c r="H132" s="777"/>
      <c r="I132" s="778">
        <v>0.0</v>
      </c>
      <c r="J132" s="746"/>
      <c r="K132" s="746"/>
      <c r="L132" s="755"/>
      <c r="M132" s="755"/>
      <c r="N132" s="775"/>
      <c r="O132" s="779"/>
      <c r="P132" s="771"/>
      <c r="Q132" s="772"/>
      <c r="R132" s="662"/>
      <c r="S132" s="228" t="str">
        <f t="array" ref="S132">IFERROR(INDEX('💻シート作成'!$D$6:$D1001, MATCH(T132, '💻シート作成'!$E$6:$E1001, 0)), "")</f>
        <v/>
      </c>
      <c r="T132" s="184"/>
      <c r="U132" s="665"/>
      <c r="V132" s="774"/>
      <c r="W132" s="662"/>
      <c r="X132" s="757"/>
      <c r="Y132" s="662"/>
      <c r="Z132" s="662"/>
    </row>
    <row r="133" hidden="1" outlineLevel="1">
      <c r="A133" s="662"/>
      <c r="B133" s="730"/>
      <c r="C133" s="731"/>
      <c r="D133" s="731"/>
      <c r="E133" s="731"/>
      <c r="F133" s="731"/>
      <c r="G133" s="732"/>
      <c r="H133" s="731"/>
      <c r="I133" s="731"/>
      <c r="J133" s="731"/>
      <c r="K133" s="731"/>
      <c r="L133" s="755"/>
      <c r="M133" s="755"/>
      <c r="N133" s="731"/>
      <c r="O133" s="734"/>
      <c r="Q133" s="729"/>
      <c r="R133" s="662"/>
      <c r="S133" s="228" t="str">
        <f t="array" ref="S133">IFERROR(INDEX('💻シート作成'!$D$6:$D1001, MATCH(T133, '💻シート作成'!$E$6:$E1001, 0)), "")</f>
        <v/>
      </c>
      <c r="T133" s="184"/>
      <c r="U133" s="665"/>
      <c r="V133" s="774"/>
      <c r="W133" s="662"/>
      <c r="X133" s="757"/>
      <c r="Y133" s="662"/>
      <c r="Z133" s="662"/>
    </row>
    <row r="134" hidden="1" outlineLevel="1">
      <c r="A134" s="662"/>
      <c r="B134" s="730"/>
      <c r="C134" s="731"/>
      <c r="D134" s="731"/>
      <c r="E134" s="731"/>
      <c r="F134" s="731"/>
      <c r="G134" s="732"/>
      <c r="H134" s="731"/>
      <c r="I134" s="731"/>
      <c r="J134" s="731"/>
      <c r="K134" s="731"/>
      <c r="L134" s="755"/>
      <c r="M134" s="755"/>
      <c r="N134" s="731"/>
      <c r="O134" s="734"/>
      <c r="Q134" s="729"/>
      <c r="R134" s="662"/>
      <c r="S134" s="228" t="str">
        <f t="array" ref="S134">IFERROR(INDEX('💻シート作成'!$D$6:$D1001, MATCH(T134, '💻シート作成'!$E$6:$E1001, 0)), "")</f>
        <v/>
      </c>
      <c r="T134" s="184"/>
      <c r="U134" s="665"/>
      <c r="V134" s="774"/>
      <c r="W134" s="662"/>
      <c r="X134" s="757"/>
      <c r="Y134" s="662"/>
      <c r="Z134" s="662"/>
    </row>
    <row r="135" hidden="1" outlineLevel="1">
      <c r="A135" s="662"/>
      <c r="B135" s="730"/>
      <c r="C135" s="731"/>
      <c r="D135" s="731"/>
      <c r="E135" s="731"/>
      <c r="F135" s="731"/>
      <c r="G135" s="732"/>
      <c r="H135" s="731"/>
      <c r="I135" s="731"/>
      <c r="J135" s="731"/>
      <c r="K135" s="731"/>
      <c r="L135" s="756"/>
      <c r="M135" s="755"/>
      <c r="N135" s="731"/>
      <c r="O135" s="734"/>
      <c r="Q135" s="729"/>
      <c r="R135" s="662"/>
      <c r="S135" s="228" t="str">
        <f t="array" ref="S135">IFERROR(INDEX('💻シート作成'!$D$6:$D1001, MATCH(T135, '💻シート作成'!$E$6:$E1001, 0)), "")</f>
        <v/>
      </c>
      <c r="T135" s="184"/>
      <c r="U135" s="665"/>
      <c r="V135" s="774"/>
      <c r="W135" s="662"/>
      <c r="X135" s="757"/>
      <c r="Y135" s="662"/>
      <c r="Z135" s="662"/>
    </row>
    <row r="136" hidden="1" outlineLevel="1">
      <c r="A136" s="662"/>
      <c r="B136" s="730"/>
      <c r="C136" s="731"/>
      <c r="D136" s="731"/>
      <c r="E136" s="731"/>
      <c r="F136" s="731"/>
      <c r="G136" s="732"/>
      <c r="H136" s="731"/>
      <c r="I136" s="731"/>
      <c r="J136" s="731"/>
      <c r="K136" s="731"/>
      <c r="L136" s="756"/>
      <c r="M136" s="755"/>
      <c r="N136" s="731"/>
      <c r="O136" s="734"/>
      <c r="Q136" s="729"/>
      <c r="R136" s="662"/>
      <c r="S136" s="228" t="str">
        <f t="array" ref="S136">IFERROR(INDEX('💻シート作成'!$D$6:$D1001, MATCH(T136, '💻シート作成'!$E$6:$E1001, 0)), "")</f>
        <v/>
      </c>
      <c r="T136" s="184"/>
      <c r="U136" s="665"/>
      <c r="V136" s="774"/>
      <c r="W136" s="662"/>
      <c r="X136" s="757"/>
      <c r="Y136" s="662"/>
      <c r="Z136" s="662"/>
    </row>
    <row r="137" hidden="1" outlineLevel="1">
      <c r="A137" s="662"/>
      <c r="B137" s="730"/>
      <c r="C137" s="731"/>
      <c r="D137" s="731"/>
      <c r="E137" s="731"/>
      <c r="F137" s="731"/>
      <c r="G137" s="732"/>
      <c r="H137" s="731"/>
      <c r="I137" s="731"/>
      <c r="J137" s="731"/>
      <c r="K137" s="731"/>
      <c r="L137" s="756"/>
      <c r="M137" s="755"/>
      <c r="N137" s="731"/>
      <c r="O137" s="734"/>
      <c r="Q137" s="729"/>
      <c r="R137" s="662"/>
      <c r="S137" s="228" t="str">
        <f t="array" ref="S137">IFERROR(INDEX('💻シート作成'!$D$6:$D1001, MATCH(T137, '💻シート作成'!$E$6:$E1001, 0)), "")</f>
        <v/>
      </c>
      <c r="T137" s="184"/>
      <c r="U137" s="665"/>
      <c r="V137" s="774"/>
      <c r="W137" s="662"/>
      <c r="X137" s="757"/>
      <c r="Y137" s="662"/>
      <c r="Z137" s="662"/>
    </row>
    <row r="138" hidden="1" outlineLevel="1">
      <c r="A138" s="662"/>
      <c r="B138" s="730"/>
      <c r="C138" s="731"/>
      <c r="D138" s="731"/>
      <c r="E138" s="731"/>
      <c r="F138" s="731"/>
      <c r="G138" s="732"/>
      <c r="H138" s="731"/>
      <c r="I138" s="731"/>
      <c r="J138" s="731"/>
      <c r="K138" s="731"/>
      <c r="L138" s="756"/>
      <c r="M138" s="755"/>
      <c r="N138" s="731"/>
      <c r="O138" s="734"/>
      <c r="Q138" s="729"/>
      <c r="R138" s="662"/>
      <c r="S138" s="228" t="str">
        <f t="array" ref="S138">IFERROR(INDEX('💻シート作成'!$D$6:$D1001, MATCH(T138, '💻シート作成'!$E$6:$E1001, 0)), "")</f>
        <v/>
      </c>
      <c r="T138" s="184"/>
      <c r="U138" s="665"/>
      <c r="V138" s="774"/>
      <c r="W138" s="662"/>
      <c r="X138" s="757"/>
      <c r="Y138" s="662"/>
      <c r="Z138" s="662"/>
    </row>
    <row r="139" hidden="1" outlineLevel="1">
      <c r="A139" s="662"/>
      <c r="B139" s="730"/>
      <c r="C139" s="731"/>
      <c r="D139" s="731"/>
      <c r="E139" s="731"/>
      <c r="F139" s="731"/>
      <c r="G139" s="732"/>
      <c r="H139" s="731"/>
      <c r="I139" s="731"/>
      <c r="J139" s="731"/>
      <c r="K139" s="731"/>
      <c r="L139" s="756"/>
      <c r="M139" s="755"/>
      <c r="N139" s="731"/>
      <c r="O139" s="734"/>
      <c r="Q139" s="729"/>
      <c r="R139" s="662"/>
      <c r="S139" s="228" t="str">
        <f t="array" ref="S139">IFERROR(INDEX('💻シート作成'!$D$6:$D1001, MATCH(T139, '💻シート作成'!$E$6:$E1001, 0)), "")</f>
        <v/>
      </c>
      <c r="T139" s="184"/>
      <c r="U139" s="665"/>
      <c r="V139" s="774"/>
      <c r="W139" s="662"/>
      <c r="X139" s="757"/>
      <c r="Y139" s="662"/>
      <c r="Z139" s="662"/>
    </row>
    <row r="140" hidden="1" outlineLevel="1">
      <c r="A140" s="662"/>
      <c r="B140" s="730"/>
      <c r="C140" s="731"/>
      <c r="D140" s="731"/>
      <c r="E140" s="731"/>
      <c r="F140" s="731"/>
      <c r="G140" s="732"/>
      <c r="H140" s="731"/>
      <c r="I140" s="731"/>
      <c r="J140" s="731"/>
      <c r="K140" s="731"/>
      <c r="L140" s="756"/>
      <c r="M140" s="755"/>
      <c r="N140" s="731"/>
      <c r="O140" s="734"/>
      <c r="Q140" s="729"/>
      <c r="R140" s="662"/>
      <c r="S140" s="228" t="str">
        <f t="array" ref="S140">IFERROR(INDEX('💻シート作成'!$D$6:$D1001, MATCH(T140, '💻シート作成'!$E$6:$E1001, 0)), "")</f>
        <v/>
      </c>
      <c r="T140" s="184"/>
      <c r="U140" s="665"/>
      <c r="V140" s="774"/>
      <c r="W140" s="662"/>
      <c r="X140" s="757"/>
      <c r="Y140" s="662"/>
      <c r="Z140" s="662"/>
    </row>
    <row r="141" hidden="1" outlineLevel="1">
      <c r="A141" s="662"/>
      <c r="B141" s="730"/>
      <c r="C141" s="731"/>
      <c r="D141" s="731"/>
      <c r="E141" s="731"/>
      <c r="F141" s="698"/>
      <c r="G141" s="699"/>
      <c r="H141" s="698"/>
      <c r="I141" s="698"/>
      <c r="J141" s="698"/>
      <c r="K141" s="698"/>
      <c r="L141" s="756"/>
      <c r="M141" s="755"/>
      <c r="N141" s="698"/>
      <c r="O141" s="701"/>
      <c r="P141" s="702"/>
      <c r="Q141" s="738"/>
      <c r="R141" s="662"/>
      <c r="S141" s="228" t="str">
        <f t="array" ref="S141">IFERROR(INDEX('💻シート作成'!$D$6:$D1001, MATCH(T141, '💻シート作成'!$E$6:$E1001, 0)), "")</f>
        <v/>
      </c>
      <c r="T141" s="184"/>
      <c r="U141" s="665"/>
      <c r="V141" s="774"/>
      <c r="W141" s="662"/>
      <c r="X141" s="757"/>
      <c r="Y141" s="662"/>
      <c r="Z141" s="662"/>
    </row>
    <row r="142" hidden="1" outlineLevel="1">
      <c r="A142" s="662"/>
      <c r="B142" s="739"/>
      <c r="C142" s="698"/>
      <c r="D142" s="698"/>
      <c r="E142" s="698"/>
      <c r="F142" s="758" t="s">
        <v>546</v>
      </c>
      <c r="G142" s="759"/>
      <c r="H142" s="742"/>
      <c r="I142" s="742"/>
      <c r="J142" s="742"/>
      <c r="K142" s="742"/>
      <c r="L142" s="759"/>
      <c r="M142" s="759"/>
      <c r="N142" s="759"/>
      <c r="O142" s="759"/>
      <c r="P142" s="759"/>
      <c r="Q142" s="760"/>
      <c r="R142" s="662"/>
      <c r="S142" s="228" t="str">
        <f t="array" ref="S142">IFERROR(INDEX('💻シート作成'!$D$6:$D1001, MATCH(T142, '💻シート作成'!$E$6:$E1001, 0)), "")</f>
        <v/>
      </c>
      <c r="T142" s="184"/>
      <c r="U142" s="665"/>
      <c r="V142" s="774"/>
      <c r="W142" s="662"/>
      <c r="X142" s="757"/>
      <c r="Y142" s="662"/>
      <c r="Z142" s="662"/>
    </row>
    <row r="143" hidden="1" outlineLevel="1">
      <c r="A143" s="662"/>
      <c r="B143" s="761"/>
      <c r="C143" s="762">
        <f>IF(C132="","",IF(DAY(C132+1)=1,"",C132+1))</f>
        <v>46066</v>
      </c>
      <c r="D143" s="763" t="str">
        <f>TEXT(C143,"ddd")</f>
        <v>金</v>
      </c>
      <c r="E143" s="764"/>
      <c r="F143" s="765" t="s">
        <v>594</v>
      </c>
      <c r="G143" s="766" t="s">
        <v>595</v>
      </c>
      <c r="H143" s="767"/>
      <c r="I143" s="768">
        <v>0.0</v>
      </c>
      <c r="J143" s="763"/>
      <c r="K143" s="763"/>
      <c r="L143" s="769"/>
      <c r="M143" s="769"/>
      <c r="N143" s="765"/>
      <c r="O143" s="770"/>
      <c r="P143" s="771"/>
      <c r="Q143" s="772"/>
      <c r="R143" s="662"/>
      <c r="S143" s="228" t="str">
        <f t="array" ref="S143">IFERROR(INDEX('💻シート作成'!$D$6:$D1001, MATCH(T143, '💻シート作成'!$E$6:$E1001, 0)), "")</f>
        <v/>
      </c>
      <c r="T143" s="184"/>
      <c r="U143" s="665"/>
      <c r="V143" s="774"/>
      <c r="W143" s="662"/>
      <c r="X143" s="757"/>
      <c r="Y143" s="662"/>
      <c r="Z143" s="662"/>
    </row>
    <row r="144" hidden="1" outlineLevel="1">
      <c r="A144" s="662"/>
      <c r="B144" s="730"/>
      <c r="C144" s="731"/>
      <c r="D144" s="731"/>
      <c r="E144" s="731"/>
      <c r="F144" s="731"/>
      <c r="G144" s="732"/>
      <c r="H144" s="731"/>
      <c r="I144" s="731"/>
      <c r="J144" s="731"/>
      <c r="K144" s="731"/>
      <c r="L144" s="769"/>
      <c r="M144" s="769"/>
      <c r="N144" s="731"/>
      <c r="O144" s="734"/>
      <c r="Q144" s="729"/>
      <c r="R144" s="662"/>
      <c r="S144" s="228" t="str">
        <f t="array" ref="S144">IFERROR(INDEX('💻シート作成'!$D$6:$D1001, MATCH(T144, '💻シート作成'!$E$6:$E1001, 0)), "")</f>
        <v/>
      </c>
      <c r="T144" s="184"/>
      <c r="U144" s="665"/>
      <c r="V144" s="774"/>
      <c r="W144" s="662"/>
      <c r="X144" s="757"/>
      <c r="Y144" s="662"/>
      <c r="Z144" s="662"/>
    </row>
    <row r="145" hidden="1" outlineLevel="1">
      <c r="A145" s="662"/>
      <c r="B145" s="730"/>
      <c r="C145" s="731"/>
      <c r="D145" s="731"/>
      <c r="E145" s="731"/>
      <c r="F145" s="731"/>
      <c r="G145" s="732"/>
      <c r="H145" s="731"/>
      <c r="I145" s="731"/>
      <c r="J145" s="731"/>
      <c r="K145" s="731"/>
      <c r="L145" s="769"/>
      <c r="M145" s="769"/>
      <c r="N145" s="731"/>
      <c r="O145" s="734"/>
      <c r="Q145" s="729"/>
      <c r="R145" s="662"/>
      <c r="S145" s="228" t="str">
        <f t="array" ref="S145">IFERROR(INDEX('💻シート作成'!$D$6:$D1001, MATCH(T145, '💻シート作成'!$E$6:$E1001, 0)), "")</f>
        <v/>
      </c>
      <c r="T145" s="184"/>
      <c r="U145" s="665"/>
      <c r="V145" s="774"/>
      <c r="W145" s="662"/>
      <c r="X145" s="757"/>
      <c r="Y145" s="662"/>
      <c r="Z145" s="662"/>
    </row>
    <row r="146" hidden="1" outlineLevel="1">
      <c r="A146" s="662"/>
      <c r="B146" s="730"/>
      <c r="C146" s="731"/>
      <c r="D146" s="731"/>
      <c r="E146" s="731"/>
      <c r="F146" s="731"/>
      <c r="G146" s="732"/>
      <c r="H146" s="731"/>
      <c r="I146" s="731"/>
      <c r="J146" s="731"/>
      <c r="K146" s="731"/>
      <c r="L146" s="773"/>
      <c r="M146" s="769"/>
      <c r="N146" s="731"/>
      <c r="O146" s="734"/>
      <c r="Q146" s="729"/>
      <c r="R146" s="662"/>
      <c r="S146" s="228" t="str">
        <f t="array" ref="S146">IFERROR(INDEX('💻シート作成'!$D$6:$D1001, MATCH(T146, '💻シート作成'!$E$6:$E1001, 0)), "")</f>
        <v/>
      </c>
      <c r="T146" s="184"/>
      <c r="U146" s="665"/>
      <c r="V146" s="774"/>
      <c r="W146" s="662"/>
      <c r="X146" s="757"/>
      <c r="Y146" s="662"/>
      <c r="Z146" s="662"/>
    </row>
    <row r="147" hidden="1" outlineLevel="1">
      <c r="A147" s="662"/>
      <c r="B147" s="730"/>
      <c r="C147" s="731"/>
      <c r="D147" s="731"/>
      <c r="E147" s="731"/>
      <c r="F147" s="731"/>
      <c r="G147" s="732"/>
      <c r="H147" s="731"/>
      <c r="I147" s="731"/>
      <c r="J147" s="731"/>
      <c r="K147" s="731"/>
      <c r="L147" s="773"/>
      <c r="M147" s="769"/>
      <c r="N147" s="731"/>
      <c r="O147" s="734"/>
      <c r="Q147" s="729"/>
      <c r="R147" s="662"/>
      <c r="S147" s="228" t="str">
        <f t="array" ref="S147">IFERROR(INDEX('💻シート作成'!$D$6:$D1001, MATCH(T147, '💻シート作成'!$E$6:$E1001, 0)), "")</f>
        <v/>
      </c>
      <c r="T147" s="184"/>
      <c r="U147" s="665"/>
      <c r="V147" s="774"/>
      <c r="W147" s="662"/>
      <c r="X147" s="757"/>
      <c r="Y147" s="662"/>
      <c r="Z147" s="662"/>
    </row>
    <row r="148" hidden="1" outlineLevel="1">
      <c r="A148" s="662"/>
      <c r="B148" s="730"/>
      <c r="C148" s="731"/>
      <c r="D148" s="731"/>
      <c r="E148" s="731"/>
      <c r="F148" s="731"/>
      <c r="G148" s="732"/>
      <c r="H148" s="731"/>
      <c r="I148" s="731"/>
      <c r="J148" s="731"/>
      <c r="K148" s="731"/>
      <c r="L148" s="773"/>
      <c r="M148" s="769"/>
      <c r="N148" s="731"/>
      <c r="O148" s="734"/>
      <c r="Q148" s="729"/>
      <c r="R148" s="662"/>
      <c r="S148" s="228" t="str">
        <f t="array" ref="S148">IFERROR(INDEX('💻シート作成'!$D$6:$D1001, MATCH(T148, '💻シート作成'!$E$6:$E1001, 0)), "")</f>
        <v/>
      </c>
      <c r="T148" s="184"/>
      <c r="U148" s="665"/>
      <c r="V148" s="774"/>
      <c r="W148" s="662"/>
      <c r="X148" s="757"/>
      <c r="Y148" s="662"/>
      <c r="Z148" s="662"/>
    </row>
    <row r="149" hidden="1" outlineLevel="1">
      <c r="A149" s="662"/>
      <c r="B149" s="730"/>
      <c r="C149" s="731"/>
      <c r="D149" s="731"/>
      <c r="E149" s="731"/>
      <c r="F149" s="731"/>
      <c r="G149" s="732"/>
      <c r="H149" s="731"/>
      <c r="I149" s="731"/>
      <c r="J149" s="731"/>
      <c r="K149" s="731"/>
      <c r="L149" s="773"/>
      <c r="M149" s="769"/>
      <c r="N149" s="731"/>
      <c r="O149" s="734"/>
      <c r="Q149" s="729"/>
      <c r="R149" s="662"/>
      <c r="S149" s="228" t="str">
        <f t="array" ref="S149">IFERROR(INDEX('💻シート作成'!$D$6:$D1001, MATCH(T149, '💻シート作成'!$E$6:$E1001, 0)), "")</f>
        <v/>
      </c>
      <c r="T149" s="184"/>
      <c r="U149" s="665"/>
      <c r="V149" s="774"/>
      <c r="W149" s="662"/>
      <c r="X149" s="757"/>
      <c r="Y149" s="662"/>
      <c r="Z149" s="662"/>
    </row>
    <row r="150" hidden="1" outlineLevel="1">
      <c r="A150" s="662"/>
      <c r="B150" s="730"/>
      <c r="C150" s="731"/>
      <c r="D150" s="731"/>
      <c r="E150" s="731"/>
      <c r="F150" s="731"/>
      <c r="G150" s="732"/>
      <c r="H150" s="731"/>
      <c r="I150" s="731"/>
      <c r="J150" s="731"/>
      <c r="K150" s="731"/>
      <c r="L150" s="773"/>
      <c r="M150" s="769"/>
      <c r="N150" s="731"/>
      <c r="O150" s="734"/>
      <c r="Q150" s="729"/>
      <c r="R150" s="662"/>
      <c r="S150" s="228" t="str">
        <f t="array" ref="S150">IFERROR(INDEX('💻シート作成'!$D$6:$D1001, MATCH(T150, '💻シート作成'!$E$6:$E1001, 0)), "")</f>
        <v/>
      </c>
      <c r="T150" s="184"/>
      <c r="U150" s="665"/>
      <c r="V150" s="774"/>
      <c r="W150" s="662"/>
      <c r="X150" s="757"/>
      <c r="Y150" s="662"/>
      <c r="Z150" s="662"/>
    </row>
    <row r="151" hidden="1" outlineLevel="1">
      <c r="A151" s="662"/>
      <c r="B151" s="730"/>
      <c r="C151" s="731"/>
      <c r="D151" s="731"/>
      <c r="E151" s="731"/>
      <c r="F151" s="731"/>
      <c r="G151" s="732"/>
      <c r="H151" s="731"/>
      <c r="I151" s="731"/>
      <c r="J151" s="731"/>
      <c r="K151" s="731"/>
      <c r="L151" s="773"/>
      <c r="M151" s="769"/>
      <c r="N151" s="731"/>
      <c r="O151" s="734"/>
      <c r="Q151" s="729"/>
      <c r="R151" s="662"/>
      <c r="S151" s="228" t="str">
        <f t="array" ref="S151">IFERROR(INDEX('💻シート作成'!$D$6:$D1001, MATCH(T151, '💻シート作成'!$E$6:$E1001, 0)), "")</f>
        <v/>
      </c>
      <c r="T151" s="184"/>
      <c r="U151" s="665"/>
      <c r="V151" s="774"/>
      <c r="W151" s="662"/>
      <c r="X151" s="757"/>
      <c r="Y151" s="662"/>
      <c r="Z151" s="662"/>
    </row>
    <row r="152" hidden="1" outlineLevel="1">
      <c r="A152" s="662"/>
      <c r="B152" s="730"/>
      <c r="C152" s="731"/>
      <c r="D152" s="731"/>
      <c r="E152" s="731"/>
      <c r="F152" s="698"/>
      <c r="G152" s="699"/>
      <c r="H152" s="698"/>
      <c r="I152" s="698"/>
      <c r="J152" s="698"/>
      <c r="K152" s="698"/>
      <c r="L152" s="773"/>
      <c r="M152" s="769"/>
      <c r="N152" s="698"/>
      <c r="O152" s="701"/>
      <c r="P152" s="702"/>
      <c r="Q152" s="738"/>
      <c r="R152" s="662"/>
      <c r="S152" s="228" t="str">
        <f t="array" ref="S152">IFERROR(INDEX('💻シート作成'!$D$6:$D1001, MATCH(T152, '💻シート作成'!$E$6:$E1001, 0)), "")</f>
        <v/>
      </c>
      <c r="T152" s="184"/>
      <c r="U152" s="665"/>
      <c r="V152" s="774"/>
      <c r="W152" s="662"/>
      <c r="X152" s="757"/>
      <c r="Y152" s="662"/>
      <c r="Z152" s="662"/>
    </row>
    <row r="153" hidden="1" outlineLevel="1">
      <c r="A153" s="662"/>
      <c r="B153" s="739"/>
      <c r="C153" s="698"/>
      <c r="D153" s="698"/>
      <c r="E153" s="698"/>
      <c r="F153" s="740" t="s">
        <v>546</v>
      </c>
      <c r="G153" s="741"/>
      <c r="H153" s="742"/>
      <c r="I153" s="742"/>
      <c r="J153" s="742"/>
      <c r="K153" s="742"/>
      <c r="L153" s="741"/>
      <c r="M153" s="741"/>
      <c r="N153" s="741"/>
      <c r="O153" s="741"/>
      <c r="P153" s="741"/>
      <c r="Q153" s="743"/>
      <c r="R153" s="662"/>
      <c r="S153" s="228" t="str">
        <f t="array" ref="S153">IFERROR(INDEX('💻シート作成'!$D$6:$D1001, MATCH(T153, '💻シート作成'!$E$6:$E1001, 0)), "")</f>
        <v/>
      </c>
      <c r="T153" s="184"/>
      <c r="U153" s="665"/>
      <c r="V153" s="774"/>
      <c r="W153" s="662"/>
      <c r="X153" s="757"/>
      <c r="Y153" s="662"/>
      <c r="Z153" s="662"/>
    </row>
    <row r="154" hidden="1" outlineLevel="1">
      <c r="A154" s="662"/>
      <c r="B154" s="744"/>
      <c r="C154" s="745">
        <f>IF(C143="","",IF(DAY(C143+1)=1,"",C143+1))</f>
        <v>46067</v>
      </c>
      <c r="D154" s="746" t="str">
        <f>TEXT(C154,"ddd")</f>
        <v>土</v>
      </c>
      <c r="E154" s="747"/>
      <c r="F154" s="775" t="s">
        <v>594</v>
      </c>
      <c r="G154" s="776" t="s">
        <v>595</v>
      </c>
      <c r="H154" s="777"/>
      <c r="I154" s="778">
        <v>0.0</v>
      </c>
      <c r="J154" s="746"/>
      <c r="K154" s="746"/>
      <c r="L154" s="755"/>
      <c r="M154" s="755"/>
      <c r="N154" s="775"/>
      <c r="O154" s="779"/>
      <c r="P154" s="771"/>
      <c r="Q154" s="772"/>
      <c r="R154" s="662"/>
      <c r="S154" s="228" t="str">
        <f t="array" ref="S154">IFERROR(INDEX('💻シート作成'!$D$6:$D1001, MATCH(T154, '💻シート作成'!$E$6:$E1001, 0)), "")</f>
        <v/>
      </c>
      <c r="T154" s="184"/>
      <c r="U154" s="665"/>
      <c r="V154" s="774"/>
      <c r="W154" s="662"/>
      <c r="X154" s="757"/>
      <c r="Y154" s="662"/>
      <c r="Z154" s="662"/>
    </row>
    <row r="155" hidden="1" outlineLevel="1">
      <c r="A155" s="662"/>
      <c r="B155" s="730"/>
      <c r="C155" s="731"/>
      <c r="D155" s="731"/>
      <c r="E155" s="731"/>
      <c r="F155" s="731"/>
      <c r="G155" s="732"/>
      <c r="H155" s="731"/>
      <c r="I155" s="731"/>
      <c r="J155" s="731"/>
      <c r="K155" s="731"/>
      <c r="L155" s="755"/>
      <c r="M155" s="755"/>
      <c r="N155" s="731"/>
      <c r="O155" s="734"/>
      <c r="Q155" s="729"/>
      <c r="R155" s="662"/>
      <c r="S155" s="228" t="str">
        <f t="array" ref="S155">IFERROR(INDEX('💻シート作成'!$D$6:$D1001, MATCH(T155, '💻シート作成'!$E$6:$E1001, 0)), "")</f>
        <v/>
      </c>
      <c r="T155" s="184"/>
      <c r="U155" s="665"/>
      <c r="V155" s="774"/>
      <c r="W155" s="662"/>
      <c r="X155" s="757"/>
      <c r="Y155" s="662"/>
      <c r="Z155" s="662"/>
    </row>
    <row r="156" hidden="1" outlineLevel="1">
      <c r="A156" s="662"/>
      <c r="B156" s="730"/>
      <c r="C156" s="731"/>
      <c r="D156" s="731"/>
      <c r="E156" s="731"/>
      <c r="F156" s="731"/>
      <c r="G156" s="732"/>
      <c r="H156" s="731"/>
      <c r="I156" s="731"/>
      <c r="J156" s="731"/>
      <c r="K156" s="731"/>
      <c r="L156" s="755"/>
      <c r="M156" s="755"/>
      <c r="N156" s="731"/>
      <c r="O156" s="734"/>
      <c r="Q156" s="729"/>
      <c r="R156" s="662"/>
      <c r="S156" s="228" t="str">
        <f t="array" ref="S156">IFERROR(INDEX('💻シート作成'!$D$6:$D1001, MATCH(T156, '💻シート作成'!$E$6:$E1001, 0)), "")</f>
        <v/>
      </c>
      <c r="T156" s="184"/>
      <c r="U156" s="665"/>
      <c r="V156" s="774"/>
      <c r="W156" s="662"/>
      <c r="X156" s="757"/>
      <c r="Y156" s="662"/>
      <c r="Z156" s="662"/>
    </row>
    <row r="157" hidden="1" outlineLevel="1">
      <c r="A157" s="662"/>
      <c r="B157" s="730"/>
      <c r="C157" s="731"/>
      <c r="D157" s="731"/>
      <c r="E157" s="731"/>
      <c r="F157" s="731"/>
      <c r="G157" s="732"/>
      <c r="H157" s="731"/>
      <c r="I157" s="731"/>
      <c r="J157" s="731"/>
      <c r="K157" s="731"/>
      <c r="L157" s="756"/>
      <c r="M157" s="755"/>
      <c r="N157" s="731"/>
      <c r="O157" s="734"/>
      <c r="Q157" s="729"/>
      <c r="R157" s="662"/>
      <c r="S157" s="228" t="str">
        <f t="array" ref="S157">IFERROR(INDEX('💻シート作成'!$D$6:$D1001, MATCH(T157, '💻シート作成'!$E$6:$E1001, 0)), "")</f>
        <v/>
      </c>
      <c r="T157" s="184"/>
      <c r="U157" s="665"/>
      <c r="V157" s="774"/>
      <c r="W157" s="662"/>
      <c r="X157" s="757"/>
      <c r="Y157" s="662"/>
      <c r="Z157" s="662"/>
    </row>
    <row r="158" hidden="1" outlineLevel="1">
      <c r="A158" s="662"/>
      <c r="B158" s="730"/>
      <c r="C158" s="731"/>
      <c r="D158" s="731"/>
      <c r="E158" s="731"/>
      <c r="F158" s="731"/>
      <c r="G158" s="732"/>
      <c r="H158" s="731"/>
      <c r="I158" s="731"/>
      <c r="J158" s="731"/>
      <c r="K158" s="731"/>
      <c r="L158" s="756"/>
      <c r="M158" s="755"/>
      <c r="N158" s="731"/>
      <c r="O158" s="734"/>
      <c r="Q158" s="729"/>
      <c r="R158" s="662"/>
      <c r="S158" s="228" t="str">
        <f t="array" ref="S158">IFERROR(INDEX('💻シート作成'!$D$6:$D1001, MATCH(T158, '💻シート作成'!$E$6:$E1001, 0)), "")</f>
        <v/>
      </c>
      <c r="T158" s="184"/>
      <c r="U158" s="665"/>
      <c r="V158" s="774"/>
      <c r="W158" s="662"/>
      <c r="X158" s="757"/>
      <c r="Y158" s="662"/>
      <c r="Z158" s="662"/>
    </row>
    <row r="159" hidden="1" outlineLevel="1">
      <c r="A159" s="662"/>
      <c r="B159" s="730"/>
      <c r="C159" s="731"/>
      <c r="D159" s="731"/>
      <c r="E159" s="731"/>
      <c r="F159" s="731"/>
      <c r="G159" s="732"/>
      <c r="H159" s="731"/>
      <c r="I159" s="731"/>
      <c r="J159" s="731"/>
      <c r="K159" s="731"/>
      <c r="L159" s="756"/>
      <c r="M159" s="755"/>
      <c r="N159" s="731"/>
      <c r="O159" s="734"/>
      <c r="Q159" s="729"/>
      <c r="R159" s="662"/>
      <c r="S159" s="228" t="str">
        <f t="array" ref="S159">IFERROR(INDEX('💻シート作成'!$D$6:$D1001, MATCH(T159, '💻シート作成'!$E$6:$E1001, 0)), "")</f>
        <v/>
      </c>
      <c r="T159" s="184"/>
      <c r="U159" s="665"/>
      <c r="V159" s="774"/>
      <c r="W159" s="662"/>
      <c r="X159" s="757"/>
      <c r="Y159" s="662"/>
      <c r="Z159" s="662"/>
    </row>
    <row r="160" hidden="1" outlineLevel="1">
      <c r="A160" s="662"/>
      <c r="B160" s="730"/>
      <c r="C160" s="731"/>
      <c r="D160" s="731"/>
      <c r="E160" s="731"/>
      <c r="F160" s="731"/>
      <c r="G160" s="732"/>
      <c r="H160" s="731"/>
      <c r="I160" s="731"/>
      <c r="J160" s="731"/>
      <c r="K160" s="731"/>
      <c r="L160" s="756"/>
      <c r="M160" s="755"/>
      <c r="N160" s="731"/>
      <c r="O160" s="734"/>
      <c r="Q160" s="729"/>
      <c r="R160" s="662"/>
      <c r="S160" s="228" t="str">
        <f t="array" ref="S160">IFERROR(INDEX('💻シート作成'!$D$6:$D1001, MATCH(T160, '💻シート作成'!$E$6:$E1001, 0)), "")</f>
        <v/>
      </c>
      <c r="T160" s="184"/>
      <c r="U160" s="665"/>
      <c r="V160" s="774"/>
      <c r="W160" s="662"/>
      <c r="X160" s="757"/>
      <c r="Y160" s="662"/>
      <c r="Z160" s="662"/>
    </row>
    <row r="161" hidden="1" outlineLevel="1">
      <c r="A161" s="662"/>
      <c r="B161" s="730"/>
      <c r="C161" s="731"/>
      <c r="D161" s="731"/>
      <c r="E161" s="731"/>
      <c r="F161" s="731"/>
      <c r="G161" s="732"/>
      <c r="H161" s="731"/>
      <c r="I161" s="731"/>
      <c r="J161" s="731"/>
      <c r="K161" s="731"/>
      <c r="L161" s="756"/>
      <c r="M161" s="755"/>
      <c r="N161" s="731"/>
      <c r="O161" s="734"/>
      <c r="Q161" s="729"/>
      <c r="R161" s="662"/>
      <c r="S161" s="228" t="str">
        <f t="array" ref="S161">IFERROR(INDEX('💻シート作成'!$D$6:$D1001, MATCH(T161, '💻シート作成'!$E$6:$E1001, 0)), "")</f>
        <v/>
      </c>
      <c r="T161" s="184"/>
      <c r="U161" s="665"/>
      <c r="V161" s="774"/>
      <c r="W161" s="662"/>
      <c r="X161" s="757"/>
      <c r="Y161" s="662"/>
      <c r="Z161" s="662"/>
    </row>
    <row r="162" hidden="1" outlineLevel="1">
      <c r="A162" s="662"/>
      <c r="B162" s="730"/>
      <c r="C162" s="731"/>
      <c r="D162" s="731"/>
      <c r="E162" s="731"/>
      <c r="F162" s="731"/>
      <c r="G162" s="732"/>
      <c r="H162" s="731"/>
      <c r="I162" s="731"/>
      <c r="J162" s="731"/>
      <c r="K162" s="731"/>
      <c r="L162" s="756"/>
      <c r="M162" s="755"/>
      <c r="N162" s="731"/>
      <c r="O162" s="734"/>
      <c r="Q162" s="729"/>
      <c r="R162" s="662"/>
      <c r="S162" s="228" t="str">
        <f t="array" ref="S162">IFERROR(INDEX('💻シート作成'!$D$6:$D1001, MATCH(T162, '💻シート作成'!$E$6:$E1001, 0)), "")</f>
        <v/>
      </c>
      <c r="T162" s="184"/>
      <c r="U162" s="665"/>
      <c r="V162" s="774"/>
      <c r="W162" s="662"/>
      <c r="X162" s="757"/>
      <c r="Y162" s="662"/>
      <c r="Z162" s="662"/>
    </row>
    <row r="163" hidden="1" outlineLevel="1">
      <c r="A163" s="662"/>
      <c r="B163" s="730"/>
      <c r="C163" s="731"/>
      <c r="D163" s="731"/>
      <c r="E163" s="731"/>
      <c r="F163" s="698"/>
      <c r="G163" s="699"/>
      <c r="H163" s="698"/>
      <c r="I163" s="698"/>
      <c r="J163" s="698"/>
      <c r="K163" s="698"/>
      <c r="L163" s="756"/>
      <c r="M163" s="755"/>
      <c r="N163" s="698"/>
      <c r="O163" s="701"/>
      <c r="P163" s="702"/>
      <c r="Q163" s="738"/>
      <c r="R163" s="662"/>
      <c r="S163" s="228" t="str">
        <f t="array" ref="S163">IFERROR(INDEX('💻シート作成'!$D$6:$D1001, MATCH(T163, '💻シート作成'!$E$6:$E1001, 0)), "")</f>
        <v/>
      </c>
      <c r="T163" s="184"/>
      <c r="U163" s="665"/>
      <c r="V163" s="774"/>
      <c r="W163" s="662"/>
      <c r="X163" s="757"/>
      <c r="Y163" s="662"/>
      <c r="Z163" s="662"/>
    </row>
    <row r="164" hidden="1" outlineLevel="1">
      <c r="A164" s="662"/>
      <c r="B164" s="739"/>
      <c r="C164" s="698"/>
      <c r="D164" s="698"/>
      <c r="E164" s="698"/>
      <c r="F164" s="758" t="s">
        <v>546</v>
      </c>
      <c r="G164" s="759"/>
      <c r="H164" s="742"/>
      <c r="I164" s="742"/>
      <c r="J164" s="742"/>
      <c r="K164" s="742"/>
      <c r="L164" s="759"/>
      <c r="M164" s="759"/>
      <c r="N164" s="759"/>
      <c r="O164" s="759"/>
      <c r="P164" s="759"/>
      <c r="Q164" s="760"/>
      <c r="R164" s="662"/>
      <c r="S164" s="228" t="str">
        <f t="array" ref="S164">IFERROR(INDEX('💻シート作成'!$D$6:$D1001, MATCH(T164, '💻シート作成'!$E$6:$E1001, 0)), "")</f>
        <v/>
      </c>
      <c r="T164" s="184"/>
      <c r="U164" s="665"/>
      <c r="V164" s="774"/>
      <c r="W164" s="662"/>
      <c r="X164" s="757"/>
      <c r="Y164" s="662"/>
      <c r="Z164" s="662"/>
    </row>
    <row r="165" hidden="1" outlineLevel="1">
      <c r="A165" s="662"/>
      <c r="B165" s="761"/>
      <c r="C165" s="762">
        <f>IF(C154="","",IF(DAY(C154+1)=1,"",C154+1))</f>
        <v>46068</v>
      </c>
      <c r="D165" s="763" t="str">
        <f>TEXT(C165,"ddd")</f>
        <v>日</v>
      </c>
      <c r="E165" s="764"/>
      <c r="F165" s="765" t="s">
        <v>594</v>
      </c>
      <c r="G165" s="766" t="s">
        <v>595</v>
      </c>
      <c r="H165" s="767"/>
      <c r="I165" s="768">
        <v>0.0</v>
      </c>
      <c r="J165" s="763"/>
      <c r="K165" s="763"/>
      <c r="L165" s="769"/>
      <c r="M165" s="769"/>
      <c r="N165" s="765"/>
      <c r="O165" s="770"/>
      <c r="P165" s="771"/>
      <c r="Q165" s="772"/>
      <c r="R165" s="662"/>
      <c r="S165" s="228" t="str">
        <f t="array" ref="S165">IFERROR(INDEX('💻シート作成'!$D$6:$D1001, MATCH(T165, '💻シート作成'!$E$6:$E1001, 0)), "")</f>
        <v/>
      </c>
      <c r="T165" s="184"/>
      <c r="U165" s="665"/>
      <c r="V165" s="774"/>
      <c r="W165" s="662"/>
      <c r="X165" s="757"/>
      <c r="Y165" s="662"/>
      <c r="Z165" s="662"/>
    </row>
    <row r="166" hidden="1" outlineLevel="1">
      <c r="A166" s="662"/>
      <c r="B166" s="730"/>
      <c r="C166" s="731"/>
      <c r="D166" s="731"/>
      <c r="E166" s="731"/>
      <c r="F166" s="731"/>
      <c r="G166" s="732"/>
      <c r="H166" s="731"/>
      <c r="I166" s="731"/>
      <c r="J166" s="731"/>
      <c r="K166" s="731"/>
      <c r="L166" s="769"/>
      <c r="M166" s="769"/>
      <c r="N166" s="731"/>
      <c r="O166" s="734"/>
      <c r="Q166" s="729"/>
      <c r="R166" s="662"/>
      <c r="S166" s="228" t="str">
        <f t="array" ref="S166">IFERROR(INDEX('💻シート作成'!$D$6:$D1001, MATCH(T166, '💻シート作成'!$E$6:$E1001, 0)), "")</f>
        <v/>
      </c>
      <c r="T166" s="184"/>
      <c r="U166" s="665"/>
      <c r="V166" s="774"/>
      <c r="W166" s="662"/>
      <c r="X166" s="757"/>
      <c r="Y166" s="662"/>
      <c r="Z166" s="662"/>
    </row>
    <row r="167" hidden="1" outlineLevel="1">
      <c r="A167" s="662"/>
      <c r="B167" s="730"/>
      <c r="C167" s="731"/>
      <c r="D167" s="731"/>
      <c r="E167" s="731"/>
      <c r="F167" s="731"/>
      <c r="G167" s="732"/>
      <c r="H167" s="731"/>
      <c r="I167" s="731"/>
      <c r="J167" s="731"/>
      <c r="K167" s="731"/>
      <c r="L167" s="769"/>
      <c r="M167" s="769"/>
      <c r="N167" s="731"/>
      <c r="O167" s="734"/>
      <c r="Q167" s="729"/>
      <c r="R167" s="662"/>
      <c r="S167" s="228" t="str">
        <f t="array" ref="S167">IFERROR(INDEX('💻シート作成'!$D$6:$D1001, MATCH(T167, '💻シート作成'!$E$6:$E1001, 0)), "")</f>
        <v/>
      </c>
      <c r="T167" s="184"/>
      <c r="U167" s="665"/>
      <c r="V167" s="774"/>
      <c r="W167" s="662"/>
      <c r="X167" s="757"/>
      <c r="Y167" s="662"/>
      <c r="Z167" s="662"/>
    </row>
    <row r="168" hidden="1" outlineLevel="1">
      <c r="A168" s="662"/>
      <c r="B168" s="730"/>
      <c r="C168" s="731"/>
      <c r="D168" s="731"/>
      <c r="E168" s="731"/>
      <c r="F168" s="731"/>
      <c r="G168" s="732"/>
      <c r="H168" s="731"/>
      <c r="I168" s="731"/>
      <c r="J168" s="731"/>
      <c r="K168" s="731"/>
      <c r="L168" s="773"/>
      <c r="M168" s="769"/>
      <c r="N168" s="731"/>
      <c r="O168" s="734"/>
      <c r="Q168" s="729"/>
      <c r="R168" s="662"/>
      <c r="S168" s="228" t="str">
        <f t="array" ref="S168">IFERROR(INDEX('💻シート作成'!$D$6:$D1001, MATCH(T168, '💻シート作成'!$E$6:$E1001, 0)), "")</f>
        <v/>
      </c>
      <c r="T168" s="184"/>
      <c r="U168" s="665"/>
      <c r="V168" s="774"/>
      <c r="W168" s="662"/>
      <c r="X168" s="757"/>
      <c r="Y168" s="662"/>
      <c r="Z168" s="662"/>
    </row>
    <row r="169" hidden="1" outlineLevel="1">
      <c r="A169" s="662"/>
      <c r="B169" s="730"/>
      <c r="C169" s="731"/>
      <c r="D169" s="731"/>
      <c r="E169" s="731"/>
      <c r="F169" s="731"/>
      <c r="G169" s="732"/>
      <c r="H169" s="731"/>
      <c r="I169" s="731"/>
      <c r="J169" s="731"/>
      <c r="K169" s="731"/>
      <c r="L169" s="773"/>
      <c r="M169" s="769"/>
      <c r="N169" s="731"/>
      <c r="O169" s="734"/>
      <c r="Q169" s="729"/>
      <c r="R169" s="662"/>
      <c r="S169" s="228" t="str">
        <f t="array" ref="S169">IFERROR(INDEX('💻シート作成'!$D$6:$D1001, MATCH(T169, '💻シート作成'!$E$6:$E1001, 0)), "")</f>
        <v/>
      </c>
      <c r="T169" s="184"/>
      <c r="U169" s="665"/>
      <c r="V169" s="774"/>
      <c r="W169" s="662"/>
      <c r="X169" s="757"/>
      <c r="Y169" s="662"/>
      <c r="Z169" s="662"/>
    </row>
    <row r="170" hidden="1" outlineLevel="1">
      <c r="A170" s="662"/>
      <c r="B170" s="730"/>
      <c r="C170" s="731"/>
      <c r="D170" s="731"/>
      <c r="E170" s="731"/>
      <c r="F170" s="731"/>
      <c r="G170" s="732"/>
      <c r="H170" s="731"/>
      <c r="I170" s="731"/>
      <c r="J170" s="731"/>
      <c r="K170" s="731"/>
      <c r="L170" s="773"/>
      <c r="M170" s="769"/>
      <c r="N170" s="731"/>
      <c r="O170" s="734"/>
      <c r="Q170" s="729"/>
      <c r="R170" s="662"/>
      <c r="S170" s="228" t="str">
        <f t="array" ref="S170">IFERROR(INDEX('💻シート作成'!$D$6:$D1001, MATCH(T170, '💻シート作成'!$E$6:$E1001, 0)), "")</f>
        <v/>
      </c>
      <c r="T170" s="184"/>
      <c r="U170" s="665"/>
      <c r="V170" s="774"/>
      <c r="W170" s="662"/>
      <c r="X170" s="757"/>
      <c r="Y170" s="662"/>
      <c r="Z170" s="662"/>
    </row>
    <row r="171" hidden="1" outlineLevel="1">
      <c r="A171" s="662"/>
      <c r="B171" s="730"/>
      <c r="C171" s="731"/>
      <c r="D171" s="731"/>
      <c r="E171" s="731"/>
      <c r="F171" s="731"/>
      <c r="G171" s="732"/>
      <c r="H171" s="731"/>
      <c r="I171" s="731"/>
      <c r="J171" s="731"/>
      <c r="K171" s="731"/>
      <c r="L171" s="773"/>
      <c r="M171" s="769"/>
      <c r="N171" s="731"/>
      <c r="O171" s="734"/>
      <c r="Q171" s="729"/>
      <c r="R171" s="662"/>
      <c r="S171" s="228" t="str">
        <f t="array" ref="S171">IFERROR(INDEX('💻シート作成'!$D$6:$D1001, MATCH(T171, '💻シート作成'!$E$6:$E1001, 0)), "")</f>
        <v/>
      </c>
      <c r="T171" s="184"/>
      <c r="U171" s="665"/>
      <c r="V171" s="774"/>
      <c r="W171" s="662"/>
      <c r="X171" s="757"/>
      <c r="Y171" s="662"/>
      <c r="Z171" s="662"/>
    </row>
    <row r="172" hidden="1" outlineLevel="1">
      <c r="A172" s="662"/>
      <c r="B172" s="730"/>
      <c r="C172" s="731"/>
      <c r="D172" s="731"/>
      <c r="E172" s="731"/>
      <c r="F172" s="731"/>
      <c r="G172" s="732"/>
      <c r="H172" s="731"/>
      <c r="I172" s="731"/>
      <c r="J172" s="731"/>
      <c r="K172" s="731"/>
      <c r="L172" s="773"/>
      <c r="M172" s="769"/>
      <c r="N172" s="731"/>
      <c r="O172" s="734"/>
      <c r="Q172" s="729"/>
      <c r="R172" s="662"/>
      <c r="S172" s="228" t="str">
        <f t="array" ref="S172">IFERROR(INDEX('💻シート作成'!$D$6:$D1001, MATCH(T172, '💻シート作成'!$E$6:$E1001, 0)), "")</f>
        <v/>
      </c>
      <c r="T172" s="184"/>
      <c r="U172" s="665"/>
      <c r="V172" s="774"/>
      <c r="W172" s="662"/>
      <c r="X172" s="757"/>
      <c r="Y172" s="662"/>
      <c r="Z172" s="662"/>
    </row>
    <row r="173" hidden="1" outlineLevel="1">
      <c r="A173" s="662"/>
      <c r="B173" s="730"/>
      <c r="C173" s="731"/>
      <c r="D173" s="731"/>
      <c r="E173" s="731"/>
      <c r="F173" s="731"/>
      <c r="G173" s="732"/>
      <c r="H173" s="731"/>
      <c r="I173" s="731"/>
      <c r="J173" s="731"/>
      <c r="K173" s="731"/>
      <c r="L173" s="773"/>
      <c r="M173" s="769"/>
      <c r="N173" s="731"/>
      <c r="O173" s="734"/>
      <c r="Q173" s="729"/>
      <c r="R173" s="662"/>
      <c r="S173" s="228" t="str">
        <f t="array" ref="S173">IFERROR(INDEX('💻シート作成'!$D$6:$D1001, MATCH(T173, '💻シート作成'!$E$6:$E1001, 0)), "")</f>
        <v/>
      </c>
      <c r="T173" s="184"/>
      <c r="U173" s="665"/>
      <c r="V173" s="774"/>
      <c r="W173" s="662"/>
      <c r="X173" s="757"/>
      <c r="Y173" s="662"/>
      <c r="Z173" s="662"/>
    </row>
    <row r="174" hidden="1" outlineLevel="1">
      <c r="A174" s="662"/>
      <c r="B174" s="730"/>
      <c r="C174" s="731"/>
      <c r="D174" s="731"/>
      <c r="E174" s="731"/>
      <c r="F174" s="698"/>
      <c r="G174" s="699"/>
      <c r="H174" s="698"/>
      <c r="I174" s="698"/>
      <c r="J174" s="698"/>
      <c r="K174" s="698"/>
      <c r="L174" s="773"/>
      <c r="M174" s="769"/>
      <c r="N174" s="698"/>
      <c r="O174" s="701"/>
      <c r="P174" s="702"/>
      <c r="Q174" s="738"/>
      <c r="R174" s="662"/>
      <c r="S174" s="228" t="str">
        <f t="array" ref="S174">IFERROR(INDEX('💻シート作成'!$D$6:$D1001, MATCH(T174, '💻シート作成'!$E$6:$E1001, 0)), "")</f>
        <v/>
      </c>
      <c r="T174" s="184"/>
      <c r="U174" s="665"/>
      <c r="V174" s="774"/>
      <c r="W174" s="662"/>
      <c r="X174" s="757"/>
      <c r="Y174" s="662"/>
      <c r="Z174" s="662"/>
    </row>
    <row r="175" hidden="1" outlineLevel="1">
      <c r="A175" s="662"/>
      <c r="B175" s="739"/>
      <c r="C175" s="698"/>
      <c r="D175" s="698"/>
      <c r="E175" s="698"/>
      <c r="F175" s="740" t="s">
        <v>546</v>
      </c>
      <c r="G175" s="741"/>
      <c r="H175" s="742"/>
      <c r="I175" s="742"/>
      <c r="J175" s="742"/>
      <c r="K175" s="742"/>
      <c r="L175" s="741"/>
      <c r="M175" s="741"/>
      <c r="N175" s="741"/>
      <c r="O175" s="741"/>
      <c r="P175" s="741"/>
      <c r="Q175" s="743"/>
      <c r="R175" s="662"/>
      <c r="S175" s="228" t="str">
        <f t="array" ref="S175">IFERROR(INDEX('💻シート作成'!$D$6:$D1001, MATCH(T175, '💻シート作成'!$E$6:$E1001, 0)), "")</f>
        <v/>
      </c>
      <c r="T175" s="184"/>
      <c r="U175" s="665"/>
      <c r="V175" s="774"/>
      <c r="W175" s="662"/>
      <c r="X175" s="757"/>
      <c r="Y175" s="662"/>
      <c r="Z175" s="662"/>
    </row>
    <row r="176" collapsed="1">
      <c r="A176" s="662"/>
      <c r="B176" s="780" t="s">
        <v>591</v>
      </c>
      <c r="C176" s="781"/>
      <c r="D176" s="781"/>
      <c r="E176" s="781"/>
      <c r="F176" s="782"/>
      <c r="G176" s="783"/>
      <c r="H176" s="784"/>
      <c r="I176" s="784"/>
      <c r="J176" s="785"/>
      <c r="K176" s="785"/>
      <c r="L176" s="783"/>
      <c r="M176" s="783"/>
      <c r="N176" s="786"/>
      <c r="O176" s="787"/>
      <c r="P176" s="787"/>
      <c r="Q176" s="788"/>
      <c r="R176" s="662"/>
      <c r="S176" s="228" t="str">
        <f t="array" ref="S176">IFERROR(INDEX('💻シート作成'!$D$6:$D1001, MATCH(T176, '💻シート作成'!$E$6:$E1001, 0)), "")</f>
        <v/>
      </c>
      <c r="T176" s="184"/>
      <c r="U176" s="665"/>
      <c r="V176" s="774"/>
      <c r="W176" s="662"/>
      <c r="X176" s="757"/>
      <c r="Y176" s="662"/>
      <c r="Z176" s="662"/>
    </row>
    <row r="177" hidden="1" outlineLevel="1">
      <c r="A177" s="662"/>
      <c r="B177" s="744"/>
      <c r="C177" s="745">
        <f>IF(C165="","",IF(DAY(C165+1)=1,"",C165+1))</f>
        <v>46069</v>
      </c>
      <c r="D177" s="746" t="str">
        <f>TEXT(C177,"ddd")</f>
        <v>月</v>
      </c>
      <c r="E177" s="747"/>
      <c r="F177" s="775" t="s">
        <v>594</v>
      </c>
      <c r="G177" s="776" t="s">
        <v>595</v>
      </c>
      <c r="H177" s="777"/>
      <c r="I177" s="778">
        <v>0.0</v>
      </c>
      <c r="J177" s="746"/>
      <c r="K177" s="746"/>
      <c r="L177" s="755"/>
      <c r="M177" s="755"/>
      <c r="N177" s="775"/>
      <c r="O177" s="779"/>
      <c r="P177" s="771"/>
      <c r="Q177" s="772"/>
      <c r="R177" s="662"/>
      <c r="S177" s="228" t="str">
        <f t="array" ref="S177">IFERROR(INDEX('💻シート作成'!$D$6:$D1001, MATCH(T177, '💻シート作成'!$E$6:$E1001, 0)), "")</f>
        <v/>
      </c>
      <c r="T177" s="184"/>
      <c r="U177" s="665"/>
      <c r="V177" s="774"/>
      <c r="W177" s="662"/>
      <c r="X177" s="757"/>
      <c r="Y177" s="662"/>
      <c r="Z177" s="662"/>
    </row>
    <row r="178" hidden="1" outlineLevel="1">
      <c r="A178" s="662"/>
      <c r="B178" s="730"/>
      <c r="C178" s="731"/>
      <c r="D178" s="731"/>
      <c r="E178" s="731"/>
      <c r="F178" s="731"/>
      <c r="G178" s="732"/>
      <c r="H178" s="731"/>
      <c r="I178" s="731"/>
      <c r="J178" s="731"/>
      <c r="K178" s="731"/>
      <c r="L178" s="755"/>
      <c r="M178" s="755"/>
      <c r="N178" s="731"/>
      <c r="O178" s="734"/>
      <c r="Q178" s="729"/>
      <c r="R178" s="662"/>
      <c r="S178" s="228" t="str">
        <f t="array" ref="S178">IFERROR(INDEX('💻シート作成'!$D$6:$D1001, MATCH(T178, '💻シート作成'!$E$6:$E1001, 0)), "")</f>
        <v/>
      </c>
      <c r="T178" s="184"/>
      <c r="U178" s="665"/>
      <c r="V178" s="774"/>
      <c r="W178" s="662"/>
      <c r="X178" s="757"/>
      <c r="Y178" s="662"/>
      <c r="Z178" s="662"/>
    </row>
    <row r="179" hidden="1" outlineLevel="1">
      <c r="A179" s="662"/>
      <c r="B179" s="730"/>
      <c r="C179" s="731"/>
      <c r="D179" s="731"/>
      <c r="E179" s="731"/>
      <c r="F179" s="731"/>
      <c r="G179" s="732"/>
      <c r="H179" s="731"/>
      <c r="I179" s="731"/>
      <c r="J179" s="731"/>
      <c r="K179" s="731"/>
      <c r="L179" s="755"/>
      <c r="M179" s="755"/>
      <c r="N179" s="731"/>
      <c r="O179" s="734"/>
      <c r="Q179" s="729"/>
      <c r="R179" s="662"/>
      <c r="S179" s="228" t="str">
        <f t="array" ref="S179">IFERROR(INDEX('💻シート作成'!$D$6:$D1001, MATCH(T179, '💻シート作成'!$E$6:$E1001, 0)), "")</f>
        <v/>
      </c>
      <c r="T179" s="184"/>
      <c r="U179" s="665"/>
      <c r="V179" s="774"/>
      <c r="W179" s="662"/>
      <c r="X179" s="757"/>
      <c r="Y179" s="662"/>
      <c r="Z179" s="662"/>
    </row>
    <row r="180" hidden="1" outlineLevel="1">
      <c r="A180" s="662"/>
      <c r="B180" s="730"/>
      <c r="C180" s="731"/>
      <c r="D180" s="731"/>
      <c r="E180" s="731"/>
      <c r="F180" s="731"/>
      <c r="G180" s="732"/>
      <c r="H180" s="731"/>
      <c r="I180" s="731"/>
      <c r="J180" s="731"/>
      <c r="K180" s="731"/>
      <c r="L180" s="756"/>
      <c r="M180" s="755"/>
      <c r="N180" s="731"/>
      <c r="O180" s="734"/>
      <c r="Q180" s="729"/>
      <c r="R180" s="662"/>
      <c r="S180" s="228" t="str">
        <f t="array" ref="S180">IFERROR(INDEX('💻シート作成'!$D$6:$D1001, MATCH(T180, '💻シート作成'!$E$6:$E1001, 0)), "")</f>
        <v/>
      </c>
      <c r="T180" s="184"/>
      <c r="U180" s="665"/>
      <c r="V180" s="774"/>
      <c r="W180" s="662"/>
      <c r="X180" s="757"/>
      <c r="Y180" s="662"/>
      <c r="Z180" s="662"/>
    </row>
    <row r="181" hidden="1" outlineLevel="1">
      <c r="A181" s="662"/>
      <c r="B181" s="730"/>
      <c r="C181" s="731"/>
      <c r="D181" s="731"/>
      <c r="E181" s="731"/>
      <c r="F181" s="731"/>
      <c r="G181" s="732"/>
      <c r="H181" s="731"/>
      <c r="I181" s="731"/>
      <c r="J181" s="731"/>
      <c r="K181" s="731"/>
      <c r="L181" s="756"/>
      <c r="M181" s="755"/>
      <c r="N181" s="731"/>
      <c r="O181" s="734"/>
      <c r="Q181" s="729"/>
      <c r="R181" s="662"/>
      <c r="S181" s="228" t="str">
        <f t="array" ref="S181">IFERROR(INDEX('💻シート作成'!$D$6:$D1001, MATCH(T181, '💻シート作成'!$E$6:$E1001, 0)), "")</f>
        <v/>
      </c>
      <c r="T181" s="184"/>
      <c r="U181" s="665"/>
      <c r="V181" s="774"/>
      <c r="W181" s="662"/>
      <c r="X181" s="757"/>
      <c r="Y181" s="662"/>
      <c r="Z181" s="662"/>
    </row>
    <row r="182" hidden="1" outlineLevel="1">
      <c r="A182" s="662"/>
      <c r="B182" s="730"/>
      <c r="C182" s="731"/>
      <c r="D182" s="731"/>
      <c r="E182" s="731"/>
      <c r="F182" s="731"/>
      <c r="G182" s="732"/>
      <c r="H182" s="731"/>
      <c r="I182" s="731"/>
      <c r="J182" s="731"/>
      <c r="K182" s="731"/>
      <c r="L182" s="756"/>
      <c r="M182" s="755"/>
      <c r="N182" s="731"/>
      <c r="O182" s="734"/>
      <c r="Q182" s="729"/>
      <c r="R182" s="662"/>
      <c r="S182" s="228" t="str">
        <f t="array" ref="S182">IFERROR(INDEX('💻シート作成'!$D$6:$D1001, MATCH(T182, '💻シート作成'!$E$6:$E1001, 0)), "")</f>
        <v/>
      </c>
      <c r="T182" s="184"/>
      <c r="U182" s="665"/>
      <c r="V182" s="774"/>
      <c r="W182" s="662"/>
      <c r="X182" s="757"/>
      <c r="Y182" s="662"/>
      <c r="Z182" s="662"/>
    </row>
    <row r="183" hidden="1" outlineLevel="1">
      <c r="A183" s="662"/>
      <c r="B183" s="730"/>
      <c r="C183" s="731"/>
      <c r="D183" s="731"/>
      <c r="E183" s="731"/>
      <c r="F183" s="731"/>
      <c r="G183" s="732"/>
      <c r="H183" s="731"/>
      <c r="I183" s="731"/>
      <c r="J183" s="731"/>
      <c r="K183" s="731"/>
      <c r="L183" s="756"/>
      <c r="M183" s="755"/>
      <c r="N183" s="731"/>
      <c r="O183" s="734"/>
      <c r="Q183" s="729"/>
      <c r="R183" s="662"/>
      <c r="S183" s="228" t="str">
        <f t="array" ref="S183">IFERROR(INDEX('💻シート作成'!$D$6:$D1001, MATCH(T183, '💻シート作成'!$E$6:$E1001, 0)), "")</f>
        <v/>
      </c>
      <c r="T183" s="184"/>
      <c r="U183" s="665"/>
      <c r="V183" s="774"/>
      <c r="W183" s="662"/>
      <c r="X183" s="757"/>
      <c r="Y183" s="662"/>
      <c r="Z183" s="662"/>
    </row>
    <row r="184" hidden="1" outlineLevel="1">
      <c r="A184" s="662"/>
      <c r="B184" s="730"/>
      <c r="C184" s="731"/>
      <c r="D184" s="731"/>
      <c r="E184" s="731"/>
      <c r="F184" s="731"/>
      <c r="G184" s="732"/>
      <c r="H184" s="731"/>
      <c r="I184" s="731"/>
      <c r="J184" s="731"/>
      <c r="K184" s="731"/>
      <c r="L184" s="756"/>
      <c r="M184" s="755"/>
      <c r="N184" s="731"/>
      <c r="O184" s="734"/>
      <c r="Q184" s="729"/>
      <c r="R184" s="662"/>
      <c r="S184" s="228" t="str">
        <f t="array" ref="S184">IFERROR(INDEX('💻シート作成'!$D$6:$D1001, MATCH(T184, '💻シート作成'!$E$6:$E1001, 0)), "")</f>
        <v/>
      </c>
      <c r="T184" s="184"/>
      <c r="U184" s="665"/>
      <c r="V184" s="774"/>
      <c r="W184" s="662"/>
      <c r="X184" s="757"/>
      <c r="Y184" s="662"/>
      <c r="Z184" s="662"/>
    </row>
    <row r="185" hidden="1" outlineLevel="1">
      <c r="A185" s="662"/>
      <c r="B185" s="730"/>
      <c r="C185" s="731"/>
      <c r="D185" s="731"/>
      <c r="E185" s="731"/>
      <c r="F185" s="731"/>
      <c r="G185" s="732"/>
      <c r="H185" s="731"/>
      <c r="I185" s="731"/>
      <c r="J185" s="731"/>
      <c r="K185" s="731"/>
      <c r="L185" s="756"/>
      <c r="M185" s="755"/>
      <c r="N185" s="731"/>
      <c r="O185" s="734"/>
      <c r="Q185" s="729"/>
      <c r="R185" s="662"/>
      <c r="S185" s="228" t="str">
        <f t="array" ref="S185">IFERROR(INDEX('💻シート作成'!$D$6:$D1001, MATCH(T185, '💻シート作成'!$E$6:$E1001, 0)), "")</f>
        <v/>
      </c>
      <c r="T185" s="184"/>
      <c r="U185" s="665"/>
      <c r="V185" s="774"/>
      <c r="W185" s="662"/>
      <c r="X185" s="757"/>
      <c r="Y185" s="662"/>
      <c r="Z185" s="662"/>
    </row>
    <row r="186" hidden="1" outlineLevel="1">
      <c r="A186" s="662"/>
      <c r="B186" s="730"/>
      <c r="C186" s="731"/>
      <c r="D186" s="731"/>
      <c r="E186" s="731"/>
      <c r="F186" s="698"/>
      <c r="G186" s="699"/>
      <c r="H186" s="698"/>
      <c r="I186" s="698"/>
      <c r="J186" s="698"/>
      <c r="K186" s="698"/>
      <c r="L186" s="756"/>
      <c r="M186" s="755"/>
      <c r="N186" s="698"/>
      <c r="O186" s="701"/>
      <c r="P186" s="702"/>
      <c r="Q186" s="738"/>
      <c r="R186" s="662"/>
      <c r="S186" s="228" t="str">
        <f t="array" ref="S186">IFERROR(INDEX('💻シート作成'!$D$6:$D1001, MATCH(T186, '💻シート作成'!$E$6:$E1001, 0)), "")</f>
        <v/>
      </c>
      <c r="T186" s="184"/>
      <c r="U186" s="665"/>
      <c r="V186" s="774"/>
      <c r="W186" s="662"/>
      <c r="X186" s="757"/>
      <c r="Y186" s="662"/>
      <c r="Z186" s="662"/>
    </row>
    <row r="187" hidden="1" outlineLevel="1">
      <c r="A187" s="662"/>
      <c r="B187" s="739"/>
      <c r="C187" s="698"/>
      <c r="D187" s="698"/>
      <c r="E187" s="698"/>
      <c r="F187" s="758" t="s">
        <v>546</v>
      </c>
      <c r="G187" s="759"/>
      <c r="H187" s="742"/>
      <c r="I187" s="742"/>
      <c r="J187" s="742"/>
      <c r="K187" s="742"/>
      <c r="L187" s="759"/>
      <c r="M187" s="759"/>
      <c r="N187" s="759"/>
      <c r="O187" s="759"/>
      <c r="P187" s="759"/>
      <c r="Q187" s="760"/>
      <c r="R187" s="662"/>
      <c r="S187" s="228" t="str">
        <f t="array" ref="S187">IFERROR(INDEX('💻シート作成'!$D$6:$D1001, MATCH(T187, '💻シート作成'!$E$6:$E1001, 0)), "")</f>
        <v/>
      </c>
      <c r="T187" s="184"/>
      <c r="U187" s="665"/>
      <c r="V187" s="774"/>
      <c r="W187" s="662"/>
      <c r="X187" s="757"/>
      <c r="Y187" s="662"/>
      <c r="Z187" s="662"/>
    </row>
    <row r="188" hidden="1" outlineLevel="1">
      <c r="A188" s="662"/>
      <c r="B188" s="761"/>
      <c r="C188" s="762">
        <f>IF(C177="","",IF(DAY(C177+1)=1,"",C177+1))</f>
        <v>46070</v>
      </c>
      <c r="D188" s="763" t="str">
        <f>TEXT(C188,"ddd")</f>
        <v>火</v>
      </c>
      <c r="E188" s="764"/>
      <c r="F188" s="765" t="s">
        <v>594</v>
      </c>
      <c r="G188" s="766" t="s">
        <v>595</v>
      </c>
      <c r="H188" s="767"/>
      <c r="I188" s="768">
        <v>0.0</v>
      </c>
      <c r="J188" s="763"/>
      <c r="K188" s="763"/>
      <c r="L188" s="769"/>
      <c r="M188" s="769"/>
      <c r="N188" s="765"/>
      <c r="O188" s="770"/>
      <c r="P188" s="771"/>
      <c r="Q188" s="772"/>
      <c r="R188" s="662"/>
      <c r="S188" s="228" t="str">
        <f t="array" ref="S188">IFERROR(INDEX('💻シート作成'!$D$6:$D1001, MATCH(T188, '💻シート作成'!$E$6:$E1001, 0)), "")</f>
        <v/>
      </c>
      <c r="T188" s="184"/>
      <c r="U188" s="665"/>
      <c r="V188" s="774"/>
      <c r="W188" s="662"/>
      <c r="X188" s="757"/>
      <c r="Y188" s="662"/>
      <c r="Z188" s="662"/>
    </row>
    <row r="189" hidden="1" outlineLevel="1">
      <c r="A189" s="662"/>
      <c r="B189" s="730"/>
      <c r="C189" s="731"/>
      <c r="D189" s="731"/>
      <c r="E189" s="731"/>
      <c r="F189" s="731"/>
      <c r="G189" s="732"/>
      <c r="H189" s="731"/>
      <c r="I189" s="731"/>
      <c r="J189" s="731"/>
      <c r="K189" s="731"/>
      <c r="L189" s="769"/>
      <c r="M189" s="769"/>
      <c r="N189" s="731"/>
      <c r="O189" s="734"/>
      <c r="Q189" s="729"/>
      <c r="R189" s="662"/>
      <c r="S189" s="228" t="str">
        <f t="array" ref="S189">IFERROR(INDEX('💻シート作成'!$D$6:$D1001, MATCH(T189, '💻シート作成'!$E$6:$E1001, 0)), "")</f>
        <v/>
      </c>
      <c r="T189" s="184"/>
      <c r="U189" s="665"/>
      <c r="V189" s="774"/>
      <c r="W189" s="662"/>
      <c r="X189" s="757"/>
      <c r="Y189" s="662"/>
      <c r="Z189" s="662"/>
    </row>
    <row r="190" hidden="1" outlineLevel="1">
      <c r="A190" s="662"/>
      <c r="B190" s="730"/>
      <c r="C190" s="731"/>
      <c r="D190" s="731"/>
      <c r="E190" s="731"/>
      <c r="F190" s="731"/>
      <c r="G190" s="732"/>
      <c r="H190" s="731"/>
      <c r="I190" s="731"/>
      <c r="J190" s="731"/>
      <c r="K190" s="731"/>
      <c r="L190" s="769"/>
      <c r="M190" s="769"/>
      <c r="N190" s="731"/>
      <c r="O190" s="734"/>
      <c r="Q190" s="729"/>
      <c r="R190" s="662"/>
      <c r="S190" s="228" t="str">
        <f t="array" ref="S190">IFERROR(INDEX('💻シート作成'!$D$6:$D1001, MATCH(T190, '💻シート作成'!$E$6:$E1001, 0)), "")</f>
        <v/>
      </c>
      <c r="T190" s="184"/>
      <c r="U190" s="665"/>
      <c r="V190" s="774"/>
      <c r="W190" s="662"/>
      <c r="X190" s="757"/>
      <c r="Y190" s="662"/>
      <c r="Z190" s="662"/>
    </row>
    <row r="191" hidden="1" outlineLevel="1">
      <c r="A191" s="662"/>
      <c r="B191" s="730"/>
      <c r="C191" s="731"/>
      <c r="D191" s="731"/>
      <c r="E191" s="731"/>
      <c r="F191" s="731"/>
      <c r="G191" s="732"/>
      <c r="H191" s="731"/>
      <c r="I191" s="731"/>
      <c r="J191" s="731"/>
      <c r="K191" s="731"/>
      <c r="L191" s="773"/>
      <c r="M191" s="769"/>
      <c r="N191" s="731"/>
      <c r="O191" s="734"/>
      <c r="Q191" s="729"/>
      <c r="R191" s="662"/>
      <c r="S191" s="228" t="str">
        <f t="array" ref="S191">IFERROR(INDEX('💻シート作成'!$D$6:$D1001, MATCH(T191, '💻シート作成'!$E$6:$E1001, 0)), "")</f>
        <v/>
      </c>
      <c r="T191" s="184"/>
      <c r="U191" s="665"/>
      <c r="V191" s="774"/>
      <c r="W191" s="662"/>
      <c r="X191" s="757"/>
      <c r="Y191" s="662"/>
      <c r="Z191" s="662"/>
    </row>
    <row r="192" hidden="1" outlineLevel="1">
      <c r="A192" s="662"/>
      <c r="B192" s="730"/>
      <c r="C192" s="731"/>
      <c r="D192" s="731"/>
      <c r="E192" s="731"/>
      <c r="F192" s="731"/>
      <c r="G192" s="732"/>
      <c r="H192" s="731"/>
      <c r="I192" s="731"/>
      <c r="J192" s="731"/>
      <c r="K192" s="731"/>
      <c r="L192" s="773"/>
      <c r="M192" s="769"/>
      <c r="N192" s="731"/>
      <c r="O192" s="734"/>
      <c r="Q192" s="729"/>
      <c r="R192" s="662"/>
      <c r="S192" s="228" t="str">
        <f t="array" ref="S192">IFERROR(INDEX('💻シート作成'!$D$6:$D1001, MATCH(T192, '💻シート作成'!$E$6:$E1001, 0)), "")</f>
        <v/>
      </c>
      <c r="T192" s="184"/>
      <c r="U192" s="665"/>
      <c r="V192" s="774"/>
      <c r="W192" s="662"/>
      <c r="X192" s="757"/>
      <c r="Y192" s="662"/>
      <c r="Z192" s="662"/>
    </row>
    <row r="193" hidden="1" outlineLevel="1">
      <c r="A193" s="662"/>
      <c r="B193" s="730"/>
      <c r="C193" s="731"/>
      <c r="D193" s="731"/>
      <c r="E193" s="731"/>
      <c r="F193" s="731"/>
      <c r="G193" s="732"/>
      <c r="H193" s="731"/>
      <c r="I193" s="731"/>
      <c r="J193" s="731"/>
      <c r="K193" s="731"/>
      <c r="L193" s="773"/>
      <c r="M193" s="769"/>
      <c r="N193" s="731"/>
      <c r="O193" s="734"/>
      <c r="Q193" s="729"/>
      <c r="R193" s="662"/>
      <c r="S193" s="228" t="str">
        <f t="array" ref="S193">IFERROR(INDEX('💻シート作成'!$D$6:$D1001, MATCH(T193, '💻シート作成'!$E$6:$E1001, 0)), "")</f>
        <v/>
      </c>
      <c r="T193" s="184"/>
      <c r="U193" s="665"/>
      <c r="V193" s="774"/>
      <c r="W193" s="662"/>
      <c r="X193" s="757"/>
      <c r="Y193" s="662"/>
      <c r="Z193" s="662"/>
    </row>
    <row r="194" hidden="1" outlineLevel="1">
      <c r="A194" s="662"/>
      <c r="B194" s="730"/>
      <c r="C194" s="731"/>
      <c r="D194" s="731"/>
      <c r="E194" s="731"/>
      <c r="F194" s="731"/>
      <c r="G194" s="732"/>
      <c r="H194" s="731"/>
      <c r="I194" s="731"/>
      <c r="J194" s="731"/>
      <c r="K194" s="731"/>
      <c r="L194" s="773"/>
      <c r="M194" s="769"/>
      <c r="N194" s="731"/>
      <c r="O194" s="734"/>
      <c r="Q194" s="729"/>
      <c r="R194" s="662"/>
      <c r="S194" s="228" t="str">
        <f t="array" ref="S194">IFERROR(INDEX('💻シート作成'!$D$6:$D1001, MATCH(T194, '💻シート作成'!$E$6:$E1001, 0)), "")</f>
        <v/>
      </c>
      <c r="T194" s="184"/>
      <c r="U194" s="665"/>
      <c r="V194" s="774"/>
      <c r="W194" s="662"/>
      <c r="X194" s="757"/>
      <c r="Y194" s="662"/>
      <c r="Z194" s="662"/>
    </row>
    <row r="195" hidden="1" outlineLevel="1">
      <c r="A195" s="662"/>
      <c r="B195" s="730"/>
      <c r="C195" s="731"/>
      <c r="D195" s="731"/>
      <c r="E195" s="731"/>
      <c r="F195" s="731"/>
      <c r="G195" s="732"/>
      <c r="H195" s="731"/>
      <c r="I195" s="731"/>
      <c r="J195" s="731"/>
      <c r="K195" s="731"/>
      <c r="L195" s="773"/>
      <c r="M195" s="769"/>
      <c r="N195" s="731"/>
      <c r="O195" s="734"/>
      <c r="Q195" s="729"/>
      <c r="R195" s="662"/>
      <c r="S195" s="228" t="str">
        <f t="array" ref="S195">IFERROR(INDEX('💻シート作成'!$D$6:$D1001, MATCH(T195, '💻シート作成'!$E$6:$E1001, 0)), "")</f>
        <v/>
      </c>
      <c r="T195" s="184"/>
      <c r="U195" s="665"/>
      <c r="V195" s="774"/>
      <c r="W195" s="662"/>
      <c r="X195" s="757"/>
      <c r="Y195" s="662"/>
      <c r="Z195" s="662"/>
    </row>
    <row r="196" hidden="1" outlineLevel="1">
      <c r="A196" s="662"/>
      <c r="B196" s="730"/>
      <c r="C196" s="731"/>
      <c r="D196" s="731"/>
      <c r="E196" s="731"/>
      <c r="F196" s="731"/>
      <c r="G196" s="732"/>
      <c r="H196" s="731"/>
      <c r="I196" s="731"/>
      <c r="J196" s="731"/>
      <c r="K196" s="731"/>
      <c r="L196" s="773"/>
      <c r="M196" s="769"/>
      <c r="N196" s="731"/>
      <c r="O196" s="734"/>
      <c r="Q196" s="729"/>
      <c r="R196" s="662"/>
      <c r="S196" s="228" t="str">
        <f t="array" ref="S196">IFERROR(INDEX('💻シート作成'!$D$6:$D1001, MATCH(T196, '💻シート作成'!$E$6:$E1001, 0)), "")</f>
        <v/>
      </c>
      <c r="T196" s="184"/>
      <c r="U196" s="665"/>
      <c r="V196" s="774"/>
      <c r="W196" s="662"/>
      <c r="X196" s="757"/>
      <c r="Y196" s="662"/>
      <c r="Z196" s="662"/>
    </row>
    <row r="197" hidden="1" outlineLevel="1">
      <c r="A197" s="662"/>
      <c r="B197" s="730"/>
      <c r="C197" s="731"/>
      <c r="D197" s="731"/>
      <c r="E197" s="731"/>
      <c r="F197" s="698"/>
      <c r="G197" s="699"/>
      <c r="H197" s="698"/>
      <c r="I197" s="698"/>
      <c r="J197" s="698"/>
      <c r="K197" s="698"/>
      <c r="L197" s="773"/>
      <c r="M197" s="769"/>
      <c r="N197" s="698"/>
      <c r="O197" s="701"/>
      <c r="P197" s="702"/>
      <c r="Q197" s="738"/>
      <c r="R197" s="662"/>
      <c r="S197" s="228" t="str">
        <f t="array" ref="S197">IFERROR(INDEX('💻シート作成'!$D$6:$D1001, MATCH(T197, '💻シート作成'!$E$6:$E1001, 0)), "")</f>
        <v/>
      </c>
      <c r="T197" s="184"/>
      <c r="U197" s="665"/>
      <c r="V197" s="774"/>
      <c r="W197" s="662"/>
      <c r="X197" s="757"/>
      <c r="Y197" s="662"/>
      <c r="Z197" s="662"/>
    </row>
    <row r="198" hidden="1" outlineLevel="1">
      <c r="A198" s="662"/>
      <c r="B198" s="739"/>
      <c r="C198" s="698"/>
      <c r="D198" s="698"/>
      <c r="E198" s="698"/>
      <c r="F198" s="740" t="s">
        <v>546</v>
      </c>
      <c r="G198" s="741"/>
      <c r="H198" s="742"/>
      <c r="I198" s="742"/>
      <c r="J198" s="742"/>
      <c r="K198" s="742"/>
      <c r="L198" s="741"/>
      <c r="M198" s="741"/>
      <c r="N198" s="741"/>
      <c r="O198" s="741"/>
      <c r="P198" s="741"/>
      <c r="Q198" s="743"/>
      <c r="R198" s="662"/>
      <c r="S198" s="228" t="str">
        <f t="array" ref="S198">IFERROR(INDEX('💻シート作成'!$D$6:$D1001, MATCH(T198, '💻シート作成'!$E$6:$E1001, 0)), "")</f>
        <v/>
      </c>
      <c r="T198" s="184"/>
      <c r="U198" s="665"/>
      <c r="V198" s="774"/>
      <c r="W198" s="662"/>
      <c r="X198" s="757"/>
      <c r="Y198" s="662"/>
      <c r="Z198" s="662"/>
    </row>
    <row r="199" hidden="1" outlineLevel="1">
      <c r="A199" s="662"/>
      <c r="B199" s="744"/>
      <c r="C199" s="745">
        <f>IF(C188="","",IF(DAY(C188+1)=1,"",C188+1))</f>
        <v>46071</v>
      </c>
      <c r="D199" s="746" t="str">
        <f>TEXT(C199,"ddd")</f>
        <v>水</v>
      </c>
      <c r="E199" s="747"/>
      <c r="F199" s="775" t="s">
        <v>594</v>
      </c>
      <c r="G199" s="776" t="s">
        <v>595</v>
      </c>
      <c r="H199" s="777"/>
      <c r="I199" s="778">
        <v>0.0</v>
      </c>
      <c r="J199" s="746"/>
      <c r="K199" s="746"/>
      <c r="L199" s="755"/>
      <c r="M199" s="755"/>
      <c r="N199" s="775"/>
      <c r="O199" s="779"/>
      <c r="P199" s="771"/>
      <c r="Q199" s="772"/>
      <c r="R199" s="662"/>
      <c r="S199" s="228" t="str">
        <f t="array" ref="S199">IFERROR(INDEX('💻シート作成'!$D$6:$D1001, MATCH(T199, '💻シート作成'!$E$6:$E1001, 0)), "")</f>
        <v/>
      </c>
      <c r="T199" s="184"/>
      <c r="U199" s="665"/>
      <c r="V199" s="774"/>
      <c r="W199" s="662"/>
      <c r="X199" s="757"/>
      <c r="Y199" s="662"/>
      <c r="Z199" s="662"/>
    </row>
    <row r="200" hidden="1" outlineLevel="1">
      <c r="A200" s="662"/>
      <c r="B200" s="730"/>
      <c r="C200" s="731"/>
      <c r="D200" s="731"/>
      <c r="E200" s="731"/>
      <c r="F200" s="731"/>
      <c r="G200" s="732"/>
      <c r="H200" s="731"/>
      <c r="I200" s="731"/>
      <c r="J200" s="731"/>
      <c r="K200" s="731"/>
      <c r="L200" s="755"/>
      <c r="M200" s="755"/>
      <c r="N200" s="731"/>
      <c r="O200" s="734"/>
      <c r="Q200" s="729"/>
      <c r="R200" s="662"/>
      <c r="S200" s="228" t="str">
        <f t="array" ref="S200">IFERROR(INDEX('💻シート作成'!$D$6:$D1001, MATCH(T200, '💻シート作成'!$E$6:$E1001, 0)), "")</f>
        <v/>
      </c>
      <c r="T200" s="184"/>
      <c r="U200" s="665"/>
      <c r="V200" s="774"/>
      <c r="W200" s="662"/>
      <c r="X200" s="757"/>
      <c r="Y200" s="662"/>
      <c r="Z200" s="662"/>
    </row>
    <row r="201" hidden="1" outlineLevel="1">
      <c r="A201" s="662"/>
      <c r="B201" s="730"/>
      <c r="C201" s="731"/>
      <c r="D201" s="731"/>
      <c r="E201" s="731"/>
      <c r="F201" s="731"/>
      <c r="G201" s="732"/>
      <c r="H201" s="731"/>
      <c r="I201" s="731"/>
      <c r="J201" s="731"/>
      <c r="K201" s="731"/>
      <c r="L201" s="755"/>
      <c r="M201" s="755"/>
      <c r="N201" s="731"/>
      <c r="O201" s="734"/>
      <c r="Q201" s="729"/>
      <c r="R201" s="662"/>
      <c r="S201" s="228" t="str">
        <f t="array" ref="S201">IFERROR(INDEX('💻シート作成'!$D$6:$D1001, MATCH(T201, '💻シート作成'!$E$6:$E1001, 0)), "")</f>
        <v/>
      </c>
      <c r="T201" s="184"/>
      <c r="U201" s="665"/>
      <c r="V201" s="774"/>
      <c r="W201" s="662"/>
      <c r="X201" s="757"/>
      <c r="Y201" s="662"/>
      <c r="Z201" s="662"/>
    </row>
    <row r="202" hidden="1" outlineLevel="1">
      <c r="A202" s="662"/>
      <c r="B202" s="730"/>
      <c r="C202" s="731"/>
      <c r="D202" s="731"/>
      <c r="E202" s="731"/>
      <c r="F202" s="731"/>
      <c r="G202" s="732"/>
      <c r="H202" s="731"/>
      <c r="I202" s="731"/>
      <c r="J202" s="731"/>
      <c r="K202" s="731"/>
      <c r="L202" s="756"/>
      <c r="M202" s="755"/>
      <c r="N202" s="731"/>
      <c r="O202" s="734"/>
      <c r="Q202" s="729"/>
      <c r="R202" s="662"/>
      <c r="S202" s="228" t="str">
        <f t="array" ref="S202">IFERROR(INDEX('💻シート作成'!$D$6:$D1001, MATCH(T202, '💻シート作成'!$E$6:$E1001, 0)), "")</f>
        <v/>
      </c>
      <c r="T202" s="184"/>
      <c r="U202" s="665"/>
      <c r="V202" s="774"/>
      <c r="W202" s="662"/>
      <c r="X202" s="757"/>
      <c r="Y202" s="662"/>
      <c r="Z202" s="662"/>
    </row>
    <row r="203" hidden="1" outlineLevel="1">
      <c r="A203" s="662"/>
      <c r="B203" s="730"/>
      <c r="C203" s="731"/>
      <c r="D203" s="731"/>
      <c r="E203" s="731"/>
      <c r="F203" s="731"/>
      <c r="G203" s="732"/>
      <c r="H203" s="731"/>
      <c r="I203" s="731"/>
      <c r="J203" s="731"/>
      <c r="K203" s="731"/>
      <c r="L203" s="756"/>
      <c r="M203" s="755"/>
      <c r="N203" s="731"/>
      <c r="O203" s="734"/>
      <c r="Q203" s="729"/>
      <c r="R203" s="662"/>
      <c r="S203" s="228" t="str">
        <f t="array" ref="S203">IFERROR(INDEX('💻シート作成'!$D$6:$D1001, MATCH(T203, '💻シート作成'!$E$6:$E1001, 0)), "")</f>
        <v/>
      </c>
      <c r="T203" s="184"/>
      <c r="U203" s="665"/>
      <c r="V203" s="774"/>
      <c r="W203" s="662"/>
      <c r="X203" s="757"/>
      <c r="Y203" s="662"/>
      <c r="Z203" s="662"/>
    </row>
    <row r="204" hidden="1" outlineLevel="1">
      <c r="A204" s="662"/>
      <c r="B204" s="730"/>
      <c r="C204" s="731"/>
      <c r="D204" s="731"/>
      <c r="E204" s="731"/>
      <c r="F204" s="731"/>
      <c r="G204" s="732"/>
      <c r="H204" s="731"/>
      <c r="I204" s="731"/>
      <c r="J204" s="731"/>
      <c r="K204" s="731"/>
      <c r="L204" s="756"/>
      <c r="M204" s="755"/>
      <c r="N204" s="731"/>
      <c r="O204" s="734"/>
      <c r="Q204" s="729"/>
      <c r="R204" s="662"/>
      <c r="S204" s="228" t="str">
        <f t="array" ref="S204">IFERROR(INDEX('💻シート作成'!$D$6:$D1001, MATCH(T204, '💻シート作成'!$E$6:$E1001, 0)), "")</f>
        <v/>
      </c>
      <c r="T204" s="184"/>
      <c r="U204" s="665"/>
      <c r="V204" s="774"/>
      <c r="W204" s="662"/>
      <c r="X204" s="757"/>
      <c r="Y204" s="662"/>
      <c r="Z204" s="662"/>
    </row>
    <row r="205" hidden="1" outlineLevel="1">
      <c r="A205" s="662"/>
      <c r="B205" s="730"/>
      <c r="C205" s="731"/>
      <c r="D205" s="731"/>
      <c r="E205" s="731"/>
      <c r="F205" s="731"/>
      <c r="G205" s="732"/>
      <c r="H205" s="731"/>
      <c r="I205" s="731"/>
      <c r="J205" s="731"/>
      <c r="K205" s="731"/>
      <c r="L205" s="756"/>
      <c r="M205" s="755"/>
      <c r="N205" s="731"/>
      <c r="O205" s="734"/>
      <c r="Q205" s="729"/>
      <c r="R205" s="662"/>
      <c r="S205" s="228" t="str">
        <f t="array" ref="S205">IFERROR(INDEX('💻シート作成'!$D$6:$D1001, MATCH(T205, '💻シート作成'!$E$6:$E1001, 0)), "")</f>
        <v/>
      </c>
      <c r="T205" s="184"/>
      <c r="U205" s="665"/>
      <c r="V205" s="774"/>
      <c r="W205" s="662"/>
      <c r="X205" s="757"/>
      <c r="Y205" s="662"/>
      <c r="Z205" s="662"/>
    </row>
    <row r="206" hidden="1" outlineLevel="1">
      <c r="A206" s="662"/>
      <c r="B206" s="730"/>
      <c r="C206" s="731"/>
      <c r="D206" s="731"/>
      <c r="E206" s="731"/>
      <c r="F206" s="731"/>
      <c r="G206" s="732"/>
      <c r="H206" s="731"/>
      <c r="I206" s="731"/>
      <c r="J206" s="731"/>
      <c r="K206" s="731"/>
      <c r="L206" s="756"/>
      <c r="M206" s="755"/>
      <c r="N206" s="731"/>
      <c r="O206" s="734"/>
      <c r="Q206" s="729"/>
      <c r="R206" s="662"/>
      <c r="S206" s="228" t="str">
        <f t="array" ref="S206">IFERROR(INDEX('💻シート作成'!$D$6:$D1001, MATCH(T206, '💻シート作成'!$E$6:$E1001, 0)), "")</f>
        <v/>
      </c>
      <c r="T206" s="184"/>
      <c r="U206" s="665"/>
      <c r="V206" s="774"/>
      <c r="W206" s="662"/>
      <c r="X206" s="757"/>
      <c r="Y206" s="662"/>
      <c r="Z206" s="662"/>
    </row>
    <row r="207" hidden="1" outlineLevel="1">
      <c r="A207" s="662"/>
      <c r="B207" s="730"/>
      <c r="C207" s="731"/>
      <c r="D207" s="731"/>
      <c r="E207" s="731"/>
      <c r="F207" s="731"/>
      <c r="G207" s="732"/>
      <c r="H207" s="731"/>
      <c r="I207" s="731"/>
      <c r="J207" s="731"/>
      <c r="K207" s="731"/>
      <c r="L207" s="756"/>
      <c r="M207" s="755"/>
      <c r="N207" s="731"/>
      <c r="O207" s="734"/>
      <c r="Q207" s="729"/>
      <c r="R207" s="662"/>
      <c r="S207" s="228" t="str">
        <f t="array" ref="S207">IFERROR(INDEX('💻シート作成'!$D$6:$D1001, MATCH(T207, '💻シート作成'!$E$6:$E1001, 0)), "")</f>
        <v/>
      </c>
      <c r="T207" s="184"/>
      <c r="U207" s="665"/>
      <c r="V207" s="774"/>
      <c r="W207" s="662"/>
      <c r="X207" s="757"/>
      <c r="Y207" s="662"/>
      <c r="Z207" s="662"/>
    </row>
    <row r="208" hidden="1" outlineLevel="1">
      <c r="A208" s="662"/>
      <c r="B208" s="730"/>
      <c r="C208" s="731"/>
      <c r="D208" s="731"/>
      <c r="E208" s="731"/>
      <c r="F208" s="698"/>
      <c r="G208" s="699"/>
      <c r="H208" s="698"/>
      <c r="I208" s="698"/>
      <c r="J208" s="698"/>
      <c r="K208" s="698"/>
      <c r="L208" s="756"/>
      <c r="M208" s="755"/>
      <c r="N208" s="698"/>
      <c r="O208" s="701"/>
      <c r="P208" s="702"/>
      <c r="Q208" s="738"/>
      <c r="R208" s="662"/>
      <c r="S208" s="228" t="str">
        <f t="array" ref="S208">IFERROR(INDEX('💻シート作成'!$D$6:$D1001, MATCH(T208, '💻シート作成'!$E$6:$E1001, 0)), "")</f>
        <v/>
      </c>
      <c r="T208" s="184"/>
      <c r="U208" s="665"/>
      <c r="V208" s="774"/>
      <c r="W208" s="662"/>
      <c r="X208" s="757"/>
      <c r="Y208" s="662"/>
      <c r="Z208" s="662"/>
    </row>
    <row r="209" hidden="1" outlineLevel="1">
      <c r="A209" s="662"/>
      <c r="B209" s="739"/>
      <c r="C209" s="698"/>
      <c r="D209" s="698"/>
      <c r="E209" s="698"/>
      <c r="F209" s="758" t="s">
        <v>546</v>
      </c>
      <c r="G209" s="759"/>
      <c r="H209" s="742"/>
      <c r="I209" s="742"/>
      <c r="J209" s="742"/>
      <c r="K209" s="742"/>
      <c r="L209" s="759"/>
      <c r="M209" s="759"/>
      <c r="N209" s="759"/>
      <c r="O209" s="759"/>
      <c r="P209" s="759"/>
      <c r="Q209" s="760"/>
      <c r="R209" s="662"/>
      <c r="S209" s="228" t="str">
        <f t="array" ref="S209">IFERROR(INDEX('💻シート作成'!$D$6:$D1001, MATCH(T209, '💻シート作成'!$E$6:$E1001, 0)), "")</f>
        <v/>
      </c>
      <c r="T209" s="184"/>
      <c r="U209" s="665"/>
      <c r="V209" s="774"/>
      <c r="W209" s="662"/>
      <c r="X209" s="757"/>
      <c r="Y209" s="662"/>
      <c r="Z209" s="662"/>
    </row>
    <row r="210" hidden="1" outlineLevel="1">
      <c r="A210" s="662"/>
      <c r="B210" s="761"/>
      <c r="C210" s="762">
        <f>IF(C199="","",IF(DAY(C199+1)=1,"",C199+1))</f>
        <v>46072</v>
      </c>
      <c r="D210" s="763" t="str">
        <f>TEXT(C210,"ddd")</f>
        <v>木</v>
      </c>
      <c r="E210" s="764"/>
      <c r="F210" s="765" t="s">
        <v>594</v>
      </c>
      <c r="G210" s="766" t="s">
        <v>595</v>
      </c>
      <c r="H210" s="767"/>
      <c r="I210" s="768">
        <v>0.0</v>
      </c>
      <c r="J210" s="763"/>
      <c r="K210" s="763"/>
      <c r="L210" s="769"/>
      <c r="M210" s="769"/>
      <c r="N210" s="765"/>
      <c r="O210" s="770"/>
      <c r="P210" s="771"/>
      <c r="Q210" s="772"/>
      <c r="R210" s="662"/>
      <c r="S210" s="228" t="str">
        <f t="array" ref="S210">IFERROR(INDEX('💻シート作成'!$D$6:$D1001, MATCH(T210, '💻シート作成'!$E$6:$E1001, 0)), "")</f>
        <v/>
      </c>
      <c r="T210" s="184"/>
      <c r="U210" s="665"/>
      <c r="V210" s="774"/>
      <c r="W210" s="662"/>
      <c r="X210" s="757"/>
      <c r="Y210" s="662"/>
      <c r="Z210" s="662"/>
    </row>
    <row r="211" hidden="1" outlineLevel="1">
      <c r="A211" s="662"/>
      <c r="B211" s="730"/>
      <c r="C211" s="731"/>
      <c r="D211" s="731"/>
      <c r="E211" s="731"/>
      <c r="F211" s="731"/>
      <c r="G211" s="732"/>
      <c r="H211" s="731"/>
      <c r="I211" s="731"/>
      <c r="J211" s="731"/>
      <c r="K211" s="731"/>
      <c r="L211" s="769"/>
      <c r="M211" s="769"/>
      <c r="N211" s="731"/>
      <c r="O211" s="734"/>
      <c r="Q211" s="729"/>
      <c r="R211" s="662"/>
      <c r="S211" s="228" t="str">
        <f t="array" ref="S211">IFERROR(INDEX('💻シート作成'!$D$6:$D1001, MATCH(T211, '💻シート作成'!$E$6:$E1001, 0)), "")</f>
        <v/>
      </c>
      <c r="T211" s="184"/>
      <c r="U211" s="665"/>
      <c r="V211" s="774"/>
      <c r="W211" s="662"/>
      <c r="X211" s="757"/>
      <c r="Y211" s="662"/>
      <c r="Z211" s="662"/>
    </row>
    <row r="212" hidden="1" outlineLevel="1">
      <c r="A212" s="662"/>
      <c r="B212" s="730"/>
      <c r="C212" s="731"/>
      <c r="D212" s="731"/>
      <c r="E212" s="731"/>
      <c r="F212" s="731"/>
      <c r="G212" s="732"/>
      <c r="H212" s="731"/>
      <c r="I212" s="731"/>
      <c r="J212" s="731"/>
      <c r="K212" s="731"/>
      <c r="L212" s="769"/>
      <c r="M212" s="769"/>
      <c r="N212" s="731"/>
      <c r="O212" s="734"/>
      <c r="Q212" s="729"/>
      <c r="R212" s="662"/>
      <c r="S212" s="228" t="str">
        <f t="array" ref="S212">IFERROR(INDEX('💻シート作成'!$D$6:$D1001, MATCH(T212, '💻シート作成'!$E$6:$E1001, 0)), "")</f>
        <v/>
      </c>
      <c r="T212" s="184"/>
      <c r="U212" s="665"/>
      <c r="V212" s="774"/>
      <c r="W212" s="662"/>
      <c r="X212" s="757"/>
      <c r="Y212" s="662"/>
      <c r="Z212" s="662"/>
    </row>
    <row r="213" hidden="1" outlineLevel="1">
      <c r="A213" s="662"/>
      <c r="B213" s="730"/>
      <c r="C213" s="731"/>
      <c r="D213" s="731"/>
      <c r="E213" s="731"/>
      <c r="F213" s="731"/>
      <c r="G213" s="732"/>
      <c r="H213" s="731"/>
      <c r="I213" s="731"/>
      <c r="J213" s="731"/>
      <c r="K213" s="731"/>
      <c r="L213" s="773"/>
      <c r="M213" s="769"/>
      <c r="N213" s="731"/>
      <c r="O213" s="734"/>
      <c r="Q213" s="729"/>
      <c r="R213" s="662"/>
      <c r="S213" s="228" t="str">
        <f t="array" ref="S213">IFERROR(INDEX('💻シート作成'!$D$6:$D1001, MATCH(T213, '💻シート作成'!$E$6:$E1001, 0)), "")</f>
        <v/>
      </c>
      <c r="T213" s="184"/>
      <c r="U213" s="665"/>
      <c r="V213" s="774"/>
      <c r="W213" s="662"/>
      <c r="X213" s="757"/>
      <c r="Y213" s="662"/>
      <c r="Z213" s="662"/>
    </row>
    <row r="214" hidden="1" outlineLevel="1">
      <c r="A214" s="662"/>
      <c r="B214" s="730"/>
      <c r="C214" s="731"/>
      <c r="D214" s="731"/>
      <c r="E214" s="731"/>
      <c r="F214" s="731"/>
      <c r="G214" s="732"/>
      <c r="H214" s="731"/>
      <c r="I214" s="731"/>
      <c r="J214" s="731"/>
      <c r="K214" s="731"/>
      <c r="L214" s="773"/>
      <c r="M214" s="769"/>
      <c r="N214" s="731"/>
      <c r="O214" s="734"/>
      <c r="Q214" s="729"/>
      <c r="R214" s="662"/>
      <c r="S214" s="228" t="str">
        <f t="array" ref="S214">IFERROR(INDEX('💻シート作成'!$D$6:$D1001, MATCH(T214, '💻シート作成'!$E$6:$E1001, 0)), "")</f>
        <v/>
      </c>
      <c r="T214" s="184"/>
      <c r="U214" s="665"/>
      <c r="V214" s="774"/>
      <c r="W214" s="662"/>
      <c r="X214" s="757"/>
      <c r="Y214" s="662"/>
      <c r="Z214" s="662"/>
    </row>
    <row r="215" hidden="1" outlineLevel="1">
      <c r="A215" s="662"/>
      <c r="B215" s="730"/>
      <c r="C215" s="731"/>
      <c r="D215" s="731"/>
      <c r="E215" s="731"/>
      <c r="F215" s="731"/>
      <c r="G215" s="732"/>
      <c r="H215" s="731"/>
      <c r="I215" s="731"/>
      <c r="J215" s="731"/>
      <c r="K215" s="731"/>
      <c r="L215" s="773"/>
      <c r="M215" s="769"/>
      <c r="N215" s="731"/>
      <c r="O215" s="734"/>
      <c r="Q215" s="729"/>
      <c r="R215" s="662"/>
      <c r="S215" s="228" t="str">
        <f t="array" ref="S215">IFERROR(INDEX('💻シート作成'!$D$6:$D1001, MATCH(T215, '💻シート作成'!$E$6:$E1001, 0)), "")</f>
        <v/>
      </c>
      <c r="T215" s="184"/>
      <c r="U215" s="665"/>
      <c r="V215" s="774"/>
      <c r="W215" s="662"/>
      <c r="X215" s="757"/>
      <c r="Y215" s="662"/>
      <c r="Z215" s="662"/>
    </row>
    <row r="216" hidden="1" outlineLevel="1">
      <c r="A216" s="662"/>
      <c r="B216" s="730"/>
      <c r="C216" s="731"/>
      <c r="D216" s="731"/>
      <c r="E216" s="731"/>
      <c r="F216" s="731"/>
      <c r="G216" s="732"/>
      <c r="H216" s="731"/>
      <c r="I216" s="731"/>
      <c r="J216" s="731"/>
      <c r="K216" s="731"/>
      <c r="L216" s="773"/>
      <c r="M216" s="769"/>
      <c r="N216" s="731"/>
      <c r="O216" s="734"/>
      <c r="Q216" s="729"/>
      <c r="R216" s="662"/>
      <c r="S216" s="228" t="str">
        <f t="array" ref="S216">IFERROR(INDEX('💻シート作成'!$D$6:$D1001, MATCH(T216, '💻シート作成'!$E$6:$E1001, 0)), "")</f>
        <v/>
      </c>
      <c r="T216" s="184"/>
      <c r="U216" s="665"/>
      <c r="V216" s="774"/>
      <c r="W216" s="662"/>
      <c r="X216" s="757"/>
      <c r="Y216" s="662"/>
      <c r="Z216" s="662"/>
    </row>
    <row r="217" hidden="1" outlineLevel="1">
      <c r="A217" s="662"/>
      <c r="B217" s="730"/>
      <c r="C217" s="731"/>
      <c r="D217" s="731"/>
      <c r="E217" s="731"/>
      <c r="F217" s="731"/>
      <c r="G217" s="732"/>
      <c r="H217" s="731"/>
      <c r="I217" s="731"/>
      <c r="J217" s="731"/>
      <c r="K217" s="731"/>
      <c r="L217" s="773"/>
      <c r="M217" s="769"/>
      <c r="N217" s="731"/>
      <c r="O217" s="734"/>
      <c r="Q217" s="729"/>
      <c r="R217" s="662"/>
      <c r="S217" s="228" t="str">
        <f t="array" ref="S217">IFERROR(INDEX('💻シート作成'!$D$6:$D1001, MATCH(T217, '💻シート作成'!$E$6:$E1001, 0)), "")</f>
        <v/>
      </c>
      <c r="T217" s="184"/>
      <c r="U217" s="665"/>
      <c r="V217" s="774"/>
      <c r="W217" s="662"/>
      <c r="X217" s="757"/>
      <c r="Y217" s="662"/>
      <c r="Z217" s="662"/>
    </row>
    <row r="218" hidden="1" outlineLevel="1">
      <c r="A218" s="662"/>
      <c r="B218" s="730"/>
      <c r="C218" s="731"/>
      <c r="D218" s="731"/>
      <c r="E218" s="731"/>
      <c r="F218" s="731"/>
      <c r="G218" s="732"/>
      <c r="H218" s="731"/>
      <c r="I218" s="731"/>
      <c r="J218" s="731"/>
      <c r="K218" s="731"/>
      <c r="L218" s="773"/>
      <c r="M218" s="769"/>
      <c r="N218" s="731"/>
      <c r="O218" s="734"/>
      <c r="Q218" s="729"/>
      <c r="R218" s="662"/>
      <c r="S218" s="228" t="str">
        <f t="array" ref="S218">IFERROR(INDEX('💻シート作成'!$D$6:$D1001, MATCH(T218, '💻シート作成'!$E$6:$E1001, 0)), "")</f>
        <v/>
      </c>
      <c r="T218" s="184"/>
      <c r="U218" s="665"/>
      <c r="V218" s="774"/>
      <c r="W218" s="662"/>
      <c r="X218" s="757"/>
      <c r="Y218" s="662"/>
      <c r="Z218" s="662"/>
    </row>
    <row r="219" hidden="1" outlineLevel="1">
      <c r="A219" s="662"/>
      <c r="B219" s="730"/>
      <c r="C219" s="731"/>
      <c r="D219" s="731"/>
      <c r="E219" s="731"/>
      <c r="F219" s="698"/>
      <c r="G219" s="699"/>
      <c r="H219" s="698"/>
      <c r="I219" s="698"/>
      <c r="J219" s="698"/>
      <c r="K219" s="698"/>
      <c r="L219" s="773"/>
      <c r="M219" s="769"/>
      <c r="N219" s="698"/>
      <c r="O219" s="701"/>
      <c r="P219" s="702"/>
      <c r="Q219" s="738"/>
      <c r="R219" s="662"/>
      <c r="S219" s="228" t="str">
        <f t="array" ref="S219">IFERROR(INDEX('💻シート作成'!$D$6:$D1001, MATCH(T219, '💻シート作成'!$E$6:$E1001, 0)), "")</f>
        <v/>
      </c>
      <c r="T219" s="184"/>
      <c r="U219" s="665"/>
      <c r="V219" s="774"/>
      <c r="W219" s="662"/>
      <c r="X219" s="757"/>
      <c r="Y219" s="662"/>
      <c r="Z219" s="662"/>
    </row>
    <row r="220" hidden="1" outlineLevel="1">
      <c r="A220" s="662"/>
      <c r="B220" s="739"/>
      <c r="C220" s="698"/>
      <c r="D220" s="698"/>
      <c r="E220" s="698"/>
      <c r="F220" s="740" t="s">
        <v>546</v>
      </c>
      <c r="G220" s="741"/>
      <c r="H220" s="742"/>
      <c r="I220" s="742"/>
      <c r="J220" s="742"/>
      <c r="K220" s="742"/>
      <c r="L220" s="741"/>
      <c r="M220" s="741"/>
      <c r="N220" s="741"/>
      <c r="O220" s="741"/>
      <c r="P220" s="741"/>
      <c r="Q220" s="743"/>
      <c r="R220" s="662"/>
      <c r="S220" s="228" t="str">
        <f t="array" ref="S220">IFERROR(INDEX('💻シート作成'!$D$6:$D1001, MATCH(T220, '💻シート作成'!$E$6:$E1001, 0)), "")</f>
        <v/>
      </c>
      <c r="T220" s="184"/>
      <c r="U220" s="665"/>
      <c r="V220" s="774"/>
      <c r="W220" s="662"/>
      <c r="X220" s="757"/>
      <c r="Y220" s="662"/>
      <c r="Z220" s="662"/>
    </row>
    <row r="221" hidden="1" outlineLevel="1">
      <c r="A221" s="662"/>
      <c r="B221" s="744"/>
      <c r="C221" s="745">
        <f>IF(C210="","",IF(DAY(C210+1)=1,"",C210+1))</f>
        <v>46073</v>
      </c>
      <c r="D221" s="746" t="str">
        <f>TEXT(C221,"ddd")</f>
        <v>金</v>
      </c>
      <c r="E221" s="747"/>
      <c r="F221" s="775" t="s">
        <v>594</v>
      </c>
      <c r="G221" s="776" t="s">
        <v>595</v>
      </c>
      <c r="H221" s="777"/>
      <c r="I221" s="778">
        <v>0.0</v>
      </c>
      <c r="J221" s="746"/>
      <c r="K221" s="746"/>
      <c r="L221" s="755"/>
      <c r="M221" s="755"/>
      <c r="N221" s="775"/>
      <c r="O221" s="779"/>
      <c r="P221" s="771"/>
      <c r="Q221" s="772"/>
      <c r="R221" s="662"/>
      <c r="S221" s="228" t="str">
        <f t="array" ref="S221">IFERROR(INDEX('💻シート作成'!$D$6:$D1001, MATCH(T221, '💻シート作成'!$E$6:$E1001, 0)), "")</f>
        <v/>
      </c>
      <c r="T221" s="184"/>
      <c r="U221" s="665"/>
      <c r="V221" s="774"/>
      <c r="W221" s="662"/>
      <c r="X221" s="757"/>
      <c r="Y221" s="662"/>
      <c r="Z221" s="662"/>
    </row>
    <row r="222" hidden="1" outlineLevel="1">
      <c r="A222" s="662"/>
      <c r="B222" s="730"/>
      <c r="C222" s="731"/>
      <c r="D222" s="731"/>
      <c r="E222" s="731"/>
      <c r="F222" s="731"/>
      <c r="G222" s="732"/>
      <c r="H222" s="731"/>
      <c r="I222" s="731"/>
      <c r="J222" s="731"/>
      <c r="K222" s="731"/>
      <c r="L222" s="755"/>
      <c r="M222" s="755"/>
      <c r="N222" s="731"/>
      <c r="O222" s="734"/>
      <c r="Q222" s="729"/>
      <c r="R222" s="662"/>
      <c r="S222" s="228" t="str">
        <f t="array" ref="S222">IFERROR(INDEX('💻シート作成'!$D$6:$D1001, MATCH(T222, '💻シート作成'!$E$6:$E1001, 0)), "")</f>
        <v/>
      </c>
      <c r="T222" s="184"/>
      <c r="U222" s="665"/>
      <c r="V222" s="774"/>
      <c r="W222" s="662"/>
      <c r="X222" s="757"/>
      <c r="Y222" s="662"/>
      <c r="Z222" s="662"/>
    </row>
    <row r="223" hidden="1" outlineLevel="1">
      <c r="A223" s="662"/>
      <c r="B223" s="730"/>
      <c r="C223" s="731"/>
      <c r="D223" s="731"/>
      <c r="E223" s="731"/>
      <c r="F223" s="731"/>
      <c r="G223" s="732"/>
      <c r="H223" s="731"/>
      <c r="I223" s="731"/>
      <c r="J223" s="731"/>
      <c r="K223" s="731"/>
      <c r="L223" s="755"/>
      <c r="M223" s="755"/>
      <c r="N223" s="731"/>
      <c r="O223" s="734"/>
      <c r="Q223" s="729"/>
      <c r="R223" s="662"/>
      <c r="S223" s="228" t="str">
        <f t="array" ref="S223">IFERROR(INDEX('💻シート作成'!$D$6:$D1001, MATCH(T223, '💻シート作成'!$E$6:$E1001, 0)), "")</f>
        <v/>
      </c>
      <c r="T223" s="184"/>
      <c r="U223" s="665"/>
      <c r="V223" s="774"/>
      <c r="W223" s="662"/>
      <c r="X223" s="757"/>
      <c r="Y223" s="662"/>
      <c r="Z223" s="662"/>
    </row>
    <row r="224" hidden="1" outlineLevel="1">
      <c r="A224" s="662"/>
      <c r="B224" s="730"/>
      <c r="C224" s="731"/>
      <c r="D224" s="731"/>
      <c r="E224" s="731"/>
      <c r="F224" s="731"/>
      <c r="G224" s="732"/>
      <c r="H224" s="731"/>
      <c r="I224" s="731"/>
      <c r="J224" s="731"/>
      <c r="K224" s="731"/>
      <c r="L224" s="756"/>
      <c r="M224" s="755"/>
      <c r="N224" s="731"/>
      <c r="O224" s="734"/>
      <c r="Q224" s="729"/>
      <c r="R224" s="662"/>
      <c r="S224" s="228" t="str">
        <f t="array" ref="S224">IFERROR(INDEX('💻シート作成'!$D$6:$D1001, MATCH(T224, '💻シート作成'!$E$6:$E1001, 0)), "")</f>
        <v/>
      </c>
      <c r="T224" s="184"/>
      <c r="U224" s="665"/>
      <c r="V224" s="774"/>
      <c r="W224" s="662"/>
      <c r="X224" s="757"/>
      <c r="Y224" s="662"/>
      <c r="Z224" s="662"/>
    </row>
    <row r="225" hidden="1" outlineLevel="1">
      <c r="A225" s="662"/>
      <c r="B225" s="730"/>
      <c r="C225" s="731"/>
      <c r="D225" s="731"/>
      <c r="E225" s="731"/>
      <c r="F225" s="731"/>
      <c r="G225" s="732"/>
      <c r="H225" s="731"/>
      <c r="I225" s="731"/>
      <c r="J225" s="731"/>
      <c r="K225" s="731"/>
      <c r="L225" s="756"/>
      <c r="M225" s="755"/>
      <c r="N225" s="731"/>
      <c r="O225" s="734"/>
      <c r="Q225" s="729"/>
      <c r="R225" s="662"/>
      <c r="S225" s="228" t="str">
        <f t="array" ref="S225">IFERROR(INDEX('💻シート作成'!$D$6:$D1001, MATCH(T225, '💻シート作成'!$E$6:$E1001, 0)), "")</f>
        <v/>
      </c>
      <c r="T225" s="184"/>
      <c r="U225" s="665"/>
      <c r="V225" s="774"/>
      <c r="W225" s="662"/>
      <c r="X225" s="757"/>
      <c r="Y225" s="662"/>
      <c r="Z225" s="662"/>
    </row>
    <row r="226" hidden="1" outlineLevel="1">
      <c r="A226" s="662"/>
      <c r="B226" s="730"/>
      <c r="C226" s="731"/>
      <c r="D226" s="731"/>
      <c r="E226" s="731"/>
      <c r="F226" s="731"/>
      <c r="G226" s="732"/>
      <c r="H226" s="731"/>
      <c r="I226" s="731"/>
      <c r="J226" s="731"/>
      <c r="K226" s="731"/>
      <c r="L226" s="756"/>
      <c r="M226" s="755"/>
      <c r="N226" s="731"/>
      <c r="O226" s="734"/>
      <c r="Q226" s="729"/>
      <c r="R226" s="662"/>
      <c r="S226" s="228" t="str">
        <f t="array" ref="S226">IFERROR(INDEX('💻シート作成'!$D$6:$D1001, MATCH(T226, '💻シート作成'!$E$6:$E1001, 0)), "")</f>
        <v/>
      </c>
      <c r="T226" s="184"/>
      <c r="U226" s="665"/>
      <c r="V226" s="774"/>
      <c r="W226" s="662"/>
      <c r="X226" s="757"/>
      <c r="Y226" s="662"/>
      <c r="Z226" s="662"/>
    </row>
    <row r="227" hidden="1" outlineLevel="1">
      <c r="A227" s="662"/>
      <c r="B227" s="730"/>
      <c r="C227" s="731"/>
      <c r="D227" s="731"/>
      <c r="E227" s="731"/>
      <c r="F227" s="731"/>
      <c r="G227" s="732"/>
      <c r="H227" s="731"/>
      <c r="I227" s="731"/>
      <c r="J227" s="731"/>
      <c r="K227" s="731"/>
      <c r="L227" s="756"/>
      <c r="M227" s="755"/>
      <c r="N227" s="731"/>
      <c r="O227" s="734"/>
      <c r="Q227" s="729"/>
      <c r="R227" s="662"/>
      <c r="S227" s="228" t="str">
        <f t="array" ref="S227">IFERROR(INDEX('💻シート作成'!$D$6:$D1001, MATCH(T227, '💻シート作成'!$E$6:$E1001, 0)), "")</f>
        <v/>
      </c>
      <c r="T227" s="184"/>
      <c r="U227" s="665"/>
      <c r="V227" s="774"/>
      <c r="W227" s="662"/>
      <c r="X227" s="757"/>
      <c r="Y227" s="662"/>
      <c r="Z227" s="662"/>
    </row>
    <row r="228" hidden="1" outlineLevel="1">
      <c r="A228" s="662"/>
      <c r="B228" s="730"/>
      <c r="C228" s="731"/>
      <c r="D228" s="731"/>
      <c r="E228" s="731"/>
      <c r="F228" s="731"/>
      <c r="G228" s="732"/>
      <c r="H228" s="731"/>
      <c r="I228" s="731"/>
      <c r="J228" s="731"/>
      <c r="K228" s="731"/>
      <c r="L228" s="756"/>
      <c r="M228" s="755"/>
      <c r="N228" s="731"/>
      <c r="O228" s="734"/>
      <c r="Q228" s="729"/>
      <c r="R228" s="662"/>
      <c r="S228" s="228" t="str">
        <f t="array" ref="S228">IFERROR(INDEX('💻シート作成'!$D$6:$D1001, MATCH(T228, '💻シート作成'!$E$6:$E1001, 0)), "")</f>
        <v/>
      </c>
      <c r="T228" s="184"/>
      <c r="U228" s="665"/>
      <c r="V228" s="774"/>
      <c r="W228" s="662"/>
      <c r="X228" s="757"/>
      <c r="Y228" s="662"/>
      <c r="Z228" s="662"/>
    </row>
    <row r="229" hidden="1" outlineLevel="1">
      <c r="A229" s="662"/>
      <c r="B229" s="730"/>
      <c r="C229" s="731"/>
      <c r="D229" s="731"/>
      <c r="E229" s="731"/>
      <c r="F229" s="731"/>
      <c r="G229" s="732"/>
      <c r="H229" s="731"/>
      <c r="I229" s="731"/>
      <c r="J229" s="731"/>
      <c r="K229" s="731"/>
      <c r="L229" s="756"/>
      <c r="M229" s="755"/>
      <c r="N229" s="731"/>
      <c r="O229" s="734"/>
      <c r="Q229" s="729"/>
      <c r="R229" s="662"/>
      <c r="S229" s="228" t="str">
        <f t="array" ref="S229">IFERROR(INDEX('💻シート作成'!$D$6:$D1001, MATCH(T229, '💻シート作成'!$E$6:$E1001, 0)), "")</f>
        <v/>
      </c>
      <c r="T229" s="184"/>
      <c r="U229" s="665"/>
      <c r="V229" s="774"/>
      <c r="W229" s="662"/>
      <c r="X229" s="757"/>
      <c r="Y229" s="662"/>
      <c r="Z229" s="662"/>
    </row>
    <row r="230" hidden="1" outlineLevel="1">
      <c r="A230" s="662"/>
      <c r="B230" s="730"/>
      <c r="C230" s="731"/>
      <c r="D230" s="731"/>
      <c r="E230" s="731"/>
      <c r="F230" s="698"/>
      <c r="G230" s="699"/>
      <c r="H230" s="698"/>
      <c r="I230" s="698"/>
      <c r="J230" s="698"/>
      <c r="K230" s="698"/>
      <c r="L230" s="756"/>
      <c r="M230" s="755"/>
      <c r="N230" s="698"/>
      <c r="O230" s="701"/>
      <c r="P230" s="702"/>
      <c r="Q230" s="738"/>
      <c r="R230" s="662"/>
      <c r="S230" s="228" t="str">
        <f t="array" ref="S230">IFERROR(INDEX('💻シート作成'!$D$6:$D1001, MATCH(T230, '💻シート作成'!$E$6:$E1001, 0)), "")</f>
        <v/>
      </c>
      <c r="T230" s="184"/>
      <c r="U230" s="665"/>
      <c r="V230" s="774"/>
      <c r="W230" s="662"/>
      <c r="X230" s="757"/>
      <c r="Y230" s="662"/>
      <c r="Z230" s="662"/>
    </row>
    <row r="231" hidden="1" outlineLevel="1">
      <c r="A231" s="662"/>
      <c r="B231" s="739"/>
      <c r="C231" s="698"/>
      <c r="D231" s="698"/>
      <c r="E231" s="698"/>
      <c r="F231" s="758" t="s">
        <v>546</v>
      </c>
      <c r="G231" s="759"/>
      <c r="H231" s="742"/>
      <c r="I231" s="742"/>
      <c r="J231" s="742"/>
      <c r="K231" s="742"/>
      <c r="L231" s="759"/>
      <c r="M231" s="759"/>
      <c r="N231" s="759"/>
      <c r="O231" s="759"/>
      <c r="P231" s="759"/>
      <c r="Q231" s="760"/>
      <c r="R231" s="662"/>
      <c r="S231" s="228" t="str">
        <f t="array" ref="S231">IFERROR(INDEX('💻シート作成'!$D$6:$D1001, MATCH(T231, '💻シート作成'!$E$6:$E1001, 0)), "")</f>
        <v/>
      </c>
      <c r="T231" s="184"/>
      <c r="U231" s="665"/>
      <c r="V231" s="774"/>
      <c r="W231" s="662"/>
      <c r="X231" s="757"/>
      <c r="Y231" s="662"/>
      <c r="Z231" s="662"/>
    </row>
    <row r="232" collapsed="1">
      <c r="A232" s="662"/>
      <c r="B232" s="780" t="s">
        <v>596</v>
      </c>
      <c r="C232" s="781"/>
      <c r="D232" s="781"/>
      <c r="E232" s="781"/>
      <c r="F232" s="782"/>
      <c r="G232" s="783"/>
      <c r="H232" s="784"/>
      <c r="I232" s="784"/>
      <c r="J232" s="785"/>
      <c r="K232" s="785"/>
      <c r="L232" s="783"/>
      <c r="M232" s="783"/>
      <c r="N232" s="786"/>
      <c r="O232" s="787"/>
      <c r="P232" s="787"/>
      <c r="Q232" s="788"/>
      <c r="R232" s="662"/>
      <c r="S232" s="228" t="str">
        <f t="array" ref="S232">IFERROR(INDEX('💻シート作成'!$D$6:$D1001, MATCH(T232, '💻シート作成'!$E$6:$E1001, 0)), "")</f>
        <v/>
      </c>
      <c r="T232" s="184"/>
      <c r="U232" s="665"/>
      <c r="V232" s="774"/>
      <c r="W232" s="662"/>
      <c r="X232" s="757"/>
      <c r="Y232" s="662"/>
      <c r="Z232" s="662"/>
    </row>
    <row r="233" hidden="1" outlineLevel="1">
      <c r="A233" s="662"/>
      <c r="B233" s="761"/>
      <c r="C233" s="762">
        <f>IF(C221="","",IF(DAY(C221+1)=1,"",C221+1))</f>
        <v>46074</v>
      </c>
      <c r="D233" s="763" t="str">
        <f>TEXT(C233,"ddd")</f>
        <v>土</v>
      </c>
      <c r="E233" s="764"/>
      <c r="F233" s="765" t="s">
        <v>594</v>
      </c>
      <c r="G233" s="766" t="s">
        <v>595</v>
      </c>
      <c r="H233" s="767"/>
      <c r="I233" s="768">
        <v>0.0</v>
      </c>
      <c r="J233" s="763"/>
      <c r="K233" s="763"/>
      <c r="L233" s="769"/>
      <c r="M233" s="769"/>
      <c r="N233" s="765"/>
      <c r="O233" s="770"/>
      <c r="P233" s="771"/>
      <c r="Q233" s="772"/>
      <c r="R233" s="662"/>
      <c r="S233" s="228" t="str">
        <f t="array" ref="S233">IFERROR(INDEX('💻シート作成'!$D$6:$D1001, MATCH(T233, '💻シート作成'!$E$6:$E1001, 0)), "")</f>
        <v/>
      </c>
      <c r="T233" s="184"/>
      <c r="U233" s="665"/>
      <c r="V233" s="774"/>
      <c r="W233" s="662"/>
      <c r="X233" s="757"/>
      <c r="Y233" s="662"/>
      <c r="Z233" s="662"/>
    </row>
    <row r="234" hidden="1" outlineLevel="1">
      <c r="A234" s="662"/>
      <c r="B234" s="730"/>
      <c r="C234" s="731"/>
      <c r="D234" s="731"/>
      <c r="E234" s="731"/>
      <c r="F234" s="731"/>
      <c r="G234" s="732"/>
      <c r="H234" s="731"/>
      <c r="I234" s="731"/>
      <c r="J234" s="731"/>
      <c r="K234" s="731"/>
      <c r="L234" s="769"/>
      <c r="M234" s="769"/>
      <c r="N234" s="731"/>
      <c r="O234" s="734"/>
      <c r="Q234" s="729"/>
      <c r="R234" s="662"/>
      <c r="S234" s="228" t="str">
        <f t="array" ref="S234">IFERROR(INDEX('💻シート作成'!$D$6:$D1001, MATCH(T234, '💻シート作成'!$E$6:$E1001, 0)), "")</f>
        <v/>
      </c>
      <c r="T234" s="184"/>
      <c r="U234" s="665"/>
      <c r="V234" s="774"/>
      <c r="W234" s="662"/>
      <c r="X234" s="757"/>
      <c r="Y234" s="662"/>
      <c r="Z234" s="662"/>
    </row>
    <row r="235" hidden="1" outlineLevel="1">
      <c r="A235" s="662"/>
      <c r="B235" s="730"/>
      <c r="C235" s="731"/>
      <c r="D235" s="731"/>
      <c r="E235" s="731"/>
      <c r="F235" s="731"/>
      <c r="G235" s="732"/>
      <c r="H235" s="731"/>
      <c r="I235" s="731"/>
      <c r="J235" s="731"/>
      <c r="K235" s="731"/>
      <c r="L235" s="769"/>
      <c r="M235" s="769"/>
      <c r="N235" s="731"/>
      <c r="O235" s="734"/>
      <c r="Q235" s="729"/>
      <c r="R235" s="662"/>
      <c r="S235" s="228" t="str">
        <f t="array" ref="S235">IFERROR(INDEX('💻シート作成'!$D$6:$D1001, MATCH(T235, '💻シート作成'!$E$6:$E1001, 0)), "")</f>
        <v/>
      </c>
      <c r="T235" s="184"/>
      <c r="U235" s="665"/>
      <c r="V235" s="774"/>
      <c r="W235" s="662"/>
      <c r="X235" s="757"/>
      <c r="Y235" s="662"/>
      <c r="Z235" s="662"/>
    </row>
    <row r="236" hidden="1" outlineLevel="1">
      <c r="A236" s="662"/>
      <c r="B236" s="730"/>
      <c r="C236" s="731"/>
      <c r="D236" s="731"/>
      <c r="E236" s="731"/>
      <c r="F236" s="731"/>
      <c r="G236" s="732"/>
      <c r="H236" s="731"/>
      <c r="I236" s="731"/>
      <c r="J236" s="731"/>
      <c r="K236" s="731"/>
      <c r="L236" s="773"/>
      <c r="M236" s="769"/>
      <c r="N236" s="731"/>
      <c r="O236" s="734"/>
      <c r="Q236" s="729"/>
      <c r="R236" s="662"/>
      <c r="S236" s="228" t="str">
        <f t="array" ref="S236">IFERROR(INDEX('💻シート作成'!$D$6:$D1001, MATCH(T236, '💻シート作成'!$E$6:$E1001, 0)), "")</f>
        <v/>
      </c>
      <c r="T236" s="184"/>
      <c r="U236" s="665"/>
      <c r="V236" s="774"/>
      <c r="W236" s="662"/>
      <c r="X236" s="757"/>
      <c r="Y236" s="662"/>
      <c r="Z236" s="662"/>
    </row>
    <row r="237" hidden="1" outlineLevel="1">
      <c r="A237" s="662"/>
      <c r="B237" s="730"/>
      <c r="C237" s="731"/>
      <c r="D237" s="731"/>
      <c r="E237" s="731"/>
      <c r="F237" s="731"/>
      <c r="G237" s="732"/>
      <c r="H237" s="731"/>
      <c r="I237" s="731"/>
      <c r="J237" s="731"/>
      <c r="K237" s="731"/>
      <c r="L237" s="773"/>
      <c r="M237" s="769"/>
      <c r="N237" s="731"/>
      <c r="O237" s="734"/>
      <c r="Q237" s="729"/>
      <c r="R237" s="662"/>
      <c r="S237" s="228" t="str">
        <f t="array" ref="S237">IFERROR(INDEX('💻シート作成'!$D$6:$D1001, MATCH(T237, '💻シート作成'!$E$6:$E1001, 0)), "")</f>
        <v/>
      </c>
      <c r="T237" s="184"/>
      <c r="U237" s="665"/>
      <c r="V237" s="774"/>
      <c r="W237" s="662"/>
      <c r="X237" s="757"/>
      <c r="Y237" s="662"/>
      <c r="Z237" s="662"/>
    </row>
    <row r="238" hidden="1" outlineLevel="1">
      <c r="A238" s="662"/>
      <c r="B238" s="730"/>
      <c r="C238" s="731"/>
      <c r="D238" s="731"/>
      <c r="E238" s="731"/>
      <c r="F238" s="731"/>
      <c r="G238" s="732"/>
      <c r="H238" s="731"/>
      <c r="I238" s="731"/>
      <c r="J238" s="731"/>
      <c r="K238" s="731"/>
      <c r="L238" s="773"/>
      <c r="M238" s="769"/>
      <c r="N238" s="731"/>
      <c r="O238" s="734"/>
      <c r="Q238" s="729"/>
      <c r="R238" s="662"/>
      <c r="S238" s="228" t="str">
        <f t="array" ref="S238">IFERROR(INDEX('💻シート作成'!$D$6:$D1001, MATCH(T238, '💻シート作成'!$E$6:$E1001, 0)), "")</f>
        <v/>
      </c>
      <c r="T238" s="184"/>
      <c r="U238" s="665"/>
      <c r="V238" s="774"/>
      <c r="W238" s="662"/>
      <c r="X238" s="757"/>
      <c r="Y238" s="662"/>
      <c r="Z238" s="662"/>
    </row>
    <row r="239" hidden="1" outlineLevel="1">
      <c r="A239" s="662"/>
      <c r="B239" s="730"/>
      <c r="C239" s="731"/>
      <c r="D239" s="731"/>
      <c r="E239" s="731"/>
      <c r="F239" s="731"/>
      <c r="G239" s="732"/>
      <c r="H239" s="731"/>
      <c r="I239" s="731"/>
      <c r="J239" s="731"/>
      <c r="K239" s="731"/>
      <c r="L239" s="773"/>
      <c r="M239" s="769"/>
      <c r="N239" s="731"/>
      <c r="O239" s="734"/>
      <c r="Q239" s="729"/>
      <c r="R239" s="662"/>
      <c r="S239" s="228" t="str">
        <f t="array" ref="S239">IFERROR(INDEX('💻シート作成'!$D$6:$D1001, MATCH(T239, '💻シート作成'!$E$6:$E1001, 0)), "")</f>
        <v/>
      </c>
      <c r="T239" s="184"/>
      <c r="U239" s="665"/>
      <c r="V239" s="774"/>
      <c r="W239" s="662"/>
      <c r="X239" s="757"/>
      <c r="Y239" s="662"/>
      <c r="Z239" s="662"/>
    </row>
    <row r="240" hidden="1" outlineLevel="1">
      <c r="A240" s="662"/>
      <c r="B240" s="730"/>
      <c r="C240" s="731"/>
      <c r="D240" s="731"/>
      <c r="E240" s="731"/>
      <c r="F240" s="731"/>
      <c r="G240" s="732"/>
      <c r="H240" s="731"/>
      <c r="I240" s="731"/>
      <c r="J240" s="731"/>
      <c r="K240" s="731"/>
      <c r="L240" s="773"/>
      <c r="M240" s="769"/>
      <c r="N240" s="731"/>
      <c r="O240" s="734"/>
      <c r="Q240" s="729"/>
      <c r="R240" s="662"/>
      <c r="S240" s="228" t="str">
        <f t="array" ref="S240">IFERROR(INDEX('💻シート作成'!$D$6:$D1001, MATCH(T240, '💻シート作成'!$E$6:$E1001, 0)), "")</f>
        <v/>
      </c>
      <c r="T240" s="184"/>
      <c r="U240" s="665"/>
      <c r="V240" s="774"/>
      <c r="W240" s="662"/>
      <c r="X240" s="757"/>
      <c r="Y240" s="662"/>
      <c r="Z240" s="662"/>
    </row>
    <row r="241" hidden="1" outlineLevel="1">
      <c r="A241" s="662"/>
      <c r="B241" s="730"/>
      <c r="C241" s="731"/>
      <c r="D241" s="731"/>
      <c r="E241" s="731"/>
      <c r="F241" s="731"/>
      <c r="G241" s="732"/>
      <c r="H241" s="731"/>
      <c r="I241" s="731"/>
      <c r="J241" s="731"/>
      <c r="K241" s="731"/>
      <c r="L241" s="773"/>
      <c r="M241" s="769"/>
      <c r="N241" s="731"/>
      <c r="O241" s="734"/>
      <c r="Q241" s="729"/>
      <c r="R241" s="662"/>
      <c r="S241" s="228" t="str">
        <f t="array" ref="S241">IFERROR(INDEX('💻シート作成'!$D$6:$D1001, MATCH(T241, '💻シート作成'!$E$6:$E1001, 0)), "")</f>
        <v/>
      </c>
      <c r="T241" s="184"/>
      <c r="U241" s="665"/>
      <c r="V241" s="774"/>
      <c r="W241" s="662"/>
      <c r="X241" s="757"/>
      <c r="Y241" s="662"/>
      <c r="Z241" s="662"/>
    </row>
    <row r="242" hidden="1" outlineLevel="1">
      <c r="A242" s="662"/>
      <c r="B242" s="730"/>
      <c r="C242" s="731"/>
      <c r="D242" s="731"/>
      <c r="E242" s="731"/>
      <c r="F242" s="698"/>
      <c r="G242" s="699"/>
      <c r="H242" s="698"/>
      <c r="I242" s="698"/>
      <c r="J242" s="698"/>
      <c r="K242" s="698"/>
      <c r="L242" s="773"/>
      <c r="M242" s="769"/>
      <c r="N242" s="698"/>
      <c r="O242" s="701"/>
      <c r="P242" s="702"/>
      <c r="Q242" s="738"/>
      <c r="R242" s="662"/>
      <c r="S242" s="228" t="str">
        <f t="array" ref="S242">IFERROR(INDEX('💻シート作成'!$D$6:$D1001, MATCH(T242, '💻シート作成'!$E$6:$E1001, 0)), "")</f>
        <v/>
      </c>
      <c r="T242" s="184"/>
      <c r="U242" s="665"/>
      <c r="V242" s="774"/>
      <c r="W242" s="662"/>
      <c r="X242" s="757"/>
      <c r="Y242" s="662"/>
      <c r="Z242" s="662"/>
    </row>
    <row r="243" hidden="1" outlineLevel="1">
      <c r="A243" s="662"/>
      <c r="B243" s="739"/>
      <c r="C243" s="698"/>
      <c r="D243" s="698"/>
      <c r="E243" s="698"/>
      <c r="F243" s="740" t="s">
        <v>546</v>
      </c>
      <c r="G243" s="741"/>
      <c r="H243" s="742"/>
      <c r="I243" s="742"/>
      <c r="J243" s="742"/>
      <c r="K243" s="742"/>
      <c r="L243" s="741"/>
      <c r="M243" s="741"/>
      <c r="N243" s="741"/>
      <c r="O243" s="741"/>
      <c r="P243" s="741"/>
      <c r="Q243" s="743"/>
      <c r="R243" s="662"/>
      <c r="S243" s="228" t="str">
        <f t="array" ref="S243">IFERROR(INDEX('💻シート作成'!$D$6:$D1001, MATCH(T243, '💻シート作成'!$E$6:$E1001, 0)), "")</f>
        <v/>
      </c>
      <c r="T243" s="184"/>
      <c r="U243" s="665"/>
      <c r="V243" s="774"/>
      <c r="W243" s="662"/>
      <c r="X243" s="757"/>
      <c r="Y243" s="662"/>
      <c r="Z243" s="662"/>
    </row>
    <row r="244" hidden="1" outlineLevel="1">
      <c r="A244" s="662"/>
      <c r="B244" s="744"/>
      <c r="C244" s="745">
        <f>IF(C233="","",IF(DAY(C233+1)=1,"",C233+1))</f>
        <v>46075</v>
      </c>
      <c r="D244" s="746" t="str">
        <f>TEXT(C244,"ddd")</f>
        <v>日</v>
      </c>
      <c r="E244" s="747"/>
      <c r="F244" s="775" t="s">
        <v>594</v>
      </c>
      <c r="G244" s="776" t="s">
        <v>595</v>
      </c>
      <c r="H244" s="777"/>
      <c r="I244" s="778">
        <v>0.0</v>
      </c>
      <c r="J244" s="746"/>
      <c r="K244" s="746"/>
      <c r="L244" s="755"/>
      <c r="M244" s="755"/>
      <c r="N244" s="775"/>
      <c r="O244" s="779"/>
      <c r="P244" s="771"/>
      <c r="Q244" s="772"/>
      <c r="R244" s="662"/>
      <c r="S244" s="228" t="str">
        <f t="array" ref="S244">IFERROR(INDEX('💻シート作成'!$D$6:$D1001, MATCH(T244, '💻シート作成'!$E$6:$E1001, 0)), "")</f>
        <v/>
      </c>
      <c r="T244" s="184"/>
      <c r="U244" s="665"/>
      <c r="V244" s="774"/>
      <c r="W244" s="662"/>
      <c r="X244" s="757"/>
      <c r="Y244" s="662"/>
      <c r="Z244" s="662"/>
    </row>
    <row r="245" hidden="1" outlineLevel="1">
      <c r="A245" s="662"/>
      <c r="B245" s="730"/>
      <c r="C245" s="731"/>
      <c r="D245" s="731"/>
      <c r="E245" s="731"/>
      <c r="F245" s="731"/>
      <c r="G245" s="732"/>
      <c r="H245" s="731"/>
      <c r="I245" s="731"/>
      <c r="J245" s="731"/>
      <c r="K245" s="731"/>
      <c r="L245" s="755"/>
      <c r="M245" s="755"/>
      <c r="N245" s="731"/>
      <c r="O245" s="734"/>
      <c r="Q245" s="729"/>
      <c r="R245" s="662"/>
      <c r="S245" s="228" t="str">
        <f t="array" ref="S245">IFERROR(INDEX('💻シート作成'!$D$6:$D1001, MATCH(T245, '💻シート作成'!$E$6:$E1001, 0)), "")</f>
        <v/>
      </c>
      <c r="T245" s="184"/>
      <c r="U245" s="665"/>
      <c r="V245" s="774"/>
      <c r="W245" s="662"/>
      <c r="X245" s="757"/>
      <c r="Y245" s="662"/>
      <c r="Z245" s="662"/>
    </row>
    <row r="246" hidden="1" outlineLevel="1">
      <c r="A246" s="662"/>
      <c r="B246" s="730"/>
      <c r="C246" s="731"/>
      <c r="D246" s="731"/>
      <c r="E246" s="731"/>
      <c r="F246" s="731"/>
      <c r="G246" s="732"/>
      <c r="H246" s="731"/>
      <c r="I246" s="731"/>
      <c r="J246" s="731"/>
      <c r="K246" s="731"/>
      <c r="L246" s="755"/>
      <c r="M246" s="755"/>
      <c r="N246" s="731"/>
      <c r="O246" s="734"/>
      <c r="Q246" s="729"/>
      <c r="R246" s="662"/>
      <c r="S246" s="228" t="str">
        <f t="array" ref="S246">IFERROR(INDEX('💻シート作成'!$D$6:$D1001, MATCH(T246, '💻シート作成'!$E$6:$E1001, 0)), "")</f>
        <v/>
      </c>
      <c r="T246" s="184"/>
      <c r="U246" s="665"/>
      <c r="V246" s="774"/>
      <c r="W246" s="662"/>
      <c r="X246" s="757"/>
      <c r="Y246" s="662"/>
      <c r="Z246" s="662"/>
    </row>
    <row r="247" hidden="1" outlineLevel="1">
      <c r="A247" s="662"/>
      <c r="B247" s="730"/>
      <c r="C247" s="731"/>
      <c r="D247" s="731"/>
      <c r="E247" s="731"/>
      <c r="F247" s="731"/>
      <c r="G247" s="732"/>
      <c r="H247" s="731"/>
      <c r="I247" s="731"/>
      <c r="J247" s="731"/>
      <c r="K247" s="731"/>
      <c r="L247" s="756"/>
      <c r="M247" s="755"/>
      <c r="N247" s="731"/>
      <c r="O247" s="734"/>
      <c r="Q247" s="729"/>
      <c r="R247" s="662"/>
      <c r="S247" s="228" t="str">
        <f t="array" ref="S247">IFERROR(INDEX('💻シート作成'!$D$6:$D1001, MATCH(T247, '💻シート作成'!$E$6:$E1001, 0)), "")</f>
        <v/>
      </c>
      <c r="T247" s="184"/>
      <c r="U247" s="665"/>
      <c r="V247" s="774"/>
      <c r="W247" s="662"/>
      <c r="X247" s="757"/>
      <c r="Y247" s="662"/>
      <c r="Z247" s="662"/>
    </row>
    <row r="248" hidden="1" outlineLevel="1">
      <c r="A248" s="662"/>
      <c r="B248" s="730"/>
      <c r="C248" s="731"/>
      <c r="D248" s="731"/>
      <c r="E248" s="731"/>
      <c r="F248" s="731"/>
      <c r="G248" s="732"/>
      <c r="H248" s="731"/>
      <c r="I248" s="731"/>
      <c r="J248" s="731"/>
      <c r="K248" s="731"/>
      <c r="L248" s="756"/>
      <c r="M248" s="755"/>
      <c r="N248" s="731"/>
      <c r="O248" s="734"/>
      <c r="Q248" s="729"/>
      <c r="R248" s="662"/>
      <c r="S248" s="228" t="str">
        <f t="array" ref="S248">IFERROR(INDEX('💻シート作成'!$D$6:$D1001, MATCH(T248, '💻シート作成'!$E$6:$E1001, 0)), "")</f>
        <v/>
      </c>
      <c r="T248" s="184"/>
      <c r="U248" s="665"/>
      <c r="V248" s="774"/>
      <c r="W248" s="662"/>
      <c r="X248" s="757"/>
      <c r="Y248" s="662"/>
      <c r="Z248" s="662"/>
    </row>
    <row r="249" hidden="1" outlineLevel="1">
      <c r="A249" s="662"/>
      <c r="B249" s="730"/>
      <c r="C249" s="731"/>
      <c r="D249" s="731"/>
      <c r="E249" s="731"/>
      <c r="F249" s="731"/>
      <c r="G249" s="732"/>
      <c r="H249" s="731"/>
      <c r="I249" s="731"/>
      <c r="J249" s="731"/>
      <c r="K249" s="731"/>
      <c r="L249" s="756"/>
      <c r="M249" s="755"/>
      <c r="N249" s="731"/>
      <c r="O249" s="734"/>
      <c r="Q249" s="729"/>
      <c r="R249" s="662"/>
      <c r="S249" s="228" t="str">
        <f t="array" ref="S249">IFERROR(INDEX('💻シート作成'!$D$6:$D1001, MATCH(T249, '💻シート作成'!$E$6:$E1001, 0)), "")</f>
        <v/>
      </c>
      <c r="T249" s="184"/>
      <c r="U249" s="665"/>
      <c r="V249" s="774"/>
      <c r="W249" s="662"/>
      <c r="X249" s="757"/>
      <c r="Y249" s="662"/>
      <c r="Z249" s="662"/>
    </row>
    <row r="250" hidden="1" outlineLevel="1">
      <c r="A250" s="662"/>
      <c r="B250" s="730"/>
      <c r="C250" s="731"/>
      <c r="D250" s="731"/>
      <c r="E250" s="731"/>
      <c r="F250" s="731"/>
      <c r="G250" s="732"/>
      <c r="H250" s="731"/>
      <c r="I250" s="731"/>
      <c r="J250" s="731"/>
      <c r="K250" s="731"/>
      <c r="L250" s="756"/>
      <c r="M250" s="755"/>
      <c r="N250" s="731"/>
      <c r="O250" s="734"/>
      <c r="Q250" s="729"/>
      <c r="R250" s="662"/>
      <c r="S250" s="228" t="str">
        <f t="array" ref="S250">IFERROR(INDEX('💻シート作成'!$D$6:$D1001, MATCH(T250, '💻シート作成'!$E$6:$E1001, 0)), "")</f>
        <v/>
      </c>
      <c r="T250" s="184"/>
      <c r="U250" s="665"/>
      <c r="V250" s="774"/>
      <c r="W250" s="662"/>
      <c r="X250" s="757"/>
      <c r="Y250" s="662"/>
      <c r="Z250" s="662"/>
    </row>
    <row r="251" hidden="1" outlineLevel="1">
      <c r="A251" s="662"/>
      <c r="B251" s="730"/>
      <c r="C251" s="731"/>
      <c r="D251" s="731"/>
      <c r="E251" s="731"/>
      <c r="F251" s="731"/>
      <c r="G251" s="732"/>
      <c r="H251" s="731"/>
      <c r="I251" s="731"/>
      <c r="J251" s="731"/>
      <c r="K251" s="731"/>
      <c r="L251" s="756"/>
      <c r="M251" s="755"/>
      <c r="N251" s="731"/>
      <c r="O251" s="734"/>
      <c r="Q251" s="729"/>
      <c r="R251" s="662"/>
      <c r="S251" s="228" t="str">
        <f t="array" ref="S251">IFERROR(INDEX('💻シート作成'!$D$6:$D1001, MATCH(T251, '💻シート作成'!$E$6:$E1001, 0)), "")</f>
        <v/>
      </c>
      <c r="T251" s="184"/>
      <c r="U251" s="665"/>
      <c r="V251" s="774"/>
      <c r="W251" s="662"/>
      <c r="X251" s="757"/>
      <c r="Y251" s="662"/>
      <c r="Z251" s="662"/>
    </row>
    <row r="252" hidden="1" outlineLevel="1">
      <c r="A252" s="662"/>
      <c r="B252" s="730"/>
      <c r="C252" s="731"/>
      <c r="D252" s="731"/>
      <c r="E252" s="731"/>
      <c r="F252" s="731"/>
      <c r="G252" s="732"/>
      <c r="H252" s="731"/>
      <c r="I252" s="731"/>
      <c r="J252" s="731"/>
      <c r="K252" s="731"/>
      <c r="L252" s="756"/>
      <c r="M252" s="755"/>
      <c r="N252" s="731"/>
      <c r="O252" s="734"/>
      <c r="Q252" s="729"/>
      <c r="R252" s="662"/>
      <c r="S252" s="228" t="str">
        <f t="array" ref="S252">IFERROR(INDEX('💻シート作成'!$D$6:$D1001, MATCH(T252, '💻シート作成'!$E$6:$E1001, 0)), "")</f>
        <v/>
      </c>
      <c r="T252" s="184"/>
      <c r="U252" s="665"/>
      <c r="V252" s="774"/>
      <c r="W252" s="662"/>
      <c r="X252" s="757"/>
      <c r="Y252" s="662"/>
      <c r="Z252" s="662"/>
    </row>
    <row r="253" hidden="1" outlineLevel="1">
      <c r="A253" s="662"/>
      <c r="B253" s="730"/>
      <c r="C253" s="731"/>
      <c r="D253" s="731"/>
      <c r="E253" s="731"/>
      <c r="F253" s="698"/>
      <c r="G253" s="699"/>
      <c r="H253" s="698"/>
      <c r="I253" s="698"/>
      <c r="J253" s="698"/>
      <c r="K253" s="698"/>
      <c r="L253" s="756"/>
      <c r="M253" s="755"/>
      <c r="N253" s="698"/>
      <c r="O253" s="701"/>
      <c r="P253" s="702"/>
      <c r="Q253" s="738"/>
      <c r="R253" s="662"/>
      <c r="S253" s="228" t="str">
        <f t="array" ref="S253">IFERROR(INDEX('💻シート作成'!$D$6:$D1001, MATCH(T253, '💻シート作成'!$E$6:$E1001, 0)), "")</f>
        <v/>
      </c>
      <c r="T253" s="184"/>
      <c r="U253" s="665"/>
      <c r="V253" s="774"/>
      <c r="W253" s="662"/>
      <c r="X253" s="757"/>
      <c r="Y253" s="662"/>
      <c r="Z253" s="662"/>
    </row>
    <row r="254" hidden="1" outlineLevel="1">
      <c r="A254" s="662"/>
      <c r="B254" s="739"/>
      <c r="C254" s="698"/>
      <c r="D254" s="698"/>
      <c r="E254" s="698"/>
      <c r="F254" s="758" t="s">
        <v>546</v>
      </c>
      <c r="G254" s="759"/>
      <c r="H254" s="742"/>
      <c r="I254" s="742"/>
      <c r="J254" s="742"/>
      <c r="K254" s="742"/>
      <c r="L254" s="759"/>
      <c r="M254" s="759"/>
      <c r="N254" s="759"/>
      <c r="O254" s="759"/>
      <c r="P254" s="759"/>
      <c r="Q254" s="760"/>
      <c r="R254" s="662"/>
      <c r="S254" s="228" t="str">
        <f t="array" ref="S254">IFERROR(INDEX('💻シート作成'!$D$6:$D1001, MATCH(T254, '💻シート作成'!$E$6:$E1001, 0)), "")</f>
        <v/>
      </c>
      <c r="T254" s="184"/>
      <c r="U254" s="665"/>
      <c r="V254" s="774"/>
      <c r="W254" s="662"/>
      <c r="X254" s="757"/>
      <c r="Y254" s="662"/>
      <c r="Z254" s="662"/>
    </row>
    <row r="255" hidden="1" outlineLevel="1">
      <c r="A255" s="662"/>
      <c r="B255" s="761"/>
      <c r="C255" s="762">
        <f>IF(C244="","",IF(DAY(C244+1)=1,"",C244+1))</f>
        <v>46076</v>
      </c>
      <c r="D255" s="763" t="str">
        <f>TEXT(C255,"ddd")</f>
        <v>月</v>
      </c>
      <c r="E255" s="764"/>
      <c r="F255" s="765" t="s">
        <v>594</v>
      </c>
      <c r="G255" s="766" t="s">
        <v>595</v>
      </c>
      <c r="H255" s="767"/>
      <c r="I255" s="768">
        <v>0.0</v>
      </c>
      <c r="J255" s="763"/>
      <c r="K255" s="763"/>
      <c r="L255" s="769"/>
      <c r="M255" s="769"/>
      <c r="N255" s="765"/>
      <c r="O255" s="770"/>
      <c r="P255" s="771"/>
      <c r="Q255" s="772"/>
      <c r="R255" s="662"/>
      <c r="S255" s="228" t="str">
        <f t="array" ref="S255">IFERROR(INDEX('💻シート作成'!$D$6:$D1001, MATCH(T255, '💻シート作成'!$E$6:$E1001, 0)), "")</f>
        <v/>
      </c>
      <c r="T255" s="184"/>
      <c r="U255" s="665"/>
      <c r="V255" s="774"/>
      <c r="W255" s="662"/>
      <c r="X255" s="757"/>
      <c r="Y255" s="662"/>
      <c r="Z255" s="662"/>
    </row>
    <row r="256" hidden="1" outlineLevel="1">
      <c r="A256" s="662"/>
      <c r="B256" s="730"/>
      <c r="C256" s="731"/>
      <c r="D256" s="731"/>
      <c r="E256" s="731"/>
      <c r="F256" s="731"/>
      <c r="G256" s="732"/>
      <c r="H256" s="731"/>
      <c r="I256" s="731"/>
      <c r="J256" s="731"/>
      <c r="K256" s="731"/>
      <c r="L256" s="769"/>
      <c r="M256" s="769"/>
      <c r="N256" s="731"/>
      <c r="O256" s="734"/>
      <c r="Q256" s="729"/>
      <c r="R256" s="662"/>
      <c r="S256" s="228" t="str">
        <f t="array" ref="S256">IFERROR(INDEX('💻シート作成'!$D$6:$D1001, MATCH(T256, '💻シート作成'!$E$6:$E1001, 0)), "")</f>
        <v/>
      </c>
      <c r="T256" s="184"/>
      <c r="U256" s="665"/>
      <c r="V256" s="774"/>
      <c r="W256" s="662"/>
      <c r="X256" s="757"/>
      <c r="Y256" s="662"/>
      <c r="Z256" s="662"/>
    </row>
    <row r="257" hidden="1" outlineLevel="1">
      <c r="A257" s="662"/>
      <c r="B257" s="730"/>
      <c r="C257" s="731"/>
      <c r="D257" s="731"/>
      <c r="E257" s="731"/>
      <c r="F257" s="731"/>
      <c r="G257" s="732"/>
      <c r="H257" s="731"/>
      <c r="I257" s="731"/>
      <c r="J257" s="731"/>
      <c r="K257" s="731"/>
      <c r="L257" s="769"/>
      <c r="M257" s="769"/>
      <c r="N257" s="731"/>
      <c r="O257" s="734"/>
      <c r="Q257" s="729"/>
      <c r="R257" s="662"/>
      <c r="S257" s="228" t="str">
        <f t="array" ref="S257">IFERROR(INDEX('💻シート作成'!$D$6:$D1001, MATCH(T257, '💻シート作成'!$E$6:$E1001, 0)), "")</f>
        <v/>
      </c>
      <c r="T257" s="184"/>
      <c r="U257" s="665"/>
      <c r="V257" s="774"/>
      <c r="W257" s="662"/>
      <c r="X257" s="757"/>
      <c r="Y257" s="662"/>
      <c r="Z257" s="662"/>
    </row>
    <row r="258" hidden="1" outlineLevel="1">
      <c r="A258" s="662"/>
      <c r="B258" s="730"/>
      <c r="C258" s="731"/>
      <c r="D258" s="731"/>
      <c r="E258" s="731"/>
      <c r="F258" s="731"/>
      <c r="G258" s="732"/>
      <c r="H258" s="731"/>
      <c r="I258" s="731"/>
      <c r="J258" s="731"/>
      <c r="K258" s="731"/>
      <c r="L258" s="773"/>
      <c r="M258" s="769"/>
      <c r="N258" s="731"/>
      <c r="O258" s="734"/>
      <c r="Q258" s="729"/>
      <c r="R258" s="662"/>
      <c r="S258" s="228" t="str">
        <f t="array" ref="S258">IFERROR(INDEX('💻シート作成'!$D$6:$D1001, MATCH(T258, '💻シート作成'!$E$6:$E1001, 0)), "")</f>
        <v/>
      </c>
      <c r="T258" s="184"/>
      <c r="U258" s="665"/>
      <c r="V258" s="774"/>
      <c r="W258" s="662"/>
      <c r="X258" s="757"/>
      <c r="Y258" s="662"/>
      <c r="Z258" s="662"/>
    </row>
    <row r="259" hidden="1" outlineLevel="1">
      <c r="A259" s="662"/>
      <c r="B259" s="730"/>
      <c r="C259" s="731"/>
      <c r="D259" s="731"/>
      <c r="E259" s="731"/>
      <c r="F259" s="731"/>
      <c r="G259" s="732"/>
      <c r="H259" s="731"/>
      <c r="I259" s="731"/>
      <c r="J259" s="731"/>
      <c r="K259" s="731"/>
      <c r="L259" s="773"/>
      <c r="M259" s="769"/>
      <c r="N259" s="731"/>
      <c r="O259" s="734"/>
      <c r="Q259" s="729"/>
      <c r="R259" s="662"/>
      <c r="S259" s="228" t="str">
        <f t="array" ref="S259">IFERROR(INDEX('💻シート作成'!$D$6:$D1001, MATCH(T259, '💻シート作成'!$E$6:$E1001, 0)), "")</f>
        <v/>
      </c>
      <c r="T259" s="184"/>
      <c r="U259" s="665"/>
      <c r="V259" s="774"/>
      <c r="W259" s="662"/>
      <c r="X259" s="757"/>
      <c r="Y259" s="662"/>
      <c r="Z259" s="662"/>
    </row>
    <row r="260" hidden="1" outlineLevel="1">
      <c r="A260" s="662"/>
      <c r="B260" s="730"/>
      <c r="C260" s="731"/>
      <c r="D260" s="731"/>
      <c r="E260" s="731"/>
      <c r="F260" s="731"/>
      <c r="G260" s="732"/>
      <c r="H260" s="731"/>
      <c r="I260" s="731"/>
      <c r="J260" s="731"/>
      <c r="K260" s="731"/>
      <c r="L260" s="773"/>
      <c r="M260" s="769"/>
      <c r="N260" s="731"/>
      <c r="O260" s="734"/>
      <c r="Q260" s="729"/>
      <c r="R260" s="662"/>
      <c r="S260" s="228" t="str">
        <f t="array" ref="S260">IFERROR(INDEX('💻シート作成'!$D$6:$D1001, MATCH(T260, '💻シート作成'!$E$6:$E1001, 0)), "")</f>
        <v/>
      </c>
      <c r="T260" s="184"/>
      <c r="U260" s="665"/>
      <c r="V260" s="774"/>
      <c r="W260" s="662"/>
      <c r="X260" s="757"/>
      <c r="Y260" s="662"/>
      <c r="Z260" s="662"/>
    </row>
    <row r="261" hidden="1" outlineLevel="1">
      <c r="A261" s="662"/>
      <c r="B261" s="730"/>
      <c r="C261" s="731"/>
      <c r="D261" s="731"/>
      <c r="E261" s="731"/>
      <c r="F261" s="731"/>
      <c r="G261" s="732"/>
      <c r="H261" s="731"/>
      <c r="I261" s="731"/>
      <c r="J261" s="731"/>
      <c r="K261" s="731"/>
      <c r="L261" s="773"/>
      <c r="M261" s="769"/>
      <c r="N261" s="731"/>
      <c r="O261" s="734"/>
      <c r="Q261" s="729"/>
      <c r="R261" s="662"/>
      <c r="S261" s="228" t="str">
        <f t="array" ref="S261">IFERROR(INDEX('💻シート作成'!$D$6:$D1001, MATCH(T261, '💻シート作成'!$E$6:$E1001, 0)), "")</f>
        <v/>
      </c>
      <c r="T261" s="184"/>
      <c r="U261" s="665"/>
      <c r="V261" s="774"/>
      <c r="W261" s="662"/>
      <c r="X261" s="757"/>
      <c r="Y261" s="662"/>
      <c r="Z261" s="662"/>
    </row>
    <row r="262" hidden="1" outlineLevel="1">
      <c r="A262" s="662"/>
      <c r="B262" s="730"/>
      <c r="C262" s="731"/>
      <c r="D262" s="731"/>
      <c r="E262" s="731"/>
      <c r="F262" s="731"/>
      <c r="G262" s="732"/>
      <c r="H262" s="731"/>
      <c r="I262" s="731"/>
      <c r="J262" s="731"/>
      <c r="K262" s="731"/>
      <c r="L262" s="773"/>
      <c r="M262" s="769"/>
      <c r="N262" s="731"/>
      <c r="O262" s="734"/>
      <c r="Q262" s="729"/>
      <c r="R262" s="662"/>
      <c r="S262" s="228" t="str">
        <f t="array" ref="S262">IFERROR(INDEX('💻シート作成'!$D$6:$D1001, MATCH(T262, '💻シート作成'!$E$6:$E1001, 0)), "")</f>
        <v/>
      </c>
      <c r="T262" s="184"/>
      <c r="U262" s="665"/>
      <c r="V262" s="774"/>
      <c r="W262" s="662"/>
      <c r="X262" s="757"/>
      <c r="Y262" s="662"/>
      <c r="Z262" s="662"/>
    </row>
    <row r="263" hidden="1" outlineLevel="1">
      <c r="A263" s="662"/>
      <c r="B263" s="730"/>
      <c r="C263" s="731"/>
      <c r="D263" s="731"/>
      <c r="E263" s="731"/>
      <c r="F263" s="731"/>
      <c r="G263" s="732"/>
      <c r="H263" s="731"/>
      <c r="I263" s="731"/>
      <c r="J263" s="731"/>
      <c r="K263" s="731"/>
      <c r="L263" s="773"/>
      <c r="M263" s="769"/>
      <c r="N263" s="731"/>
      <c r="O263" s="734"/>
      <c r="Q263" s="729"/>
      <c r="R263" s="662"/>
      <c r="S263" s="228" t="str">
        <f t="array" ref="S263">IFERROR(INDEX('💻シート作成'!$D$6:$D1001, MATCH(T263, '💻シート作成'!$E$6:$E1001, 0)), "")</f>
        <v/>
      </c>
      <c r="T263" s="184"/>
      <c r="U263" s="665"/>
      <c r="V263" s="774"/>
      <c r="W263" s="662"/>
      <c r="X263" s="757"/>
      <c r="Y263" s="662"/>
      <c r="Z263" s="662"/>
    </row>
    <row r="264" hidden="1" outlineLevel="1">
      <c r="A264" s="662"/>
      <c r="B264" s="730"/>
      <c r="C264" s="731"/>
      <c r="D264" s="731"/>
      <c r="E264" s="731"/>
      <c r="F264" s="698"/>
      <c r="G264" s="699"/>
      <c r="H264" s="698"/>
      <c r="I264" s="698"/>
      <c r="J264" s="698"/>
      <c r="K264" s="698"/>
      <c r="L264" s="773"/>
      <c r="M264" s="769"/>
      <c r="N264" s="698"/>
      <c r="O264" s="701"/>
      <c r="P264" s="702"/>
      <c r="Q264" s="738"/>
      <c r="R264" s="662"/>
      <c r="S264" s="228" t="str">
        <f t="array" ref="S264">IFERROR(INDEX('💻シート作成'!$D$6:$D1001, MATCH(T264, '💻シート作成'!$E$6:$E1001, 0)), "")</f>
        <v/>
      </c>
      <c r="T264" s="184"/>
      <c r="U264" s="665"/>
      <c r="V264" s="774"/>
      <c r="W264" s="662"/>
      <c r="X264" s="757"/>
      <c r="Y264" s="662"/>
      <c r="Z264" s="662"/>
    </row>
    <row r="265" hidden="1" outlineLevel="1">
      <c r="A265" s="662"/>
      <c r="B265" s="739"/>
      <c r="C265" s="698"/>
      <c r="D265" s="698"/>
      <c r="E265" s="698"/>
      <c r="F265" s="740" t="s">
        <v>546</v>
      </c>
      <c r="G265" s="741"/>
      <c r="H265" s="742"/>
      <c r="I265" s="742"/>
      <c r="J265" s="742"/>
      <c r="K265" s="742"/>
      <c r="L265" s="741"/>
      <c r="M265" s="741"/>
      <c r="N265" s="741"/>
      <c r="O265" s="741"/>
      <c r="P265" s="741"/>
      <c r="Q265" s="743"/>
      <c r="R265" s="662"/>
      <c r="S265" s="228" t="str">
        <f t="array" ref="S265">IFERROR(INDEX('💻シート作成'!$D$6:$D1001, MATCH(T265, '💻シート作成'!$E$6:$E1001, 0)), "")</f>
        <v/>
      </c>
      <c r="T265" s="184"/>
      <c r="U265" s="665"/>
      <c r="V265" s="774"/>
      <c r="W265" s="662"/>
      <c r="X265" s="757"/>
      <c r="Y265" s="662"/>
      <c r="Z265" s="662"/>
    </row>
    <row r="266" hidden="1" outlineLevel="1">
      <c r="A266" s="662"/>
      <c r="B266" s="744"/>
      <c r="C266" s="745">
        <f>IF(C255="","",IF(DAY(C255+1)=1,"",C255+1))</f>
        <v>46077</v>
      </c>
      <c r="D266" s="746" t="str">
        <f>TEXT(C266,"ddd")</f>
        <v>火</v>
      </c>
      <c r="E266" s="747"/>
      <c r="F266" s="775" t="s">
        <v>594</v>
      </c>
      <c r="G266" s="776" t="s">
        <v>595</v>
      </c>
      <c r="H266" s="777"/>
      <c r="I266" s="778">
        <v>0.0</v>
      </c>
      <c r="J266" s="746"/>
      <c r="K266" s="746"/>
      <c r="L266" s="755"/>
      <c r="M266" s="755"/>
      <c r="N266" s="775"/>
      <c r="O266" s="779"/>
      <c r="P266" s="771"/>
      <c r="Q266" s="772"/>
      <c r="R266" s="662"/>
      <c r="S266" s="228" t="str">
        <f t="array" ref="S266">IFERROR(INDEX('💻シート作成'!$D$6:$D1001, MATCH(T266, '💻シート作成'!$E$6:$E1001, 0)), "")</f>
        <v/>
      </c>
      <c r="T266" s="184"/>
      <c r="U266" s="665"/>
      <c r="V266" s="774"/>
      <c r="W266" s="662"/>
      <c r="X266" s="757"/>
      <c r="Y266" s="662"/>
      <c r="Z266" s="662"/>
    </row>
    <row r="267" hidden="1" outlineLevel="1">
      <c r="A267" s="662"/>
      <c r="B267" s="730"/>
      <c r="C267" s="731"/>
      <c r="D267" s="731"/>
      <c r="E267" s="731"/>
      <c r="F267" s="731"/>
      <c r="G267" s="732"/>
      <c r="H267" s="731"/>
      <c r="I267" s="731"/>
      <c r="J267" s="731"/>
      <c r="K267" s="731"/>
      <c r="L267" s="755"/>
      <c r="M267" s="755"/>
      <c r="N267" s="731"/>
      <c r="O267" s="734"/>
      <c r="Q267" s="729"/>
      <c r="R267" s="662"/>
      <c r="S267" s="228" t="str">
        <f t="array" ref="S267">IFERROR(INDEX('💻シート作成'!$D$6:$D1001, MATCH(T267, '💻シート作成'!$E$6:$E1001, 0)), "")</f>
        <v/>
      </c>
      <c r="T267" s="184"/>
      <c r="U267" s="665"/>
      <c r="V267" s="774"/>
      <c r="W267" s="662"/>
      <c r="X267" s="757"/>
      <c r="Y267" s="662"/>
      <c r="Z267" s="662"/>
    </row>
    <row r="268" hidden="1" outlineLevel="1">
      <c r="A268" s="662"/>
      <c r="B268" s="730"/>
      <c r="C268" s="731"/>
      <c r="D268" s="731"/>
      <c r="E268" s="731"/>
      <c r="F268" s="731"/>
      <c r="G268" s="732"/>
      <c r="H268" s="731"/>
      <c r="I268" s="731"/>
      <c r="J268" s="731"/>
      <c r="K268" s="731"/>
      <c r="L268" s="755"/>
      <c r="M268" s="755"/>
      <c r="N268" s="731"/>
      <c r="O268" s="734"/>
      <c r="Q268" s="729"/>
      <c r="R268" s="662"/>
      <c r="S268" s="228" t="str">
        <f t="array" ref="S268">IFERROR(INDEX('💻シート作成'!$D$6:$D1001, MATCH(T268, '💻シート作成'!$E$6:$E1001, 0)), "")</f>
        <v/>
      </c>
      <c r="T268" s="184"/>
      <c r="U268" s="665"/>
      <c r="V268" s="774"/>
      <c r="W268" s="662"/>
      <c r="X268" s="757"/>
      <c r="Y268" s="662"/>
      <c r="Z268" s="662"/>
    </row>
    <row r="269" hidden="1" outlineLevel="1">
      <c r="A269" s="662"/>
      <c r="B269" s="730"/>
      <c r="C269" s="731"/>
      <c r="D269" s="731"/>
      <c r="E269" s="731"/>
      <c r="F269" s="731"/>
      <c r="G269" s="732"/>
      <c r="H269" s="731"/>
      <c r="I269" s="731"/>
      <c r="J269" s="731"/>
      <c r="K269" s="731"/>
      <c r="L269" s="756"/>
      <c r="M269" s="755"/>
      <c r="N269" s="731"/>
      <c r="O269" s="734"/>
      <c r="Q269" s="729"/>
      <c r="R269" s="662"/>
      <c r="S269" s="228" t="str">
        <f t="array" ref="S269">IFERROR(INDEX('💻シート作成'!$D$6:$D1001, MATCH(T269, '💻シート作成'!$E$6:$E1001, 0)), "")</f>
        <v/>
      </c>
      <c r="T269" s="184"/>
      <c r="U269" s="665"/>
      <c r="V269" s="774"/>
      <c r="W269" s="662"/>
      <c r="X269" s="757"/>
      <c r="Y269" s="662"/>
      <c r="Z269" s="662"/>
    </row>
    <row r="270" hidden="1" outlineLevel="1">
      <c r="A270" s="662"/>
      <c r="B270" s="730"/>
      <c r="C270" s="731"/>
      <c r="D270" s="731"/>
      <c r="E270" s="731"/>
      <c r="F270" s="731"/>
      <c r="G270" s="732"/>
      <c r="H270" s="731"/>
      <c r="I270" s="731"/>
      <c r="J270" s="731"/>
      <c r="K270" s="731"/>
      <c r="L270" s="756"/>
      <c r="M270" s="755"/>
      <c r="N270" s="731"/>
      <c r="O270" s="734"/>
      <c r="Q270" s="729"/>
      <c r="R270" s="662"/>
      <c r="S270" s="228" t="str">
        <f t="array" ref="S270">IFERROR(INDEX('💻シート作成'!$D$6:$D1001, MATCH(T270, '💻シート作成'!$E$6:$E1001, 0)), "")</f>
        <v/>
      </c>
      <c r="T270" s="184"/>
      <c r="U270" s="665"/>
      <c r="V270" s="774"/>
      <c r="W270" s="662"/>
      <c r="X270" s="757"/>
      <c r="Y270" s="662"/>
      <c r="Z270" s="662"/>
    </row>
    <row r="271" hidden="1" outlineLevel="1">
      <c r="A271" s="662"/>
      <c r="B271" s="730"/>
      <c r="C271" s="731"/>
      <c r="D271" s="731"/>
      <c r="E271" s="731"/>
      <c r="F271" s="731"/>
      <c r="G271" s="732"/>
      <c r="H271" s="731"/>
      <c r="I271" s="731"/>
      <c r="J271" s="731"/>
      <c r="K271" s="731"/>
      <c r="L271" s="756"/>
      <c r="M271" s="755"/>
      <c r="N271" s="731"/>
      <c r="O271" s="734"/>
      <c r="Q271" s="729"/>
      <c r="R271" s="662"/>
      <c r="S271" s="228" t="str">
        <f t="array" ref="S271">IFERROR(INDEX('💻シート作成'!$D$6:$D1001, MATCH(T271, '💻シート作成'!$E$6:$E1001, 0)), "")</f>
        <v/>
      </c>
      <c r="T271" s="184"/>
      <c r="U271" s="665"/>
      <c r="V271" s="774"/>
      <c r="W271" s="662"/>
      <c r="X271" s="757"/>
      <c r="Y271" s="662"/>
      <c r="Z271" s="662"/>
    </row>
    <row r="272" hidden="1" outlineLevel="1">
      <c r="A272" s="662"/>
      <c r="B272" s="730"/>
      <c r="C272" s="731"/>
      <c r="D272" s="731"/>
      <c r="E272" s="731"/>
      <c r="F272" s="731"/>
      <c r="G272" s="732"/>
      <c r="H272" s="731"/>
      <c r="I272" s="731"/>
      <c r="J272" s="731"/>
      <c r="K272" s="731"/>
      <c r="L272" s="756"/>
      <c r="M272" s="755"/>
      <c r="N272" s="731"/>
      <c r="O272" s="734"/>
      <c r="Q272" s="729"/>
      <c r="R272" s="662"/>
      <c r="S272" s="228" t="str">
        <f t="array" ref="S272">IFERROR(INDEX('💻シート作成'!$D$6:$D1001, MATCH(T272, '💻シート作成'!$E$6:$E1001, 0)), "")</f>
        <v/>
      </c>
      <c r="T272" s="184"/>
      <c r="U272" s="665"/>
      <c r="V272" s="774"/>
      <c r="W272" s="662"/>
      <c r="X272" s="757"/>
      <c r="Y272" s="662"/>
      <c r="Z272" s="662"/>
    </row>
    <row r="273" hidden="1" outlineLevel="1">
      <c r="A273" s="662"/>
      <c r="B273" s="730"/>
      <c r="C273" s="731"/>
      <c r="D273" s="731"/>
      <c r="E273" s="731"/>
      <c r="F273" s="731"/>
      <c r="G273" s="732"/>
      <c r="H273" s="731"/>
      <c r="I273" s="731"/>
      <c r="J273" s="731"/>
      <c r="K273" s="731"/>
      <c r="L273" s="756"/>
      <c r="M273" s="755"/>
      <c r="N273" s="731"/>
      <c r="O273" s="734"/>
      <c r="Q273" s="729"/>
      <c r="R273" s="662"/>
      <c r="S273" s="228" t="str">
        <f t="array" ref="S273">IFERROR(INDEX('💻シート作成'!$D$6:$D1001, MATCH(T273, '💻シート作成'!$E$6:$E1001, 0)), "")</f>
        <v/>
      </c>
      <c r="T273" s="184"/>
      <c r="U273" s="665"/>
      <c r="V273" s="774"/>
      <c r="W273" s="662"/>
      <c r="X273" s="757"/>
      <c r="Y273" s="662"/>
      <c r="Z273" s="662"/>
    </row>
    <row r="274" hidden="1" outlineLevel="1">
      <c r="A274" s="662"/>
      <c r="B274" s="730"/>
      <c r="C274" s="731"/>
      <c r="D274" s="731"/>
      <c r="E274" s="731"/>
      <c r="F274" s="731"/>
      <c r="G274" s="732"/>
      <c r="H274" s="731"/>
      <c r="I274" s="731"/>
      <c r="J274" s="731"/>
      <c r="K274" s="731"/>
      <c r="L274" s="756"/>
      <c r="M274" s="755"/>
      <c r="N274" s="731"/>
      <c r="O274" s="734"/>
      <c r="Q274" s="729"/>
      <c r="R274" s="662"/>
      <c r="S274" s="228" t="str">
        <f t="array" ref="S274">IFERROR(INDEX('💻シート作成'!$D$6:$D1001, MATCH(T274, '💻シート作成'!$E$6:$E1001, 0)), "")</f>
        <v/>
      </c>
      <c r="T274" s="184"/>
      <c r="U274" s="665"/>
      <c r="V274" s="774"/>
      <c r="W274" s="662"/>
      <c r="X274" s="757"/>
      <c r="Y274" s="662"/>
      <c r="Z274" s="662"/>
    </row>
    <row r="275" hidden="1" outlineLevel="1">
      <c r="A275" s="662"/>
      <c r="B275" s="730"/>
      <c r="C275" s="731"/>
      <c r="D275" s="731"/>
      <c r="E275" s="731"/>
      <c r="F275" s="698"/>
      <c r="G275" s="699"/>
      <c r="H275" s="698"/>
      <c r="I275" s="698"/>
      <c r="J275" s="698"/>
      <c r="K275" s="698"/>
      <c r="L275" s="756"/>
      <c r="M275" s="755"/>
      <c r="N275" s="698"/>
      <c r="O275" s="701"/>
      <c r="P275" s="702"/>
      <c r="Q275" s="738"/>
      <c r="R275" s="662"/>
      <c r="S275" s="228" t="str">
        <f t="array" ref="S275">IFERROR(INDEX('💻シート作成'!$D$6:$D1001, MATCH(T275, '💻シート作成'!$E$6:$E1001, 0)), "")</f>
        <v/>
      </c>
      <c r="T275" s="184"/>
      <c r="U275" s="665"/>
      <c r="V275" s="774"/>
      <c r="W275" s="662"/>
      <c r="X275" s="757"/>
      <c r="Y275" s="662"/>
      <c r="Z275" s="662"/>
    </row>
    <row r="276" hidden="1" outlineLevel="1">
      <c r="A276" s="662"/>
      <c r="B276" s="739"/>
      <c r="C276" s="698"/>
      <c r="D276" s="698"/>
      <c r="E276" s="698"/>
      <c r="F276" s="758" t="s">
        <v>546</v>
      </c>
      <c r="G276" s="759"/>
      <c r="H276" s="742"/>
      <c r="I276" s="742"/>
      <c r="J276" s="742"/>
      <c r="K276" s="742"/>
      <c r="L276" s="759"/>
      <c r="M276" s="759"/>
      <c r="N276" s="759"/>
      <c r="O276" s="759"/>
      <c r="P276" s="759"/>
      <c r="Q276" s="760"/>
      <c r="R276" s="662"/>
      <c r="S276" s="228" t="str">
        <f t="array" ref="S276">IFERROR(INDEX('💻シート作成'!$D$6:$D1001, MATCH(T276, '💻シート作成'!$E$6:$E1001, 0)), "")</f>
        <v/>
      </c>
      <c r="T276" s="184"/>
      <c r="U276" s="665"/>
      <c r="V276" s="774"/>
      <c r="W276" s="662"/>
      <c r="X276" s="757"/>
      <c r="Y276" s="662"/>
      <c r="Z276" s="662"/>
    </row>
    <row r="277" hidden="1" outlineLevel="1">
      <c r="A277" s="662"/>
      <c r="B277" s="761"/>
      <c r="C277" s="762">
        <f>IF(C266="","",IF(DAY(C266+1)=1,"",C266+1))</f>
        <v>46078</v>
      </c>
      <c r="D277" s="763" t="str">
        <f>TEXT(C277,"ddd")</f>
        <v>水</v>
      </c>
      <c r="E277" s="764"/>
      <c r="F277" s="765" t="s">
        <v>594</v>
      </c>
      <c r="G277" s="766" t="s">
        <v>595</v>
      </c>
      <c r="H277" s="767"/>
      <c r="I277" s="768">
        <v>0.0</v>
      </c>
      <c r="J277" s="763"/>
      <c r="K277" s="763"/>
      <c r="L277" s="769"/>
      <c r="M277" s="769"/>
      <c r="N277" s="765"/>
      <c r="O277" s="770"/>
      <c r="P277" s="771"/>
      <c r="Q277" s="772"/>
      <c r="R277" s="662"/>
      <c r="S277" s="228" t="str">
        <f t="array" ref="S277">IFERROR(INDEX('💻シート作成'!$D$6:$D1001, MATCH(T277, '💻シート作成'!$E$6:$E1001, 0)), "")</f>
        <v/>
      </c>
      <c r="T277" s="184"/>
      <c r="U277" s="665"/>
      <c r="V277" s="774"/>
      <c r="W277" s="662"/>
      <c r="X277" s="757"/>
      <c r="Y277" s="662"/>
      <c r="Z277" s="662"/>
    </row>
    <row r="278" hidden="1" outlineLevel="1">
      <c r="A278" s="662"/>
      <c r="B278" s="730"/>
      <c r="C278" s="731"/>
      <c r="D278" s="731"/>
      <c r="E278" s="731"/>
      <c r="F278" s="731"/>
      <c r="G278" s="732"/>
      <c r="H278" s="731"/>
      <c r="I278" s="731"/>
      <c r="J278" s="731"/>
      <c r="K278" s="731"/>
      <c r="L278" s="769"/>
      <c r="M278" s="769"/>
      <c r="N278" s="731"/>
      <c r="O278" s="734"/>
      <c r="Q278" s="729"/>
      <c r="R278" s="662"/>
      <c r="S278" s="228" t="str">
        <f t="array" ref="S278">IFERROR(INDEX('💻シート作成'!$D$6:$D1001, MATCH(T278, '💻シート作成'!$E$6:$E1001, 0)), "")</f>
        <v/>
      </c>
      <c r="T278" s="184"/>
      <c r="U278" s="665"/>
      <c r="V278" s="774"/>
      <c r="W278" s="662"/>
      <c r="X278" s="757"/>
      <c r="Y278" s="662"/>
      <c r="Z278" s="662"/>
    </row>
    <row r="279" hidden="1" outlineLevel="1">
      <c r="A279" s="662"/>
      <c r="B279" s="730"/>
      <c r="C279" s="731"/>
      <c r="D279" s="731"/>
      <c r="E279" s="731"/>
      <c r="F279" s="731"/>
      <c r="G279" s="732"/>
      <c r="H279" s="731"/>
      <c r="I279" s="731"/>
      <c r="J279" s="731"/>
      <c r="K279" s="731"/>
      <c r="L279" s="769"/>
      <c r="M279" s="769"/>
      <c r="N279" s="731"/>
      <c r="O279" s="734"/>
      <c r="Q279" s="729"/>
      <c r="R279" s="662"/>
      <c r="S279" s="228" t="str">
        <f t="array" ref="S279">IFERROR(INDEX('💻シート作成'!$D$6:$D1001, MATCH(T279, '💻シート作成'!$E$6:$E1001, 0)), "")</f>
        <v/>
      </c>
      <c r="T279" s="184"/>
      <c r="U279" s="665"/>
      <c r="V279" s="774"/>
      <c r="W279" s="662"/>
      <c r="X279" s="757"/>
      <c r="Y279" s="662"/>
      <c r="Z279" s="662"/>
    </row>
    <row r="280" hidden="1" outlineLevel="1">
      <c r="A280" s="662"/>
      <c r="B280" s="730"/>
      <c r="C280" s="731"/>
      <c r="D280" s="731"/>
      <c r="E280" s="731"/>
      <c r="F280" s="731"/>
      <c r="G280" s="732"/>
      <c r="H280" s="731"/>
      <c r="I280" s="731"/>
      <c r="J280" s="731"/>
      <c r="K280" s="731"/>
      <c r="L280" s="773"/>
      <c r="M280" s="769"/>
      <c r="N280" s="731"/>
      <c r="O280" s="734"/>
      <c r="Q280" s="729"/>
      <c r="R280" s="662"/>
      <c r="S280" s="228" t="str">
        <f t="array" ref="S280">IFERROR(INDEX('💻シート作成'!$D$6:$D1001, MATCH(T280, '💻シート作成'!$E$6:$E1001, 0)), "")</f>
        <v/>
      </c>
      <c r="T280" s="184"/>
      <c r="U280" s="665"/>
      <c r="V280" s="774"/>
      <c r="W280" s="662"/>
      <c r="X280" s="757"/>
      <c r="Y280" s="662"/>
      <c r="Z280" s="662"/>
    </row>
    <row r="281" hidden="1" outlineLevel="1">
      <c r="A281" s="662"/>
      <c r="B281" s="730"/>
      <c r="C281" s="731"/>
      <c r="D281" s="731"/>
      <c r="E281" s="731"/>
      <c r="F281" s="731"/>
      <c r="G281" s="732"/>
      <c r="H281" s="731"/>
      <c r="I281" s="731"/>
      <c r="J281" s="731"/>
      <c r="K281" s="731"/>
      <c r="L281" s="773"/>
      <c r="M281" s="769"/>
      <c r="N281" s="731"/>
      <c r="O281" s="734"/>
      <c r="Q281" s="729"/>
      <c r="R281" s="662"/>
      <c r="S281" s="228" t="str">
        <f t="array" ref="S281">IFERROR(INDEX('💻シート作成'!$D$6:$D1001, MATCH(T281, '💻シート作成'!$E$6:$E1001, 0)), "")</f>
        <v/>
      </c>
      <c r="T281" s="184"/>
      <c r="U281" s="665"/>
      <c r="V281" s="774"/>
      <c r="W281" s="662"/>
      <c r="X281" s="757"/>
      <c r="Y281" s="662"/>
      <c r="Z281" s="662"/>
    </row>
    <row r="282" hidden="1" outlineLevel="1">
      <c r="A282" s="662"/>
      <c r="B282" s="730"/>
      <c r="C282" s="731"/>
      <c r="D282" s="731"/>
      <c r="E282" s="731"/>
      <c r="F282" s="731"/>
      <c r="G282" s="732"/>
      <c r="H282" s="731"/>
      <c r="I282" s="731"/>
      <c r="J282" s="731"/>
      <c r="K282" s="731"/>
      <c r="L282" s="773"/>
      <c r="M282" s="769"/>
      <c r="N282" s="731"/>
      <c r="O282" s="734"/>
      <c r="Q282" s="729"/>
      <c r="R282" s="662"/>
      <c r="S282" s="228" t="str">
        <f t="array" ref="S282">IFERROR(INDEX('💻シート作成'!$D$6:$D1001, MATCH(T282, '💻シート作成'!$E$6:$E1001, 0)), "")</f>
        <v/>
      </c>
      <c r="T282" s="184"/>
      <c r="U282" s="665"/>
      <c r="V282" s="774"/>
      <c r="W282" s="662"/>
      <c r="X282" s="757"/>
      <c r="Y282" s="662"/>
      <c r="Z282" s="662"/>
    </row>
    <row r="283" hidden="1" outlineLevel="1">
      <c r="A283" s="662"/>
      <c r="B283" s="730"/>
      <c r="C283" s="731"/>
      <c r="D283" s="731"/>
      <c r="E283" s="731"/>
      <c r="F283" s="731"/>
      <c r="G283" s="732"/>
      <c r="H283" s="731"/>
      <c r="I283" s="731"/>
      <c r="J283" s="731"/>
      <c r="K283" s="731"/>
      <c r="L283" s="773"/>
      <c r="M283" s="769"/>
      <c r="N283" s="731"/>
      <c r="O283" s="734"/>
      <c r="Q283" s="729"/>
      <c r="R283" s="662"/>
      <c r="S283" s="228" t="str">
        <f t="array" ref="S283">IFERROR(INDEX('💻シート作成'!$D$6:$D1001, MATCH(T283, '💻シート作成'!$E$6:$E1001, 0)), "")</f>
        <v/>
      </c>
      <c r="T283" s="184"/>
      <c r="U283" s="665"/>
      <c r="V283" s="774"/>
      <c r="W283" s="662"/>
      <c r="X283" s="757"/>
      <c r="Y283" s="662"/>
      <c r="Z283" s="662"/>
    </row>
    <row r="284" hidden="1" outlineLevel="1">
      <c r="A284" s="662"/>
      <c r="B284" s="730"/>
      <c r="C284" s="731"/>
      <c r="D284" s="731"/>
      <c r="E284" s="731"/>
      <c r="F284" s="731"/>
      <c r="G284" s="732"/>
      <c r="H284" s="731"/>
      <c r="I284" s="731"/>
      <c r="J284" s="731"/>
      <c r="K284" s="731"/>
      <c r="L284" s="773"/>
      <c r="M284" s="769"/>
      <c r="N284" s="731"/>
      <c r="O284" s="734"/>
      <c r="Q284" s="729"/>
      <c r="R284" s="662"/>
      <c r="S284" s="228" t="str">
        <f t="array" ref="S284">IFERROR(INDEX('💻シート作成'!$D$6:$D1001, MATCH(T284, '💻シート作成'!$E$6:$E1001, 0)), "")</f>
        <v/>
      </c>
      <c r="T284" s="184"/>
      <c r="U284" s="665"/>
      <c r="V284" s="774"/>
      <c r="W284" s="662"/>
      <c r="X284" s="757"/>
      <c r="Y284" s="662"/>
      <c r="Z284" s="662"/>
    </row>
    <row r="285" hidden="1" outlineLevel="1">
      <c r="A285" s="662"/>
      <c r="B285" s="730"/>
      <c r="C285" s="731"/>
      <c r="D285" s="731"/>
      <c r="E285" s="731"/>
      <c r="F285" s="731"/>
      <c r="G285" s="732"/>
      <c r="H285" s="731"/>
      <c r="I285" s="731"/>
      <c r="J285" s="731"/>
      <c r="K285" s="731"/>
      <c r="L285" s="773"/>
      <c r="M285" s="769"/>
      <c r="N285" s="731"/>
      <c r="O285" s="734"/>
      <c r="Q285" s="729"/>
      <c r="R285" s="662"/>
      <c r="S285" s="228" t="str">
        <f t="array" ref="S285">IFERROR(INDEX('💻シート作成'!$D$6:$D1001, MATCH(T285, '💻シート作成'!$E$6:$E1001, 0)), "")</f>
        <v/>
      </c>
      <c r="T285" s="184"/>
      <c r="U285" s="665"/>
      <c r="V285" s="774"/>
      <c r="W285" s="662"/>
      <c r="X285" s="757"/>
      <c r="Y285" s="662"/>
      <c r="Z285" s="662"/>
    </row>
    <row r="286" hidden="1" outlineLevel="1">
      <c r="A286" s="662"/>
      <c r="B286" s="730"/>
      <c r="C286" s="731"/>
      <c r="D286" s="731"/>
      <c r="E286" s="731"/>
      <c r="F286" s="698"/>
      <c r="G286" s="699"/>
      <c r="H286" s="698"/>
      <c r="I286" s="698"/>
      <c r="J286" s="698"/>
      <c r="K286" s="698"/>
      <c r="L286" s="773"/>
      <c r="M286" s="769"/>
      <c r="N286" s="698"/>
      <c r="O286" s="701"/>
      <c r="P286" s="702"/>
      <c r="Q286" s="738"/>
      <c r="R286" s="662"/>
      <c r="S286" s="228" t="str">
        <f t="array" ref="S286">IFERROR(INDEX('💻シート作成'!$D$6:$D1001, MATCH(T286, '💻シート作成'!$E$6:$E1001, 0)), "")</f>
        <v/>
      </c>
      <c r="T286" s="184"/>
      <c r="U286" s="665"/>
      <c r="V286" s="774"/>
      <c r="W286" s="662"/>
      <c r="X286" s="757"/>
      <c r="Y286" s="662"/>
      <c r="Z286" s="662"/>
    </row>
    <row r="287" hidden="1" outlineLevel="1">
      <c r="A287" s="662"/>
      <c r="B287" s="739"/>
      <c r="C287" s="698"/>
      <c r="D287" s="698"/>
      <c r="E287" s="698"/>
      <c r="F287" s="740" t="s">
        <v>546</v>
      </c>
      <c r="G287" s="741"/>
      <c r="H287" s="742"/>
      <c r="I287" s="742"/>
      <c r="J287" s="742"/>
      <c r="K287" s="742"/>
      <c r="L287" s="741"/>
      <c r="M287" s="741"/>
      <c r="N287" s="741"/>
      <c r="O287" s="741"/>
      <c r="P287" s="741"/>
      <c r="Q287" s="743"/>
      <c r="R287" s="662"/>
      <c r="S287" s="228" t="str">
        <f t="array" ref="S287">IFERROR(INDEX('💻シート作成'!$D$6:$D1001, MATCH(T287, '💻シート作成'!$E$6:$E1001, 0)), "")</f>
        <v/>
      </c>
      <c r="T287" s="184"/>
      <c r="U287" s="665"/>
      <c r="V287" s="774"/>
      <c r="W287" s="662"/>
      <c r="X287" s="757"/>
      <c r="Y287" s="662"/>
      <c r="Z287" s="662"/>
    </row>
    <row r="288" collapsed="1">
      <c r="A288" s="662"/>
      <c r="B288" s="780" t="s">
        <v>597</v>
      </c>
      <c r="C288" s="781"/>
      <c r="D288" s="781"/>
      <c r="E288" s="781"/>
      <c r="F288" s="782"/>
      <c r="G288" s="783"/>
      <c r="H288" s="784"/>
      <c r="I288" s="784"/>
      <c r="J288" s="785"/>
      <c r="K288" s="785"/>
      <c r="L288" s="783"/>
      <c r="M288" s="783"/>
      <c r="N288" s="786"/>
      <c r="O288" s="787"/>
      <c r="P288" s="787"/>
      <c r="Q288" s="788"/>
      <c r="R288" s="662"/>
      <c r="S288" s="228" t="str">
        <f t="array" ref="S288">IFERROR(INDEX('💻シート作成'!$D$6:$D1001, MATCH(T288, '💻シート作成'!$E$6:$E1001, 0)), "")</f>
        <v/>
      </c>
      <c r="T288" s="184"/>
      <c r="U288" s="665"/>
      <c r="V288" s="774"/>
      <c r="W288" s="662"/>
      <c r="X288" s="757"/>
      <c r="Y288" s="662"/>
      <c r="Z288" s="662"/>
    </row>
    <row r="289" hidden="1" outlineLevel="1">
      <c r="A289" s="662"/>
      <c r="B289" s="744"/>
      <c r="C289" s="745">
        <f>IF(C277="","",IF(DAY(C277+1)=1,"",C277+1))</f>
        <v>46079</v>
      </c>
      <c r="D289" s="746" t="str">
        <f>TEXT(C289,"ddd")</f>
        <v>木</v>
      </c>
      <c r="E289" s="747"/>
      <c r="F289" s="775" t="s">
        <v>594</v>
      </c>
      <c r="G289" s="776" t="s">
        <v>595</v>
      </c>
      <c r="H289" s="777"/>
      <c r="I289" s="778">
        <v>0.0</v>
      </c>
      <c r="J289" s="746"/>
      <c r="K289" s="746"/>
      <c r="L289" s="755"/>
      <c r="M289" s="755"/>
      <c r="N289" s="775"/>
      <c r="O289" s="779"/>
      <c r="P289" s="771"/>
      <c r="Q289" s="772"/>
      <c r="R289" s="662"/>
      <c r="S289" s="662"/>
      <c r="T289" s="662"/>
      <c r="U289" s="665"/>
      <c r="V289" s="666"/>
      <c r="W289" s="662"/>
      <c r="X289" s="662"/>
      <c r="Y289" s="662"/>
      <c r="Z289" s="662"/>
    </row>
    <row r="290" hidden="1" outlineLevel="1">
      <c r="A290" s="662"/>
      <c r="B290" s="730"/>
      <c r="C290" s="731"/>
      <c r="D290" s="731"/>
      <c r="E290" s="731"/>
      <c r="F290" s="731"/>
      <c r="G290" s="732"/>
      <c r="H290" s="731"/>
      <c r="I290" s="731"/>
      <c r="J290" s="731"/>
      <c r="K290" s="731"/>
      <c r="L290" s="755"/>
      <c r="M290" s="755"/>
      <c r="N290" s="731"/>
      <c r="O290" s="734"/>
      <c r="Q290" s="729"/>
      <c r="R290" s="662"/>
      <c r="S290" s="662"/>
      <c r="T290" s="662"/>
      <c r="U290" s="665"/>
      <c r="V290" s="666"/>
      <c r="W290" s="662"/>
      <c r="X290" s="662"/>
      <c r="Y290" s="662"/>
      <c r="Z290" s="662"/>
    </row>
    <row r="291" hidden="1" outlineLevel="1">
      <c r="A291" s="662"/>
      <c r="B291" s="730"/>
      <c r="C291" s="731"/>
      <c r="D291" s="731"/>
      <c r="E291" s="731"/>
      <c r="F291" s="731"/>
      <c r="G291" s="732"/>
      <c r="H291" s="731"/>
      <c r="I291" s="731"/>
      <c r="J291" s="731"/>
      <c r="K291" s="731"/>
      <c r="L291" s="755"/>
      <c r="M291" s="755"/>
      <c r="N291" s="731"/>
      <c r="O291" s="734"/>
      <c r="Q291" s="729"/>
      <c r="R291" s="662"/>
      <c r="S291" s="662"/>
      <c r="T291" s="662"/>
      <c r="U291" s="665"/>
      <c r="V291" s="666"/>
      <c r="W291" s="662"/>
      <c r="X291" s="662"/>
      <c r="Y291" s="662"/>
      <c r="Z291" s="662"/>
    </row>
    <row r="292" hidden="1" outlineLevel="1">
      <c r="A292" s="662"/>
      <c r="B292" s="730"/>
      <c r="C292" s="731"/>
      <c r="D292" s="731"/>
      <c r="E292" s="731"/>
      <c r="F292" s="731"/>
      <c r="G292" s="732"/>
      <c r="H292" s="731"/>
      <c r="I292" s="731"/>
      <c r="J292" s="731"/>
      <c r="K292" s="731"/>
      <c r="L292" s="756"/>
      <c r="M292" s="755"/>
      <c r="N292" s="731"/>
      <c r="O292" s="734"/>
      <c r="Q292" s="729"/>
      <c r="R292" s="662"/>
      <c r="S292" s="662"/>
      <c r="T292" s="662"/>
      <c r="U292" s="665"/>
      <c r="V292" s="666"/>
      <c r="W292" s="662"/>
      <c r="X292" s="662"/>
      <c r="Y292" s="662"/>
      <c r="Z292" s="662"/>
    </row>
    <row r="293" hidden="1" outlineLevel="1">
      <c r="A293" s="662"/>
      <c r="B293" s="730"/>
      <c r="C293" s="731"/>
      <c r="D293" s="731"/>
      <c r="E293" s="731"/>
      <c r="F293" s="731"/>
      <c r="G293" s="732"/>
      <c r="H293" s="731"/>
      <c r="I293" s="731"/>
      <c r="J293" s="731"/>
      <c r="K293" s="731"/>
      <c r="L293" s="756"/>
      <c r="M293" s="755"/>
      <c r="N293" s="731"/>
      <c r="O293" s="734"/>
      <c r="Q293" s="729"/>
      <c r="R293" s="662"/>
      <c r="S293" s="662"/>
      <c r="T293" s="662"/>
      <c r="U293" s="665"/>
      <c r="V293" s="666"/>
      <c r="W293" s="662"/>
      <c r="X293" s="662"/>
      <c r="Y293" s="662"/>
      <c r="Z293" s="662"/>
    </row>
    <row r="294" hidden="1" outlineLevel="1">
      <c r="A294" s="662"/>
      <c r="B294" s="730"/>
      <c r="C294" s="731"/>
      <c r="D294" s="731"/>
      <c r="E294" s="731"/>
      <c r="F294" s="731"/>
      <c r="G294" s="732"/>
      <c r="H294" s="731"/>
      <c r="I294" s="731"/>
      <c r="J294" s="731"/>
      <c r="K294" s="731"/>
      <c r="L294" s="756"/>
      <c r="M294" s="755"/>
      <c r="N294" s="731"/>
      <c r="O294" s="734"/>
      <c r="Q294" s="729"/>
      <c r="R294" s="662"/>
      <c r="S294" s="662"/>
      <c r="T294" s="662"/>
      <c r="U294" s="665"/>
      <c r="V294" s="666"/>
      <c r="W294" s="662"/>
      <c r="X294" s="662"/>
      <c r="Y294" s="662"/>
      <c r="Z294" s="662"/>
    </row>
    <row r="295" hidden="1" outlineLevel="1">
      <c r="A295" s="662"/>
      <c r="B295" s="730"/>
      <c r="C295" s="731"/>
      <c r="D295" s="731"/>
      <c r="E295" s="731"/>
      <c r="F295" s="731"/>
      <c r="G295" s="732"/>
      <c r="H295" s="731"/>
      <c r="I295" s="731"/>
      <c r="J295" s="731"/>
      <c r="K295" s="731"/>
      <c r="L295" s="756"/>
      <c r="M295" s="755"/>
      <c r="N295" s="731"/>
      <c r="O295" s="734"/>
      <c r="Q295" s="729"/>
      <c r="R295" s="662"/>
      <c r="S295" s="662"/>
      <c r="T295" s="662"/>
      <c r="U295" s="665"/>
      <c r="V295" s="666"/>
      <c r="W295" s="662"/>
      <c r="X295" s="662"/>
      <c r="Y295" s="662"/>
      <c r="Z295" s="662"/>
    </row>
    <row r="296" hidden="1" outlineLevel="1">
      <c r="A296" s="662"/>
      <c r="B296" s="730"/>
      <c r="C296" s="731"/>
      <c r="D296" s="731"/>
      <c r="E296" s="731"/>
      <c r="F296" s="731"/>
      <c r="G296" s="732"/>
      <c r="H296" s="731"/>
      <c r="I296" s="731"/>
      <c r="J296" s="731"/>
      <c r="K296" s="731"/>
      <c r="L296" s="756"/>
      <c r="M296" s="755"/>
      <c r="N296" s="731"/>
      <c r="O296" s="734"/>
      <c r="Q296" s="729"/>
      <c r="R296" s="662"/>
      <c r="S296" s="662"/>
      <c r="T296" s="662"/>
      <c r="U296" s="665"/>
      <c r="V296" s="666"/>
      <c r="W296" s="662"/>
      <c r="X296" s="662"/>
      <c r="Y296" s="662"/>
      <c r="Z296" s="662"/>
    </row>
    <row r="297" hidden="1" outlineLevel="1">
      <c r="A297" s="662"/>
      <c r="B297" s="730"/>
      <c r="C297" s="731"/>
      <c r="D297" s="731"/>
      <c r="E297" s="731"/>
      <c r="F297" s="731"/>
      <c r="G297" s="732"/>
      <c r="H297" s="731"/>
      <c r="I297" s="731"/>
      <c r="J297" s="731"/>
      <c r="K297" s="731"/>
      <c r="L297" s="756"/>
      <c r="M297" s="755"/>
      <c r="N297" s="731"/>
      <c r="O297" s="734"/>
      <c r="Q297" s="729"/>
      <c r="R297" s="662"/>
      <c r="S297" s="662"/>
      <c r="T297" s="662"/>
      <c r="U297" s="665"/>
      <c r="V297" s="666"/>
      <c r="W297" s="662"/>
      <c r="X297" s="662"/>
      <c r="Y297" s="662"/>
      <c r="Z297" s="662"/>
    </row>
    <row r="298" hidden="1" outlineLevel="1">
      <c r="A298" s="662"/>
      <c r="B298" s="730"/>
      <c r="C298" s="731"/>
      <c r="D298" s="731"/>
      <c r="E298" s="731"/>
      <c r="F298" s="698"/>
      <c r="G298" s="699"/>
      <c r="H298" s="698"/>
      <c r="I298" s="698"/>
      <c r="J298" s="698"/>
      <c r="K298" s="698"/>
      <c r="L298" s="756"/>
      <c r="M298" s="755"/>
      <c r="N298" s="698"/>
      <c r="O298" s="701"/>
      <c r="P298" s="702"/>
      <c r="Q298" s="738"/>
      <c r="R298" s="662"/>
      <c r="S298" s="662"/>
      <c r="T298" s="662"/>
      <c r="U298" s="665"/>
      <c r="V298" s="666"/>
      <c r="W298" s="662"/>
      <c r="X298" s="662"/>
      <c r="Y298" s="662"/>
      <c r="Z298" s="662"/>
    </row>
    <row r="299" hidden="1" outlineLevel="1">
      <c r="A299" s="662"/>
      <c r="B299" s="739"/>
      <c r="C299" s="698"/>
      <c r="D299" s="698"/>
      <c r="E299" s="698"/>
      <c r="F299" s="758" t="s">
        <v>546</v>
      </c>
      <c r="G299" s="759"/>
      <c r="H299" s="742"/>
      <c r="I299" s="742"/>
      <c r="J299" s="742"/>
      <c r="K299" s="742"/>
      <c r="L299" s="759"/>
      <c r="M299" s="759"/>
      <c r="N299" s="759"/>
      <c r="O299" s="759"/>
      <c r="P299" s="759"/>
      <c r="Q299" s="760"/>
      <c r="R299" s="662"/>
      <c r="S299" s="662"/>
      <c r="T299" s="662"/>
      <c r="U299" s="665"/>
      <c r="V299" s="666"/>
      <c r="W299" s="662"/>
      <c r="X299" s="662"/>
      <c r="Y299" s="662"/>
      <c r="Z299" s="662"/>
    </row>
    <row r="300" hidden="1" outlineLevel="1">
      <c r="A300" s="662"/>
      <c r="B300" s="761"/>
      <c r="C300" s="762">
        <f>IF(C289="","",IF(DAY(C289+1)=1,"",C289+1))</f>
        <v>46080</v>
      </c>
      <c r="D300" s="763" t="str">
        <f>TEXT(C300,"ddd")</f>
        <v>金</v>
      </c>
      <c r="E300" s="764"/>
      <c r="F300" s="765" t="s">
        <v>594</v>
      </c>
      <c r="G300" s="766" t="s">
        <v>595</v>
      </c>
      <c r="H300" s="767"/>
      <c r="I300" s="768">
        <v>0.0</v>
      </c>
      <c r="J300" s="763"/>
      <c r="K300" s="763"/>
      <c r="L300" s="769"/>
      <c r="M300" s="769"/>
      <c r="N300" s="765"/>
      <c r="O300" s="770"/>
      <c r="P300" s="771"/>
      <c r="Q300" s="772"/>
      <c r="R300" s="662"/>
      <c r="S300" s="662"/>
      <c r="T300" s="662"/>
      <c r="U300" s="665"/>
      <c r="V300" s="666"/>
      <c r="W300" s="662"/>
      <c r="X300" s="662"/>
      <c r="Y300" s="662"/>
      <c r="Z300" s="662"/>
    </row>
    <row r="301" hidden="1" outlineLevel="1">
      <c r="A301" s="662"/>
      <c r="B301" s="730"/>
      <c r="C301" s="731"/>
      <c r="D301" s="731"/>
      <c r="E301" s="731"/>
      <c r="F301" s="731"/>
      <c r="G301" s="732"/>
      <c r="H301" s="731"/>
      <c r="I301" s="731"/>
      <c r="J301" s="731"/>
      <c r="K301" s="731"/>
      <c r="L301" s="769"/>
      <c r="M301" s="769"/>
      <c r="N301" s="731"/>
      <c r="O301" s="734"/>
      <c r="Q301" s="729"/>
      <c r="R301" s="662"/>
      <c r="S301" s="662"/>
      <c r="T301" s="662"/>
      <c r="U301" s="665"/>
      <c r="V301" s="666"/>
      <c r="W301" s="662"/>
      <c r="X301" s="662"/>
      <c r="Y301" s="662"/>
      <c r="Z301" s="662"/>
    </row>
    <row r="302" hidden="1" outlineLevel="1">
      <c r="A302" s="662"/>
      <c r="B302" s="730"/>
      <c r="C302" s="731"/>
      <c r="D302" s="731"/>
      <c r="E302" s="731"/>
      <c r="F302" s="731"/>
      <c r="G302" s="732"/>
      <c r="H302" s="731"/>
      <c r="I302" s="731"/>
      <c r="J302" s="731"/>
      <c r="K302" s="731"/>
      <c r="L302" s="769"/>
      <c r="M302" s="769"/>
      <c r="N302" s="731"/>
      <c r="O302" s="734"/>
      <c r="Q302" s="729"/>
      <c r="R302" s="662"/>
      <c r="S302" s="662"/>
      <c r="T302" s="662"/>
      <c r="U302" s="665"/>
      <c r="V302" s="666"/>
      <c r="W302" s="662"/>
      <c r="X302" s="662"/>
      <c r="Y302" s="662"/>
      <c r="Z302" s="662"/>
    </row>
    <row r="303" hidden="1" outlineLevel="1">
      <c r="A303" s="662"/>
      <c r="B303" s="730"/>
      <c r="C303" s="731"/>
      <c r="D303" s="731"/>
      <c r="E303" s="731"/>
      <c r="F303" s="731"/>
      <c r="G303" s="732"/>
      <c r="H303" s="731"/>
      <c r="I303" s="731"/>
      <c r="J303" s="731"/>
      <c r="K303" s="731"/>
      <c r="L303" s="773"/>
      <c r="M303" s="769"/>
      <c r="N303" s="731"/>
      <c r="O303" s="734"/>
      <c r="Q303" s="729"/>
      <c r="R303" s="662"/>
      <c r="S303" s="662"/>
      <c r="T303" s="662"/>
      <c r="U303" s="665"/>
      <c r="V303" s="666"/>
      <c r="W303" s="662"/>
      <c r="X303" s="662"/>
      <c r="Y303" s="662"/>
      <c r="Z303" s="662"/>
    </row>
    <row r="304" hidden="1" outlineLevel="1">
      <c r="A304" s="662"/>
      <c r="B304" s="730"/>
      <c r="C304" s="731"/>
      <c r="D304" s="731"/>
      <c r="E304" s="731"/>
      <c r="F304" s="731"/>
      <c r="G304" s="732"/>
      <c r="H304" s="731"/>
      <c r="I304" s="731"/>
      <c r="J304" s="731"/>
      <c r="K304" s="731"/>
      <c r="L304" s="773"/>
      <c r="M304" s="769"/>
      <c r="N304" s="731"/>
      <c r="O304" s="734"/>
      <c r="Q304" s="729"/>
      <c r="R304" s="662"/>
      <c r="S304" s="662"/>
      <c r="T304" s="662"/>
      <c r="U304" s="665"/>
      <c r="V304" s="666"/>
      <c r="W304" s="662"/>
      <c r="X304" s="662"/>
      <c r="Y304" s="662"/>
      <c r="Z304" s="662"/>
    </row>
    <row r="305" hidden="1" outlineLevel="1">
      <c r="A305" s="662"/>
      <c r="B305" s="730"/>
      <c r="C305" s="731"/>
      <c r="D305" s="731"/>
      <c r="E305" s="731"/>
      <c r="F305" s="731"/>
      <c r="G305" s="732"/>
      <c r="H305" s="731"/>
      <c r="I305" s="731"/>
      <c r="J305" s="731"/>
      <c r="K305" s="731"/>
      <c r="L305" s="773"/>
      <c r="M305" s="769"/>
      <c r="N305" s="731"/>
      <c r="O305" s="734"/>
      <c r="Q305" s="729"/>
      <c r="R305" s="662"/>
      <c r="S305" s="662"/>
      <c r="T305" s="662"/>
      <c r="U305" s="665"/>
      <c r="V305" s="666"/>
      <c r="W305" s="662"/>
      <c r="X305" s="662"/>
      <c r="Y305" s="662"/>
      <c r="Z305" s="662"/>
    </row>
    <row r="306" hidden="1" outlineLevel="1">
      <c r="A306" s="662"/>
      <c r="B306" s="730"/>
      <c r="C306" s="731"/>
      <c r="D306" s="731"/>
      <c r="E306" s="731"/>
      <c r="F306" s="731"/>
      <c r="G306" s="732"/>
      <c r="H306" s="731"/>
      <c r="I306" s="731"/>
      <c r="J306" s="731"/>
      <c r="K306" s="731"/>
      <c r="L306" s="773"/>
      <c r="M306" s="769"/>
      <c r="N306" s="731"/>
      <c r="O306" s="734"/>
      <c r="Q306" s="729"/>
      <c r="R306" s="662"/>
      <c r="S306" s="662"/>
      <c r="T306" s="662"/>
      <c r="U306" s="665"/>
      <c r="V306" s="666"/>
      <c r="W306" s="662"/>
      <c r="X306" s="662"/>
      <c r="Y306" s="662"/>
      <c r="Z306" s="662"/>
    </row>
    <row r="307" hidden="1" outlineLevel="1">
      <c r="A307" s="662"/>
      <c r="B307" s="730"/>
      <c r="C307" s="731"/>
      <c r="D307" s="731"/>
      <c r="E307" s="731"/>
      <c r="F307" s="731"/>
      <c r="G307" s="732"/>
      <c r="H307" s="731"/>
      <c r="I307" s="731"/>
      <c r="J307" s="731"/>
      <c r="K307" s="731"/>
      <c r="L307" s="773"/>
      <c r="M307" s="769"/>
      <c r="N307" s="731"/>
      <c r="O307" s="734"/>
      <c r="Q307" s="729"/>
      <c r="R307" s="662"/>
      <c r="S307" s="662"/>
      <c r="T307" s="662"/>
      <c r="U307" s="665"/>
      <c r="V307" s="666"/>
      <c r="W307" s="662"/>
      <c r="X307" s="662"/>
      <c r="Y307" s="662"/>
      <c r="Z307" s="662"/>
    </row>
    <row r="308" hidden="1" outlineLevel="1">
      <c r="A308" s="662"/>
      <c r="B308" s="730"/>
      <c r="C308" s="731"/>
      <c r="D308" s="731"/>
      <c r="E308" s="731"/>
      <c r="F308" s="731"/>
      <c r="G308" s="732"/>
      <c r="H308" s="731"/>
      <c r="I308" s="731"/>
      <c r="J308" s="731"/>
      <c r="K308" s="731"/>
      <c r="L308" s="773"/>
      <c r="M308" s="769"/>
      <c r="N308" s="731"/>
      <c r="O308" s="734"/>
      <c r="Q308" s="729"/>
      <c r="R308" s="662"/>
      <c r="S308" s="662"/>
      <c r="T308" s="662"/>
      <c r="U308" s="665"/>
      <c r="V308" s="666"/>
      <c r="W308" s="662"/>
      <c r="X308" s="662"/>
      <c r="Y308" s="662"/>
      <c r="Z308" s="662"/>
    </row>
    <row r="309" hidden="1" outlineLevel="1">
      <c r="A309" s="662"/>
      <c r="B309" s="730"/>
      <c r="C309" s="731"/>
      <c r="D309" s="731"/>
      <c r="E309" s="731"/>
      <c r="F309" s="698"/>
      <c r="G309" s="699"/>
      <c r="H309" s="698"/>
      <c r="I309" s="698"/>
      <c r="J309" s="698"/>
      <c r="K309" s="698"/>
      <c r="L309" s="773"/>
      <c r="M309" s="769"/>
      <c r="N309" s="698"/>
      <c r="O309" s="701"/>
      <c r="P309" s="702"/>
      <c r="Q309" s="738"/>
      <c r="R309" s="662"/>
      <c r="S309" s="662"/>
      <c r="T309" s="662"/>
      <c r="U309" s="665"/>
      <c r="V309" s="666"/>
      <c r="W309" s="662"/>
      <c r="X309" s="662"/>
      <c r="Y309" s="662"/>
      <c r="Z309" s="662"/>
    </row>
    <row r="310" hidden="1" outlineLevel="1">
      <c r="A310" s="662"/>
      <c r="B310" s="739"/>
      <c r="C310" s="698"/>
      <c r="D310" s="698"/>
      <c r="E310" s="698"/>
      <c r="F310" s="740" t="s">
        <v>546</v>
      </c>
      <c r="G310" s="741"/>
      <c r="H310" s="742"/>
      <c r="I310" s="742"/>
      <c r="J310" s="742"/>
      <c r="K310" s="742"/>
      <c r="L310" s="741"/>
      <c r="M310" s="741"/>
      <c r="N310" s="741"/>
      <c r="O310" s="741"/>
      <c r="P310" s="741"/>
      <c r="Q310" s="743"/>
      <c r="R310" s="662"/>
      <c r="S310" s="662"/>
      <c r="T310" s="662"/>
      <c r="U310" s="665"/>
      <c r="V310" s="666"/>
      <c r="W310" s="662"/>
      <c r="X310" s="662"/>
      <c r="Y310" s="662"/>
      <c r="Z310" s="662"/>
    </row>
    <row r="311" hidden="1" outlineLevel="1">
      <c r="A311" s="662"/>
      <c r="B311" s="744"/>
      <c r="C311" s="745">
        <f>IF(C300="","",IF(DAY(C300+1)=1,"",C300+1))</f>
        <v>46081</v>
      </c>
      <c r="D311" s="746" t="str">
        <f>TEXT(C311,"ddd")</f>
        <v>土</v>
      </c>
      <c r="E311" s="747"/>
      <c r="F311" s="775" t="s">
        <v>594</v>
      </c>
      <c r="G311" s="776" t="s">
        <v>595</v>
      </c>
      <c r="H311" s="777"/>
      <c r="I311" s="778">
        <v>0.0</v>
      </c>
      <c r="J311" s="746"/>
      <c r="K311" s="746"/>
      <c r="L311" s="755"/>
      <c r="M311" s="755"/>
      <c r="N311" s="775"/>
      <c r="O311" s="779"/>
      <c r="P311" s="771"/>
      <c r="Q311" s="772"/>
      <c r="R311" s="662"/>
      <c r="S311" s="662"/>
      <c r="T311" s="662"/>
      <c r="U311" s="665"/>
      <c r="V311" s="666"/>
      <c r="W311" s="662"/>
      <c r="X311" s="662"/>
      <c r="Y311" s="662"/>
      <c r="Z311" s="662"/>
    </row>
    <row r="312" hidden="1" outlineLevel="1">
      <c r="A312" s="662"/>
      <c r="B312" s="730"/>
      <c r="C312" s="731"/>
      <c r="D312" s="731"/>
      <c r="E312" s="731"/>
      <c r="F312" s="731"/>
      <c r="G312" s="732"/>
      <c r="H312" s="731"/>
      <c r="I312" s="731"/>
      <c r="J312" s="731"/>
      <c r="K312" s="731"/>
      <c r="L312" s="755"/>
      <c r="M312" s="755"/>
      <c r="N312" s="731"/>
      <c r="O312" s="734"/>
      <c r="Q312" s="729"/>
      <c r="R312" s="662"/>
      <c r="S312" s="662"/>
      <c r="T312" s="662"/>
      <c r="U312" s="665"/>
      <c r="V312" s="666"/>
      <c r="W312" s="662"/>
      <c r="X312" s="662"/>
      <c r="Y312" s="662"/>
      <c r="Z312" s="662"/>
    </row>
    <row r="313" hidden="1" outlineLevel="1">
      <c r="A313" s="662"/>
      <c r="B313" s="730"/>
      <c r="C313" s="731"/>
      <c r="D313" s="731"/>
      <c r="E313" s="731"/>
      <c r="F313" s="731"/>
      <c r="G313" s="732"/>
      <c r="H313" s="731"/>
      <c r="I313" s="731"/>
      <c r="J313" s="731"/>
      <c r="K313" s="731"/>
      <c r="L313" s="755"/>
      <c r="M313" s="755"/>
      <c r="N313" s="731"/>
      <c r="O313" s="734"/>
      <c r="Q313" s="729"/>
      <c r="R313" s="662"/>
      <c r="S313" s="662"/>
      <c r="T313" s="662"/>
      <c r="U313" s="665"/>
      <c r="V313" s="666"/>
      <c r="W313" s="662"/>
      <c r="X313" s="662"/>
      <c r="Y313" s="662"/>
      <c r="Z313" s="662"/>
    </row>
    <row r="314" hidden="1" outlineLevel="1">
      <c r="A314" s="662"/>
      <c r="B314" s="730"/>
      <c r="C314" s="731"/>
      <c r="D314" s="731"/>
      <c r="E314" s="731"/>
      <c r="F314" s="731"/>
      <c r="G314" s="732"/>
      <c r="H314" s="731"/>
      <c r="I314" s="731"/>
      <c r="J314" s="731"/>
      <c r="K314" s="731"/>
      <c r="L314" s="756"/>
      <c r="M314" s="755"/>
      <c r="N314" s="731"/>
      <c r="O314" s="734"/>
      <c r="Q314" s="729"/>
      <c r="R314" s="662"/>
      <c r="S314" s="662"/>
      <c r="T314" s="662"/>
      <c r="U314" s="665"/>
      <c r="V314" s="666"/>
      <c r="W314" s="662"/>
      <c r="X314" s="662"/>
      <c r="Y314" s="662"/>
      <c r="Z314" s="662"/>
    </row>
    <row r="315" hidden="1" outlineLevel="1">
      <c r="A315" s="662"/>
      <c r="B315" s="730"/>
      <c r="C315" s="731"/>
      <c r="D315" s="731"/>
      <c r="E315" s="731"/>
      <c r="F315" s="731"/>
      <c r="G315" s="732"/>
      <c r="H315" s="731"/>
      <c r="I315" s="731"/>
      <c r="J315" s="731"/>
      <c r="K315" s="731"/>
      <c r="L315" s="756"/>
      <c r="M315" s="755"/>
      <c r="N315" s="731"/>
      <c r="O315" s="734"/>
      <c r="Q315" s="729"/>
      <c r="R315" s="662"/>
      <c r="S315" s="662"/>
      <c r="T315" s="662"/>
      <c r="U315" s="665"/>
      <c r="V315" s="666"/>
      <c r="W315" s="662"/>
      <c r="X315" s="662"/>
      <c r="Y315" s="662"/>
      <c r="Z315" s="662"/>
    </row>
    <row r="316" hidden="1" outlineLevel="1">
      <c r="A316" s="662"/>
      <c r="B316" s="730"/>
      <c r="C316" s="731"/>
      <c r="D316" s="731"/>
      <c r="E316" s="731"/>
      <c r="F316" s="731"/>
      <c r="G316" s="732"/>
      <c r="H316" s="731"/>
      <c r="I316" s="731"/>
      <c r="J316" s="731"/>
      <c r="K316" s="731"/>
      <c r="L316" s="756"/>
      <c r="M316" s="755"/>
      <c r="N316" s="731"/>
      <c r="O316" s="734"/>
      <c r="Q316" s="729"/>
      <c r="R316" s="662"/>
      <c r="S316" s="662"/>
      <c r="T316" s="662"/>
      <c r="U316" s="665"/>
      <c r="V316" s="666"/>
      <c r="W316" s="662"/>
      <c r="X316" s="662"/>
      <c r="Y316" s="662"/>
      <c r="Z316" s="662"/>
    </row>
    <row r="317" hidden="1" outlineLevel="1">
      <c r="A317" s="662"/>
      <c r="B317" s="730"/>
      <c r="C317" s="731"/>
      <c r="D317" s="731"/>
      <c r="E317" s="731"/>
      <c r="F317" s="731"/>
      <c r="G317" s="732"/>
      <c r="H317" s="731"/>
      <c r="I317" s="731"/>
      <c r="J317" s="731"/>
      <c r="K317" s="731"/>
      <c r="L317" s="756"/>
      <c r="M317" s="755"/>
      <c r="N317" s="731"/>
      <c r="O317" s="734"/>
      <c r="Q317" s="729"/>
      <c r="R317" s="662"/>
      <c r="S317" s="662"/>
      <c r="T317" s="662"/>
      <c r="U317" s="665"/>
      <c r="V317" s="666"/>
      <c r="W317" s="662"/>
      <c r="X317" s="662"/>
      <c r="Y317" s="662"/>
      <c r="Z317" s="662"/>
    </row>
    <row r="318" hidden="1" outlineLevel="1">
      <c r="A318" s="662"/>
      <c r="B318" s="730"/>
      <c r="C318" s="731"/>
      <c r="D318" s="731"/>
      <c r="E318" s="731"/>
      <c r="F318" s="731"/>
      <c r="G318" s="732"/>
      <c r="H318" s="731"/>
      <c r="I318" s="731"/>
      <c r="J318" s="731"/>
      <c r="K318" s="731"/>
      <c r="L318" s="756"/>
      <c r="M318" s="755"/>
      <c r="N318" s="731"/>
      <c r="O318" s="734"/>
      <c r="Q318" s="729"/>
      <c r="R318" s="662"/>
      <c r="S318" s="662"/>
      <c r="T318" s="662"/>
      <c r="U318" s="665"/>
      <c r="V318" s="666"/>
      <c r="W318" s="662"/>
      <c r="X318" s="662"/>
      <c r="Y318" s="662"/>
      <c r="Z318" s="662"/>
    </row>
    <row r="319" hidden="1" outlineLevel="1">
      <c r="A319" s="662"/>
      <c r="B319" s="730"/>
      <c r="C319" s="731"/>
      <c r="D319" s="731"/>
      <c r="E319" s="731"/>
      <c r="F319" s="731"/>
      <c r="G319" s="732"/>
      <c r="H319" s="731"/>
      <c r="I319" s="731"/>
      <c r="J319" s="731"/>
      <c r="K319" s="731"/>
      <c r="L319" s="756"/>
      <c r="M319" s="755"/>
      <c r="N319" s="731"/>
      <c r="O319" s="734"/>
      <c r="Q319" s="729"/>
      <c r="R319" s="662"/>
      <c r="S319" s="662"/>
      <c r="T319" s="662"/>
      <c r="U319" s="665"/>
      <c r="V319" s="666"/>
      <c r="W319" s="662"/>
      <c r="X319" s="662"/>
      <c r="Y319" s="662"/>
      <c r="Z319" s="662"/>
    </row>
    <row r="320" hidden="1" outlineLevel="1">
      <c r="A320" s="662"/>
      <c r="B320" s="730"/>
      <c r="C320" s="731"/>
      <c r="D320" s="731"/>
      <c r="E320" s="731"/>
      <c r="F320" s="698"/>
      <c r="G320" s="699"/>
      <c r="H320" s="698"/>
      <c r="I320" s="698"/>
      <c r="J320" s="698"/>
      <c r="K320" s="698"/>
      <c r="L320" s="756"/>
      <c r="M320" s="755"/>
      <c r="N320" s="698"/>
      <c r="O320" s="701"/>
      <c r="P320" s="702"/>
      <c r="Q320" s="738"/>
      <c r="R320" s="662"/>
      <c r="S320" s="662"/>
      <c r="T320" s="662"/>
      <c r="U320" s="665"/>
      <c r="V320" s="666"/>
      <c r="W320" s="662"/>
      <c r="X320" s="662"/>
      <c r="Y320" s="662"/>
      <c r="Z320" s="662"/>
    </row>
    <row r="321" hidden="1" outlineLevel="1">
      <c r="A321" s="662"/>
      <c r="B321" s="739"/>
      <c r="C321" s="698"/>
      <c r="D321" s="698"/>
      <c r="E321" s="698"/>
      <c r="F321" s="758" t="s">
        <v>546</v>
      </c>
      <c r="G321" s="759"/>
      <c r="H321" s="742"/>
      <c r="I321" s="742"/>
      <c r="J321" s="742"/>
      <c r="K321" s="742"/>
      <c r="L321" s="759"/>
      <c r="M321" s="759"/>
      <c r="N321" s="759"/>
      <c r="O321" s="759"/>
      <c r="P321" s="759"/>
      <c r="Q321" s="760"/>
      <c r="R321" s="662"/>
      <c r="S321" s="662"/>
      <c r="T321" s="662"/>
      <c r="U321" s="665"/>
      <c r="V321" s="666"/>
      <c r="W321" s="662"/>
      <c r="X321" s="662"/>
      <c r="Y321" s="662"/>
      <c r="Z321" s="662"/>
    </row>
    <row r="322" hidden="1" outlineLevel="1">
      <c r="A322" s="662"/>
      <c r="B322" s="761"/>
      <c r="C322" s="762" t="str">
        <f>IF(C311="","",IF(DAY(C311+1)=1,"",C311+1))</f>
        <v/>
      </c>
      <c r="D322" s="763" t="str">
        <f>TEXT(C322,"ddd")</f>
        <v/>
      </c>
      <c r="E322" s="764"/>
      <c r="F322" s="765" t="s">
        <v>594</v>
      </c>
      <c r="G322" s="766" t="s">
        <v>595</v>
      </c>
      <c r="H322" s="767"/>
      <c r="I322" s="768">
        <v>0.0</v>
      </c>
      <c r="J322" s="763"/>
      <c r="K322" s="763"/>
      <c r="L322" s="769"/>
      <c r="M322" s="769"/>
      <c r="N322" s="765"/>
      <c r="O322" s="770"/>
      <c r="P322" s="771"/>
      <c r="Q322" s="772"/>
      <c r="R322" s="662"/>
      <c r="S322" s="662"/>
      <c r="T322" s="662"/>
      <c r="U322" s="665"/>
      <c r="V322" s="666"/>
      <c r="W322" s="662"/>
      <c r="X322" s="662"/>
      <c r="Y322" s="662"/>
      <c r="Z322" s="662"/>
    </row>
    <row r="323" hidden="1" outlineLevel="1">
      <c r="A323" s="662"/>
      <c r="B323" s="730"/>
      <c r="C323" s="731"/>
      <c r="D323" s="731"/>
      <c r="E323" s="731"/>
      <c r="F323" s="731"/>
      <c r="G323" s="732"/>
      <c r="H323" s="731"/>
      <c r="I323" s="731"/>
      <c r="J323" s="731"/>
      <c r="K323" s="731"/>
      <c r="L323" s="769"/>
      <c r="M323" s="769"/>
      <c r="N323" s="731"/>
      <c r="O323" s="734"/>
      <c r="Q323" s="729"/>
      <c r="R323" s="662"/>
      <c r="S323" s="662"/>
      <c r="T323" s="662"/>
      <c r="U323" s="665"/>
      <c r="V323" s="666"/>
      <c r="W323" s="662"/>
      <c r="X323" s="662"/>
      <c r="Y323" s="662"/>
      <c r="Z323" s="662"/>
    </row>
    <row r="324" hidden="1" outlineLevel="1">
      <c r="A324" s="662"/>
      <c r="B324" s="730"/>
      <c r="C324" s="731"/>
      <c r="D324" s="731"/>
      <c r="E324" s="731"/>
      <c r="F324" s="731"/>
      <c r="G324" s="732"/>
      <c r="H324" s="731"/>
      <c r="I324" s="731"/>
      <c r="J324" s="731"/>
      <c r="K324" s="731"/>
      <c r="L324" s="769"/>
      <c r="M324" s="769"/>
      <c r="N324" s="731"/>
      <c r="O324" s="734"/>
      <c r="Q324" s="729"/>
      <c r="R324" s="662"/>
      <c r="S324" s="662"/>
      <c r="T324" s="662"/>
      <c r="U324" s="665"/>
      <c r="V324" s="666"/>
      <c r="W324" s="662"/>
      <c r="X324" s="662"/>
      <c r="Y324" s="662"/>
      <c r="Z324" s="662"/>
    </row>
    <row r="325" hidden="1" outlineLevel="1">
      <c r="A325" s="662"/>
      <c r="B325" s="730"/>
      <c r="C325" s="731"/>
      <c r="D325" s="731"/>
      <c r="E325" s="731"/>
      <c r="F325" s="731"/>
      <c r="G325" s="732"/>
      <c r="H325" s="731"/>
      <c r="I325" s="731"/>
      <c r="J325" s="731"/>
      <c r="K325" s="731"/>
      <c r="L325" s="773"/>
      <c r="M325" s="769"/>
      <c r="N325" s="731"/>
      <c r="O325" s="734"/>
      <c r="Q325" s="729"/>
      <c r="R325" s="662"/>
      <c r="S325" s="662"/>
      <c r="T325" s="662"/>
      <c r="U325" s="665"/>
      <c r="V325" s="666"/>
      <c r="W325" s="662"/>
      <c r="X325" s="662"/>
      <c r="Y325" s="662"/>
      <c r="Z325" s="662"/>
    </row>
    <row r="326" hidden="1" outlineLevel="1">
      <c r="A326" s="662"/>
      <c r="B326" s="730"/>
      <c r="C326" s="731"/>
      <c r="D326" s="731"/>
      <c r="E326" s="731"/>
      <c r="F326" s="731"/>
      <c r="G326" s="732"/>
      <c r="H326" s="731"/>
      <c r="I326" s="731"/>
      <c r="J326" s="731"/>
      <c r="K326" s="731"/>
      <c r="L326" s="773"/>
      <c r="M326" s="769"/>
      <c r="N326" s="731"/>
      <c r="O326" s="734"/>
      <c r="Q326" s="729"/>
      <c r="R326" s="662"/>
      <c r="S326" s="662"/>
      <c r="T326" s="662"/>
      <c r="U326" s="665"/>
      <c r="V326" s="666"/>
      <c r="W326" s="662"/>
      <c r="X326" s="662"/>
      <c r="Y326" s="662"/>
      <c r="Z326" s="662"/>
    </row>
    <row r="327" hidden="1" outlineLevel="1">
      <c r="A327" s="662"/>
      <c r="B327" s="730"/>
      <c r="C327" s="731"/>
      <c r="D327" s="731"/>
      <c r="E327" s="731"/>
      <c r="F327" s="731"/>
      <c r="G327" s="732"/>
      <c r="H327" s="731"/>
      <c r="I327" s="731"/>
      <c r="J327" s="731"/>
      <c r="K327" s="731"/>
      <c r="L327" s="773"/>
      <c r="M327" s="769"/>
      <c r="N327" s="731"/>
      <c r="O327" s="734"/>
      <c r="Q327" s="729"/>
      <c r="R327" s="662"/>
      <c r="S327" s="662"/>
      <c r="T327" s="662"/>
      <c r="U327" s="665"/>
      <c r="V327" s="666"/>
      <c r="W327" s="662"/>
      <c r="X327" s="662"/>
      <c r="Y327" s="662"/>
      <c r="Z327" s="662"/>
    </row>
    <row r="328" hidden="1" outlineLevel="1">
      <c r="A328" s="662"/>
      <c r="B328" s="730"/>
      <c r="C328" s="731"/>
      <c r="D328" s="731"/>
      <c r="E328" s="731"/>
      <c r="F328" s="731"/>
      <c r="G328" s="732"/>
      <c r="H328" s="731"/>
      <c r="I328" s="731"/>
      <c r="J328" s="731"/>
      <c r="K328" s="731"/>
      <c r="L328" s="773"/>
      <c r="M328" s="769"/>
      <c r="N328" s="731"/>
      <c r="O328" s="734"/>
      <c r="Q328" s="729"/>
      <c r="R328" s="662"/>
      <c r="S328" s="662"/>
      <c r="T328" s="662"/>
      <c r="U328" s="665"/>
      <c r="V328" s="666"/>
      <c r="W328" s="662"/>
      <c r="X328" s="662"/>
      <c r="Y328" s="662"/>
      <c r="Z328" s="662"/>
    </row>
    <row r="329" hidden="1" outlineLevel="1">
      <c r="A329" s="662"/>
      <c r="B329" s="730"/>
      <c r="C329" s="731"/>
      <c r="D329" s="731"/>
      <c r="E329" s="731"/>
      <c r="F329" s="731"/>
      <c r="G329" s="732"/>
      <c r="H329" s="731"/>
      <c r="I329" s="731"/>
      <c r="J329" s="731"/>
      <c r="K329" s="731"/>
      <c r="L329" s="773"/>
      <c r="M329" s="769"/>
      <c r="N329" s="731"/>
      <c r="O329" s="734"/>
      <c r="Q329" s="729"/>
      <c r="R329" s="662"/>
      <c r="S329" s="662"/>
      <c r="T329" s="662"/>
      <c r="U329" s="665"/>
      <c r="V329" s="666"/>
      <c r="W329" s="662"/>
      <c r="X329" s="662"/>
      <c r="Y329" s="662"/>
      <c r="Z329" s="662"/>
    </row>
    <row r="330" hidden="1" outlineLevel="1">
      <c r="A330" s="662"/>
      <c r="B330" s="730"/>
      <c r="C330" s="731"/>
      <c r="D330" s="731"/>
      <c r="E330" s="731"/>
      <c r="F330" s="731"/>
      <c r="G330" s="732"/>
      <c r="H330" s="731"/>
      <c r="I330" s="731"/>
      <c r="J330" s="731"/>
      <c r="K330" s="731"/>
      <c r="L330" s="773"/>
      <c r="M330" s="769"/>
      <c r="N330" s="731"/>
      <c r="O330" s="734"/>
      <c r="Q330" s="729"/>
      <c r="R330" s="662"/>
      <c r="S330" s="662"/>
      <c r="T330" s="662"/>
      <c r="U330" s="665"/>
      <c r="V330" s="666"/>
      <c r="W330" s="662"/>
      <c r="X330" s="662"/>
      <c r="Y330" s="662"/>
      <c r="Z330" s="662"/>
    </row>
    <row r="331" hidden="1" outlineLevel="1">
      <c r="A331" s="662"/>
      <c r="B331" s="730"/>
      <c r="C331" s="731"/>
      <c r="D331" s="731"/>
      <c r="E331" s="731"/>
      <c r="F331" s="698"/>
      <c r="G331" s="699"/>
      <c r="H331" s="698"/>
      <c r="I331" s="698"/>
      <c r="J331" s="698"/>
      <c r="K331" s="698"/>
      <c r="L331" s="773"/>
      <c r="M331" s="769"/>
      <c r="N331" s="698"/>
      <c r="O331" s="701"/>
      <c r="P331" s="702"/>
      <c r="Q331" s="738"/>
      <c r="R331" s="662"/>
      <c r="S331" s="662"/>
      <c r="T331" s="662"/>
      <c r="U331" s="665"/>
      <c r="V331" s="666"/>
      <c r="W331" s="662"/>
      <c r="X331" s="662"/>
      <c r="Y331" s="662"/>
      <c r="Z331" s="662"/>
    </row>
    <row r="332" hidden="1" outlineLevel="1">
      <c r="A332" s="662"/>
      <c r="B332" s="739"/>
      <c r="C332" s="698"/>
      <c r="D332" s="698"/>
      <c r="E332" s="698"/>
      <c r="F332" s="740" t="s">
        <v>546</v>
      </c>
      <c r="G332" s="741"/>
      <c r="H332" s="742"/>
      <c r="I332" s="742"/>
      <c r="J332" s="742"/>
      <c r="K332" s="742"/>
      <c r="L332" s="741"/>
      <c r="M332" s="741"/>
      <c r="N332" s="741"/>
      <c r="O332" s="741"/>
      <c r="P332" s="741"/>
      <c r="Q332" s="743"/>
      <c r="R332" s="662"/>
      <c r="S332" s="662"/>
      <c r="T332" s="662"/>
      <c r="U332" s="665"/>
      <c r="V332" s="666"/>
      <c r="W332" s="662"/>
      <c r="X332" s="662"/>
      <c r="Y332" s="662"/>
      <c r="Z332" s="662"/>
    </row>
    <row r="333" hidden="1" outlineLevel="1">
      <c r="A333" s="662"/>
      <c r="B333" s="744"/>
      <c r="C333" s="745" t="str">
        <f>IF(C322="","",IF(DAY(C322+1)=1,"",C322+1))</f>
        <v/>
      </c>
      <c r="D333" s="746" t="str">
        <f>TEXT(C333,"ddd")</f>
        <v/>
      </c>
      <c r="E333" s="747"/>
      <c r="F333" s="775" t="s">
        <v>594</v>
      </c>
      <c r="G333" s="776" t="s">
        <v>595</v>
      </c>
      <c r="H333" s="777"/>
      <c r="I333" s="778">
        <v>0.0</v>
      </c>
      <c r="J333" s="746"/>
      <c r="K333" s="746"/>
      <c r="L333" s="755"/>
      <c r="M333" s="755"/>
      <c r="N333" s="775"/>
      <c r="O333" s="779"/>
      <c r="P333" s="771"/>
      <c r="Q333" s="772"/>
      <c r="R333" s="662"/>
      <c r="S333" s="662"/>
      <c r="T333" s="662"/>
      <c r="U333" s="665"/>
      <c r="V333" s="666"/>
      <c r="W333" s="662"/>
      <c r="X333" s="662"/>
      <c r="Y333" s="662"/>
      <c r="Z333" s="662"/>
    </row>
    <row r="334" hidden="1" outlineLevel="1">
      <c r="A334" s="662"/>
      <c r="B334" s="730"/>
      <c r="C334" s="731"/>
      <c r="D334" s="731"/>
      <c r="E334" s="731"/>
      <c r="F334" s="731"/>
      <c r="G334" s="732"/>
      <c r="H334" s="731"/>
      <c r="I334" s="731"/>
      <c r="J334" s="731"/>
      <c r="K334" s="731"/>
      <c r="L334" s="755"/>
      <c r="M334" s="755"/>
      <c r="N334" s="731"/>
      <c r="O334" s="734"/>
      <c r="Q334" s="729"/>
      <c r="R334" s="662"/>
      <c r="S334" s="662"/>
      <c r="T334" s="662"/>
      <c r="U334" s="665"/>
      <c r="V334" s="666"/>
      <c r="W334" s="662"/>
      <c r="X334" s="662"/>
      <c r="Y334" s="662"/>
      <c r="Z334" s="662"/>
    </row>
    <row r="335" hidden="1" outlineLevel="1">
      <c r="A335" s="662"/>
      <c r="B335" s="730"/>
      <c r="C335" s="731"/>
      <c r="D335" s="731"/>
      <c r="E335" s="731"/>
      <c r="F335" s="731"/>
      <c r="G335" s="732"/>
      <c r="H335" s="731"/>
      <c r="I335" s="731"/>
      <c r="J335" s="731"/>
      <c r="K335" s="731"/>
      <c r="L335" s="755"/>
      <c r="M335" s="755"/>
      <c r="N335" s="731"/>
      <c r="O335" s="734"/>
      <c r="Q335" s="729"/>
      <c r="R335" s="662"/>
      <c r="S335" s="662"/>
      <c r="T335" s="662"/>
      <c r="U335" s="665"/>
      <c r="V335" s="666"/>
      <c r="W335" s="662"/>
      <c r="X335" s="662"/>
      <c r="Y335" s="662"/>
      <c r="Z335" s="662"/>
    </row>
    <row r="336" hidden="1" outlineLevel="1">
      <c r="A336" s="662"/>
      <c r="B336" s="730"/>
      <c r="C336" s="731"/>
      <c r="D336" s="731"/>
      <c r="E336" s="731"/>
      <c r="F336" s="731"/>
      <c r="G336" s="732"/>
      <c r="H336" s="731"/>
      <c r="I336" s="731"/>
      <c r="J336" s="731"/>
      <c r="K336" s="731"/>
      <c r="L336" s="756"/>
      <c r="M336" s="755"/>
      <c r="N336" s="731"/>
      <c r="O336" s="734"/>
      <c r="Q336" s="729"/>
      <c r="R336" s="662"/>
      <c r="S336" s="662"/>
      <c r="T336" s="662"/>
      <c r="U336" s="665"/>
      <c r="V336" s="666"/>
      <c r="W336" s="662"/>
      <c r="X336" s="662"/>
      <c r="Y336" s="662"/>
      <c r="Z336" s="662"/>
    </row>
    <row r="337" hidden="1" outlineLevel="1">
      <c r="A337" s="662"/>
      <c r="B337" s="730"/>
      <c r="C337" s="731"/>
      <c r="D337" s="731"/>
      <c r="E337" s="731"/>
      <c r="F337" s="731"/>
      <c r="G337" s="732"/>
      <c r="H337" s="731"/>
      <c r="I337" s="731"/>
      <c r="J337" s="731"/>
      <c r="K337" s="731"/>
      <c r="L337" s="756"/>
      <c r="M337" s="755"/>
      <c r="N337" s="731"/>
      <c r="O337" s="734"/>
      <c r="Q337" s="729"/>
      <c r="R337" s="662"/>
      <c r="S337" s="662"/>
      <c r="T337" s="662"/>
      <c r="U337" s="665"/>
      <c r="V337" s="666"/>
      <c r="W337" s="662"/>
      <c r="X337" s="662"/>
      <c r="Y337" s="662"/>
      <c r="Z337" s="662"/>
    </row>
    <row r="338" hidden="1" outlineLevel="1">
      <c r="A338" s="662"/>
      <c r="B338" s="730"/>
      <c r="C338" s="731"/>
      <c r="D338" s="731"/>
      <c r="E338" s="731"/>
      <c r="F338" s="731"/>
      <c r="G338" s="732"/>
      <c r="H338" s="731"/>
      <c r="I338" s="731"/>
      <c r="J338" s="731"/>
      <c r="K338" s="731"/>
      <c r="L338" s="756"/>
      <c r="M338" s="755"/>
      <c r="N338" s="731"/>
      <c r="O338" s="734"/>
      <c r="Q338" s="729"/>
      <c r="R338" s="662"/>
      <c r="S338" s="662"/>
      <c r="T338" s="662"/>
      <c r="U338" s="665"/>
      <c r="V338" s="666"/>
      <c r="W338" s="662"/>
      <c r="X338" s="662"/>
      <c r="Y338" s="662"/>
      <c r="Z338" s="662"/>
    </row>
    <row r="339" hidden="1" outlineLevel="1">
      <c r="A339" s="662"/>
      <c r="B339" s="730"/>
      <c r="C339" s="731"/>
      <c r="D339" s="731"/>
      <c r="E339" s="731"/>
      <c r="F339" s="731"/>
      <c r="G339" s="732"/>
      <c r="H339" s="731"/>
      <c r="I339" s="731"/>
      <c r="J339" s="731"/>
      <c r="K339" s="731"/>
      <c r="L339" s="756"/>
      <c r="M339" s="755"/>
      <c r="N339" s="731"/>
      <c r="O339" s="734"/>
      <c r="Q339" s="729"/>
      <c r="R339" s="662"/>
      <c r="S339" s="662"/>
      <c r="T339" s="662"/>
      <c r="U339" s="665"/>
      <c r="V339" s="666"/>
      <c r="W339" s="662"/>
      <c r="X339" s="662"/>
      <c r="Y339" s="662"/>
      <c r="Z339" s="662"/>
    </row>
    <row r="340" hidden="1" outlineLevel="1">
      <c r="A340" s="662"/>
      <c r="B340" s="730"/>
      <c r="C340" s="731"/>
      <c r="D340" s="731"/>
      <c r="E340" s="731"/>
      <c r="F340" s="731"/>
      <c r="G340" s="732"/>
      <c r="H340" s="731"/>
      <c r="I340" s="731"/>
      <c r="J340" s="731"/>
      <c r="K340" s="731"/>
      <c r="L340" s="756"/>
      <c r="M340" s="755"/>
      <c r="N340" s="731"/>
      <c r="O340" s="734"/>
      <c r="Q340" s="729"/>
      <c r="R340" s="662"/>
      <c r="S340" s="662"/>
      <c r="T340" s="662"/>
      <c r="U340" s="665"/>
      <c r="V340" s="666"/>
      <c r="W340" s="662"/>
      <c r="X340" s="662"/>
      <c r="Y340" s="662"/>
      <c r="Z340" s="662"/>
    </row>
    <row r="341" hidden="1" outlineLevel="1">
      <c r="A341" s="662"/>
      <c r="B341" s="730"/>
      <c r="C341" s="731"/>
      <c r="D341" s="731"/>
      <c r="E341" s="731"/>
      <c r="F341" s="731"/>
      <c r="G341" s="732"/>
      <c r="H341" s="731"/>
      <c r="I341" s="731"/>
      <c r="J341" s="731"/>
      <c r="K341" s="731"/>
      <c r="L341" s="756"/>
      <c r="M341" s="755"/>
      <c r="N341" s="731"/>
      <c r="O341" s="734"/>
      <c r="Q341" s="729"/>
      <c r="R341" s="662"/>
      <c r="S341" s="662"/>
      <c r="T341" s="662"/>
      <c r="U341" s="665"/>
      <c r="V341" s="666"/>
      <c r="W341" s="662"/>
      <c r="X341" s="662"/>
      <c r="Y341" s="662"/>
      <c r="Z341" s="662"/>
    </row>
    <row r="342" hidden="1" outlineLevel="1">
      <c r="A342" s="662"/>
      <c r="B342" s="730"/>
      <c r="C342" s="731"/>
      <c r="D342" s="731"/>
      <c r="E342" s="731"/>
      <c r="F342" s="698"/>
      <c r="G342" s="699"/>
      <c r="H342" s="698"/>
      <c r="I342" s="698"/>
      <c r="J342" s="698"/>
      <c r="K342" s="698"/>
      <c r="L342" s="756"/>
      <c r="M342" s="755"/>
      <c r="N342" s="698"/>
      <c r="O342" s="701"/>
      <c r="P342" s="702"/>
      <c r="Q342" s="738"/>
      <c r="R342" s="662"/>
      <c r="S342" s="662"/>
      <c r="T342" s="662"/>
      <c r="U342" s="665"/>
      <c r="V342" s="666"/>
      <c r="W342" s="662"/>
      <c r="X342" s="662"/>
      <c r="Y342" s="662"/>
      <c r="Z342" s="662"/>
    </row>
    <row r="343" hidden="1" outlineLevel="1">
      <c r="A343" s="662"/>
      <c r="B343" s="739"/>
      <c r="C343" s="698"/>
      <c r="D343" s="698"/>
      <c r="E343" s="698"/>
      <c r="F343" s="758" t="s">
        <v>546</v>
      </c>
      <c r="G343" s="759"/>
      <c r="H343" s="742"/>
      <c r="I343" s="742"/>
      <c r="J343" s="742"/>
      <c r="K343" s="742"/>
      <c r="L343" s="759"/>
      <c r="M343" s="759"/>
      <c r="N343" s="759"/>
      <c r="O343" s="759"/>
      <c r="P343" s="759"/>
      <c r="Q343" s="760"/>
      <c r="R343" s="662"/>
      <c r="S343" s="662"/>
      <c r="T343" s="662"/>
      <c r="U343" s="665"/>
      <c r="V343" s="666"/>
      <c r="W343" s="662"/>
      <c r="X343" s="662"/>
      <c r="Y343" s="662"/>
      <c r="Z343" s="662"/>
    </row>
    <row r="344" hidden="1" outlineLevel="1">
      <c r="A344" s="662"/>
      <c r="B344" s="761"/>
      <c r="C344" s="762" t="str">
        <f>IF(C333="","",IF(DAY(C333+1)=1,"",C333+1))</f>
        <v/>
      </c>
      <c r="D344" s="763" t="str">
        <f>TEXT(C344,"ddd")</f>
        <v/>
      </c>
      <c r="E344" s="764"/>
      <c r="F344" s="765" t="s">
        <v>594</v>
      </c>
      <c r="G344" s="766" t="s">
        <v>595</v>
      </c>
      <c r="H344" s="767"/>
      <c r="I344" s="768">
        <v>0.0</v>
      </c>
      <c r="J344" s="763"/>
      <c r="K344" s="763"/>
      <c r="L344" s="769"/>
      <c r="M344" s="769"/>
      <c r="N344" s="765"/>
      <c r="O344" s="770"/>
      <c r="P344" s="771"/>
      <c r="Q344" s="772"/>
      <c r="R344" s="662"/>
      <c r="S344" s="662"/>
      <c r="T344" s="662"/>
      <c r="U344" s="665"/>
      <c r="V344" s="666"/>
      <c r="W344" s="662"/>
      <c r="X344" s="662"/>
      <c r="Y344" s="662"/>
      <c r="Z344" s="662"/>
    </row>
    <row r="345" hidden="1" outlineLevel="1">
      <c r="A345" s="662"/>
      <c r="B345" s="730"/>
      <c r="C345" s="731"/>
      <c r="D345" s="731"/>
      <c r="E345" s="731"/>
      <c r="F345" s="731"/>
      <c r="G345" s="732"/>
      <c r="H345" s="731"/>
      <c r="I345" s="731"/>
      <c r="J345" s="731"/>
      <c r="K345" s="731"/>
      <c r="L345" s="769"/>
      <c r="M345" s="769"/>
      <c r="N345" s="731"/>
      <c r="O345" s="734"/>
      <c r="Q345" s="729"/>
      <c r="R345" s="662"/>
      <c r="S345" s="662"/>
      <c r="T345" s="662"/>
      <c r="U345" s="665"/>
      <c r="V345" s="666"/>
      <c r="W345" s="662"/>
      <c r="X345" s="662"/>
      <c r="Y345" s="662"/>
      <c r="Z345" s="662"/>
    </row>
    <row r="346" hidden="1" outlineLevel="1">
      <c r="A346" s="662"/>
      <c r="B346" s="730"/>
      <c r="C346" s="731"/>
      <c r="D346" s="731"/>
      <c r="E346" s="731"/>
      <c r="F346" s="731"/>
      <c r="G346" s="732"/>
      <c r="H346" s="731"/>
      <c r="I346" s="731"/>
      <c r="J346" s="731"/>
      <c r="K346" s="731"/>
      <c r="L346" s="769"/>
      <c r="M346" s="769"/>
      <c r="N346" s="731"/>
      <c r="O346" s="734"/>
      <c r="Q346" s="729"/>
      <c r="R346" s="662"/>
      <c r="S346" s="662"/>
      <c r="T346" s="662"/>
      <c r="U346" s="665"/>
      <c r="V346" s="666"/>
      <c r="W346" s="662"/>
      <c r="X346" s="662"/>
      <c r="Y346" s="662"/>
      <c r="Z346" s="662"/>
    </row>
    <row r="347" hidden="1" outlineLevel="1">
      <c r="A347" s="662"/>
      <c r="B347" s="730"/>
      <c r="C347" s="731"/>
      <c r="D347" s="731"/>
      <c r="E347" s="731"/>
      <c r="F347" s="731"/>
      <c r="G347" s="732"/>
      <c r="H347" s="731"/>
      <c r="I347" s="731"/>
      <c r="J347" s="731"/>
      <c r="K347" s="731"/>
      <c r="L347" s="773"/>
      <c r="M347" s="769"/>
      <c r="N347" s="731"/>
      <c r="O347" s="734"/>
      <c r="Q347" s="729"/>
      <c r="R347" s="662"/>
      <c r="S347" s="662"/>
      <c r="T347" s="662"/>
      <c r="U347" s="665"/>
      <c r="V347" s="666"/>
      <c r="W347" s="662"/>
      <c r="X347" s="662"/>
      <c r="Y347" s="662"/>
      <c r="Z347" s="662"/>
    </row>
    <row r="348" hidden="1" outlineLevel="1">
      <c r="A348" s="662"/>
      <c r="B348" s="730"/>
      <c r="C348" s="731"/>
      <c r="D348" s="731"/>
      <c r="E348" s="731"/>
      <c r="F348" s="731"/>
      <c r="G348" s="732"/>
      <c r="H348" s="731"/>
      <c r="I348" s="731"/>
      <c r="J348" s="731"/>
      <c r="K348" s="731"/>
      <c r="L348" s="773"/>
      <c r="M348" s="769"/>
      <c r="N348" s="731"/>
      <c r="O348" s="734"/>
      <c r="Q348" s="729"/>
      <c r="R348" s="662"/>
      <c r="S348" s="662"/>
      <c r="T348" s="662"/>
      <c r="U348" s="665"/>
      <c r="V348" s="666"/>
      <c r="W348" s="662"/>
      <c r="X348" s="662"/>
      <c r="Y348" s="662"/>
      <c r="Z348" s="662"/>
    </row>
    <row r="349" hidden="1" outlineLevel="1">
      <c r="A349" s="662"/>
      <c r="B349" s="730"/>
      <c r="C349" s="731"/>
      <c r="D349" s="731"/>
      <c r="E349" s="731"/>
      <c r="F349" s="731"/>
      <c r="G349" s="732"/>
      <c r="H349" s="731"/>
      <c r="I349" s="731"/>
      <c r="J349" s="731"/>
      <c r="K349" s="731"/>
      <c r="L349" s="773"/>
      <c r="M349" s="769"/>
      <c r="N349" s="731"/>
      <c r="O349" s="734"/>
      <c r="Q349" s="729"/>
      <c r="R349" s="662"/>
      <c r="S349" s="662"/>
      <c r="T349" s="662"/>
      <c r="U349" s="665"/>
      <c r="V349" s="666"/>
      <c r="W349" s="662"/>
      <c r="X349" s="662"/>
      <c r="Y349" s="662"/>
      <c r="Z349" s="662"/>
    </row>
    <row r="350" hidden="1" outlineLevel="1">
      <c r="A350" s="662"/>
      <c r="B350" s="730"/>
      <c r="C350" s="731"/>
      <c r="D350" s="731"/>
      <c r="E350" s="731"/>
      <c r="F350" s="731"/>
      <c r="G350" s="732"/>
      <c r="H350" s="731"/>
      <c r="I350" s="731"/>
      <c r="J350" s="731"/>
      <c r="K350" s="731"/>
      <c r="L350" s="773"/>
      <c r="M350" s="769"/>
      <c r="N350" s="731"/>
      <c r="O350" s="734"/>
      <c r="Q350" s="729"/>
      <c r="R350" s="662"/>
      <c r="S350" s="662"/>
      <c r="T350" s="662"/>
      <c r="U350" s="665"/>
      <c r="V350" s="666"/>
      <c r="W350" s="662"/>
      <c r="X350" s="662"/>
      <c r="Y350" s="662"/>
      <c r="Z350" s="662"/>
    </row>
    <row r="351" hidden="1" outlineLevel="1">
      <c r="A351" s="662"/>
      <c r="B351" s="730"/>
      <c r="C351" s="731"/>
      <c r="D351" s="731"/>
      <c r="E351" s="731"/>
      <c r="F351" s="731"/>
      <c r="G351" s="732"/>
      <c r="H351" s="731"/>
      <c r="I351" s="731"/>
      <c r="J351" s="731"/>
      <c r="K351" s="731"/>
      <c r="L351" s="773"/>
      <c r="M351" s="769"/>
      <c r="N351" s="731"/>
      <c r="O351" s="734"/>
      <c r="Q351" s="729"/>
      <c r="R351" s="662"/>
      <c r="S351" s="662"/>
      <c r="T351" s="662"/>
      <c r="U351" s="665"/>
      <c r="V351" s="666"/>
      <c r="W351" s="662"/>
      <c r="X351" s="662"/>
      <c r="Y351" s="662"/>
      <c r="Z351" s="662"/>
    </row>
    <row r="352" hidden="1" outlineLevel="1">
      <c r="A352" s="662"/>
      <c r="B352" s="730"/>
      <c r="C352" s="731"/>
      <c r="D352" s="731"/>
      <c r="E352" s="731"/>
      <c r="F352" s="731"/>
      <c r="G352" s="732"/>
      <c r="H352" s="731"/>
      <c r="I352" s="731"/>
      <c r="J352" s="731"/>
      <c r="K352" s="731"/>
      <c r="L352" s="773"/>
      <c r="M352" s="769"/>
      <c r="N352" s="731"/>
      <c r="O352" s="734"/>
      <c r="Q352" s="729"/>
      <c r="R352" s="662"/>
      <c r="S352" s="662"/>
      <c r="T352" s="662"/>
      <c r="U352" s="665"/>
      <c r="V352" s="666"/>
      <c r="W352" s="662"/>
      <c r="X352" s="662"/>
      <c r="Y352" s="662"/>
      <c r="Z352" s="662"/>
    </row>
    <row r="353" hidden="1" outlineLevel="1">
      <c r="A353" s="662"/>
      <c r="B353" s="730"/>
      <c r="C353" s="731"/>
      <c r="D353" s="731"/>
      <c r="E353" s="731"/>
      <c r="F353" s="698"/>
      <c r="G353" s="699"/>
      <c r="H353" s="698"/>
      <c r="I353" s="698"/>
      <c r="J353" s="698"/>
      <c r="K353" s="698"/>
      <c r="L353" s="773"/>
      <c r="M353" s="769"/>
      <c r="N353" s="698"/>
      <c r="O353" s="701"/>
      <c r="P353" s="702"/>
      <c r="Q353" s="738"/>
      <c r="R353" s="662"/>
      <c r="S353" s="662"/>
      <c r="T353" s="662"/>
      <c r="U353" s="665"/>
      <c r="V353" s="666"/>
      <c r="W353" s="662"/>
      <c r="X353" s="662"/>
      <c r="Y353" s="662"/>
      <c r="Z353" s="662"/>
    </row>
    <row r="354" hidden="1" outlineLevel="1">
      <c r="A354" s="662"/>
      <c r="B354" s="789"/>
      <c r="C354" s="790"/>
      <c r="D354" s="790"/>
      <c r="E354" s="790"/>
      <c r="F354" s="791" t="s">
        <v>546</v>
      </c>
      <c r="G354" s="792"/>
      <c r="H354" s="793"/>
      <c r="I354" s="793"/>
      <c r="J354" s="793"/>
      <c r="K354" s="793"/>
      <c r="L354" s="792"/>
      <c r="M354" s="792"/>
      <c r="N354" s="792"/>
      <c r="O354" s="792"/>
      <c r="P354" s="792"/>
      <c r="Q354" s="794"/>
      <c r="R354" s="662"/>
      <c r="S354" s="662"/>
      <c r="T354" s="662"/>
      <c r="U354" s="665"/>
      <c r="V354" s="666"/>
      <c r="W354" s="662"/>
      <c r="X354" s="662"/>
      <c r="Y354" s="662"/>
      <c r="Z354" s="662"/>
    </row>
    <row r="355">
      <c r="A355" s="662"/>
      <c r="B355" s="664"/>
      <c r="C355" s="795"/>
      <c r="D355" s="796"/>
      <c r="E355" s="681"/>
      <c r="F355" s="797"/>
      <c r="G355" s="797"/>
      <c r="H355" s="797"/>
      <c r="I355" s="797"/>
      <c r="J355" s="797"/>
      <c r="K355" s="797"/>
      <c r="L355" s="797"/>
      <c r="M355" s="797"/>
      <c r="N355" s="797"/>
      <c r="O355" s="797"/>
      <c r="P355" s="797"/>
      <c r="Q355" s="797"/>
      <c r="R355" s="662"/>
      <c r="S355" s="662"/>
      <c r="T355" s="662"/>
      <c r="U355" s="665"/>
      <c r="V355" s="666"/>
      <c r="W355" s="662"/>
      <c r="X355" s="662"/>
      <c r="Y355" s="662"/>
      <c r="Z355" s="662"/>
    </row>
    <row r="356">
      <c r="A356" s="662"/>
      <c r="B356" s="664"/>
      <c r="C356" s="795"/>
      <c r="D356" s="796"/>
      <c r="E356" s="681"/>
      <c r="F356" s="797"/>
      <c r="G356" s="797"/>
      <c r="H356" s="797"/>
      <c r="I356" s="797"/>
      <c r="J356" s="797"/>
      <c r="K356" s="797"/>
      <c r="L356" s="797"/>
      <c r="M356" s="797"/>
      <c r="N356" s="797"/>
      <c r="O356" s="797"/>
      <c r="P356" s="797"/>
      <c r="Q356" s="797"/>
      <c r="R356" s="662"/>
      <c r="S356" s="662"/>
      <c r="T356" s="662"/>
      <c r="U356" s="665"/>
      <c r="V356" s="666"/>
      <c r="W356" s="662"/>
      <c r="X356" s="662"/>
      <c r="Y356" s="662"/>
      <c r="Z356" s="662"/>
    </row>
    <row r="357">
      <c r="A357" s="662"/>
      <c r="B357" s="664"/>
      <c r="C357" s="795"/>
      <c r="D357" s="796"/>
      <c r="E357" s="681"/>
      <c r="F357" s="797"/>
      <c r="G357" s="797"/>
      <c r="H357" s="797"/>
      <c r="I357" s="797"/>
      <c r="J357" s="797"/>
      <c r="K357" s="797"/>
      <c r="L357" s="797"/>
      <c r="M357" s="797"/>
      <c r="N357" s="797"/>
      <c r="O357" s="797"/>
      <c r="P357" s="797"/>
      <c r="Q357" s="797"/>
      <c r="R357" s="662"/>
      <c r="S357" s="662"/>
      <c r="T357" s="662"/>
      <c r="U357" s="665"/>
      <c r="V357" s="666"/>
      <c r="W357" s="662"/>
      <c r="X357" s="662"/>
      <c r="Y357" s="662"/>
      <c r="Z357" s="662"/>
    </row>
    <row r="358">
      <c r="A358" s="662"/>
      <c r="B358" s="664"/>
      <c r="C358" s="795"/>
      <c r="D358" s="796"/>
      <c r="E358" s="681"/>
      <c r="F358" s="797"/>
      <c r="G358" s="797"/>
      <c r="H358" s="797"/>
      <c r="I358" s="797"/>
      <c r="J358" s="797"/>
      <c r="K358" s="797"/>
      <c r="L358" s="797"/>
      <c r="M358" s="797"/>
      <c r="N358" s="797"/>
      <c r="O358" s="797"/>
      <c r="P358" s="797"/>
      <c r="Q358" s="797"/>
      <c r="R358" s="662"/>
      <c r="S358" s="662"/>
      <c r="T358" s="662"/>
      <c r="U358" s="665"/>
      <c r="V358" s="666"/>
      <c r="W358" s="662"/>
      <c r="X358" s="662"/>
      <c r="Y358" s="662"/>
      <c r="Z358" s="662"/>
    </row>
    <row r="359">
      <c r="A359" s="662"/>
      <c r="B359" s="664"/>
      <c r="C359" s="795"/>
      <c r="D359" s="796"/>
      <c r="E359" s="681"/>
      <c r="F359" s="797"/>
      <c r="G359" s="797"/>
      <c r="H359" s="797"/>
      <c r="I359" s="797"/>
      <c r="J359" s="797"/>
      <c r="K359" s="797"/>
      <c r="L359" s="797"/>
      <c r="M359" s="797"/>
      <c r="N359" s="797"/>
      <c r="O359" s="797"/>
      <c r="P359" s="797"/>
      <c r="Q359" s="797"/>
      <c r="R359" s="662"/>
      <c r="S359" s="662"/>
      <c r="T359" s="662"/>
      <c r="U359" s="665"/>
      <c r="V359" s="666"/>
      <c r="W359" s="662"/>
      <c r="X359" s="662"/>
      <c r="Y359" s="662"/>
      <c r="Z359" s="662"/>
    </row>
    <row r="360">
      <c r="A360" s="662"/>
      <c r="B360" s="664"/>
      <c r="C360" s="795"/>
      <c r="D360" s="796"/>
      <c r="E360" s="681"/>
      <c r="F360" s="797"/>
      <c r="G360" s="797"/>
      <c r="H360" s="797"/>
      <c r="I360" s="797"/>
      <c r="J360" s="797"/>
      <c r="K360" s="797"/>
      <c r="L360" s="797"/>
      <c r="M360" s="797"/>
      <c r="N360" s="797"/>
      <c r="O360" s="797"/>
      <c r="P360" s="797"/>
      <c r="Q360" s="797"/>
      <c r="R360" s="662"/>
      <c r="S360" s="662"/>
      <c r="T360" s="662"/>
      <c r="U360" s="665"/>
      <c r="V360" s="666"/>
      <c r="W360" s="662"/>
      <c r="X360" s="662"/>
      <c r="Y360" s="662"/>
      <c r="Z360" s="662"/>
    </row>
    <row r="361">
      <c r="A361" s="662"/>
      <c r="B361" s="664"/>
      <c r="C361" s="795"/>
      <c r="D361" s="796"/>
      <c r="E361" s="681"/>
      <c r="F361" s="797"/>
      <c r="G361" s="797"/>
      <c r="H361" s="797"/>
      <c r="I361" s="797"/>
      <c r="J361" s="797"/>
      <c r="K361" s="797"/>
      <c r="L361" s="797"/>
      <c r="M361" s="797"/>
      <c r="N361" s="797"/>
      <c r="O361" s="797"/>
      <c r="P361" s="797"/>
      <c r="Q361" s="797"/>
      <c r="R361" s="662"/>
      <c r="S361" s="662"/>
      <c r="T361" s="662"/>
      <c r="U361" s="665"/>
      <c r="V361" s="666"/>
      <c r="W361" s="662"/>
      <c r="X361" s="662"/>
      <c r="Y361" s="662"/>
      <c r="Z361" s="662"/>
    </row>
    <row r="362">
      <c r="A362" s="662"/>
      <c r="B362" s="664"/>
      <c r="C362" s="795"/>
      <c r="D362" s="796"/>
      <c r="E362" s="681"/>
      <c r="F362" s="797"/>
      <c r="G362" s="797"/>
      <c r="H362" s="797"/>
      <c r="I362" s="797"/>
      <c r="J362" s="797"/>
      <c r="K362" s="797"/>
      <c r="L362" s="797"/>
      <c r="M362" s="797"/>
      <c r="N362" s="797"/>
      <c r="O362" s="797"/>
      <c r="P362" s="797"/>
      <c r="Q362" s="797"/>
      <c r="R362" s="662"/>
      <c r="S362" s="662"/>
      <c r="T362" s="662"/>
      <c r="U362" s="665"/>
      <c r="V362" s="666"/>
      <c r="W362" s="662"/>
      <c r="X362" s="662"/>
      <c r="Y362" s="662"/>
      <c r="Z362" s="662"/>
    </row>
    <row r="363">
      <c r="A363" s="662"/>
      <c r="B363" s="664"/>
      <c r="C363" s="795"/>
      <c r="D363" s="796"/>
      <c r="E363" s="681"/>
      <c r="F363" s="797"/>
      <c r="G363" s="797"/>
      <c r="H363" s="797"/>
      <c r="I363" s="797"/>
      <c r="J363" s="797"/>
      <c r="K363" s="797"/>
      <c r="L363" s="797"/>
      <c r="M363" s="797"/>
      <c r="N363" s="797"/>
      <c r="O363" s="797"/>
      <c r="P363" s="797"/>
      <c r="Q363" s="797"/>
      <c r="R363" s="662"/>
      <c r="S363" s="662"/>
      <c r="T363" s="662"/>
      <c r="U363" s="665"/>
      <c r="V363" s="666"/>
      <c r="W363" s="662"/>
      <c r="X363" s="662"/>
      <c r="Y363" s="662"/>
      <c r="Z363" s="662"/>
    </row>
    <row r="364">
      <c r="A364" s="662"/>
      <c r="B364" s="664"/>
      <c r="C364" s="795"/>
      <c r="D364" s="796"/>
      <c r="E364" s="681"/>
      <c r="F364" s="797"/>
      <c r="G364" s="797"/>
      <c r="H364" s="797"/>
      <c r="I364" s="797"/>
      <c r="J364" s="797"/>
      <c r="K364" s="797"/>
      <c r="L364" s="797"/>
      <c r="M364" s="797"/>
      <c r="N364" s="797"/>
      <c r="O364" s="797"/>
      <c r="P364" s="797"/>
      <c r="Q364" s="797"/>
      <c r="R364" s="662"/>
      <c r="S364" s="662"/>
      <c r="T364" s="662"/>
      <c r="U364" s="665"/>
      <c r="V364" s="666"/>
      <c r="W364" s="662"/>
      <c r="X364" s="662"/>
      <c r="Y364" s="662"/>
      <c r="Z364" s="662"/>
    </row>
    <row r="365">
      <c r="A365" s="662"/>
      <c r="B365" s="664"/>
      <c r="C365" s="795"/>
      <c r="D365" s="796"/>
      <c r="E365" s="681"/>
      <c r="F365" s="797"/>
      <c r="G365" s="797"/>
      <c r="H365" s="797"/>
      <c r="I365" s="797"/>
      <c r="J365" s="797"/>
      <c r="K365" s="797"/>
      <c r="L365" s="797"/>
      <c r="M365" s="797"/>
      <c r="N365" s="797"/>
      <c r="O365" s="797"/>
      <c r="P365" s="797"/>
      <c r="Q365" s="797"/>
      <c r="R365" s="662"/>
      <c r="S365" s="662"/>
      <c r="T365" s="662"/>
      <c r="U365" s="665"/>
      <c r="V365" s="666"/>
      <c r="W365" s="662"/>
      <c r="X365" s="662"/>
      <c r="Y365" s="662"/>
      <c r="Z365" s="662"/>
    </row>
    <row r="366">
      <c r="A366" s="662"/>
      <c r="B366" s="664"/>
      <c r="C366" s="795"/>
      <c r="D366" s="796"/>
      <c r="E366" s="681"/>
      <c r="F366" s="797"/>
      <c r="G366" s="797"/>
      <c r="H366" s="797"/>
      <c r="I366" s="797"/>
      <c r="J366" s="797"/>
      <c r="K366" s="797"/>
      <c r="L366" s="797"/>
      <c r="M366" s="797"/>
      <c r="N366" s="797"/>
      <c r="O366" s="797"/>
      <c r="P366" s="797"/>
      <c r="Q366" s="797"/>
      <c r="R366" s="662"/>
      <c r="S366" s="662"/>
      <c r="T366" s="662"/>
      <c r="U366" s="665"/>
      <c r="V366" s="666"/>
      <c r="W366" s="662"/>
      <c r="X366" s="662"/>
      <c r="Y366" s="662"/>
      <c r="Z366" s="662"/>
    </row>
    <row r="367">
      <c r="A367" s="662"/>
      <c r="B367" s="664"/>
      <c r="C367" s="795"/>
      <c r="D367" s="796"/>
      <c r="E367" s="681"/>
      <c r="F367" s="797"/>
      <c r="G367" s="797"/>
      <c r="H367" s="797"/>
      <c r="I367" s="797"/>
      <c r="J367" s="797"/>
      <c r="K367" s="797"/>
      <c r="L367" s="797"/>
      <c r="M367" s="797"/>
      <c r="N367" s="797"/>
      <c r="O367" s="797"/>
      <c r="P367" s="797"/>
      <c r="Q367" s="797"/>
      <c r="R367" s="662"/>
      <c r="S367" s="662"/>
      <c r="T367" s="662"/>
      <c r="U367" s="665"/>
      <c r="V367" s="666"/>
      <c r="W367" s="662"/>
      <c r="X367" s="662"/>
      <c r="Y367" s="662"/>
      <c r="Z367" s="662"/>
    </row>
    <row r="368">
      <c r="A368" s="662"/>
      <c r="B368" s="664"/>
      <c r="C368" s="795"/>
      <c r="D368" s="796"/>
      <c r="E368" s="681"/>
      <c r="F368" s="797"/>
      <c r="G368" s="797"/>
      <c r="H368" s="797"/>
      <c r="I368" s="797"/>
      <c r="J368" s="797"/>
      <c r="K368" s="797"/>
      <c r="L368" s="797"/>
      <c r="M368" s="797"/>
      <c r="N368" s="797"/>
      <c r="O368" s="797"/>
      <c r="P368" s="797"/>
      <c r="Q368" s="797"/>
      <c r="R368" s="662"/>
      <c r="S368" s="662"/>
      <c r="T368" s="662"/>
      <c r="U368" s="665"/>
      <c r="V368" s="666"/>
      <c r="W368" s="662"/>
      <c r="X368" s="662"/>
      <c r="Y368" s="662"/>
      <c r="Z368" s="662"/>
    </row>
    <row r="369">
      <c r="A369" s="662"/>
      <c r="B369" s="664"/>
      <c r="C369" s="795"/>
      <c r="D369" s="796"/>
      <c r="E369" s="681"/>
      <c r="F369" s="797"/>
      <c r="G369" s="797"/>
      <c r="H369" s="797"/>
      <c r="I369" s="797"/>
      <c r="J369" s="797"/>
      <c r="K369" s="797"/>
      <c r="L369" s="797"/>
      <c r="M369" s="797"/>
      <c r="N369" s="797"/>
      <c r="O369" s="797"/>
      <c r="P369" s="797"/>
      <c r="Q369" s="797"/>
      <c r="R369" s="662"/>
      <c r="S369" s="662"/>
      <c r="T369" s="662"/>
      <c r="U369" s="665"/>
      <c r="V369" s="666"/>
      <c r="W369" s="662"/>
      <c r="X369" s="662"/>
      <c r="Y369" s="662"/>
      <c r="Z369" s="662"/>
    </row>
    <row r="370">
      <c r="A370" s="662"/>
      <c r="B370" s="664"/>
      <c r="C370" s="795"/>
      <c r="D370" s="796"/>
      <c r="E370" s="681"/>
      <c r="F370" s="797"/>
      <c r="G370" s="797"/>
      <c r="H370" s="797"/>
      <c r="I370" s="797"/>
      <c r="J370" s="797"/>
      <c r="K370" s="797"/>
      <c r="L370" s="797"/>
      <c r="M370" s="797"/>
      <c r="N370" s="797"/>
      <c r="O370" s="797"/>
      <c r="P370" s="797"/>
      <c r="Q370" s="797"/>
      <c r="R370" s="662"/>
      <c r="S370" s="662"/>
      <c r="T370" s="662"/>
      <c r="U370" s="665"/>
      <c r="V370" s="666"/>
      <c r="W370" s="662"/>
      <c r="X370" s="662"/>
      <c r="Y370" s="662"/>
      <c r="Z370" s="662"/>
    </row>
    <row r="371">
      <c r="A371" s="662"/>
      <c r="B371" s="664"/>
      <c r="C371" s="795"/>
      <c r="D371" s="796"/>
      <c r="E371" s="681"/>
      <c r="F371" s="797"/>
      <c r="G371" s="797"/>
      <c r="H371" s="797"/>
      <c r="I371" s="797"/>
      <c r="J371" s="797"/>
      <c r="K371" s="797"/>
      <c r="L371" s="797"/>
      <c r="M371" s="797"/>
      <c r="N371" s="797"/>
      <c r="O371" s="797"/>
      <c r="P371" s="797"/>
      <c r="Q371" s="797"/>
      <c r="R371" s="662"/>
      <c r="S371" s="662"/>
      <c r="T371" s="662"/>
      <c r="U371" s="665"/>
      <c r="V371" s="666"/>
      <c r="W371" s="662"/>
      <c r="X371" s="662"/>
      <c r="Y371" s="662"/>
      <c r="Z371" s="662"/>
    </row>
    <row r="372">
      <c r="A372" s="662"/>
      <c r="B372" s="664"/>
      <c r="C372" s="795"/>
      <c r="D372" s="796"/>
      <c r="E372" s="681"/>
      <c r="F372" s="797"/>
      <c r="G372" s="797"/>
      <c r="H372" s="797"/>
      <c r="I372" s="797"/>
      <c r="J372" s="797"/>
      <c r="K372" s="797"/>
      <c r="L372" s="797"/>
      <c r="M372" s="797"/>
      <c r="N372" s="797"/>
      <c r="O372" s="797"/>
      <c r="P372" s="797"/>
      <c r="Q372" s="797"/>
      <c r="R372" s="662"/>
      <c r="S372" s="662"/>
      <c r="T372" s="662"/>
      <c r="U372" s="665"/>
      <c r="V372" s="666"/>
      <c r="W372" s="662"/>
      <c r="X372" s="662"/>
      <c r="Y372" s="662"/>
      <c r="Z372" s="662"/>
    </row>
    <row r="373">
      <c r="A373" s="662"/>
      <c r="B373" s="664"/>
      <c r="C373" s="795"/>
      <c r="D373" s="796"/>
      <c r="E373" s="681"/>
      <c r="F373" s="797"/>
      <c r="G373" s="797"/>
      <c r="H373" s="797"/>
      <c r="I373" s="797"/>
      <c r="J373" s="797"/>
      <c r="K373" s="797"/>
      <c r="L373" s="797"/>
      <c r="M373" s="797"/>
      <c r="N373" s="797"/>
      <c r="O373" s="797"/>
      <c r="P373" s="797"/>
      <c r="Q373" s="797"/>
      <c r="R373" s="662"/>
      <c r="S373" s="662"/>
      <c r="T373" s="662"/>
      <c r="U373" s="665"/>
      <c r="V373" s="666"/>
      <c r="W373" s="662"/>
      <c r="X373" s="662"/>
      <c r="Y373" s="662"/>
      <c r="Z373" s="662"/>
    </row>
    <row r="374">
      <c r="A374" s="662"/>
      <c r="B374" s="664"/>
      <c r="C374" s="795"/>
      <c r="D374" s="796"/>
      <c r="E374" s="681"/>
      <c r="F374" s="797"/>
      <c r="G374" s="797"/>
      <c r="H374" s="797"/>
      <c r="I374" s="797"/>
      <c r="J374" s="797"/>
      <c r="K374" s="797"/>
      <c r="L374" s="797"/>
      <c r="M374" s="797"/>
      <c r="N374" s="797"/>
      <c r="O374" s="797"/>
      <c r="P374" s="797"/>
      <c r="Q374" s="797"/>
      <c r="R374" s="662"/>
      <c r="S374" s="662"/>
      <c r="T374" s="662"/>
      <c r="U374" s="665"/>
      <c r="V374" s="666"/>
      <c r="W374" s="662"/>
      <c r="X374" s="662"/>
      <c r="Y374" s="662"/>
      <c r="Z374" s="662"/>
    </row>
    <row r="375">
      <c r="A375" s="662"/>
      <c r="B375" s="664"/>
      <c r="C375" s="795"/>
      <c r="D375" s="796"/>
      <c r="E375" s="681"/>
      <c r="F375" s="797"/>
      <c r="G375" s="797"/>
      <c r="H375" s="797"/>
      <c r="I375" s="797"/>
      <c r="J375" s="797"/>
      <c r="K375" s="797"/>
      <c r="L375" s="797"/>
      <c r="M375" s="797"/>
      <c r="N375" s="797"/>
      <c r="O375" s="797"/>
      <c r="P375" s="797"/>
      <c r="Q375" s="797"/>
      <c r="R375" s="662"/>
      <c r="S375" s="662"/>
      <c r="T375" s="662"/>
      <c r="U375" s="665"/>
      <c r="V375" s="666"/>
      <c r="W375" s="662"/>
      <c r="X375" s="662"/>
      <c r="Y375" s="662"/>
      <c r="Z375" s="662"/>
    </row>
    <row r="376">
      <c r="A376" s="662"/>
      <c r="B376" s="664"/>
      <c r="C376" s="795"/>
      <c r="D376" s="796"/>
      <c r="E376" s="681"/>
      <c r="F376" s="797"/>
      <c r="G376" s="797"/>
      <c r="H376" s="797"/>
      <c r="I376" s="797"/>
      <c r="J376" s="797"/>
      <c r="K376" s="797"/>
      <c r="L376" s="797"/>
      <c r="M376" s="797"/>
      <c r="N376" s="797"/>
      <c r="O376" s="797"/>
      <c r="P376" s="797"/>
      <c r="Q376" s="797"/>
      <c r="R376" s="662"/>
      <c r="S376" s="662"/>
      <c r="T376" s="662"/>
      <c r="U376" s="665"/>
      <c r="V376" s="666"/>
      <c r="W376" s="662"/>
      <c r="X376" s="662"/>
      <c r="Y376" s="662"/>
      <c r="Z376" s="662"/>
    </row>
    <row r="377">
      <c r="A377" s="662"/>
      <c r="B377" s="664"/>
      <c r="C377" s="795"/>
      <c r="D377" s="796"/>
      <c r="E377" s="681"/>
      <c r="F377" s="797"/>
      <c r="G377" s="797"/>
      <c r="H377" s="797"/>
      <c r="I377" s="797"/>
      <c r="J377" s="797"/>
      <c r="K377" s="797"/>
      <c r="L377" s="797"/>
      <c r="M377" s="797"/>
      <c r="N377" s="797"/>
      <c r="O377" s="797"/>
      <c r="P377" s="797"/>
      <c r="Q377" s="797"/>
      <c r="R377" s="662"/>
      <c r="S377" s="662"/>
      <c r="T377" s="662"/>
      <c r="U377" s="665"/>
      <c r="V377" s="666"/>
      <c r="W377" s="662"/>
      <c r="X377" s="662"/>
      <c r="Y377" s="662"/>
      <c r="Z377" s="662"/>
    </row>
    <row r="378">
      <c r="A378" s="662"/>
      <c r="B378" s="664"/>
      <c r="C378" s="795"/>
      <c r="D378" s="796"/>
      <c r="E378" s="681"/>
      <c r="F378" s="797"/>
      <c r="G378" s="797"/>
      <c r="H378" s="797"/>
      <c r="I378" s="797"/>
      <c r="J378" s="797"/>
      <c r="K378" s="797"/>
      <c r="L378" s="797"/>
      <c r="M378" s="797"/>
      <c r="N378" s="797"/>
      <c r="O378" s="797"/>
      <c r="P378" s="797"/>
      <c r="Q378" s="797"/>
      <c r="R378" s="662"/>
      <c r="S378" s="662"/>
      <c r="T378" s="662"/>
      <c r="U378" s="665"/>
      <c r="V378" s="666"/>
      <c r="W378" s="662"/>
      <c r="X378" s="662"/>
      <c r="Y378" s="662"/>
      <c r="Z378" s="662"/>
    </row>
    <row r="379">
      <c r="A379" s="662"/>
      <c r="B379" s="664"/>
      <c r="C379" s="795"/>
      <c r="D379" s="796"/>
      <c r="E379" s="681"/>
      <c r="F379" s="797"/>
      <c r="G379" s="797"/>
      <c r="H379" s="797"/>
      <c r="I379" s="797"/>
      <c r="J379" s="797"/>
      <c r="K379" s="797"/>
      <c r="L379" s="797"/>
      <c r="M379" s="797"/>
      <c r="N379" s="797"/>
      <c r="O379" s="797"/>
      <c r="P379" s="797"/>
      <c r="Q379" s="797"/>
      <c r="R379" s="662"/>
      <c r="S379" s="662"/>
      <c r="T379" s="662"/>
      <c r="U379" s="665"/>
      <c r="V379" s="666"/>
      <c r="W379" s="662"/>
      <c r="X379" s="662"/>
      <c r="Y379" s="662"/>
      <c r="Z379" s="662"/>
    </row>
    <row r="380">
      <c r="A380" s="662"/>
      <c r="B380" s="664"/>
      <c r="C380" s="795"/>
      <c r="D380" s="796"/>
      <c r="E380" s="681"/>
      <c r="F380" s="797"/>
      <c r="G380" s="797"/>
      <c r="H380" s="797"/>
      <c r="I380" s="797"/>
      <c r="J380" s="797"/>
      <c r="K380" s="797"/>
      <c r="L380" s="797"/>
      <c r="M380" s="797"/>
      <c r="N380" s="797"/>
      <c r="O380" s="797"/>
      <c r="P380" s="797"/>
      <c r="Q380" s="797"/>
      <c r="R380" s="662"/>
      <c r="S380" s="662"/>
      <c r="T380" s="662"/>
      <c r="U380" s="665"/>
      <c r="V380" s="666"/>
      <c r="W380" s="662"/>
      <c r="X380" s="662"/>
      <c r="Y380" s="662"/>
      <c r="Z380" s="662"/>
    </row>
    <row r="381">
      <c r="A381" s="662"/>
      <c r="B381" s="664"/>
      <c r="C381" s="795"/>
      <c r="D381" s="796"/>
      <c r="E381" s="681"/>
      <c r="F381" s="797"/>
      <c r="G381" s="797"/>
      <c r="H381" s="797"/>
      <c r="I381" s="797"/>
      <c r="J381" s="797"/>
      <c r="K381" s="797"/>
      <c r="L381" s="797"/>
      <c r="M381" s="797"/>
      <c r="N381" s="797"/>
      <c r="O381" s="797"/>
      <c r="P381" s="797"/>
      <c r="Q381" s="797"/>
      <c r="R381" s="662"/>
      <c r="S381" s="662"/>
      <c r="T381" s="662"/>
      <c r="U381" s="665"/>
      <c r="V381" s="666"/>
      <c r="W381" s="662"/>
      <c r="X381" s="662"/>
      <c r="Y381" s="662"/>
      <c r="Z381" s="662"/>
    </row>
    <row r="382">
      <c r="A382" s="662"/>
      <c r="B382" s="664"/>
      <c r="C382" s="795"/>
      <c r="D382" s="796"/>
      <c r="E382" s="681"/>
      <c r="F382" s="797"/>
      <c r="G382" s="797"/>
      <c r="H382" s="797"/>
      <c r="I382" s="797"/>
      <c r="J382" s="797"/>
      <c r="K382" s="797"/>
      <c r="L382" s="797"/>
      <c r="M382" s="797"/>
      <c r="N382" s="797"/>
      <c r="O382" s="797"/>
      <c r="P382" s="797"/>
      <c r="Q382" s="797"/>
      <c r="R382" s="662"/>
      <c r="S382" s="662"/>
      <c r="T382" s="662"/>
      <c r="U382" s="665"/>
      <c r="V382" s="666"/>
      <c r="W382" s="662"/>
      <c r="X382" s="662"/>
      <c r="Y382" s="662"/>
      <c r="Z382" s="662"/>
    </row>
    <row r="383">
      <c r="A383" s="662"/>
      <c r="B383" s="664"/>
      <c r="C383" s="795"/>
      <c r="D383" s="796"/>
      <c r="E383" s="681"/>
      <c r="F383" s="797"/>
      <c r="G383" s="797"/>
      <c r="H383" s="797"/>
      <c r="I383" s="797"/>
      <c r="J383" s="797"/>
      <c r="K383" s="797"/>
      <c r="L383" s="797"/>
      <c r="M383" s="797"/>
      <c r="N383" s="797"/>
      <c r="O383" s="797"/>
      <c r="P383" s="797"/>
      <c r="Q383" s="797"/>
      <c r="R383" s="662"/>
      <c r="S383" s="662"/>
      <c r="T383" s="662"/>
      <c r="U383" s="665"/>
      <c r="V383" s="666"/>
      <c r="W383" s="662"/>
      <c r="X383" s="662"/>
      <c r="Y383" s="662"/>
      <c r="Z383" s="662"/>
    </row>
    <row r="384">
      <c r="A384" s="662"/>
      <c r="B384" s="664"/>
      <c r="C384" s="795"/>
      <c r="D384" s="796"/>
      <c r="E384" s="681"/>
      <c r="F384" s="797"/>
      <c r="G384" s="797"/>
      <c r="H384" s="797"/>
      <c r="I384" s="797"/>
      <c r="J384" s="797"/>
      <c r="K384" s="797"/>
      <c r="L384" s="797"/>
      <c r="M384" s="797"/>
      <c r="N384" s="797"/>
      <c r="O384" s="797"/>
      <c r="P384" s="797"/>
      <c r="Q384" s="797"/>
      <c r="R384" s="662"/>
      <c r="S384" s="662"/>
      <c r="T384" s="662"/>
      <c r="U384" s="665"/>
      <c r="V384" s="666"/>
      <c r="W384" s="662"/>
      <c r="X384" s="662"/>
      <c r="Y384" s="662"/>
      <c r="Z384" s="662"/>
    </row>
    <row r="385">
      <c r="A385" s="662"/>
      <c r="B385" s="664"/>
      <c r="C385" s="795"/>
      <c r="D385" s="796"/>
      <c r="E385" s="681"/>
      <c r="F385" s="797"/>
      <c r="G385" s="797"/>
      <c r="H385" s="797"/>
      <c r="I385" s="797"/>
      <c r="J385" s="797"/>
      <c r="K385" s="797"/>
      <c r="L385" s="797"/>
      <c r="M385" s="797"/>
      <c r="N385" s="797"/>
      <c r="O385" s="797"/>
      <c r="P385" s="797"/>
      <c r="Q385" s="797"/>
      <c r="R385" s="662"/>
      <c r="S385" s="662"/>
      <c r="T385" s="662"/>
      <c r="U385" s="665"/>
      <c r="V385" s="666"/>
      <c r="W385" s="662"/>
      <c r="X385" s="662"/>
      <c r="Y385" s="662"/>
      <c r="Z385" s="662"/>
    </row>
    <row r="386">
      <c r="A386" s="662"/>
      <c r="B386" s="664"/>
      <c r="C386" s="795"/>
      <c r="D386" s="796"/>
      <c r="E386" s="681"/>
      <c r="F386" s="797"/>
      <c r="G386" s="797"/>
      <c r="H386" s="797"/>
      <c r="I386" s="797"/>
      <c r="J386" s="797"/>
      <c r="K386" s="797"/>
      <c r="L386" s="797"/>
      <c r="M386" s="797"/>
      <c r="N386" s="797"/>
      <c r="O386" s="797"/>
      <c r="P386" s="797"/>
      <c r="Q386" s="797"/>
      <c r="R386" s="662"/>
      <c r="S386" s="662"/>
      <c r="T386" s="662"/>
      <c r="U386" s="665"/>
      <c r="V386" s="666"/>
      <c r="W386" s="662"/>
      <c r="X386" s="662"/>
      <c r="Y386" s="662"/>
      <c r="Z386" s="662"/>
    </row>
    <row r="387">
      <c r="A387" s="662"/>
      <c r="B387" s="664"/>
      <c r="C387" s="795"/>
      <c r="D387" s="796"/>
      <c r="E387" s="681"/>
      <c r="F387" s="797"/>
      <c r="G387" s="797"/>
      <c r="H387" s="797"/>
      <c r="I387" s="797"/>
      <c r="J387" s="797"/>
      <c r="K387" s="797"/>
      <c r="L387" s="797"/>
      <c r="M387" s="797"/>
      <c r="N387" s="797"/>
      <c r="O387" s="797"/>
      <c r="P387" s="797"/>
      <c r="Q387" s="797"/>
      <c r="R387" s="662"/>
      <c r="S387" s="662"/>
      <c r="T387" s="662"/>
      <c r="U387" s="665"/>
      <c r="V387" s="666"/>
      <c r="W387" s="662"/>
      <c r="X387" s="662"/>
      <c r="Y387" s="662"/>
      <c r="Z387" s="662"/>
    </row>
    <row r="388">
      <c r="A388" s="662"/>
      <c r="B388" s="664"/>
      <c r="C388" s="795"/>
      <c r="D388" s="796"/>
      <c r="E388" s="681"/>
      <c r="F388" s="797"/>
      <c r="G388" s="797"/>
      <c r="H388" s="797"/>
      <c r="I388" s="797"/>
      <c r="J388" s="797"/>
      <c r="K388" s="797"/>
      <c r="L388" s="797"/>
      <c r="M388" s="797"/>
      <c r="N388" s="797"/>
      <c r="O388" s="797"/>
      <c r="P388" s="797"/>
      <c r="Q388" s="797"/>
      <c r="R388" s="662"/>
      <c r="S388" s="662"/>
      <c r="T388" s="662"/>
      <c r="U388" s="665"/>
      <c r="V388" s="666"/>
      <c r="W388" s="662"/>
      <c r="X388" s="662"/>
      <c r="Y388" s="662"/>
      <c r="Z388" s="662"/>
    </row>
    <row r="389">
      <c r="A389" s="662"/>
      <c r="B389" s="664"/>
      <c r="C389" s="795"/>
      <c r="D389" s="796"/>
      <c r="E389" s="681"/>
      <c r="F389" s="797"/>
      <c r="G389" s="797"/>
      <c r="H389" s="797"/>
      <c r="I389" s="797"/>
      <c r="J389" s="797"/>
      <c r="K389" s="797"/>
      <c r="L389" s="797"/>
      <c r="M389" s="797"/>
      <c r="N389" s="797"/>
      <c r="O389" s="797"/>
      <c r="P389" s="797"/>
      <c r="Q389" s="797"/>
      <c r="R389" s="662"/>
      <c r="S389" s="662"/>
      <c r="T389" s="662"/>
      <c r="U389" s="665"/>
      <c r="V389" s="666"/>
      <c r="W389" s="662"/>
      <c r="X389" s="662"/>
      <c r="Y389" s="662"/>
      <c r="Z389" s="662"/>
    </row>
    <row r="390">
      <c r="A390" s="662"/>
      <c r="B390" s="664"/>
      <c r="C390" s="795"/>
      <c r="D390" s="796"/>
      <c r="E390" s="681"/>
      <c r="F390" s="797"/>
      <c r="G390" s="797"/>
      <c r="H390" s="797"/>
      <c r="I390" s="797"/>
      <c r="J390" s="797"/>
      <c r="K390" s="797"/>
      <c r="L390" s="797"/>
      <c r="M390" s="797"/>
      <c r="N390" s="797"/>
      <c r="O390" s="797"/>
      <c r="P390" s="797"/>
      <c r="Q390" s="797"/>
      <c r="R390" s="662"/>
      <c r="S390" s="662"/>
      <c r="T390" s="662"/>
      <c r="U390" s="665"/>
      <c r="V390" s="666"/>
      <c r="W390" s="662"/>
      <c r="X390" s="662"/>
      <c r="Y390" s="662"/>
      <c r="Z390" s="662"/>
    </row>
    <row r="391">
      <c r="A391" s="662"/>
      <c r="B391" s="664"/>
      <c r="C391" s="795"/>
      <c r="D391" s="796"/>
      <c r="E391" s="681"/>
      <c r="F391" s="797"/>
      <c r="G391" s="797"/>
      <c r="H391" s="797"/>
      <c r="I391" s="797"/>
      <c r="J391" s="797"/>
      <c r="K391" s="797"/>
      <c r="L391" s="797"/>
      <c r="M391" s="797"/>
      <c r="N391" s="797"/>
      <c r="O391" s="797"/>
      <c r="P391" s="797"/>
      <c r="Q391" s="797"/>
      <c r="R391" s="662"/>
      <c r="S391" s="662"/>
      <c r="T391" s="662"/>
      <c r="U391" s="665"/>
      <c r="V391" s="666"/>
      <c r="W391" s="662"/>
      <c r="X391" s="662"/>
      <c r="Y391" s="662"/>
      <c r="Z391" s="662"/>
    </row>
    <row r="392">
      <c r="A392" s="662"/>
      <c r="B392" s="664"/>
      <c r="C392" s="795"/>
      <c r="D392" s="796"/>
      <c r="E392" s="681"/>
      <c r="F392" s="797"/>
      <c r="G392" s="797"/>
      <c r="H392" s="797"/>
      <c r="I392" s="797"/>
      <c r="J392" s="797"/>
      <c r="K392" s="797"/>
      <c r="L392" s="797"/>
      <c r="M392" s="797"/>
      <c r="N392" s="797"/>
      <c r="O392" s="797"/>
      <c r="P392" s="797"/>
      <c r="Q392" s="797"/>
      <c r="R392" s="662"/>
      <c r="S392" s="662"/>
      <c r="T392" s="662"/>
      <c r="U392" s="665"/>
      <c r="V392" s="666"/>
      <c r="W392" s="662"/>
      <c r="X392" s="662"/>
      <c r="Y392" s="662"/>
      <c r="Z392" s="662"/>
    </row>
    <row r="393">
      <c r="A393" s="662"/>
      <c r="B393" s="664"/>
      <c r="C393" s="795"/>
      <c r="D393" s="796"/>
      <c r="E393" s="681"/>
      <c r="F393" s="797"/>
      <c r="G393" s="797"/>
      <c r="H393" s="797"/>
      <c r="I393" s="797"/>
      <c r="J393" s="797"/>
      <c r="K393" s="797"/>
      <c r="L393" s="797"/>
      <c r="M393" s="797"/>
      <c r="N393" s="797"/>
      <c r="O393" s="797"/>
      <c r="P393" s="797"/>
      <c r="Q393" s="797"/>
      <c r="R393" s="662"/>
      <c r="S393" s="662"/>
      <c r="T393" s="662"/>
      <c r="U393" s="665"/>
      <c r="V393" s="666"/>
      <c r="W393" s="662"/>
      <c r="X393" s="662"/>
      <c r="Y393" s="662"/>
      <c r="Z393" s="662"/>
    </row>
    <row r="394">
      <c r="A394" s="662"/>
      <c r="B394" s="664"/>
      <c r="C394" s="795"/>
      <c r="D394" s="796"/>
      <c r="E394" s="681"/>
      <c r="F394" s="797"/>
      <c r="G394" s="797"/>
      <c r="H394" s="797"/>
      <c r="I394" s="797"/>
      <c r="J394" s="797"/>
      <c r="K394" s="797"/>
      <c r="L394" s="797"/>
      <c r="M394" s="797"/>
      <c r="N394" s="797"/>
      <c r="O394" s="797"/>
      <c r="P394" s="797"/>
      <c r="Q394" s="797"/>
      <c r="R394" s="662"/>
      <c r="S394" s="662"/>
      <c r="T394" s="662"/>
      <c r="U394" s="665"/>
      <c r="V394" s="666"/>
      <c r="W394" s="662"/>
      <c r="X394" s="662"/>
      <c r="Y394" s="662"/>
      <c r="Z394" s="662"/>
    </row>
    <row r="395">
      <c r="A395" s="662"/>
      <c r="B395" s="664"/>
      <c r="C395" s="795"/>
      <c r="D395" s="796"/>
      <c r="E395" s="681"/>
      <c r="F395" s="797"/>
      <c r="G395" s="797"/>
      <c r="H395" s="797"/>
      <c r="I395" s="797"/>
      <c r="J395" s="797"/>
      <c r="K395" s="797"/>
      <c r="L395" s="797"/>
      <c r="M395" s="797"/>
      <c r="N395" s="797"/>
      <c r="O395" s="797"/>
      <c r="P395" s="797"/>
      <c r="Q395" s="797"/>
      <c r="R395" s="662"/>
      <c r="S395" s="662"/>
      <c r="T395" s="662"/>
      <c r="U395" s="665"/>
      <c r="V395" s="666"/>
      <c r="W395" s="662"/>
      <c r="X395" s="662"/>
      <c r="Y395" s="662"/>
      <c r="Z395" s="662"/>
    </row>
    <row r="396">
      <c r="A396" s="662"/>
      <c r="B396" s="664"/>
      <c r="C396" s="795"/>
      <c r="D396" s="796"/>
      <c r="E396" s="681"/>
      <c r="F396" s="797"/>
      <c r="G396" s="797"/>
      <c r="H396" s="797"/>
      <c r="I396" s="797"/>
      <c r="J396" s="797"/>
      <c r="K396" s="797"/>
      <c r="L396" s="797"/>
      <c r="M396" s="797"/>
      <c r="N396" s="797"/>
      <c r="O396" s="797"/>
      <c r="P396" s="797"/>
      <c r="Q396" s="797"/>
      <c r="R396" s="662"/>
      <c r="S396" s="662"/>
      <c r="T396" s="662"/>
      <c r="U396" s="665"/>
      <c r="V396" s="666"/>
      <c r="W396" s="662"/>
      <c r="X396" s="662"/>
      <c r="Y396" s="662"/>
      <c r="Z396" s="662"/>
    </row>
    <row r="397">
      <c r="A397" s="662"/>
      <c r="B397" s="664"/>
      <c r="C397" s="795"/>
      <c r="D397" s="796"/>
      <c r="E397" s="681"/>
      <c r="F397" s="797"/>
      <c r="G397" s="797"/>
      <c r="H397" s="797"/>
      <c r="I397" s="797"/>
      <c r="J397" s="797"/>
      <c r="K397" s="797"/>
      <c r="L397" s="797"/>
      <c r="M397" s="797"/>
      <c r="N397" s="797"/>
      <c r="O397" s="797"/>
      <c r="P397" s="797"/>
      <c r="Q397" s="797"/>
      <c r="R397" s="662"/>
      <c r="S397" s="662"/>
      <c r="T397" s="662"/>
      <c r="U397" s="665"/>
      <c r="V397" s="666"/>
      <c r="W397" s="662"/>
      <c r="X397" s="662"/>
      <c r="Y397" s="662"/>
      <c r="Z397" s="662"/>
    </row>
    <row r="398">
      <c r="A398" s="662"/>
      <c r="B398" s="664"/>
      <c r="C398" s="795"/>
      <c r="D398" s="796"/>
      <c r="E398" s="681"/>
      <c r="F398" s="797"/>
      <c r="G398" s="797"/>
      <c r="H398" s="797"/>
      <c r="I398" s="797"/>
      <c r="J398" s="797"/>
      <c r="K398" s="797"/>
      <c r="L398" s="797"/>
      <c r="M398" s="797"/>
      <c r="N398" s="797"/>
      <c r="O398" s="797"/>
      <c r="P398" s="797"/>
      <c r="Q398" s="797"/>
      <c r="R398" s="662"/>
      <c r="S398" s="662"/>
      <c r="T398" s="662"/>
      <c r="U398" s="665"/>
      <c r="V398" s="666"/>
      <c r="W398" s="662"/>
      <c r="X398" s="662"/>
      <c r="Y398" s="662"/>
      <c r="Z398" s="662"/>
    </row>
    <row r="399">
      <c r="A399" s="662"/>
      <c r="B399" s="664"/>
      <c r="C399" s="795"/>
      <c r="D399" s="796"/>
      <c r="E399" s="681"/>
      <c r="F399" s="797"/>
      <c r="G399" s="797"/>
      <c r="H399" s="797"/>
      <c r="I399" s="797"/>
      <c r="J399" s="797"/>
      <c r="K399" s="797"/>
      <c r="L399" s="797"/>
      <c r="M399" s="797"/>
      <c r="N399" s="797"/>
      <c r="O399" s="797"/>
      <c r="P399" s="797"/>
      <c r="Q399" s="797"/>
      <c r="R399" s="662"/>
      <c r="S399" s="662"/>
      <c r="T399" s="662"/>
      <c r="U399" s="665"/>
      <c r="V399" s="666"/>
      <c r="W399" s="662"/>
      <c r="X399" s="662"/>
      <c r="Y399" s="662"/>
      <c r="Z399" s="662"/>
    </row>
    <row r="400">
      <c r="A400" s="662"/>
      <c r="B400" s="664"/>
      <c r="C400" s="795"/>
      <c r="D400" s="796"/>
      <c r="E400" s="681"/>
      <c r="F400" s="797"/>
      <c r="G400" s="797"/>
      <c r="H400" s="797"/>
      <c r="I400" s="797"/>
      <c r="J400" s="797"/>
      <c r="K400" s="797"/>
      <c r="L400" s="797"/>
      <c r="M400" s="797"/>
      <c r="N400" s="797"/>
      <c r="O400" s="797"/>
      <c r="P400" s="797"/>
      <c r="Q400" s="797"/>
      <c r="R400" s="662"/>
      <c r="S400" s="662"/>
      <c r="T400" s="662"/>
      <c r="U400" s="665"/>
      <c r="V400" s="666"/>
      <c r="W400" s="662"/>
      <c r="X400" s="662"/>
      <c r="Y400" s="662"/>
      <c r="Z400" s="662"/>
    </row>
    <row r="401">
      <c r="A401" s="662"/>
      <c r="B401" s="664"/>
      <c r="C401" s="795"/>
      <c r="D401" s="796"/>
      <c r="E401" s="681"/>
      <c r="F401" s="797"/>
      <c r="G401" s="797"/>
      <c r="H401" s="797"/>
      <c r="I401" s="797"/>
      <c r="J401" s="797"/>
      <c r="K401" s="797"/>
      <c r="L401" s="797"/>
      <c r="M401" s="797"/>
      <c r="N401" s="797"/>
      <c r="O401" s="797"/>
      <c r="P401" s="797"/>
      <c r="Q401" s="797"/>
      <c r="R401" s="662"/>
      <c r="S401" s="662"/>
      <c r="T401" s="662"/>
      <c r="U401" s="665"/>
      <c r="V401" s="666"/>
      <c r="W401" s="662"/>
      <c r="X401" s="662"/>
      <c r="Y401" s="662"/>
      <c r="Z401" s="662"/>
    </row>
    <row r="402">
      <c r="A402" s="662"/>
      <c r="B402" s="664"/>
      <c r="C402" s="795"/>
      <c r="D402" s="796"/>
      <c r="E402" s="681"/>
      <c r="F402" s="797"/>
      <c r="G402" s="797"/>
      <c r="H402" s="797"/>
      <c r="I402" s="797"/>
      <c r="J402" s="797"/>
      <c r="K402" s="797"/>
      <c r="L402" s="797"/>
      <c r="M402" s="797"/>
      <c r="N402" s="797"/>
      <c r="O402" s="797"/>
      <c r="P402" s="797"/>
      <c r="Q402" s="797"/>
      <c r="R402" s="662"/>
      <c r="S402" s="662"/>
      <c r="T402" s="662"/>
      <c r="U402" s="665"/>
      <c r="V402" s="666"/>
      <c r="W402" s="662"/>
      <c r="X402" s="662"/>
      <c r="Y402" s="662"/>
      <c r="Z402" s="662"/>
    </row>
    <row r="403">
      <c r="A403" s="662"/>
      <c r="B403" s="664"/>
      <c r="C403" s="795"/>
      <c r="D403" s="796"/>
      <c r="E403" s="681"/>
      <c r="F403" s="797"/>
      <c r="G403" s="797"/>
      <c r="H403" s="797"/>
      <c r="I403" s="797"/>
      <c r="J403" s="797"/>
      <c r="K403" s="797"/>
      <c r="L403" s="797"/>
      <c r="M403" s="797"/>
      <c r="N403" s="797"/>
      <c r="O403" s="797"/>
      <c r="P403" s="797"/>
      <c r="Q403" s="797"/>
      <c r="R403" s="662"/>
      <c r="S403" s="662"/>
      <c r="T403" s="662"/>
      <c r="U403" s="665"/>
      <c r="V403" s="666"/>
      <c r="W403" s="662"/>
      <c r="X403" s="662"/>
      <c r="Y403" s="662"/>
      <c r="Z403" s="662"/>
    </row>
    <row r="404">
      <c r="A404" s="662"/>
      <c r="B404" s="664"/>
      <c r="C404" s="795"/>
      <c r="D404" s="796"/>
      <c r="E404" s="681"/>
      <c r="F404" s="797"/>
      <c r="G404" s="797"/>
      <c r="H404" s="797"/>
      <c r="I404" s="797"/>
      <c r="J404" s="797"/>
      <c r="K404" s="797"/>
      <c r="L404" s="797"/>
      <c r="M404" s="797"/>
      <c r="N404" s="797"/>
      <c r="O404" s="797"/>
      <c r="P404" s="797"/>
      <c r="Q404" s="797"/>
      <c r="R404" s="662"/>
      <c r="S404" s="662"/>
      <c r="T404" s="662"/>
      <c r="U404" s="665"/>
      <c r="V404" s="666"/>
      <c r="W404" s="662"/>
      <c r="X404" s="662"/>
      <c r="Y404" s="662"/>
      <c r="Z404" s="662"/>
    </row>
    <row r="405">
      <c r="A405" s="662"/>
      <c r="B405" s="664"/>
      <c r="C405" s="795"/>
      <c r="D405" s="796"/>
      <c r="E405" s="681"/>
      <c r="F405" s="797"/>
      <c r="G405" s="797"/>
      <c r="H405" s="797"/>
      <c r="I405" s="797"/>
      <c r="J405" s="797"/>
      <c r="K405" s="797"/>
      <c r="L405" s="797"/>
      <c r="M405" s="797"/>
      <c r="N405" s="797"/>
      <c r="O405" s="797"/>
      <c r="P405" s="797"/>
      <c r="Q405" s="797"/>
      <c r="R405" s="662"/>
      <c r="S405" s="662"/>
      <c r="T405" s="662"/>
      <c r="U405" s="665"/>
      <c r="V405" s="666"/>
      <c r="W405" s="662"/>
      <c r="X405" s="662"/>
      <c r="Y405" s="662"/>
      <c r="Z405" s="662"/>
    </row>
    <row r="406">
      <c r="A406" s="662"/>
      <c r="B406" s="664"/>
      <c r="C406" s="795"/>
      <c r="D406" s="796"/>
      <c r="E406" s="681"/>
      <c r="F406" s="797"/>
      <c r="G406" s="797"/>
      <c r="H406" s="797"/>
      <c r="I406" s="797"/>
      <c r="J406" s="797"/>
      <c r="K406" s="797"/>
      <c r="L406" s="797"/>
      <c r="M406" s="797"/>
      <c r="N406" s="797"/>
      <c r="O406" s="797"/>
      <c r="P406" s="797"/>
      <c r="Q406" s="797"/>
      <c r="R406" s="662"/>
      <c r="S406" s="662"/>
      <c r="T406" s="662"/>
      <c r="U406" s="665"/>
      <c r="V406" s="666"/>
      <c r="W406" s="662"/>
      <c r="X406" s="662"/>
      <c r="Y406" s="662"/>
      <c r="Z406" s="662"/>
    </row>
    <row r="407">
      <c r="A407" s="662"/>
      <c r="B407" s="664"/>
      <c r="C407" s="795"/>
      <c r="D407" s="796"/>
      <c r="E407" s="681"/>
      <c r="F407" s="797"/>
      <c r="G407" s="797"/>
      <c r="H407" s="797"/>
      <c r="I407" s="797"/>
      <c r="J407" s="797"/>
      <c r="K407" s="797"/>
      <c r="L407" s="797"/>
      <c r="M407" s="797"/>
      <c r="N407" s="797"/>
      <c r="O407" s="797"/>
      <c r="P407" s="797"/>
      <c r="Q407" s="797"/>
      <c r="R407" s="662"/>
      <c r="S407" s="662"/>
      <c r="T407" s="662"/>
      <c r="U407" s="665"/>
      <c r="V407" s="666"/>
      <c r="W407" s="662"/>
      <c r="X407" s="662"/>
      <c r="Y407" s="662"/>
      <c r="Z407" s="662"/>
    </row>
    <row r="408">
      <c r="A408" s="662"/>
      <c r="B408" s="664"/>
      <c r="C408" s="795"/>
      <c r="D408" s="796"/>
      <c r="E408" s="681"/>
      <c r="F408" s="797"/>
      <c r="G408" s="797"/>
      <c r="H408" s="797"/>
      <c r="I408" s="797"/>
      <c r="J408" s="797"/>
      <c r="K408" s="797"/>
      <c r="L408" s="797"/>
      <c r="M408" s="797"/>
      <c r="N408" s="797"/>
      <c r="O408" s="797"/>
      <c r="P408" s="797"/>
      <c r="Q408" s="797"/>
      <c r="R408" s="662"/>
      <c r="S408" s="662"/>
      <c r="T408" s="662"/>
      <c r="U408" s="665"/>
      <c r="V408" s="666"/>
      <c r="W408" s="662"/>
      <c r="X408" s="662"/>
      <c r="Y408" s="662"/>
      <c r="Z408" s="662"/>
    </row>
    <row r="409">
      <c r="A409" s="662"/>
      <c r="B409" s="664"/>
      <c r="C409" s="795"/>
      <c r="D409" s="796"/>
      <c r="E409" s="681"/>
      <c r="F409" s="797"/>
      <c r="G409" s="797"/>
      <c r="H409" s="797"/>
      <c r="I409" s="797"/>
      <c r="J409" s="797"/>
      <c r="K409" s="797"/>
      <c r="L409" s="797"/>
      <c r="M409" s="797"/>
      <c r="N409" s="797"/>
      <c r="O409" s="797"/>
      <c r="P409" s="797"/>
      <c r="Q409" s="797"/>
      <c r="R409" s="662"/>
      <c r="S409" s="662"/>
      <c r="T409" s="662"/>
      <c r="U409" s="665"/>
      <c r="V409" s="666"/>
      <c r="W409" s="662"/>
      <c r="X409" s="662"/>
      <c r="Y409" s="662"/>
      <c r="Z409" s="662"/>
    </row>
    <row r="410">
      <c r="A410" s="662"/>
      <c r="B410" s="664"/>
      <c r="C410" s="795"/>
      <c r="D410" s="796"/>
      <c r="E410" s="681"/>
      <c r="F410" s="797"/>
      <c r="G410" s="797"/>
      <c r="H410" s="797"/>
      <c r="I410" s="797"/>
      <c r="J410" s="797"/>
      <c r="K410" s="797"/>
      <c r="L410" s="797"/>
      <c r="M410" s="797"/>
      <c r="N410" s="797"/>
      <c r="O410" s="797"/>
      <c r="P410" s="797"/>
      <c r="Q410" s="797"/>
      <c r="R410" s="662"/>
      <c r="S410" s="662"/>
      <c r="T410" s="662"/>
      <c r="U410" s="665"/>
      <c r="V410" s="666"/>
      <c r="W410" s="662"/>
      <c r="X410" s="662"/>
      <c r="Y410" s="662"/>
      <c r="Z410" s="662"/>
    </row>
    <row r="411">
      <c r="A411" s="662"/>
      <c r="B411" s="664"/>
      <c r="C411" s="795"/>
      <c r="D411" s="796"/>
      <c r="E411" s="681"/>
      <c r="F411" s="797"/>
      <c r="G411" s="797"/>
      <c r="H411" s="797"/>
      <c r="I411" s="797"/>
      <c r="J411" s="797"/>
      <c r="K411" s="797"/>
      <c r="L411" s="797"/>
      <c r="M411" s="797"/>
      <c r="N411" s="797"/>
      <c r="O411" s="797"/>
      <c r="P411" s="797"/>
      <c r="Q411" s="797"/>
      <c r="R411" s="662"/>
      <c r="S411" s="662"/>
      <c r="T411" s="662"/>
      <c r="U411" s="665"/>
      <c r="V411" s="666"/>
      <c r="W411" s="662"/>
      <c r="X411" s="662"/>
      <c r="Y411" s="662"/>
      <c r="Z411" s="662"/>
    </row>
    <row r="412">
      <c r="A412" s="662"/>
      <c r="B412" s="664"/>
      <c r="C412" s="795"/>
      <c r="D412" s="796"/>
      <c r="E412" s="681"/>
      <c r="F412" s="797"/>
      <c r="G412" s="797"/>
      <c r="H412" s="797"/>
      <c r="I412" s="797"/>
      <c r="J412" s="797"/>
      <c r="K412" s="797"/>
      <c r="L412" s="797"/>
      <c r="M412" s="797"/>
      <c r="N412" s="797"/>
      <c r="O412" s="797"/>
      <c r="P412" s="797"/>
      <c r="Q412" s="797"/>
      <c r="R412" s="662"/>
      <c r="S412" s="662"/>
      <c r="T412" s="662"/>
      <c r="U412" s="665"/>
      <c r="V412" s="666"/>
      <c r="W412" s="662"/>
      <c r="X412" s="662"/>
      <c r="Y412" s="662"/>
      <c r="Z412" s="662"/>
    </row>
    <row r="413">
      <c r="A413" s="662"/>
      <c r="B413" s="664"/>
      <c r="C413" s="795"/>
      <c r="D413" s="796"/>
      <c r="E413" s="681"/>
      <c r="F413" s="797"/>
      <c r="G413" s="797"/>
      <c r="H413" s="797"/>
      <c r="I413" s="797"/>
      <c r="J413" s="797"/>
      <c r="K413" s="797"/>
      <c r="L413" s="797"/>
      <c r="M413" s="797"/>
      <c r="N413" s="797"/>
      <c r="O413" s="797"/>
      <c r="P413" s="797"/>
      <c r="Q413" s="797"/>
      <c r="R413" s="662"/>
      <c r="S413" s="662"/>
      <c r="T413" s="662"/>
      <c r="U413" s="665"/>
      <c r="V413" s="666"/>
      <c r="W413" s="662"/>
      <c r="X413" s="662"/>
      <c r="Y413" s="662"/>
      <c r="Z413" s="662"/>
    </row>
    <row r="414">
      <c r="A414" s="662"/>
      <c r="B414" s="664"/>
      <c r="C414" s="795"/>
      <c r="D414" s="796"/>
      <c r="E414" s="681"/>
      <c r="F414" s="797"/>
      <c r="G414" s="797"/>
      <c r="H414" s="797"/>
      <c r="I414" s="797"/>
      <c r="J414" s="797"/>
      <c r="K414" s="797"/>
      <c r="L414" s="797"/>
      <c r="M414" s="797"/>
      <c r="N414" s="797"/>
      <c r="O414" s="797"/>
      <c r="P414" s="797"/>
      <c r="Q414" s="797"/>
      <c r="R414" s="662"/>
      <c r="S414" s="662"/>
      <c r="T414" s="662"/>
      <c r="U414" s="665"/>
      <c r="V414" s="666"/>
      <c r="W414" s="662"/>
      <c r="X414" s="662"/>
      <c r="Y414" s="662"/>
      <c r="Z414" s="662"/>
    </row>
    <row r="415">
      <c r="A415" s="662"/>
      <c r="B415" s="664"/>
      <c r="C415" s="795"/>
      <c r="D415" s="796"/>
      <c r="E415" s="681"/>
      <c r="F415" s="797"/>
      <c r="G415" s="797"/>
      <c r="H415" s="797"/>
      <c r="I415" s="797"/>
      <c r="J415" s="797"/>
      <c r="K415" s="797"/>
      <c r="L415" s="797"/>
      <c r="M415" s="797"/>
      <c r="N415" s="797"/>
      <c r="O415" s="797"/>
      <c r="P415" s="797"/>
      <c r="Q415" s="797"/>
      <c r="R415" s="662"/>
      <c r="S415" s="662"/>
      <c r="T415" s="662"/>
      <c r="U415" s="665"/>
      <c r="V415" s="666"/>
      <c r="W415" s="662"/>
      <c r="X415" s="662"/>
      <c r="Y415" s="662"/>
      <c r="Z415" s="662"/>
    </row>
    <row r="416">
      <c r="A416" s="662"/>
      <c r="B416" s="664"/>
      <c r="C416" s="795"/>
      <c r="D416" s="796"/>
      <c r="E416" s="681"/>
      <c r="F416" s="797"/>
      <c r="G416" s="797"/>
      <c r="H416" s="797"/>
      <c r="I416" s="797"/>
      <c r="J416" s="797"/>
      <c r="K416" s="797"/>
      <c r="L416" s="797"/>
      <c r="M416" s="797"/>
      <c r="N416" s="797"/>
      <c r="O416" s="797"/>
      <c r="P416" s="797"/>
      <c r="Q416" s="797"/>
      <c r="R416" s="662"/>
      <c r="S416" s="662"/>
      <c r="T416" s="662"/>
      <c r="U416" s="665"/>
      <c r="V416" s="666"/>
      <c r="W416" s="662"/>
      <c r="X416" s="662"/>
      <c r="Y416" s="662"/>
      <c r="Z416" s="662"/>
    </row>
    <row r="417">
      <c r="A417" s="662"/>
      <c r="B417" s="664"/>
      <c r="C417" s="795"/>
      <c r="D417" s="796"/>
      <c r="E417" s="681"/>
      <c r="F417" s="797"/>
      <c r="G417" s="797"/>
      <c r="H417" s="797"/>
      <c r="I417" s="797"/>
      <c r="J417" s="797"/>
      <c r="K417" s="797"/>
      <c r="L417" s="797"/>
      <c r="M417" s="797"/>
      <c r="N417" s="797"/>
      <c r="O417" s="797"/>
      <c r="P417" s="797"/>
      <c r="Q417" s="797"/>
      <c r="R417" s="662"/>
      <c r="S417" s="662"/>
      <c r="T417" s="662"/>
      <c r="U417" s="665"/>
      <c r="V417" s="666"/>
      <c r="W417" s="662"/>
      <c r="X417" s="662"/>
      <c r="Y417" s="662"/>
      <c r="Z417" s="662"/>
    </row>
    <row r="418">
      <c r="A418" s="662"/>
      <c r="B418" s="664"/>
      <c r="C418" s="795"/>
      <c r="D418" s="796"/>
      <c r="E418" s="681"/>
      <c r="F418" s="797"/>
      <c r="G418" s="797"/>
      <c r="H418" s="797"/>
      <c r="I418" s="797"/>
      <c r="J418" s="797"/>
      <c r="K418" s="797"/>
      <c r="L418" s="797"/>
      <c r="M418" s="797"/>
      <c r="N418" s="797"/>
      <c r="O418" s="797"/>
      <c r="P418" s="797"/>
      <c r="Q418" s="797"/>
      <c r="R418" s="662"/>
      <c r="S418" s="662"/>
      <c r="T418" s="662"/>
      <c r="U418" s="665"/>
      <c r="V418" s="666"/>
      <c r="W418" s="662"/>
      <c r="X418" s="662"/>
      <c r="Y418" s="662"/>
      <c r="Z418" s="662"/>
    </row>
    <row r="419">
      <c r="A419" s="662"/>
      <c r="B419" s="664"/>
      <c r="C419" s="795"/>
      <c r="D419" s="796"/>
      <c r="E419" s="681"/>
      <c r="F419" s="797"/>
      <c r="G419" s="797"/>
      <c r="H419" s="797"/>
      <c r="I419" s="797"/>
      <c r="J419" s="797"/>
      <c r="K419" s="797"/>
      <c r="L419" s="797"/>
      <c r="M419" s="797"/>
      <c r="N419" s="797"/>
      <c r="O419" s="797"/>
      <c r="P419" s="797"/>
      <c r="Q419" s="797"/>
      <c r="R419" s="662"/>
      <c r="S419" s="662"/>
      <c r="T419" s="662"/>
      <c r="U419" s="665"/>
      <c r="V419" s="666"/>
      <c r="W419" s="662"/>
      <c r="X419" s="662"/>
      <c r="Y419" s="662"/>
      <c r="Z419" s="662"/>
    </row>
    <row r="420">
      <c r="A420" s="662"/>
      <c r="B420" s="664"/>
      <c r="C420" s="795"/>
      <c r="D420" s="796"/>
      <c r="E420" s="681"/>
      <c r="F420" s="797"/>
      <c r="G420" s="797"/>
      <c r="H420" s="797"/>
      <c r="I420" s="797"/>
      <c r="J420" s="797"/>
      <c r="K420" s="797"/>
      <c r="L420" s="797"/>
      <c r="M420" s="797"/>
      <c r="N420" s="797"/>
      <c r="O420" s="797"/>
      <c r="P420" s="797"/>
      <c r="Q420" s="797"/>
      <c r="R420" s="662"/>
      <c r="S420" s="662"/>
      <c r="T420" s="662"/>
      <c r="U420" s="665"/>
      <c r="V420" s="666"/>
      <c r="W420" s="662"/>
      <c r="X420" s="662"/>
      <c r="Y420" s="662"/>
      <c r="Z420" s="662"/>
    </row>
    <row r="421">
      <c r="A421" s="662"/>
      <c r="B421" s="664"/>
      <c r="C421" s="795"/>
      <c r="D421" s="796"/>
      <c r="E421" s="681"/>
      <c r="F421" s="797"/>
      <c r="G421" s="797"/>
      <c r="H421" s="797"/>
      <c r="I421" s="797"/>
      <c r="J421" s="797"/>
      <c r="K421" s="797"/>
      <c r="L421" s="797"/>
      <c r="M421" s="797"/>
      <c r="N421" s="797"/>
      <c r="O421" s="797"/>
      <c r="P421" s="797"/>
      <c r="Q421" s="797"/>
      <c r="R421" s="662"/>
      <c r="S421" s="662"/>
      <c r="T421" s="662"/>
      <c r="U421" s="665"/>
      <c r="V421" s="666"/>
      <c r="W421" s="662"/>
      <c r="X421" s="662"/>
      <c r="Y421" s="662"/>
      <c r="Z421" s="662"/>
    </row>
    <row r="422">
      <c r="A422" s="662"/>
      <c r="B422" s="664"/>
      <c r="C422" s="795"/>
      <c r="D422" s="796"/>
      <c r="E422" s="681"/>
      <c r="F422" s="797"/>
      <c r="G422" s="797"/>
      <c r="H422" s="797"/>
      <c r="I422" s="797"/>
      <c r="J422" s="797"/>
      <c r="K422" s="797"/>
      <c r="L422" s="797"/>
      <c r="M422" s="797"/>
      <c r="N422" s="797"/>
      <c r="O422" s="797"/>
      <c r="P422" s="797"/>
      <c r="Q422" s="797"/>
      <c r="R422" s="662"/>
      <c r="S422" s="662"/>
      <c r="T422" s="662"/>
      <c r="U422" s="665"/>
      <c r="V422" s="666"/>
      <c r="W422" s="662"/>
      <c r="X422" s="662"/>
      <c r="Y422" s="662"/>
      <c r="Z422" s="662"/>
    </row>
    <row r="423">
      <c r="A423" s="662"/>
      <c r="B423" s="664"/>
      <c r="C423" s="795"/>
      <c r="D423" s="796"/>
      <c r="E423" s="681"/>
      <c r="F423" s="797"/>
      <c r="G423" s="797"/>
      <c r="H423" s="797"/>
      <c r="I423" s="797"/>
      <c r="J423" s="797"/>
      <c r="K423" s="797"/>
      <c r="L423" s="797"/>
      <c r="M423" s="797"/>
      <c r="N423" s="797"/>
      <c r="O423" s="797"/>
      <c r="P423" s="797"/>
      <c r="Q423" s="797"/>
      <c r="R423" s="662"/>
      <c r="S423" s="662"/>
      <c r="T423" s="662"/>
      <c r="U423" s="665"/>
      <c r="V423" s="666"/>
      <c r="W423" s="662"/>
      <c r="X423" s="662"/>
      <c r="Y423" s="662"/>
      <c r="Z423" s="662"/>
    </row>
    <row r="424">
      <c r="A424" s="662"/>
      <c r="B424" s="664"/>
      <c r="C424" s="795"/>
      <c r="D424" s="796"/>
      <c r="E424" s="681"/>
      <c r="F424" s="797"/>
      <c r="G424" s="797"/>
      <c r="H424" s="797"/>
      <c r="I424" s="797"/>
      <c r="J424" s="797"/>
      <c r="K424" s="797"/>
      <c r="L424" s="797"/>
      <c r="M424" s="797"/>
      <c r="N424" s="797"/>
      <c r="O424" s="797"/>
      <c r="P424" s="797"/>
      <c r="Q424" s="797"/>
      <c r="R424" s="662"/>
      <c r="S424" s="662"/>
      <c r="T424" s="662"/>
      <c r="U424" s="665"/>
      <c r="V424" s="666"/>
      <c r="W424" s="662"/>
      <c r="X424" s="662"/>
      <c r="Y424" s="662"/>
      <c r="Z424" s="662"/>
    </row>
    <row r="425">
      <c r="A425" s="662"/>
      <c r="B425" s="664"/>
      <c r="C425" s="795"/>
      <c r="D425" s="796"/>
      <c r="E425" s="681"/>
      <c r="F425" s="797"/>
      <c r="G425" s="797"/>
      <c r="H425" s="797"/>
      <c r="I425" s="797"/>
      <c r="J425" s="797"/>
      <c r="K425" s="797"/>
      <c r="L425" s="797"/>
      <c r="M425" s="797"/>
      <c r="N425" s="797"/>
      <c r="O425" s="797"/>
      <c r="P425" s="797"/>
      <c r="Q425" s="797"/>
      <c r="R425" s="662"/>
      <c r="S425" s="662"/>
      <c r="T425" s="662"/>
      <c r="U425" s="665"/>
      <c r="V425" s="666"/>
      <c r="W425" s="662"/>
      <c r="X425" s="662"/>
      <c r="Y425" s="662"/>
      <c r="Z425" s="662"/>
    </row>
    <row r="426">
      <c r="A426" s="662"/>
      <c r="B426" s="664"/>
      <c r="C426" s="795"/>
      <c r="D426" s="796"/>
      <c r="E426" s="681"/>
      <c r="F426" s="797"/>
      <c r="G426" s="797"/>
      <c r="H426" s="797"/>
      <c r="I426" s="797"/>
      <c r="J426" s="797"/>
      <c r="K426" s="797"/>
      <c r="L426" s="797"/>
      <c r="M426" s="797"/>
      <c r="N426" s="797"/>
      <c r="O426" s="797"/>
      <c r="P426" s="797"/>
      <c r="Q426" s="797"/>
      <c r="R426" s="662"/>
      <c r="S426" s="662"/>
      <c r="T426" s="662"/>
      <c r="U426" s="665"/>
      <c r="V426" s="666"/>
      <c r="W426" s="662"/>
      <c r="X426" s="662"/>
      <c r="Y426" s="662"/>
      <c r="Z426" s="662"/>
    </row>
    <row r="427">
      <c r="A427" s="662"/>
      <c r="B427" s="664"/>
      <c r="C427" s="795"/>
      <c r="D427" s="796"/>
      <c r="E427" s="681"/>
      <c r="F427" s="797"/>
      <c r="G427" s="797"/>
      <c r="H427" s="797"/>
      <c r="I427" s="797"/>
      <c r="J427" s="797"/>
      <c r="K427" s="797"/>
      <c r="L427" s="797"/>
      <c r="M427" s="797"/>
      <c r="N427" s="797"/>
      <c r="O427" s="797"/>
      <c r="P427" s="797"/>
      <c r="Q427" s="797"/>
      <c r="R427" s="662"/>
      <c r="S427" s="662"/>
      <c r="T427" s="662"/>
      <c r="U427" s="665"/>
      <c r="V427" s="666"/>
      <c r="W427" s="662"/>
      <c r="X427" s="662"/>
      <c r="Y427" s="662"/>
      <c r="Z427" s="662"/>
    </row>
    <row r="428">
      <c r="A428" s="662"/>
      <c r="B428" s="664"/>
      <c r="C428" s="795"/>
      <c r="D428" s="796"/>
      <c r="E428" s="681"/>
      <c r="F428" s="797"/>
      <c r="G428" s="797"/>
      <c r="H428" s="797"/>
      <c r="I428" s="797"/>
      <c r="J428" s="797"/>
      <c r="K428" s="797"/>
      <c r="L428" s="797"/>
      <c r="M428" s="797"/>
      <c r="N428" s="797"/>
      <c r="O428" s="797"/>
      <c r="P428" s="797"/>
      <c r="Q428" s="797"/>
      <c r="R428" s="662"/>
      <c r="S428" s="662"/>
      <c r="T428" s="662"/>
      <c r="U428" s="665"/>
      <c r="V428" s="666"/>
      <c r="W428" s="662"/>
      <c r="X428" s="662"/>
      <c r="Y428" s="662"/>
      <c r="Z428" s="662"/>
    </row>
    <row r="429">
      <c r="A429" s="662"/>
      <c r="B429" s="664"/>
      <c r="C429" s="795"/>
      <c r="D429" s="796"/>
      <c r="E429" s="681"/>
      <c r="F429" s="797"/>
      <c r="G429" s="797"/>
      <c r="H429" s="797"/>
      <c r="I429" s="797"/>
      <c r="J429" s="797"/>
      <c r="K429" s="797"/>
      <c r="L429" s="797"/>
      <c r="M429" s="797"/>
      <c r="N429" s="797"/>
      <c r="O429" s="797"/>
      <c r="P429" s="797"/>
      <c r="Q429" s="797"/>
      <c r="R429" s="662"/>
      <c r="S429" s="662"/>
      <c r="T429" s="662"/>
      <c r="U429" s="665"/>
      <c r="V429" s="666"/>
      <c r="W429" s="662"/>
      <c r="X429" s="662"/>
      <c r="Y429" s="662"/>
      <c r="Z429" s="662"/>
    </row>
    <row r="430">
      <c r="A430" s="662"/>
      <c r="B430" s="664"/>
      <c r="C430" s="795"/>
      <c r="D430" s="796"/>
      <c r="E430" s="681"/>
      <c r="F430" s="797"/>
      <c r="G430" s="797"/>
      <c r="H430" s="797"/>
      <c r="I430" s="797"/>
      <c r="J430" s="797"/>
      <c r="K430" s="797"/>
      <c r="L430" s="797"/>
      <c r="M430" s="797"/>
      <c r="N430" s="797"/>
      <c r="O430" s="797"/>
      <c r="P430" s="797"/>
      <c r="Q430" s="797"/>
      <c r="R430" s="662"/>
      <c r="S430" s="662"/>
      <c r="T430" s="662"/>
      <c r="U430" s="665"/>
      <c r="V430" s="666"/>
      <c r="W430" s="662"/>
      <c r="X430" s="662"/>
      <c r="Y430" s="662"/>
      <c r="Z430" s="662"/>
    </row>
    <row r="431">
      <c r="A431" s="662"/>
      <c r="B431" s="664"/>
      <c r="C431" s="795"/>
      <c r="D431" s="796"/>
      <c r="E431" s="681"/>
      <c r="F431" s="797"/>
      <c r="G431" s="797"/>
      <c r="H431" s="797"/>
      <c r="I431" s="797"/>
      <c r="J431" s="797"/>
      <c r="K431" s="797"/>
      <c r="L431" s="797"/>
      <c r="M431" s="797"/>
      <c r="N431" s="797"/>
      <c r="O431" s="797"/>
      <c r="P431" s="797"/>
      <c r="Q431" s="797"/>
      <c r="R431" s="662"/>
      <c r="S431" s="662"/>
      <c r="T431" s="662"/>
      <c r="U431" s="665"/>
      <c r="V431" s="666"/>
      <c r="W431" s="662"/>
      <c r="X431" s="662"/>
      <c r="Y431" s="662"/>
      <c r="Z431" s="662"/>
    </row>
    <row r="432">
      <c r="A432" s="662"/>
      <c r="B432" s="664"/>
      <c r="C432" s="795"/>
      <c r="D432" s="796"/>
      <c r="E432" s="681"/>
      <c r="F432" s="797"/>
      <c r="G432" s="797"/>
      <c r="H432" s="797"/>
      <c r="I432" s="797"/>
      <c r="J432" s="797"/>
      <c r="K432" s="797"/>
      <c r="L432" s="797"/>
      <c r="M432" s="797"/>
      <c r="N432" s="797"/>
      <c r="O432" s="797"/>
      <c r="P432" s="797"/>
      <c r="Q432" s="797"/>
      <c r="R432" s="662"/>
      <c r="S432" s="662"/>
      <c r="T432" s="662"/>
      <c r="U432" s="665"/>
      <c r="V432" s="666"/>
      <c r="W432" s="662"/>
      <c r="X432" s="662"/>
      <c r="Y432" s="662"/>
      <c r="Z432" s="662"/>
    </row>
    <row r="433">
      <c r="A433" s="662"/>
      <c r="B433" s="664"/>
      <c r="C433" s="795"/>
      <c r="D433" s="796"/>
      <c r="E433" s="681"/>
      <c r="F433" s="797"/>
      <c r="G433" s="797"/>
      <c r="H433" s="797"/>
      <c r="I433" s="797"/>
      <c r="J433" s="797"/>
      <c r="K433" s="797"/>
      <c r="L433" s="797"/>
      <c r="M433" s="797"/>
      <c r="N433" s="797"/>
      <c r="O433" s="797"/>
      <c r="P433" s="797"/>
      <c r="Q433" s="797"/>
      <c r="R433" s="662"/>
      <c r="S433" s="662"/>
      <c r="T433" s="662"/>
      <c r="U433" s="665"/>
      <c r="V433" s="666"/>
      <c r="W433" s="662"/>
      <c r="X433" s="662"/>
      <c r="Y433" s="662"/>
      <c r="Z433" s="662"/>
    </row>
    <row r="434">
      <c r="A434" s="662"/>
      <c r="B434" s="664"/>
      <c r="C434" s="795"/>
      <c r="D434" s="796"/>
      <c r="E434" s="681"/>
      <c r="F434" s="797"/>
      <c r="G434" s="797"/>
      <c r="H434" s="797"/>
      <c r="I434" s="797"/>
      <c r="J434" s="797"/>
      <c r="K434" s="797"/>
      <c r="L434" s="797"/>
      <c r="M434" s="797"/>
      <c r="N434" s="797"/>
      <c r="O434" s="797"/>
      <c r="P434" s="797"/>
      <c r="Q434" s="797"/>
      <c r="R434" s="662"/>
      <c r="S434" s="662"/>
      <c r="T434" s="662"/>
      <c r="U434" s="665"/>
      <c r="V434" s="666"/>
      <c r="W434" s="662"/>
      <c r="X434" s="662"/>
      <c r="Y434" s="662"/>
      <c r="Z434" s="662"/>
    </row>
    <row r="435">
      <c r="A435" s="662"/>
      <c r="B435" s="664"/>
      <c r="C435" s="795"/>
      <c r="D435" s="796"/>
      <c r="E435" s="681"/>
      <c r="F435" s="797"/>
      <c r="G435" s="797"/>
      <c r="H435" s="797"/>
      <c r="I435" s="797"/>
      <c r="J435" s="797"/>
      <c r="K435" s="797"/>
      <c r="L435" s="797"/>
      <c r="M435" s="797"/>
      <c r="N435" s="797"/>
      <c r="O435" s="797"/>
      <c r="P435" s="797"/>
      <c r="Q435" s="797"/>
      <c r="R435" s="662"/>
      <c r="S435" s="662"/>
      <c r="T435" s="662"/>
      <c r="U435" s="665"/>
      <c r="V435" s="666"/>
      <c r="W435" s="662"/>
      <c r="X435" s="662"/>
      <c r="Y435" s="662"/>
      <c r="Z435" s="662"/>
    </row>
    <row r="436">
      <c r="A436" s="662"/>
      <c r="B436" s="664"/>
      <c r="C436" s="795"/>
      <c r="D436" s="796"/>
      <c r="E436" s="681"/>
      <c r="F436" s="797"/>
      <c r="G436" s="797"/>
      <c r="H436" s="797"/>
      <c r="I436" s="797"/>
      <c r="J436" s="797"/>
      <c r="K436" s="797"/>
      <c r="L436" s="797"/>
      <c r="M436" s="797"/>
      <c r="N436" s="797"/>
      <c r="O436" s="797"/>
      <c r="P436" s="797"/>
      <c r="Q436" s="797"/>
      <c r="R436" s="662"/>
      <c r="S436" s="662"/>
      <c r="T436" s="662"/>
      <c r="U436" s="665"/>
      <c r="V436" s="666"/>
      <c r="W436" s="662"/>
      <c r="X436" s="662"/>
      <c r="Y436" s="662"/>
      <c r="Z436" s="662"/>
    </row>
    <row r="437">
      <c r="A437" s="662"/>
      <c r="B437" s="664"/>
      <c r="C437" s="795"/>
      <c r="D437" s="796"/>
      <c r="E437" s="681"/>
      <c r="F437" s="797"/>
      <c r="G437" s="797"/>
      <c r="H437" s="797"/>
      <c r="I437" s="797"/>
      <c r="J437" s="797"/>
      <c r="K437" s="797"/>
      <c r="L437" s="797"/>
      <c r="M437" s="797"/>
      <c r="N437" s="797"/>
      <c r="O437" s="797"/>
      <c r="P437" s="797"/>
      <c r="Q437" s="797"/>
      <c r="R437" s="662"/>
      <c r="S437" s="662"/>
      <c r="T437" s="662"/>
      <c r="U437" s="665"/>
      <c r="V437" s="666"/>
      <c r="W437" s="662"/>
      <c r="X437" s="662"/>
      <c r="Y437" s="662"/>
      <c r="Z437" s="662"/>
    </row>
    <row r="438">
      <c r="A438" s="662"/>
      <c r="B438" s="664"/>
      <c r="C438" s="795"/>
      <c r="D438" s="796"/>
      <c r="E438" s="681"/>
      <c r="F438" s="797"/>
      <c r="G438" s="797"/>
      <c r="H438" s="797"/>
      <c r="I438" s="797"/>
      <c r="J438" s="797"/>
      <c r="K438" s="797"/>
      <c r="L438" s="797"/>
      <c r="M438" s="797"/>
      <c r="N438" s="797"/>
      <c r="O438" s="797"/>
      <c r="P438" s="797"/>
      <c r="Q438" s="797"/>
      <c r="R438" s="662"/>
      <c r="S438" s="662"/>
      <c r="T438" s="662"/>
      <c r="U438" s="665"/>
      <c r="V438" s="666"/>
      <c r="W438" s="662"/>
      <c r="X438" s="662"/>
      <c r="Y438" s="662"/>
      <c r="Z438" s="662"/>
    </row>
    <row r="439">
      <c r="A439" s="662"/>
      <c r="B439" s="664"/>
      <c r="C439" s="795"/>
      <c r="D439" s="796"/>
      <c r="E439" s="681"/>
      <c r="F439" s="797"/>
      <c r="G439" s="797"/>
      <c r="H439" s="797"/>
      <c r="I439" s="797"/>
      <c r="J439" s="797"/>
      <c r="K439" s="797"/>
      <c r="L439" s="797"/>
      <c r="M439" s="797"/>
      <c r="N439" s="797"/>
      <c r="O439" s="797"/>
      <c r="P439" s="797"/>
      <c r="Q439" s="797"/>
      <c r="R439" s="662"/>
      <c r="S439" s="662"/>
      <c r="T439" s="662"/>
      <c r="U439" s="665"/>
      <c r="V439" s="666"/>
      <c r="W439" s="662"/>
      <c r="X439" s="662"/>
      <c r="Y439" s="662"/>
      <c r="Z439" s="662"/>
    </row>
    <row r="440">
      <c r="A440" s="662"/>
      <c r="B440" s="664"/>
      <c r="C440" s="795"/>
      <c r="D440" s="796"/>
      <c r="E440" s="681"/>
      <c r="F440" s="797"/>
      <c r="G440" s="797"/>
      <c r="H440" s="797"/>
      <c r="I440" s="797"/>
      <c r="J440" s="797"/>
      <c r="K440" s="797"/>
      <c r="L440" s="797"/>
      <c r="M440" s="797"/>
      <c r="N440" s="797"/>
      <c r="O440" s="797"/>
      <c r="P440" s="797"/>
      <c r="Q440" s="797"/>
      <c r="R440" s="662"/>
      <c r="S440" s="662"/>
      <c r="T440" s="662"/>
      <c r="U440" s="665"/>
      <c r="V440" s="666"/>
      <c r="W440" s="662"/>
      <c r="X440" s="662"/>
      <c r="Y440" s="662"/>
      <c r="Z440" s="662"/>
    </row>
    <row r="441">
      <c r="A441" s="662"/>
      <c r="B441" s="664"/>
      <c r="C441" s="795"/>
      <c r="D441" s="796"/>
      <c r="E441" s="681"/>
      <c r="F441" s="797"/>
      <c r="G441" s="797"/>
      <c r="H441" s="797"/>
      <c r="I441" s="797"/>
      <c r="J441" s="797"/>
      <c r="K441" s="797"/>
      <c r="L441" s="797"/>
      <c r="M441" s="797"/>
      <c r="N441" s="797"/>
      <c r="O441" s="797"/>
      <c r="P441" s="797"/>
      <c r="Q441" s="797"/>
      <c r="R441" s="662"/>
      <c r="S441" s="662"/>
      <c r="T441" s="662"/>
      <c r="U441" s="665"/>
      <c r="V441" s="666"/>
      <c r="W441" s="662"/>
      <c r="X441" s="662"/>
      <c r="Y441" s="662"/>
      <c r="Z441" s="662"/>
    </row>
    <row r="442">
      <c r="A442" s="662"/>
      <c r="B442" s="664"/>
      <c r="C442" s="795"/>
      <c r="D442" s="796"/>
      <c r="E442" s="681"/>
      <c r="F442" s="797"/>
      <c r="G442" s="797"/>
      <c r="H442" s="797"/>
      <c r="I442" s="797"/>
      <c r="J442" s="797"/>
      <c r="K442" s="797"/>
      <c r="L442" s="797"/>
      <c r="M442" s="797"/>
      <c r="N442" s="797"/>
      <c r="O442" s="797"/>
      <c r="P442" s="797"/>
      <c r="Q442" s="797"/>
      <c r="R442" s="662"/>
      <c r="S442" s="662"/>
      <c r="T442" s="662"/>
      <c r="U442" s="665"/>
      <c r="V442" s="666"/>
      <c r="W442" s="662"/>
      <c r="X442" s="662"/>
      <c r="Y442" s="662"/>
      <c r="Z442" s="662"/>
    </row>
    <row r="443">
      <c r="A443" s="662"/>
      <c r="B443" s="664"/>
      <c r="C443" s="795"/>
      <c r="D443" s="796"/>
      <c r="E443" s="681"/>
      <c r="F443" s="797"/>
      <c r="G443" s="797"/>
      <c r="H443" s="797"/>
      <c r="I443" s="797"/>
      <c r="J443" s="797"/>
      <c r="K443" s="797"/>
      <c r="L443" s="797"/>
      <c r="M443" s="797"/>
      <c r="N443" s="797"/>
      <c r="O443" s="797"/>
      <c r="P443" s="797"/>
      <c r="Q443" s="797"/>
      <c r="R443" s="662"/>
      <c r="S443" s="662"/>
      <c r="T443" s="662"/>
      <c r="U443" s="665"/>
      <c r="V443" s="666"/>
      <c r="W443" s="662"/>
      <c r="X443" s="662"/>
      <c r="Y443" s="662"/>
      <c r="Z443" s="662"/>
    </row>
    <row r="444">
      <c r="A444" s="662"/>
      <c r="B444" s="664"/>
      <c r="C444" s="795"/>
      <c r="D444" s="796"/>
      <c r="E444" s="681"/>
      <c r="F444" s="797"/>
      <c r="G444" s="797"/>
      <c r="H444" s="797"/>
      <c r="I444" s="797"/>
      <c r="J444" s="797"/>
      <c r="K444" s="797"/>
      <c r="L444" s="797"/>
      <c r="M444" s="797"/>
      <c r="N444" s="797"/>
      <c r="O444" s="797"/>
      <c r="P444" s="797"/>
      <c r="Q444" s="797"/>
      <c r="R444" s="662"/>
      <c r="S444" s="662"/>
      <c r="T444" s="662"/>
      <c r="U444" s="665"/>
      <c r="V444" s="666"/>
      <c r="W444" s="662"/>
      <c r="X444" s="662"/>
      <c r="Y444" s="662"/>
      <c r="Z444" s="662"/>
    </row>
    <row r="445">
      <c r="A445" s="662"/>
      <c r="B445" s="664"/>
      <c r="C445" s="795"/>
      <c r="D445" s="796"/>
      <c r="E445" s="681"/>
      <c r="F445" s="797"/>
      <c r="G445" s="797"/>
      <c r="H445" s="797"/>
      <c r="I445" s="797"/>
      <c r="J445" s="797"/>
      <c r="K445" s="797"/>
      <c r="L445" s="797"/>
      <c r="M445" s="797"/>
      <c r="N445" s="797"/>
      <c r="O445" s="797"/>
      <c r="P445" s="797"/>
      <c r="Q445" s="797"/>
      <c r="R445" s="662"/>
      <c r="S445" s="662"/>
      <c r="T445" s="662"/>
      <c r="U445" s="665"/>
      <c r="V445" s="666"/>
      <c r="W445" s="662"/>
      <c r="X445" s="662"/>
      <c r="Y445" s="662"/>
      <c r="Z445" s="662"/>
    </row>
    <row r="446">
      <c r="A446" s="662"/>
      <c r="B446" s="664"/>
      <c r="C446" s="795"/>
      <c r="D446" s="796"/>
      <c r="E446" s="681"/>
      <c r="F446" s="797"/>
      <c r="G446" s="797"/>
      <c r="H446" s="797"/>
      <c r="I446" s="797"/>
      <c r="J446" s="797"/>
      <c r="K446" s="797"/>
      <c r="L446" s="797"/>
      <c r="M446" s="797"/>
      <c r="N446" s="797"/>
      <c r="O446" s="797"/>
      <c r="P446" s="797"/>
      <c r="Q446" s="797"/>
      <c r="R446" s="662"/>
      <c r="S446" s="662"/>
      <c r="T446" s="662"/>
      <c r="U446" s="665"/>
      <c r="V446" s="666"/>
      <c r="W446" s="662"/>
      <c r="X446" s="662"/>
      <c r="Y446" s="662"/>
      <c r="Z446" s="662"/>
    </row>
    <row r="447">
      <c r="A447" s="662"/>
      <c r="B447" s="664"/>
      <c r="C447" s="795"/>
      <c r="D447" s="796"/>
      <c r="E447" s="681"/>
      <c r="F447" s="797"/>
      <c r="G447" s="797"/>
      <c r="H447" s="797"/>
      <c r="I447" s="797"/>
      <c r="J447" s="797"/>
      <c r="K447" s="797"/>
      <c r="L447" s="797"/>
      <c r="M447" s="797"/>
      <c r="N447" s="797"/>
      <c r="O447" s="797"/>
      <c r="P447" s="797"/>
      <c r="Q447" s="797"/>
      <c r="R447" s="662"/>
      <c r="S447" s="662"/>
      <c r="T447" s="662"/>
      <c r="U447" s="665"/>
      <c r="V447" s="666"/>
      <c r="W447" s="662"/>
      <c r="X447" s="662"/>
      <c r="Y447" s="662"/>
      <c r="Z447" s="662"/>
    </row>
    <row r="448">
      <c r="A448" s="662"/>
      <c r="B448" s="664"/>
      <c r="C448" s="795"/>
      <c r="D448" s="796"/>
      <c r="E448" s="681"/>
      <c r="F448" s="797"/>
      <c r="G448" s="797"/>
      <c r="H448" s="797"/>
      <c r="I448" s="797"/>
      <c r="J448" s="797"/>
      <c r="K448" s="797"/>
      <c r="L448" s="797"/>
      <c r="M448" s="797"/>
      <c r="N448" s="797"/>
      <c r="O448" s="797"/>
      <c r="P448" s="797"/>
      <c r="Q448" s="797"/>
      <c r="R448" s="662"/>
      <c r="S448" s="662"/>
      <c r="T448" s="662"/>
      <c r="U448" s="665"/>
      <c r="V448" s="666"/>
      <c r="W448" s="662"/>
      <c r="X448" s="662"/>
      <c r="Y448" s="662"/>
      <c r="Z448" s="662"/>
    </row>
    <row r="449">
      <c r="A449" s="662"/>
      <c r="B449" s="664"/>
      <c r="C449" s="795"/>
      <c r="D449" s="796"/>
      <c r="E449" s="681"/>
      <c r="F449" s="797"/>
      <c r="G449" s="797"/>
      <c r="H449" s="797"/>
      <c r="I449" s="797"/>
      <c r="J449" s="797"/>
      <c r="K449" s="797"/>
      <c r="L449" s="797"/>
      <c r="M449" s="797"/>
      <c r="N449" s="797"/>
      <c r="O449" s="797"/>
      <c r="P449" s="797"/>
      <c r="Q449" s="797"/>
      <c r="R449" s="662"/>
      <c r="S449" s="662"/>
      <c r="T449" s="662"/>
      <c r="U449" s="665"/>
      <c r="V449" s="666"/>
      <c r="W449" s="662"/>
      <c r="X449" s="662"/>
      <c r="Y449" s="662"/>
      <c r="Z449" s="662"/>
    </row>
    <row r="450">
      <c r="A450" s="662"/>
      <c r="B450" s="664"/>
      <c r="C450" s="795"/>
      <c r="D450" s="796"/>
      <c r="E450" s="681"/>
      <c r="F450" s="797"/>
      <c r="G450" s="797"/>
      <c r="H450" s="797"/>
      <c r="I450" s="797"/>
      <c r="J450" s="797"/>
      <c r="K450" s="797"/>
      <c r="L450" s="797"/>
      <c r="M450" s="797"/>
      <c r="N450" s="797"/>
      <c r="O450" s="797"/>
      <c r="P450" s="797"/>
      <c r="Q450" s="797"/>
      <c r="R450" s="662"/>
      <c r="S450" s="662"/>
      <c r="T450" s="662"/>
      <c r="U450" s="665"/>
      <c r="V450" s="666"/>
      <c r="W450" s="662"/>
      <c r="X450" s="662"/>
      <c r="Y450" s="662"/>
      <c r="Z450" s="662"/>
    </row>
    <row r="451">
      <c r="A451" s="662"/>
      <c r="B451" s="664"/>
      <c r="C451" s="795"/>
      <c r="D451" s="796"/>
      <c r="E451" s="681"/>
      <c r="F451" s="797"/>
      <c r="G451" s="797"/>
      <c r="H451" s="797"/>
      <c r="I451" s="797"/>
      <c r="J451" s="797"/>
      <c r="K451" s="797"/>
      <c r="L451" s="797"/>
      <c r="M451" s="797"/>
      <c r="N451" s="797"/>
      <c r="O451" s="797"/>
      <c r="P451" s="797"/>
      <c r="Q451" s="797"/>
      <c r="R451" s="662"/>
      <c r="S451" s="662"/>
      <c r="T451" s="662"/>
      <c r="U451" s="665"/>
      <c r="V451" s="666"/>
      <c r="W451" s="662"/>
      <c r="X451" s="662"/>
      <c r="Y451" s="662"/>
      <c r="Z451" s="662"/>
    </row>
    <row r="452">
      <c r="A452" s="662"/>
      <c r="B452" s="664"/>
      <c r="C452" s="795"/>
      <c r="D452" s="796"/>
      <c r="E452" s="681"/>
      <c r="F452" s="797"/>
      <c r="G452" s="797"/>
      <c r="H452" s="797"/>
      <c r="I452" s="797"/>
      <c r="J452" s="797"/>
      <c r="K452" s="797"/>
      <c r="L452" s="797"/>
      <c r="M452" s="797"/>
      <c r="N452" s="797"/>
      <c r="O452" s="797"/>
      <c r="P452" s="797"/>
      <c r="Q452" s="797"/>
      <c r="R452" s="662"/>
      <c r="S452" s="662"/>
      <c r="T452" s="662"/>
      <c r="U452" s="665"/>
      <c r="V452" s="666"/>
      <c r="W452" s="662"/>
      <c r="X452" s="662"/>
      <c r="Y452" s="662"/>
      <c r="Z452" s="662"/>
    </row>
    <row r="453">
      <c r="A453" s="662"/>
      <c r="B453" s="664"/>
      <c r="C453" s="795"/>
      <c r="D453" s="796"/>
      <c r="E453" s="681"/>
      <c r="F453" s="797"/>
      <c r="G453" s="797"/>
      <c r="H453" s="797"/>
      <c r="I453" s="797"/>
      <c r="J453" s="797"/>
      <c r="K453" s="797"/>
      <c r="L453" s="797"/>
      <c r="M453" s="797"/>
      <c r="N453" s="797"/>
      <c r="O453" s="797"/>
      <c r="P453" s="797"/>
      <c r="Q453" s="797"/>
      <c r="R453" s="662"/>
      <c r="S453" s="662"/>
      <c r="T453" s="662"/>
      <c r="U453" s="665"/>
      <c r="V453" s="666"/>
      <c r="W453" s="662"/>
      <c r="X453" s="662"/>
      <c r="Y453" s="662"/>
      <c r="Z453" s="662"/>
    </row>
    <row r="454">
      <c r="A454" s="662"/>
      <c r="B454" s="664"/>
      <c r="C454" s="795"/>
      <c r="D454" s="796"/>
      <c r="E454" s="681"/>
      <c r="F454" s="797"/>
      <c r="G454" s="797"/>
      <c r="H454" s="797"/>
      <c r="I454" s="797"/>
      <c r="J454" s="797"/>
      <c r="K454" s="797"/>
      <c r="L454" s="797"/>
      <c r="M454" s="797"/>
      <c r="N454" s="797"/>
      <c r="O454" s="797"/>
      <c r="P454" s="797"/>
      <c r="Q454" s="797"/>
      <c r="R454" s="662"/>
      <c r="S454" s="662"/>
      <c r="T454" s="662"/>
      <c r="U454" s="665"/>
      <c r="V454" s="666"/>
      <c r="W454" s="662"/>
      <c r="X454" s="662"/>
      <c r="Y454" s="662"/>
      <c r="Z454" s="662"/>
    </row>
    <row r="455">
      <c r="A455" s="662"/>
      <c r="B455" s="664"/>
      <c r="C455" s="795"/>
      <c r="D455" s="796"/>
      <c r="E455" s="681"/>
      <c r="F455" s="797"/>
      <c r="G455" s="797"/>
      <c r="H455" s="797"/>
      <c r="I455" s="797"/>
      <c r="J455" s="797"/>
      <c r="K455" s="797"/>
      <c r="L455" s="797"/>
      <c r="M455" s="797"/>
      <c r="N455" s="797"/>
      <c r="O455" s="797"/>
      <c r="P455" s="797"/>
      <c r="Q455" s="797"/>
      <c r="R455" s="662"/>
      <c r="S455" s="662"/>
      <c r="T455" s="662"/>
      <c r="U455" s="665"/>
      <c r="V455" s="666"/>
      <c r="W455" s="662"/>
      <c r="X455" s="662"/>
      <c r="Y455" s="662"/>
      <c r="Z455" s="662"/>
    </row>
    <row r="456">
      <c r="A456" s="662"/>
      <c r="B456" s="664"/>
      <c r="C456" s="795"/>
      <c r="D456" s="796"/>
      <c r="E456" s="681"/>
      <c r="F456" s="797"/>
      <c r="G456" s="797"/>
      <c r="H456" s="797"/>
      <c r="I456" s="797"/>
      <c r="J456" s="797"/>
      <c r="K456" s="797"/>
      <c r="L456" s="797"/>
      <c r="M456" s="797"/>
      <c r="N456" s="797"/>
      <c r="O456" s="797"/>
      <c r="P456" s="797"/>
      <c r="Q456" s="797"/>
      <c r="R456" s="662"/>
      <c r="S456" s="662"/>
      <c r="T456" s="662"/>
      <c r="U456" s="665"/>
      <c r="V456" s="666"/>
      <c r="W456" s="662"/>
      <c r="X456" s="662"/>
      <c r="Y456" s="662"/>
      <c r="Z456" s="662"/>
    </row>
    <row r="457">
      <c r="A457" s="662"/>
      <c r="B457" s="664"/>
      <c r="C457" s="795"/>
      <c r="D457" s="796"/>
      <c r="E457" s="681"/>
      <c r="F457" s="797"/>
      <c r="G457" s="797"/>
      <c r="H457" s="797"/>
      <c r="I457" s="797"/>
      <c r="J457" s="797"/>
      <c r="K457" s="797"/>
      <c r="L457" s="797"/>
      <c r="M457" s="797"/>
      <c r="N457" s="797"/>
      <c r="O457" s="797"/>
      <c r="P457" s="797"/>
      <c r="Q457" s="797"/>
      <c r="R457" s="662"/>
      <c r="S457" s="662"/>
      <c r="T457" s="662"/>
      <c r="U457" s="665"/>
      <c r="V457" s="666"/>
      <c r="W457" s="662"/>
      <c r="X457" s="662"/>
      <c r="Y457" s="662"/>
      <c r="Z457" s="662"/>
    </row>
    <row r="458">
      <c r="A458" s="662"/>
      <c r="B458" s="664"/>
      <c r="C458" s="795"/>
      <c r="D458" s="796"/>
      <c r="E458" s="681"/>
      <c r="F458" s="797"/>
      <c r="G458" s="797"/>
      <c r="H458" s="797"/>
      <c r="I458" s="797"/>
      <c r="J458" s="797"/>
      <c r="K458" s="797"/>
      <c r="L458" s="797"/>
      <c r="M458" s="797"/>
      <c r="N458" s="797"/>
      <c r="O458" s="797"/>
      <c r="P458" s="797"/>
      <c r="Q458" s="797"/>
      <c r="R458" s="662"/>
      <c r="S458" s="662"/>
      <c r="T458" s="662"/>
      <c r="U458" s="665"/>
      <c r="V458" s="666"/>
      <c r="W458" s="662"/>
      <c r="X458" s="662"/>
      <c r="Y458" s="662"/>
      <c r="Z458" s="662"/>
    </row>
    <row r="459">
      <c r="A459" s="662"/>
      <c r="B459" s="664"/>
      <c r="C459" s="795"/>
      <c r="D459" s="796"/>
      <c r="E459" s="681"/>
      <c r="F459" s="797"/>
      <c r="G459" s="797"/>
      <c r="H459" s="797"/>
      <c r="I459" s="797"/>
      <c r="J459" s="797"/>
      <c r="K459" s="797"/>
      <c r="L459" s="797"/>
      <c r="M459" s="797"/>
      <c r="N459" s="797"/>
      <c r="O459" s="797"/>
      <c r="P459" s="797"/>
      <c r="Q459" s="797"/>
      <c r="R459" s="662"/>
      <c r="S459" s="662"/>
      <c r="T459" s="662"/>
      <c r="U459" s="665"/>
      <c r="V459" s="666"/>
      <c r="W459" s="662"/>
      <c r="X459" s="662"/>
      <c r="Y459" s="662"/>
      <c r="Z459" s="662"/>
    </row>
    <row r="460">
      <c r="A460" s="662"/>
      <c r="B460" s="664"/>
      <c r="C460" s="795"/>
      <c r="D460" s="796"/>
      <c r="E460" s="681"/>
      <c r="F460" s="797"/>
      <c r="G460" s="797"/>
      <c r="H460" s="797"/>
      <c r="I460" s="797"/>
      <c r="J460" s="797"/>
      <c r="K460" s="797"/>
      <c r="L460" s="797"/>
      <c r="M460" s="797"/>
      <c r="N460" s="797"/>
      <c r="O460" s="797"/>
      <c r="P460" s="797"/>
      <c r="Q460" s="797"/>
      <c r="R460" s="662"/>
      <c r="S460" s="662"/>
      <c r="T460" s="662"/>
      <c r="U460" s="665"/>
      <c r="V460" s="666"/>
      <c r="W460" s="662"/>
      <c r="X460" s="662"/>
      <c r="Y460" s="662"/>
      <c r="Z460" s="662"/>
    </row>
    <row r="461">
      <c r="A461" s="662"/>
      <c r="B461" s="664"/>
      <c r="C461" s="795"/>
      <c r="D461" s="796"/>
      <c r="E461" s="681"/>
      <c r="F461" s="797"/>
      <c r="G461" s="797"/>
      <c r="H461" s="797"/>
      <c r="I461" s="797"/>
      <c r="J461" s="797"/>
      <c r="K461" s="797"/>
      <c r="L461" s="797"/>
      <c r="M461" s="797"/>
      <c r="N461" s="797"/>
      <c r="O461" s="797"/>
      <c r="P461" s="797"/>
      <c r="Q461" s="797"/>
      <c r="R461" s="662"/>
      <c r="S461" s="662"/>
      <c r="T461" s="662"/>
      <c r="U461" s="665"/>
      <c r="V461" s="666"/>
      <c r="W461" s="662"/>
      <c r="X461" s="662"/>
      <c r="Y461" s="662"/>
      <c r="Z461" s="662"/>
    </row>
    <row r="462">
      <c r="A462" s="662"/>
      <c r="B462" s="664"/>
      <c r="C462" s="795"/>
      <c r="D462" s="796"/>
      <c r="E462" s="681"/>
      <c r="F462" s="797"/>
      <c r="G462" s="797"/>
      <c r="H462" s="797"/>
      <c r="I462" s="797"/>
      <c r="J462" s="797"/>
      <c r="K462" s="797"/>
      <c r="L462" s="797"/>
      <c r="M462" s="797"/>
      <c r="N462" s="797"/>
      <c r="O462" s="797"/>
      <c r="P462" s="797"/>
      <c r="Q462" s="797"/>
      <c r="R462" s="662"/>
      <c r="S462" s="662"/>
      <c r="T462" s="662"/>
      <c r="U462" s="665"/>
      <c r="V462" s="666"/>
      <c r="W462" s="662"/>
      <c r="X462" s="662"/>
      <c r="Y462" s="662"/>
      <c r="Z462" s="662"/>
    </row>
    <row r="463">
      <c r="A463" s="662"/>
      <c r="B463" s="664"/>
      <c r="C463" s="795"/>
      <c r="D463" s="796"/>
      <c r="E463" s="681"/>
      <c r="F463" s="797"/>
      <c r="G463" s="797"/>
      <c r="H463" s="797"/>
      <c r="I463" s="797"/>
      <c r="J463" s="797"/>
      <c r="K463" s="797"/>
      <c r="L463" s="797"/>
      <c r="M463" s="797"/>
      <c r="N463" s="797"/>
      <c r="O463" s="797"/>
      <c r="P463" s="797"/>
      <c r="Q463" s="797"/>
      <c r="R463" s="662"/>
      <c r="S463" s="662"/>
      <c r="T463" s="662"/>
      <c r="U463" s="665"/>
      <c r="V463" s="666"/>
      <c r="W463" s="662"/>
      <c r="X463" s="662"/>
      <c r="Y463" s="662"/>
      <c r="Z463" s="662"/>
    </row>
    <row r="464">
      <c r="A464" s="662"/>
      <c r="B464" s="664"/>
      <c r="C464" s="795"/>
      <c r="D464" s="796"/>
      <c r="E464" s="681"/>
      <c r="F464" s="797"/>
      <c r="G464" s="797"/>
      <c r="H464" s="797"/>
      <c r="I464" s="797"/>
      <c r="J464" s="797"/>
      <c r="K464" s="797"/>
      <c r="L464" s="797"/>
      <c r="M464" s="797"/>
      <c r="N464" s="797"/>
      <c r="O464" s="797"/>
      <c r="P464" s="797"/>
      <c r="Q464" s="797"/>
      <c r="R464" s="662"/>
      <c r="S464" s="662"/>
      <c r="T464" s="662"/>
      <c r="U464" s="665"/>
      <c r="V464" s="666"/>
      <c r="W464" s="662"/>
      <c r="X464" s="662"/>
      <c r="Y464" s="662"/>
      <c r="Z464" s="662"/>
    </row>
    <row r="465">
      <c r="A465" s="662"/>
      <c r="B465" s="664"/>
      <c r="C465" s="795"/>
      <c r="D465" s="796"/>
      <c r="E465" s="681"/>
      <c r="F465" s="797"/>
      <c r="G465" s="797"/>
      <c r="H465" s="797"/>
      <c r="I465" s="797"/>
      <c r="J465" s="797"/>
      <c r="K465" s="797"/>
      <c r="L465" s="797"/>
      <c r="M465" s="797"/>
      <c r="N465" s="797"/>
      <c r="O465" s="797"/>
      <c r="P465" s="797"/>
      <c r="Q465" s="797"/>
      <c r="R465" s="662"/>
      <c r="S465" s="662"/>
      <c r="T465" s="662"/>
      <c r="U465" s="665"/>
      <c r="V465" s="666"/>
      <c r="W465" s="662"/>
      <c r="X465" s="662"/>
      <c r="Y465" s="662"/>
      <c r="Z465" s="662"/>
    </row>
    <row r="466">
      <c r="A466" s="662"/>
      <c r="B466" s="664"/>
      <c r="C466" s="795"/>
      <c r="D466" s="796"/>
      <c r="E466" s="681"/>
      <c r="F466" s="797"/>
      <c r="G466" s="797"/>
      <c r="H466" s="797"/>
      <c r="I466" s="797"/>
      <c r="J466" s="797"/>
      <c r="K466" s="797"/>
      <c r="L466" s="797"/>
      <c r="M466" s="797"/>
      <c r="N466" s="797"/>
      <c r="O466" s="797"/>
      <c r="P466" s="797"/>
      <c r="Q466" s="797"/>
      <c r="R466" s="662"/>
      <c r="S466" s="662"/>
      <c r="T466" s="662"/>
      <c r="U466" s="665"/>
      <c r="V466" s="666"/>
      <c r="W466" s="662"/>
      <c r="X466" s="662"/>
      <c r="Y466" s="662"/>
      <c r="Z466" s="662"/>
    </row>
    <row r="467">
      <c r="A467" s="662"/>
      <c r="B467" s="664"/>
      <c r="C467" s="795"/>
      <c r="D467" s="796"/>
      <c r="E467" s="681"/>
      <c r="F467" s="797"/>
      <c r="G467" s="797"/>
      <c r="H467" s="797"/>
      <c r="I467" s="797"/>
      <c r="J467" s="797"/>
      <c r="K467" s="797"/>
      <c r="L467" s="797"/>
      <c r="M467" s="797"/>
      <c r="N467" s="797"/>
      <c r="O467" s="797"/>
      <c r="P467" s="797"/>
      <c r="Q467" s="797"/>
      <c r="R467" s="662"/>
      <c r="S467" s="662"/>
      <c r="T467" s="662"/>
      <c r="U467" s="665"/>
      <c r="V467" s="666"/>
      <c r="W467" s="662"/>
      <c r="X467" s="662"/>
      <c r="Y467" s="662"/>
      <c r="Z467" s="662"/>
    </row>
    <row r="468">
      <c r="A468" s="662"/>
      <c r="B468" s="664"/>
      <c r="C468" s="795"/>
      <c r="D468" s="796"/>
      <c r="E468" s="681"/>
      <c r="F468" s="797"/>
      <c r="G468" s="797"/>
      <c r="H468" s="797"/>
      <c r="I468" s="797"/>
      <c r="J468" s="797"/>
      <c r="K468" s="797"/>
      <c r="L468" s="797"/>
      <c r="M468" s="797"/>
      <c r="N468" s="797"/>
      <c r="O468" s="797"/>
      <c r="P468" s="797"/>
      <c r="Q468" s="797"/>
      <c r="R468" s="662"/>
      <c r="S468" s="662"/>
      <c r="T468" s="662"/>
      <c r="U468" s="665"/>
      <c r="V468" s="666"/>
      <c r="W468" s="662"/>
      <c r="X468" s="662"/>
      <c r="Y468" s="662"/>
      <c r="Z468" s="662"/>
    </row>
    <row r="469">
      <c r="A469" s="662"/>
      <c r="B469" s="664"/>
      <c r="C469" s="795"/>
      <c r="D469" s="796"/>
      <c r="E469" s="681"/>
      <c r="F469" s="797"/>
      <c r="G469" s="797"/>
      <c r="H469" s="797"/>
      <c r="I469" s="797"/>
      <c r="J469" s="797"/>
      <c r="K469" s="797"/>
      <c r="L469" s="797"/>
      <c r="M469" s="797"/>
      <c r="N469" s="797"/>
      <c r="O469" s="797"/>
      <c r="P469" s="797"/>
      <c r="Q469" s="797"/>
      <c r="R469" s="662"/>
      <c r="S469" s="662"/>
      <c r="T469" s="662"/>
      <c r="U469" s="665"/>
      <c r="V469" s="666"/>
      <c r="W469" s="662"/>
      <c r="X469" s="662"/>
      <c r="Y469" s="662"/>
      <c r="Z469" s="662"/>
    </row>
    <row r="470">
      <c r="A470" s="662"/>
      <c r="B470" s="664"/>
      <c r="C470" s="795"/>
      <c r="D470" s="796"/>
      <c r="E470" s="681"/>
      <c r="F470" s="797"/>
      <c r="G470" s="797"/>
      <c r="H470" s="797"/>
      <c r="I470" s="797"/>
      <c r="J470" s="797"/>
      <c r="K470" s="797"/>
      <c r="L470" s="797"/>
      <c r="M470" s="797"/>
      <c r="N470" s="797"/>
      <c r="O470" s="797"/>
      <c r="P470" s="797"/>
      <c r="Q470" s="797"/>
      <c r="R470" s="662"/>
      <c r="S470" s="662"/>
      <c r="T470" s="662"/>
      <c r="U470" s="665"/>
      <c r="V470" s="666"/>
      <c r="W470" s="662"/>
      <c r="X470" s="662"/>
      <c r="Y470" s="662"/>
      <c r="Z470" s="662"/>
    </row>
    <row r="471">
      <c r="A471" s="662"/>
      <c r="B471" s="664"/>
      <c r="C471" s="795"/>
      <c r="D471" s="796"/>
      <c r="E471" s="681"/>
      <c r="F471" s="797"/>
      <c r="G471" s="797"/>
      <c r="H471" s="797"/>
      <c r="I471" s="797"/>
      <c r="J471" s="797"/>
      <c r="K471" s="797"/>
      <c r="L471" s="797"/>
      <c r="M471" s="797"/>
      <c r="N471" s="797"/>
      <c r="O471" s="797"/>
      <c r="P471" s="797"/>
      <c r="Q471" s="797"/>
      <c r="R471" s="662"/>
      <c r="S471" s="662"/>
      <c r="T471" s="662"/>
      <c r="U471" s="665"/>
      <c r="V471" s="666"/>
      <c r="W471" s="662"/>
      <c r="X471" s="662"/>
      <c r="Y471" s="662"/>
      <c r="Z471" s="662"/>
    </row>
    <row r="472">
      <c r="A472" s="662"/>
      <c r="B472" s="664"/>
      <c r="C472" s="795"/>
      <c r="D472" s="796"/>
      <c r="E472" s="681"/>
      <c r="F472" s="797"/>
      <c r="G472" s="797"/>
      <c r="H472" s="797"/>
      <c r="I472" s="797"/>
      <c r="J472" s="797"/>
      <c r="K472" s="797"/>
      <c r="L472" s="797"/>
      <c r="M472" s="797"/>
      <c r="N472" s="797"/>
      <c r="O472" s="797"/>
      <c r="P472" s="797"/>
      <c r="Q472" s="797"/>
      <c r="R472" s="662"/>
      <c r="S472" s="662"/>
      <c r="T472" s="662"/>
      <c r="U472" s="665"/>
      <c r="V472" s="666"/>
      <c r="W472" s="662"/>
      <c r="X472" s="662"/>
      <c r="Y472" s="662"/>
      <c r="Z472" s="662"/>
    </row>
    <row r="473">
      <c r="A473" s="662"/>
      <c r="B473" s="664"/>
      <c r="C473" s="795"/>
      <c r="D473" s="796"/>
      <c r="E473" s="681"/>
      <c r="F473" s="797"/>
      <c r="G473" s="797"/>
      <c r="H473" s="797"/>
      <c r="I473" s="797"/>
      <c r="J473" s="797"/>
      <c r="K473" s="797"/>
      <c r="L473" s="797"/>
      <c r="M473" s="797"/>
      <c r="N473" s="797"/>
      <c r="O473" s="797"/>
      <c r="P473" s="797"/>
      <c r="Q473" s="797"/>
      <c r="R473" s="662"/>
      <c r="S473" s="662"/>
      <c r="T473" s="662"/>
      <c r="U473" s="665"/>
      <c r="V473" s="666"/>
      <c r="W473" s="662"/>
      <c r="X473" s="662"/>
      <c r="Y473" s="662"/>
      <c r="Z473" s="662"/>
    </row>
    <row r="474">
      <c r="A474" s="662"/>
      <c r="B474" s="664"/>
      <c r="C474" s="795"/>
      <c r="D474" s="796"/>
      <c r="E474" s="681"/>
      <c r="F474" s="797"/>
      <c r="G474" s="797"/>
      <c r="H474" s="797"/>
      <c r="I474" s="797"/>
      <c r="J474" s="797"/>
      <c r="K474" s="797"/>
      <c r="L474" s="797"/>
      <c r="M474" s="797"/>
      <c r="N474" s="797"/>
      <c r="O474" s="797"/>
      <c r="P474" s="797"/>
      <c r="Q474" s="797"/>
      <c r="R474" s="662"/>
      <c r="S474" s="662"/>
      <c r="T474" s="662"/>
      <c r="U474" s="665"/>
      <c r="V474" s="666"/>
      <c r="W474" s="662"/>
      <c r="X474" s="662"/>
      <c r="Y474" s="662"/>
      <c r="Z474" s="662"/>
    </row>
    <row r="475">
      <c r="A475" s="662"/>
      <c r="B475" s="664"/>
      <c r="C475" s="795"/>
      <c r="D475" s="796"/>
      <c r="E475" s="681"/>
      <c r="F475" s="797"/>
      <c r="G475" s="797"/>
      <c r="H475" s="797"/>
      <c r="I475" s="797"/>
      <c r="J475" s="797"/>
      <c r="K475" s="797"/>
      <c r="L475" s="797"/>
      <c r="M475" s="797"/>
      <c r="N475" s="797"/>
      <c r="O475" s="797"/>
      <c r="P475" s="797"/>
      <c r="Q475" s="797"/>
      <c r="R475" s="662"/>
      <c r="S475" s="662"/>
      <c r="T475" s="662"/>
      <c r="U475" s="665"/>
      <c r="V475" s="666"/>
      <c r="W475" s="662"/>
      <c r="X475" s="662"/>
      <c r="Y475" s="662"/>
      <c r="Z475" s="662"/>
    </row>
    <row r="476">
      <c r="A476" s="662"/>
      <c r="B476" s="664"/>
      <c r="C476" s="795"/>
      <c r="D476" s="796"/>
      <c r="E476" s="681"/>
      <c r="F476" s="797"/>
      <c r="G476" s="797"/>
      <c r="H476" s="797"/>
      <c r="I476" s="797"/>
      <c r="J476" s="797"/>
      <c r="K476" s="797"/>
      <c r="L476" s="797"/>
      <c r="M476" s="797"/>
      <c r="N476" s="797"/>
      <c r="O476" s="797"/>
      <c r="P476" s="797"/>
      <c r="Q476" s="797"/>
      <c r="R476" s="662"/>
      <c r="S476" s="662"/>
      <c r="T476" s="662"/>
      <c r="U476" s="665"/>
      <c r="V476" s="666"/>
      <c r="W476" s="662"/>
      <c r="X476" s="662"/>
      <c r="Y476" s="662"/>
      <c r="Z476" s="662"/>
    </row>
    <row r="477">
      <c r="A477" s="662"/>
      <c r="B477" s="664"/>
      <c r="C477" s="795"/>
      <c r="D477" s="796"/>
      <c r="E477" s="681"/>
      <c r="F477" s="797"/>
      <c r="G477" s="797"/>
      <c r="H477" s="797"/>
      <c r="I477" s="797"/>
      <c r="J477" s="797"/>
      <c r="K477" s="797"/>
      <c r="L477" s="797"/>
      <c r="M477" s="797"/>
      <c r="N477" s="797"/>
      <c r="O477" s="797"/>
      <c r="P477" s="797"/>
      <c r="Q477" s="797"/>
      <c r="R477" s="662"/>
      <c r="S477" s="662"/>
      <c r="T477" s="662"/>
      <c r="U477" s="665"/>
      <c r="V477" s="666"/>
      <c r="W477" s="662"/>
      <c r="X477" s="662"/>
      <c r="Y477" s="662"/>
      <c r="Z477" s="662"/>
    </row>
    <row r="478">
      <c r="A478" s="662"/>
      <c r="B478" s="664"/>
      <c r="C478" s="795"/>
      <c r="D478" s="796"/>
      <c r="E478" s="681"/>
      <c r="F478" s="797"/>
      <c r="G478" s="797"/>
      <c r="H478" s="797"/>
      <c r="I478" s="797"/>
      <c r="J478" s="797"/>
      <c r="K478" s="797"/>
      <c r="L478" s="797"/>
      <c r="M478" s="797"/>
      <c r="N478" s="797"/>
      <c r="O478" s="797"/>
      <c r="P478" s="797"/>
      <c r="Q478" s="797"/>
      <c r="R478" s="662"/>
      <c r="S478" s="662"/>
      <c r="T478" s="662"/>
      <c r="U478" s="665"/>
      <c r="V478" s="666"/>
      <c r="W478" s="662"/>
      <c r="X478" s="662"/>
      <c r="Y478" s="662"/>
      <c r="Z478" s="662"/>
    </row>
    <row r="479">
      <c r="A479" s="662"/>
      <c r="B479" s="664"/>
      <c r="C479" s="795"/>
      <c r="D479" s="796"/>
      <c r="E479" s="681"/>
      <c r="F479" s="797"/>
      <c r="G479" s="797"/>
      <c r="H479" s="797"/>
      <c r="I479" s="797"/>
      <c r="J479" s="797"/>
      <c r="K479" s="797"/>
      <c r="L479" s="797"/>
      <c r="M479" s="797"/>
      <c r="N479" s="797"/>
      <c r="O479" s="797"/>
      <c r="P479" s="797"/>
      <c r="Q479" s="797"/>
      <c r="R479" s="662"/>
      <c r="S479" s="662"/>
      <c r="T479" s="662"/>
      <c r="U479" s="665"/>
      <c r="V479" s="666"/>
      <c r="W479" s="662"/>
      <c r="X479" s="662"/>
      <c r="Y479" s="662"/>
      <c r="Z479" s="662"/>
    </row>
    <row r="480">
      <c r="A480" s="662"/>
      <c r="B480" s="664"/>
      <c r="C480" s="795"/>
      <c r="D480" s="796"/>
      <c r="E480" s="681"/>
      <c r="F480" s="797"/>
      <c r="G480" s="797"/>
      <c r="H480" s="797"/>
      <c r="I480" s="797"/>
      <c r="J480" s="797"/>
      <c r="K480" s="797"/>
      <c r="L480" s="797"/>
      <c r="M480" s="797"/>
      <c r="N480" s="797"/>
      <c r="O480" s="797"/>
      <c r="P480" s="797"/>
      <c r="Q480" s="797"/>
      <c r="R480" s="662"/>
      <c r="S480" s="662"/>
      <c r="T480" s="662"/>
      <c r="U480" s="665"/>
      <c r="V480" s="666"/>
      <c r="W480" s="662"/>
      <c r="X480" s="662"/>
      <c r="Y480" s="662"/>
      <c r="Z480" s="662"/>
    </row>
    <row r="481">
      <c r="A481" s="662"/>
      <c r="B481" s="664"/>
      <c r="C481" s="795"/>
      <c r="D481" s="796"/>
      <c r="E481" s="681"/>
      <c r="F481" s="797"/>
      <c r="G481" s="797"/>
      <c r="H481" s="797"/>
      <c r="I481" s="797"/>
      <c r="J481" s="797"/>
      <c r="K481" s="797"/>
      <c r="L481" s="797"/>
      <c r="M481" s="797"/>
      <c r="N481" s="797"/>
      <c r="O481" s="797"/>
      <c r="P481" s="797"/>
      <c r="Q481" s="797"/>
      <c r="R481" s="662"/>
      <c r="S481" s="662"/>
      <c r="T481" s="662"/>
      <c r="U481" s="665"/>
      <c r="V481" s="666"/>
      <c r="W481" s="662"/>
      <c r="X481" s="662"/>
      <c r="Y481" s="662"/>
      <c r="Z481" s="662"/>
    </row>
    <row r="482">
      <c r="A482" s="662"/>
      <c r="B482" s="664"/>
      <c r="C482" s="795"/>
      <c r="D482" s="796"/>
      <c r="E482" s="681"/>
      <c r="F482" s="797"/>
      <c r="G482" s="797"/>
      <c r="H482" s="797"/>
      <c r="I482" s="797"/>
      <c r="J482" s="797"/>
      <c r="K482" s="797"/>
      <c r="L482" s="797"/>
      <c r="M482" s="797"/>
      <c r="N482" s="797"/>
      <c r="O482" s="797"/>
      <c r="P482" s="797"/>
      <c r="Q482" s="797"/>
      <c r="R482" s="662"/>
      <c r="S482" s="662"/>
      <c r="T482" s="662"/>
      <c r="U482" s="665"/>
      <c r="V482" s="666"/>
      <c r="W482" s="662"/>
      <c r="X482" s="662"/>
      <c r="Y482" s="662"/>
      <c r="Z482" s="662"/>
    </row>
    <row r="483">
      <c r="A483" s="662"/>
      <c r="B483" s="664"/>
      <c r="C483" s="795"/>
      <c r="D483" s="796"/>
      <c r="E483" s="681"/>
      <c r="F483" s="797"/>
      <c r="G483" s="797"/>
      <c r="H483" s="797"/>
      <c r="I483" s="797"/>
      <c r="J483" s="797"/>
      <c r="K483" s="797"/>
      <c r="L483" s="797"/>
      <c r="M483" s="797"/>
      <c r="N483" s="797"/>
      <c r="O483" s="797"/>
      <c r="P483" s="797"/>
      <c r="Q483" s="797"/>
      <c r="R483" s="662"/>
      <c r="S483" s="662"/>
      <c r="T483" s="662"/>
      <c r="U483" s="665"/>
      <c r="V483" s="666"/>
      <c r="W483" s="662"/>
      <c r="X483" s="662"/>
      <c r="Y483" s="662"/>
      <c r="Z483" s="662"/>
    </row>
    <row r="484">
      <c r="A484" s="662"/>
      <c r="B484" s="664"/>
      <c r="C484" s="795"/>
      <c r="D484" s="796"/>
      <c r="E484" s="681"/>
      <c r="F484" s="797"/>
      <c r="G484" s="797"/>
      <c r="H484" s="797"/>
      <c r="I484" s="797"/>
      <c r="J484" s="797"/>
      <c r="K484" s="797"/>
      <c r="L484" s="797"/>
      <c r="M484" s="797"/>
      <c r="N484" s="797"/>
      <c r="O484" s="797"/>
      <c r="P484" s="797"/>
      <c r="Q484" s="797"/>
      <c r="R484" s="662"/>
      <c r="S484" s="662"/>
      <c r="T484" s="662"/>
      <c r="U484" s="665"/>
      <c r="V484" s="666"/>
      <c r="W484" s="662"/>
      <c r="X484" s="662"/>
      <c r="Y484" s="662"/>
      <c r="Z484" s="662"/>
    </row>
    <row r="485">
      <c r="A485" s="662"/>
      <c r="B485" s="664"/>
      <c r="C485" s="795"/>
      <c r="D485" s="796"/>
      <c r="E485" s="681"/>
      <c r="F485" s="797"/>
      <c r="G485" s="797"/>
      <c r="H485" s="797"/>
      <c r="I485" s="797"/>
      <c r="J485" s="797"/>
      <c r="K485" s="797"/>
      <c r="L485" s="797"/>
      <c r="M485" s="797"/>
      <c r="N485" s="797"/>
      <c r="O485" s="797"/>
      <c r="P485" s="797"/>
      <c r="Q485" s="797"/>
      <c r="R485" s="662"/>
      <c r="S485" s="662"/>
      <c r="T485" s="662"/>
      <c r="U485" s="665"/>
      <c r="V485" s="666"/>
      <c r="W485" s="662"/>
      <c r="X485" s="662"/>
      <c r="Y485" s="662"/>
      <c r="Z485" s="662"/>
    </row>
    <row r="486">
      <c r="A486" s="662"/>
      <c r="B486" s="664"/>
      <c r="C486" s="795"/>
      <c r="D486" s="796"/>
      <c r="E486" s="681"/>
      <c r="F486" s="797"/>
      <c r="G486" s="797"/>
      <c r="H486" s="797"/>
      <c r="I486" s="797"/>
      <c r="J486" s="797"/>
      <c r="K486" s="797"/>
      <c r="L486" s="797"/>
      <c r="M486" s="797"/>
      <c r="N486" s="797"/>
      <c r="O486" s="797"/>
      <c r="P486" s="797"/>
      <c r="Q486" s="797"/>
      <c r="R486" s="662"/>
      <c r="S486" s="662"/>
      <c r="T486" s="662"/>
      <c r="U486" s="665"/>
      <c r="V486" s="666"/>
      <c r="W486" s="662"/>
      <c r="X486" s="662"/>
      <c r="Y486" s="662"/>
      <c r="Z486" s="662"/>
    </row>
    <row r="487">
      <c r="A487" s="662"/>
      <c r="B487" s="664"/>
      <c r="C487" s="795"/>
      <c r="D487" s="796"/>
      <c r="E487" s="681"/>
      <c r="F487" s="797"/>
      <c r="G487" s="797"/>
      <c r="H487" s="797"/>
      <c r="I487" s="797"/>
      <c r="J487" s="797"/>
      <c r="K487" s="797"/>
      <c r="L487" s="797"/>
      <c r="M487" s="797"/>
      <c r="N487" s="797"/>
      <c r="O487" s="797"/>
      <c r="P487" s="797"/>
      <c r="Q487" s="797"/>
      <c r="R487" s="662"/>
      <c r="S487" s="662"/>
      <c r="T487" s="662"/>
      <c r="U487" s="665"/>
      <c r="V487" s="666"/>
      <c r="W487" s="662"/>
      <c r="X487" s="662"/>
      <c r="Y487" s="662"/>
      <c r="Z487" s="662"/>
    </row>
    <row r="488">
      <c r="A488" s="662"/>
      <c r="B488" s="664"/>
      <c r="C488" s="795"/>
      <c r="D488" s="796"/>
      <c r="E488" s="681"/>
      <c r="F488" s="797"/>
      <c r="G488" s="797"/>
      <c r="H488" s="797"/>
      <c r="I488" s="797"/>
      <c r="J488" s="797"/>
      <c r="K488" s="797"/>
      <c r="L488" s="797"/>
      <c r="M488" s="797"/>
      <c r="N488" s="797"/>
      <c r="O488" s="797"/>
      <c r="P488" s="797"/>
      <c r="Q488" s="797"/>
      <c r="R488" s="662"/>
      <c r="S488" s="662"/>
      <c r="T488" s="662"/>
      <c r="U488" s="665"/>
      <c r="V488" s="666"/>
      <c r="W488" s="662"/>
      <c r="X488" s="662"/>
      <c r="Y488" s="662"/>
      <c r="Z488" s="662"/>
    </row>
    <row r="489">
      <c r="A489" s="662"/>
      <c r="B489" s="664"/>
      <c r="C489" s="795"/>
      <c r="D489" s="796"/>
      <c r="E489" s="681"/>
      <c r="F489" s="797"/>
      <c r="G489" s="797"/>
      <c r="H489" s="797"/>
      <c r="I489" s="797"/>
      <c r="J489" s="797"/>
      <c r="K489" s="797"/>
      <c r="L489" s="797"/>
      <c r="M489" s="797"/>
      <c r="N489" s="797"/>
      <c r="O489" s="797"/>
      <c r="P489" s="797"/>
      <c r="Q489" s="797"/>
      <c r="R489" s="662"/>
      <c r="S489" s="662"/>
      <c r="T489" s="662"/>
      <c r="U489" s="665"/>
      <c r="V489" s="666"/>
      <c r="W489" s="662"/>
      <c r="X489" s="662"/>
      <c r="Y489" s="662"/>
      <c r="Z489" s="662"/>
    </row>
    <row r="490">
      <c r="A490" s="662"/>
      <c r="B490" s="664"/>
      <c r="C490" s="795"/>
      <c r="D490" s="796"/>
      <c r="E490" s="681"/>
      <c r="F490" s="797"/>
      <c r="G490" s="797"/>
      <c r="H490" s="797"/>
      <c r="I490" s="797"/>
      <c r="J490" s="797"/>
      <c r="K490" s="797"/>
      <c r="L490" s="797"/>
      <c r="M490" s="797"/>
      <c r="N490" s="797"/>
      <c r="O490" s="797"/>
      <c r="P490" s="797"/>
      <c r="Q490" s="797"/>
      <c r="R490" s="662"/>
      <c r="S490" s="662"/>
      <c r="T490" s="662"/>
      <c r="U490" s="665"/>
      <c r="V490" s="666"/>
      <c r="W490" s="662"/>
      <c r="X490" s="662"/>
      <c r="Y490" s="662"/>
      <c r="Z490" s="662"/>
    </row>
    <row r="491">
      <c r="A491" s="662"/>
      <c r="B491" s="664"/>
      <c r="C491" s="795"/>
      <c r="D491" s="796"/>
      <c r="E491" s="681"/>
      <c r="F491" s="797"/>
      <c r="G491" s="797"/>
      <c r="H491" s="797"/>
      <c r="I491" s="797"/>
      <c r="J491" s="797"/>
      <c r="K491" s="797"/>
      <c r="L491" s="797"/>
      <c r="M491" s="797"/>
      <c r="N491" s="797"/>
      <c r="O491" s="797"/>
      <c r="P491" s="797"/>
      <c r="Q491" s="797"/>
      <c r="R491" s="662"/>
      <c r="S491" s="662"/>
      <c r="T491" s="662"/>
      <c r="U491" s="665"/>
      <c r="V491" s="666"/>
      <c r="W491" s="662"/>
      <c r="X491" s="662"/>
      <c r="Y491" s="662"/>
      <c r="Z491" s="662"/>
    </row>
    <row r="492">
      <c r="A492" s="662"/>
      <c r="B492" s="664"/>
      <c r="C492" s="795"/>
      <c r="D492" s="796"/>
      <c r="E492" s="681"/>
      <c r="F492" s="797"/>
      <c r="G492" s="797"/>
      <c r="H492" s="797"/>
      <c r="I492" s="797"/>
      <c r="J492" s="797"/>
      <c r="K492" s="797"/>
      <c r="L492" s="797"/>
      <c r="M492" s="797"/>
      <c r="N492" s="797"/>
      <c r="O492" s="797"/>
      <c r="P492" s="797"/>
      <c r="Q492" s="797"/>
      <c r="R492" s="662"/>
      <c r="S492" s="662"/>
      <c r="T492" s="662"/>
      <c r="U492" s="665"/>
      <c r="V492" s="666"/>
      <c r="W492" s="662"/>
      <c r="X492" s="662"/>
      <c r="Y492" s="662"/>
      <c r="Z492" s="662"/>
    </row>
    <row r="493">
      <c r="A493" s="662"/>
      <c r="B493" s="664"/>
      <c r="C493" s="795"/>
      <c r="D493" s="796"/>
      <c r="E493" s="681"/>
      <c r="F493" s="797"/>
      <c r="G493" s="797"/>
      <c r="H493" s="797"/>
      <c r="I493" s="797"/>
      <c r="J493" s="797"/>
      <c r="K493" s="797"/>
      <c r="L493" s="797"/>
      <c r="M493" s="797"/>
      <c r="N493" s="797"/>
      <c r="O493" s="797"/>
      <c r="P493" s="797"/>
      <c r="Q493" s="797"/>
      <c r="R493" s="662"/>
      <c r="S493" s="662"/>
      <c r="T493" s="662"/>
      <c r="U493" s="665"/>
      <c r="V493" s="666"/>
      <c r="W493" s="662"/>
      <c r="X493" s="662"/>
      <c r="Y493" s="662"/>
      <c r="Z493" s="662"/>
    </row>
    <row r="494">
      <c r="A494" s="662"/>
      <c r="B494" s="664"/>
      <c r="C494" s="795"/>
      <c r="D494" s="796"/>
      <c r="E494" s="681"/>
      <c r="F494" s="797"/>
      <c r="G494" s="797"/>
      <c r="H494" s="797"/>
      <c r="I494" s="797"/>
      <c r="J494" s="797"/>
      <c r="K494" s="797"/>
      <c r="L494" s="797"/>
      <c r="M494" s="797"/>
      <c r="N494" s="797"/>
      <c r="O494" s="797"/>
      <c r="P494" s="797"/>
      <c r="Q494" s="797"/>
      <c r="R494" s="662"/>
      <c r="S494" s="662"/>
      <c r="T494" s="662"/>
      <c r="U494" s="665"/>
      <c r="V494" s="666"/>
      <c r="W494" s="662"/>
      <c r="X494" s="662"/>
      <c r="Y494" s="662"/>
      <c r="Z494" s="662"/>
    </row>
    <row r="495">
      <c r="A495" s="662"/>
      <c r="B495" s="664"/>
      <c r="C495" s="795"/>
      <c r="D495" s="796"/>
      <c r="E495" s="681"/>
      <c r="F495" s="797"/>
      <c r="G495" s="797"/>
      <c r="H495" s="797"/>
      <c r="I495" s="797"/>
      <c r="J495" s="797"/>
      <c r="K495" s="797"/>
      <c r="L495" s="797"/>
      <c r="M495" s="797"/>
      <c r="N495" s="797"/>
      <c r="O495" s="797"/>
      <c r="P495" s="797"/>
      <c r="Q495" s="797"/>
      <c r="R495" s="662"/>
      <c r="S495" s="662"/>
      <c r="T495" s="662"/>
      <c r="U495" s="665"/>
      <c r="V495" s="666"/>
      <c r="W495" s="662"/>
      <c r="X495" s="662"/>
      <c r="Y495" s="662"/>
      <c r="Z495" s="662"/>
    </row>
    <row r="496">
      <c r="A496" s="662"/>
      <c r="B496" s="664"/>
      <c r="C496" s="795"/>
      <c r="D496" s="796"/>
      <c r="E496" s="681"/>
      <c r="F496" s="797"/>
      <c r="G496" s="797"/>
      <c r="H496" s="797"/>
      <c r="I496" s="797"/>
      <c r="J496" s="797"/>
      <c r="K496" s="797"/>
      <c r="L496" s="797"/>
      <c r="M496" s="797"/>
      <c r="N496" s="797"/>
      <c r="O496" s="797"/>
      <c r="P496" s="797"/>
      <c r="Q496" s="797"/>
      <c r="R496" s="662"/>
      <c r="S496" s="662"/>
      <c r="T496" s="662"/>
      <c r="U496" s="665"/>
      <c r="V496" s="666"/>
      <c r="W496" s="662"/>
      <c r="X496" s="662"/>
      <c r="Y496" s="662"/>
      <c r="Z496" s="662"/>
    </row>
    <row r="497">
      <c r="A497" s="662"/>
      <c r="B497" s="664"/>
      <c r="C497" s="795"/>
      <c r="D497" s="796"/>
      <c r="E497" s="681"/>
      <c r="F497" s="797"/>
      <c r="G497" s="797"/>
      <c r="H497" s="797"/>
      <c r="I497" s="797"/>
      <c r="J497" s="797"/>
      <c r="K497" s="797"/>
      <c r="L497" s="797"/>
      <c r="M497" s="797"/>
      <c r="N497" s="797"/>
      <c r="O497" s="797"/>
      <c r="P497" s="797"/>
      <c r="Q497" s="797"/>
      <c r="R497" s="662"/>
      <c r="S497" s="662"/>
      <c r="T497" s="662"/>
      <c r="U497" s="665"/>
      <c r="V497" s="666"/>
      <c r="W497" s="662"/>
      <c r="X497" s="662"/>
      <c r="Y497" s="662"/>
      <c r="Z497" s="662"/>
    </row>
    <row r="498">
      <c r="A498" s="662"/>
      <c r="B498" s="664"/>
      <c r="C498" s="795"/>
      <c r="D498" s="796"/>
      <c r="E498" s="681"/>
      <c r="F498" s="797"/>
      <c r="G498" s="797"/>
      <c r="H498" s="797"/>
      <c r="I498" s="797"/>
      <c r="J498" s="797"/>
      <c r="K498" s="797"/>
      <c r="L498" s="797"/>
      <c r="M498" s="797"/>
      <c r="N498" s="797"/>
      <c r="O498" s="797"/>
      <c r="P498" s="797"/>
      <c r="Q498" s="797"/>
      <c r="R498" s="662"/>
      <c r="S498" s="662"/>
      <c r="T498" s="662"/>
      <c r="U498" s="665"/>
      <c r="V498" s="666"/>
      <c r="W498" s="662"/>
      <c r="X498" s="662"/>
      <c r="Y498" s="662"/>
      <c r="Z498" s="662"/>
    </row>
    <row r="499">
      <c r="A499" s="662"/>
      <c r="B499" s="664"/>
      <c r="C499" s="795"/>
      <c r="D499" s="796"/>
      <c r="E499" s="681"/>
      <c r="F499" s="797"/>
      <c r="G499" s="797"/>
      <c r="H499" s="797"/>
      <c r="I499" s="797"/>
      <c r="J499" s="797"/>
      <c r="K499" s="797"/>
      <c r="L499" s="797"/>
      <c r="M499" s="797"/>
      <c r="N499" s="797"/>
      <c r="O499" s="797"/>
      <c r="P499" s="797"/>
      <c r="Q499" s="797"/>
      <c r="R499" s="662"/>
      <c r="S499" s="662"/>
      <c r="T499" s="662"/>
      <c r="U499" s="665"/>
      <c r="V499" s="666"/>
      <c r="W499" s="662"/>
      <c r="X499" s="662"/>
      <c r="Y499" s="662"/>
      <c r="Z499" s="662"/>
    </row>
    <row r="500">
      <c r="A500" s="662"/>
      <c r="B500" s="664"/>
      <c r="C500" s="795"/>
      <c r="D500" s="796"/>
      <c r="E500" s="681"/>
      <c r="F500" s="797"/>
      <c r="G500" s="797"/>
      <c r="H500" s="797"/>
      <c r="I500" s="797"/>
      <c r="J500" s="797"/>
      <c r="K500" s="797"/>
      <c r="L500" s="797"/>
      <c r="M500" s="797"/>
      <c r="N500" s="797"/>
      <c r="O500" s="797"/>
      <c r="P500" s="797"/>
      <c r="Q500" s="797"/>
      <c r="R500" s="662"/>
      <c r="S500" s="662"/>
      <c r="T500" s="662"/>
      <c r="U500" s="665"/>
      <c r="V500" s="666"/>
      <c r="W500" s="662"/>
      <c r="X500" s="662"/>
      <c r="Y500" s="662"/>
      <c r="Z500" s="662"/>
    </row>
    <row r="501">
      <c r="A501" s="662"/>
      <c r="B501" s="664"/>
      <c r="C501" s="795"/>
      <c r="D501" s="796"/>
      <c r="E501" s="681"/>
      <c r="F501" s="797"/>
      <c r="G501" s="797"/>
      <c r="H501" s="797"/>
      <c r="I501" s="797"/>
      <c r="J501" s="797"/>
      <c r="K501" s="797"/>
      <c r="L501" s="797"/>
      <c r="M501" s="797"/>
      <c r="N501" s="797"/>
      <c r="O501" s="797"/>
      <c r="P501" s="797"/>
      <c r="Q501" s="797"/>
      <c r="R501" s="662"/>
      <c r="S501" s="662"/>
      <c r="T501" s="662"/>
      <c r="U501" s="665"/>
      <c r="V501" s="666"/>
      <c r="W501" s="662"/>
      <c r="X501" s="662"/>
      <c r="Y501" s="662"/>
      <c r="Z501" s="662"/>
    </row>
    <row r="502">
      <c r="A502" s="662"/>
      <c r="B502" s="664"/>
      <c r="C502" s="795"/>
      <c r="D502" s="796"/>
      <c r="E502" s="681"/>
      <c r="F502" s="797"/>
      <c r="G502" s="797"/>
      <c r="H502" s="797"/>
      <c r="I502" s="797"/>
      <c r="J502" s="797"/>
      <c r="K502" s="797"/>
      <c r="L502" s="797"/>
      <c r="M502" s="797"/>
      <c r="N502" s="797"/>
      <c r="O502" s="797"/>
      <c r="P502" s="797"/>
      <c r="Q502" s="797"/>
      <c r="R502" s="662"/>
      <c r="S502" s="662"/>
      <c r="T502" s="662"/>
      <c r="U502" s="665"/>
      <c r="V502" s="666"/>
      <c r="W502" s="662"/>
      <c r="X502" s="662"/>
      <c r="Y502" s="662"/>
      <c r="Z502" s="662"/>
    </row>
    <row r="503">
      <c r="A503" s="662"/>
      <c r="B503" s="664"/>
      <c r="C503" s="795"/>
      <c r="D503" s="796"/>
      <c r="E503" s="681"/>
      <c r="F503" s="797"/>
      <c r="G503" s="797"/>
      <c r="H503" s="797"/>
      <c r="I503" s="797"/>
      <c r="J503" s="797"/>
      <c r="K503" s="797"/>
      <c r="L503" s="797"/>
      <c r="M503" s="797"/>
      <c r="N503" s="797"/>
      <c r="O503" s="797"/>
      <c r="P503" s="797"/>
      <c r="Q503" s="797"/>
      <c r="R503" s="662"/>
      <c r="S503" s="662"/>
      <c r="T503" s="662"/>
      <c r="U503" s="665"/>
      <c r="V503" s="666"/>
      <c r="W503" s="662"/>
      <c r="X503" s="662"/>
      <c r="Y503" s="662"/>
      <c r="Z503" s="662"/>
    </row>
    <row r="504">
      <c r="A504" s="662"/>
      <c r="B504" s="664"/>
      <c r="C504" s="795"/>
      <c r="D504" s="796"/>
      <c r="E504" s="681"/>
      <c r="F504" s="797"/>
      <c r="G504" s="797"/>
      <c r="H504" s="797"/>
      <c r="I504" s="797"/>
      <c r="J504" s="797"/>
      <c r="K504" s="797"/>
      <c r="L504" s="797"/>
      <c r="M504" s="797"/>
      <c r="N504" s="797"/>
      <c r="O504" s="797"/>
      <c r="P504" s="797"/>
      <c r="Q504" s="797"/>
      <c r="R504" s="662"/>
      <c r="S504" s="662"/>
      <c r="T504" s="662"/>
      <c r="U504" s="665"/>
      <c r="V504" s="666"/>
      <c r="W504" s="662"/>
      <c r="X504" s="662"/>
      <c r="Y504" s="662"/>
      <c r="Z504" s="662"/>
    </row>
    <row r="505">
      <c r="A505" s="662"/>
      <c r="B505" s="664"/>
      <c r="C505" s="795"/>
      <c r="D505" s="796"/>
      <c r="E505" s="681"/>
      <c r="F505" s="797"/>
      <c r="G505" s="797"/>
      <c r="H505" s="797"/>
      <c r="I505" s="797"/>
      <c r="J505" s="797"/>
      <c r="K505" s="797"/>
      <c r="L505" s="797"/>
      <c r="M505" s="797"/>
      <c r="N505" s="797"/>
      <c r="O505" s="797"/>
      <c r="P505" s="797"/>
      <c r="Q505" s="797"/>
      <c r="R505" s="662"/>
      <c r="S505" s="662"/>
      <c r="T505" s="662"/>
      <c r="U505" s="665"/>
      <c r="V505" s="666"/>
      <c r="W505" s="662"/>
      <c r="X505" s="662"/>
      <c r="Y505" s="662"/>
      <c r="Z505" s="662"/>
    </row>
    <row r="506">
      <c r="A506" s="662"/>
      <c r="B506" s="664"/>
      <c r="C506" s="795"/>
      <c r="D506" s="796"/>
      <c r="E506" s="681"/>
      <c r="F506" s="797"/>
      <c r="G506" s="797"/>
      <c r="H506" s="797"/>
      <c r="I506" s="797"/>
      <c r="J506" s="797"/>
      <c r="K506" s="797"/>
      <c r="L506" s="797"/>
      <c r="M506" s="797"/>
      <c r="N506" s="797"/>
      <c r="O506" s="797"/>
      <c r="P506" s="797"/>
      <c r="Q506" s="797"/>
      <c r="R506" s="662"/>
      <c r="S506" s="662"/>
      <c r="T506" s="662"/>
      <c r="U506" s="665"/>
      <c r="V506" s="666"/>
      <c r="W506" s="662"/>
      <c r="X506" s="662"/>
      <c r="Y506" s="662"/>
      <c r="Z506" s="662"/>
    </row>
    <row r="507">
      <c r="A507" s="662"/>
      <c r="B507" s="664"/>
      <c r="C507" s="795"/>
      <c r="D507" s="796"/>
      <c r="E507" s="681"/>
      <c r="F507" s="797"/>
      <c r="G507" s="797"/>
      <c r="H507" s="797"/>
      <c r="I507" s="797"/>
      <c r="J507" s="797"/>
      <c r="K507" s="797"/>
      <c r="L507" s="797"/>
      <c r="M507" s="797"/>
      <c r="N507" s="797"/>
      <c r="O507" s="797"/>
      <c r="P507" s="797"/>
      <c r="Q507" s="797"/>
      <c r="R507" s="662"/>
      <c r="S507" s="662"/>
      <c r="T507" s="662"/>
      <c r="U507" s="665"/>
      <c r="V507" s="666"/>
      <c r="W507" s="662"/>
      <c r="X507" s="662"/>
      <c r="Y507" s="662"/>
      <c r="Z507" s="662"/>
    </row>
    <row r="508">
      <c r="A508" s="662"/>
      <c r="B508" s="664"/>
      <c r="C508" s="795"/>
      <c r="D508" s="796"/>
      <c r="E508" s="681"/>
      <c r="F508" s="797"/>
      <c r="G508" s="797"/>
      <c r="H508" s="797"/>
      <c r="I508" s="797"/>
      <c r="J508" s="797"/>
      <c r="K508" s="797"/>
      <c r="L508" s="797"/>
      <c r="M508" s="797"/>
      <c r="N508" s="797"/>
      <c r="O508" s="797"/>
      <c r="P508" s="797"/>
      <c r="Q508" s="797"/>
      <c r="R508" s="662"/>
      <c r="S508" s="662"/>
      <c r="T508" s="662"/>
      <c r="U508" s="665"/>
      <c r="V508" s="666"/>
      <c r="W508" s="662"/>
      <c r="X508" s="662"/>
      <c r="Y508" s="662"/>
      <c r="Z508" s="662"/>
    </row>
    <row r="509">
      <c r="A509" s="662"/>
      <c r="B509" s="664"/>
      <c r="C509" s="795"/>
      <c r="D509" s="796"/>
      <c r="E509" s="681"/>
      <c r="F509" s="797"/>
      <c r="G509" s="797"/>
      <c r="H509" s="797"/>
      <c r="I509" s="797"/>
      <c r="J509" s="797"/>
      <c r="K509" s="797"/>
      <c r="L509" s="797"/>
      <c r="M509" s="797"/>
      <c r="N509" s="797"/>
      <c r="O509" s="797"/>
      <c r="P509" s="797"/>
      <c r="Q509" s="797"/>
      <c r="R509" s="662"/>
      <c r="S509" s="662"/>
      <c r="T509" s="662"/>
      <c r="U509" s="665"/>
      <c r="V509" s="666"/>
      <c r="W509" s="662"/>
      <c r="X509" s="662"/>
      <c r="Y509" s="662"/>
      <c r="Z509" s="662"/>
    </row>
    <row r="510">
      <c r="A510" s="662"/>
      <c r="B510" s="664"/>
      <c r="C510" s="795"/>
      <c r="D510" s="796"/>
      <c r="E510" s="681"/>
      <c r="F510" s="797"/>
      <c r="G510" s="797"/>
      <c r="H510" s="797"/>
      <c r="I510" s="797"/>
      <c r="J510" s="797"/>
      <c r="K510" s="797"/>
      <c r="L510" s="797"/>
      <c r="M510" s="797"/>
      <c r="N510" s="797"/>
      <c r="O510" s="797"/>
      <c r="P510" s="797"/>
      <c r="Q510" s="797"/>
      <c r="R510" s="662"/>
      <c r="S510" s="662"/>
      <c r="T510" s="662"/>
      <c r="U510" s="665"/>
      <c r="V510" s="666"/>
      <c r="W510" s="662"/>
      <c r="X510" s="662"/>
      <c r="Y510" s="662"/>
      <c r="Z510" s="662"/>
    </row>
    <row r="511">
      <c r="A511" s="662"/>
      <c r="B511" s="664"/>
      <c r="C511" s="795"/>
      <c r="D511" s="796"/>
      <c r="E511" s="681"/>
      <c r="F511" s="797"/>
      <c r="G511" s="797"/>
      <c r="H511" s="797"/>
      <c r="I511" s="797"/>
      <c r="J511" s="797"/>
      <c r="K511" s="797"/>
      <c r="L511" s="797"/>
      <c r="M511" s="797"/>
      <c r="N511" s="797"/>
      <c r="O511" s="797"/>
      <c r="P511" s="797"/>
      <c r="Q511" s="797"/>
      <c r="R511" s="662"/>
      <c r="S511" s="662"/>
      <c r="T511" s="662"/>
      <c r="U511" s="665"/>
      <c r="V511" s="666"/>
      <c r="W511" s="662"/>
      <c r="X511" s="662"/>
      <c r="Y511" s="662"/>
      <c r="Z511" s="662"/>
    </row>
    <row r="512">
      <c r="A512" s="662"/>
      <c r="B512" s="664"/>
      <c r="C512" s="795"/>
      <c r="D512" s="796"/>
      <c r="E512" s="681"/>
      <c r="F512" s="797"/>
      <c r="G512" s="797"/>
      <c r="H512" s="797"/>
      <c r="I512" s="797"/>
      <c r="J512" s="797"/>
      <c r="K512" s="797"/>
      <c r="L512" s="797"/>
      <c r="M512" s="797"/>
      <c r="N512" s="797"/>
      <c r="O512" s="797"/>
      <c r="P512" s="797"/>
      <c r="Q512" s="797"/>
      <c r="R512" s="662"/>
      <c r="S512" s="662"/>
      <c r="T512" s="662"/>
      <c r="U512" s="665"/>
      <c r="V512" s="666"/>
      <c r="W512" s="662"/>
      <c r="X512" s="662"/>
      <c r="Y512" s="662"/>
      <c r="Z512" s="662"/>
    </row>
    <row r="513">
      <c r="A513" s="662"/>
      <c r="B513" s="664"/>
      <c r="C513" s="795"/>
      <c r="D513" s="796"/>
      <c r="E513" s="681"/>
      <c r="F513" s="797"/>
      <c r="G513" s="797"/>
      <c r="H513" s="797"/>
      <c r="I513" s="797"/>
      <c r="J513" s="797"/>
      <c r="K513" s="797"/>
      <c r="L513" s="797"/>
      <c r="M513" s="797"/>
      <c r="N513" s="797"/>
      <c r="O513" s="797"/>
      <c r="P513" s="797"/>
      <c r="Q513" s="797"/>
      <c r="R513" s="662"/>
      <c r="S513" s="662"/>
      <c r="T513" s="662"/>
      <c r="U513" s="665"/>
      <c r="V513" s="666"/>
      <c r="W513" s="662"/>
      <c r="X513" s="662"/>
      <c r="Y513" s="662"/>
      <c r="Z513" s="662"/>
    </row>
    <row r="514">
      <c r="A514" s="662"/>
      <c r="B514" s="664"/>
      <c r="C514" s="795"/>
      <c r="D514" s="796"/>
      <c r="E514" s="681"/>
      <c r="F514" s="797"/>
      <c r="G514" s="797"/>
      <c r="H514" s="797"/>
      <c r="I514" s="797"/>
      <c r="J514" s="797"/>
      <c r="K514" s="797"/>
      <c r="L514" s="797"/>
      <c r="M514" s="797"/>
      <c r="N514" s="797"/>
      <c r="O514" s="797"/>
      <c r="P514" s="797"/>
      <c r="Q514" s="797"/>
      <c r="R514" s="662"/>
      <c r="S514" s="662"/>
      <c r="T514" s="662"/>
      <c r="U514" s="665"/>
      <c r="V514" s="666"/>
      <c r="W514" s="662"/>
      <c r="X514" s="662"/>
      <c r="Y514" s="662"/>
      <c r="Z514" s="662"/>
    </row>
    <row r="515">
      <c r="A515" s="662"/>
      <c r="B515" s="664"/>
      <c r="C515" s="795"/>
      <c r="D515" s="796"/>
      <c r="E515" s="681"/>
      <c r="F515" s="797"/>
      <c r="G515" s="797"/>
      <c r="H515" s="797"/>
      <c r="I515" s="797"/>
      <c r="J515" s="797"/>
      <c r="K515" s="797"/>
      <c r="L515" s="797"/>
      <c r="M515" s="797"/>
      <c r="N515" s="797"/>
      <c r="O515" s="797"/>
      <c r="P515" s="797"/>
      <c r="Q515" s="797"/>
      <c r="R515" s="662"/>
      <c r="S515" s="662"/>
      <c r="T515" s="662"/>
      <c r="U515" s="665"/>
      <c r="V515" s="666"/>
      <c r="W515" s="662"/>
      <c r="X515" s="662"/>
      <c r="Y515" s="662"/>
      <c r="Z515" s="662"/>
    </row>
    <row r="516">
      <c r="A516" s="662"/>
      <c r="B516" s="664"/>
      <c r="C516" s="795"/>
      <c r="D516" s="796"/>
      <c r="E516" s="681"/>
      <c r="F516" s="797"/>
      <c r="G516" s="797"/>
      <c r="H516" s="797"/>
      <c r="I516" s="797"/>
      <c r="J516" s="797"/>
      <c r="K516" s="797"/>
      <c r="L516" s="797"/>
      <c r="M516" s="797"/>
      <c r="N516" s="797"/>
      <c r="O516" s="797"/>
      <c r="P516" s="797"/>
      <c r="Q516" s="797"/>
      <c r="R516" s="662"/>
      <c r="S516" s="662"/>
      <c r="T516" s="662"/>
      <c r="U516" s="665"/>
      <c r="V516" s="666"/>
      <c r="W516" s="662"/>
      <c r="X516" s="662"/>
      <c r="Y516" s="662"/>
      <c r="Z516" s="662"/>
    </row>
    <row r="517">
      <c r="A517" s="662"/>
      <c r="B517" s="664"/>
      <c r="C517" s="795"/>
      <c r="D517" s="796"/>
      <c r="E517" s="681"/>
      <c r="F517" s="797"/>
      <c r="G517" s="797"/>
      <c r="H517" s="797"/>
      <c r="I517" s="797"/>
      <c r="J517" s="797"/>
      <c r="K517" s="797"/>
      <c r="L517" s="797"/>
      <c r="M517" s="797"/>
      <c r="N517" s="797"/>
      <c r="O517" s="797"/>
      <c r="P517" s="797"/>
      <c r="Q517" s="797"/>
      <c r="R517" s="662"/>
      <c r="S517" s="662"/>
      <c r="T517" s="662"/>
      <c r="U517" s="665"/>
      <c r="V517" s="666"/>
      <c r="W517" s="662"/>
      <c r="X517" s="662"/>
      <c r="Y517" s="662"/>
      <c r="Z517" s="662"/>
    </row>
    <row r="518">
      <c r="A518" s="662"/>
      <c r="B518" s="664"/>
      <c r="C518" s="795"/>
      <c r="D518" s="796"/>
      <c r="E518" s="681"/>
      <c r="F518" s="797"/>
      <c r="G518" s="797"/>
      <c r="H518" s="797"/>
      <c r="I518" s="797"/>
      <c r="J518" s="797"/>
      <c r="K518" s="797"/>
      <c r="L518" s="797"/>
      <c r="M518" s="797"/>
      <c r="N518" s="797"/>
      <c r="O518" s="797"/>
      <c r="P518" s="797"/>
      <c r="Q518" s="797"/>
      <c r="R518" s="662"/>
      <c r="S518" s="662"/>
      <c r="T518" s="662"/>
      <c r="U518" s="665"/>
      <c r="V518" s="666"/>
      <c r="W518" s="662"/>
      <c r="X518" s="662"/>
      <c r="Y518" s="662"/>
      <c r="Z518" s="662"/>
    </row>
    <row r="519">
      <c r="A519" s="662"/>
      <c r="B519" s="664"/>
      <c r="C519" s="795"/>
      <c r="D519" s="796"/>
      <c r="E519" s="681"/>
      <c r="F519" s="797"/>
      <c r="G519" s="797"/>
      <c r="H519" s="797"/>
      <c r="I519" s="797"/>
      <c r="J519" s="797"/>
      <c r="K519" s="797"/>
      <c r="L519" s="797"/>
      <c r="M519" s="797"/>
      <c r="N519" s="797"/>
      <c r="O519" s="797"/>
      <c r="P519" s="797"/>
      <c r="Q519" s="797"/>
      <c r="R519" s="662"/>
      <c r="S519" s="662"/>
      <c r="T519" s="662"/>
      <c r="U519" s="665"/>
      <c r="V519" s="666"/>
      <c r="W519" s="662"/>
      <c r="X519" s="662"/>
      <c r="Y519" s="662"/>
      <c r="Z519" s="662"/>
    </row>
    <row r="520">
      <c r="A520" s="662"/>
      <c r="B520" s="664"/>
      <c r="C520" s="795"/>
      <c r="D520" s="796"/>
      <c r="E520" s="681"/>
      <c r="F520" s="797"/>
      <c r="G520" s="797"/>
      <c r="H520" s="797"/>
      <c r="I520" s="797"/>
      <c r="J520" s="797"/>
      <c r="K520" s="797"/>
      <c r="L520" s="797"/>
      <c r="M520" s="797"/>
      <c r="N520" s="797"/>
      <c r="O520" s="797"/>
      <c r="P520" s="797"/>
      <c r="Q520" s="797"/>
      <c r="R520" s="662"/>
      <c r="S520" s="662"/>
      <c r="T520" s="662"/>
      <c r="U520" s="665"/>
      <c r="V520" s="666"/>
      <c r="W520" s="662"/>
      <c r="X520" s="662"/>
      <c r="Y520" s="662"/>
      <c r="Z520" s="662"/>
    </row>
    <row r="521">
      <c r="A521" s="662"/>
      <c r="B521" s="664"/>
      <c r="C521" s="795"/>
      <c r="D521" s="796"/>
      <c r="E521" s="681"/>
      <c r="F521" s="797"/>
      <c r="G521" s="797"/>
      <c r="H521" s="797"/>
      <c r="I521" s="797"/>
      <c r="J521" s="797"/>
      <c r="K521" s="797"/>
      <c r="L521" s="797"/>
      <c r="M521" s="797"/>
      <c r="N521" s="797"/>
      <c r="O521" s="797"/>
      <c r="P521" s="797"/>
      <c r="Q521" s="797"/>
      <c r="R521" s="662"/>
      <c r="S521" s="662"/>
      <c r="T521" s="662"/>
      <c r="U521" s="665"/>
      <c r="V521" s="666"/>
      <c r="W521" s="662"/>
      <c r="X521" s="662"/>
      <c r="Y521" s="662"/>
      <c r="Z521" s="662"/>
    </row>
    <row r="522">
      <c r="A522" s="662"/>
      <c r="B522" s="664"/>
      <c r="C522" s="795"/>
      <c r="D522" s="796"/>
      <c r="E522" s="681"/>
      <c r="F522" s="797"/>
      <c r="G522" s="797"/>
      <c r="H522" s="797"/>
      <c r="I522" s="797"/>
      <c r="J522" s="797"/>
      <c r="K522" s="797"/>
      <c r="L522" s="797"/>
      <c r="M522" s="797"/>
      <c r="N522" s="797"/>
      <c r="O522" s="797"/>
      <c r="P522" s="797"/>
      <c r="Q522" s="797"/>
      <c r="R522" s="662"/>
      <c r="S522" s="662"/>
      <c r="T522" s="662"/>
      <c r="U522" s="665"/>
      <c r="V522" s="666"/>
      <c r="W522" s="662"/>
      <c r="X522" s="662"/>
      <c r="Y522" s="662"/>
      <c r="Z522" s="662"/>
    </row>
    <row r="523">
      <c r="A523" s="662"/>
      <c r="B523" s="664"/>
      <c r="C523" s="795"/>
      <c r="D523" s="796"/>
      <c r="E523" s="681"/>
      <c r="F523" s="797"/>
      <c r="G523" s="797"/>
      <c r="H523" s="797"/>
      <c r="I523" s="797"/>
      <c r="J523" s="797"/>
      <c r="K523" s="797"/>
      <c r="L523" s="797"/>
      <c r="M523" s="797"/>
      <c r="N523" s="797"/>
      <c r="O523" s="797"/>
      <c r="P523" s="797"/>
      <c r="Q523" s="797"/>
      <c r="R523" s="662"/>
      <c r="S523" s="662"/>
      <c r="T523" s="662"/>
      <c r="U523" s="665"/>
      <c r="V523" s="666"/>
      <c r="W523" s="662"/>
      <c r="X523" s="662"/>
      <c r="Y523" s="662"/>
      <c r="Z523" s="662"/>
    </row>
    <row r="524">
      <c r="A524" s="662"/>
      <c r="B524" s="664"/>
      <c r="C524" s="795"/>
      <c r="D524" s="796"/>
      <c r="E524" s="681"/>
      <c r="F524" s="797"/>
      <c r="G524" s="797"/>
      <c r="H524" s="797"/>
      <c r="I524" s="797"/>
      <c r="J524" s="797"/>
      <c r="K524" s="797"/>
      <c r="L524" s="797"/>
      <c r="M524" s="797"/>
      <c r="N524" s="797"/>
      <c r="O524" s="797"/>
      <c r="P524" s="797"/>
      <c r="Q524" s="797"/>
      <c r="R524" s="662"/>
      <c r="S524" s="662"/>
      <c r="T524" s="662"/>
      <c r="U524" s="665"/>
      <c r="V524" s="666"/>
      <c r="W524" s="662"/>
      <c r="X524" s="662"/>
      <c r="Y524" s="662"/>
      <c r="Z524" s="662"/>
    </row>
    <row r="525">
      <c r="A525" s="662"/>
      <c r="B525" s="664"/>
      <c r="C525" s="795"/>
      <c r="D525" s="796"/>
      <c r="E525" s="681"/>
      <c r="F525" s="797"/>
      <c r="G525" s="797"/>
      <c r="H525" s="797"/>
      <c r="I525" s="797"/>
      <c r="J525" s="797"/>
      <c r="K525" s="797"/>
      <c r="L525" s="797"/>
      <c r="M525" s="797"/>
      <c r="N525" s="797"/>
      <c r="O525" s="797"/>
      <c r="P525" s="797"/>
      <c r="Q525" s="797"/>
      <c r="R525" s="662"/>
      <c r="S525" s="662"/>
      <c r="T525" s="662"/>
      <c r="U525" s="665"/>
      <c r="V525" s="666"/>
      <c r="W525" s="662"/>
      <c r="X525" s="662"/>
      <c r="Y525" s="662"/>
      <c r="Z525" s="662"/>
    </row>
    <row r="526">
      <c r="A526" s="662"/>
      <c r="B526" s="664"/>
      <c r="C526" s="795"/>
      <c r="D526" s="796"/>
      <c r="E526" s="681"/>
      <c r="F526" s="797"/>
      <c r="G526" s="797"/>
      <c r="H526" s="797"/>
      <c r="I526" s="797"/>
      <c r="J526" s="797"/>
      <c r="K526" s="797"/>
      <c r="L526" s="797"/>
      <c r="M526" s="797"/>
      <c r="N526" s="797"/>
      <c r="O526" s="797"/>
      <c r="P526" s="797"/>
      <c r="Q526" s="797"/>
      <c r="R526" s="662"/>
      <c r="S526" s="662"/>
      <c r="T526" s="662"/>
      <c r="U526" s="665"/>
      <c r="V526" s="666"/>
      <c r="W526" s="662"/>
      <c r="X526" s="662"/>
      <c r="Y526" s="662"/>
      <c r="Z526" s="662"/>
    </row>
    <row r="527">
      <c r="A527" s="662"/>
      <c r="B527" s="664"/>
      <c r="C527" s="795"/>
      <c r="D527" s="796"/>
      <c r="E527" s="681"/>
      <c r="F527" s="797"/>
      <c r="G527" s="797"/>
      <c r="H527" s="797"/>
      <c r="I527" s="797"/>
      <c r="J527" s="797"/>
      <c r="K527" s="797"/>
      <c r="L527" s="797"/>
      <c r="M527" s="797"/>
      <c r="N527" s="797"/>
      <c r="O527" s="797"/>
      <c r="P527" s="797"/>
      <c r="Q527" s="797"/>
      <c r="R527" s="662"/>
      <c r="S527" s="662"/>
      <c r="T527" s="662"/>
      <c r="U527" s="665"/>
      <c r="V527" s="666"/>
      <c r="W527" s="662"/>
      <c r="X527" s="662"/>
      <c r="Y527" s="662"/>
      <c r="Z527" s="662"/>
    </row>
    <row r="528">
      <c r="A528" s="662"/>
      <c r="B528" s="664"/>
      <c r="C528" s="795"/>
      <c r="D528" s="796"/>
      <c r="E528" s="681"/>
      <c r="F528" s="797"/>
      <c r="G528" s="797"/>
      <c r="H528" s="797"/>
      <c r="I528" s="797"/>
      <c r="J528" s="797"/>
      <c r="K528" s="797"/>
      <c r="L528" s="797"/>
      <c r="M528" s="797"/>
      <c r="N528" s="797"/>
      <c r="O528" s="797"/>
      <c r="P528" s="797"/>
      <c r="Q528" s="797"/>
      <c r="R528" s="662"/>
      <c r="S528" s="662"/>
      <c r="T528" s="662"/>
      <c r="U528" s="665"/>
      <c r="V528" s="666"/>
      <c r="W528" s="662"/>
      <c r="X528" s="662"/>
      <c r="Y528" s="662"/>
      <c r="Z528" s="662"/>
    </row>
    <row r="529">
      <c r="A529" s="662"/>
      <c r="B529" s="664"/>
      <c r="C529" s="795"/>
      <c r="D529" s="796"/>
      <c r="E529" s="681"/>
      <c r="F529" s="797"/>
      <c r="G529" s="797"/>
      <c r="H529" s="797"/>
      <c r="I529" s="797"/>
      <c r="J529" s="797"/>
      <c r="K529" s="797"/>
      <c r="L529" s="797"/>
      <c r="M529" s="797"/>
      <c r="N529" s="797"/>
      <c r="O529" s="797"/>
      <c r="P529" s="797"/>
      <c r="Q529" s="797"/>
      <c r="R529" s="662"/>
      <c r="S529" s="662"/>
      <c r="T529" s="662"/>
      <c r="U529" s="665"/>
      <c r="V529" s="666"/>
      <c r="W529" s="662"/>
      <c r="X529" s="662"/>
      <c r="Y529" s="662"/>
      <c r="Z529" s="662"/>
    </row>
    <row r="530">
      <c r="A530" s="662"/>
      <c r="B530" s="664"/>
      <c r="C530" s="795"/>
      <c r="D530" s="796"/>
      <c r="E530" s="681"/>
      <c r="F530" s="797"/>
      <c r="G530" s="797"/>
      <c r="H530" s="797"/>
      <c r="I530" s="797"/>
      <c r="J530" s="797"/>
      <c r="K530" s="797"/>
      <c r="L530" s="797"/>
      <c r="M530" s="797"/>
      <c r="N530" s="797"/>
      <c r="O530" s="797"/>
      <c r="P530" s="797"/>
      <c r="Q530" s="797"/>
      <c r="R530" s="662"/>
      <c r="S530" s="662"/>
      <c r="T530" s="662"/>
      <c r="U530" s="665"/>
      <c r="V530" s="666"/>
      <c r="W530" s="662"/>
      <c r="X530" s="662"/>
      <c r="Y530" s="662"/>
      <c r="Z530" s="662"/>
    </row>
    <row r="531">
      <c r="A531" s="662"/>
      <c r="B531" s="664"/>
      <c r="C531" s="795"/>
      <c r="D531" s="796"/>
      <c r="E531" s="681"/>
      <c r="F531" s="797"/>
      <c r="G531" s="797"/>
      <c r="H531" s="797"/>
      <c r="I531" s="797"/>
      <c r="J531" s="797"/>
      <c r="K531" s="797"/>
      <c r="L531" s="797"/>
      <c r="M531" s="797"/>
      <c r="N531" s="797"/>
      <c r="O531" s="797"/>
      <c r="P531" s="797"/>
      <c r="Q531" s="797"/>
      <c r="R531" s="662"/>
      <c r="S531" s="662"/>
      <c r="T531" s="662"/>
      <c r="U531" s="665"/>
      <c r="V531" s="666"/>
      <c r="W531" s="662"/>
      <c r="X531" s="662"/>
      <c r="Y531" s="662"/>
      <c r="Z531" s="662"/>
    </row>
    <row r="532">
      <c r="A532" s="662"/>
      <c r="B532" s="664"/>
      <c r="C532" s="795"/>
      <c r="D532" s="796"/>
      <c r="E532" s="681"/>
      <c r="F532" s="797"/>
      <c r="G532" s="797"/>
      <c r="H532" s="797"/>
      <c r="I532" s="797"/>
      <c r="J532" s="797"/>
      <c r="K532" s="797"/>
      <c r="L532" s="797"/>
      <c r="M532" s="797"/>
      <c r="N532" s="797"/>
      <c r="O532" s="797"/>
      <c r="P532" s="797"/>
      <c r="Q532" s="797"/>
      <c r="R532" s="662"/>
      <c r="S532" s="662"/>
      <c r="T532" s="662"/>
      <c r="U532" s="665"/>
      <c r="V532" s="666"/>
      <c r="W532" s="662"/>
      <c r="X532" s="662"/>
      <c r="Y532" s="662"/>
      <c r="Z532" s="662"/>
    </row>
    <row r="533">
      <c r="A533" s="662"/>
      <c r="B533" s="664"/>
      <c r="C533" s="795"/>
      <c r="D533" s="796"/>
      <c r="E533" s="681"/>
      <c r="F533" s="797"/>
      <c r="G533" s="797"/>
      <c r="H533" s="797"/>
      <c r="I533" s="797"/>
      <c r="J533" s="797"/>
      <c r="K533" s="797"/>
      <c r="L533" s="797"/>
      <c r="M533" s="797"/>
      <c r="N533" s="797"/>
      <c r="O533" s="797"/>
      <c r="P533" s="797"/>
      <c r="Q533" s="797"/>
      <c r="R533" s="662"/>
      <c r="S533" s="662"/>
      <c r="T533" s="662"/>
      <c r="U533" s="665"/>
      <c r="V533" s="666"/>
      <c r="W533" s="662"/>
      <c r="X533" s="662"/>
      <c r="Y533" s="662"/>
      <c r="Z533" s="662"/>
    </row>
    <row r="534">
      <c r="A534" s="662"/>
      <c r="B534" s="664"/>
      <c r="C534" s="795"/>
      <c r="D534" s="796"/>
      <c r="E534" s="681"/>
      <c r="F534" s="797"/>
      <c r="G534" s="797"/>
      <c r="H534" s="797"/>
      <c r="I534" s="797"/>
      <c r="J534" s="797"/>
      <c r="K534" s="797"/>
      <c r="L534" s="797"/>
      <c r="M534" s="797"/>
      <c r="N534" s="797"/>
      <c r="O534" s="797"/>
      <c r="P534" s="797"/>
      <c r="Q534" s="797"/>
      <c r="R534" s="662"/>
      <c r="S534" s="662"/>
      <c r="T534" s="662"/>
      <c r="U534" s="665"/>
      <c r="V534" s="666"/>
      <c r="W534" s="662"/>
      <c r="X534" s="662"/>
      <c r="Y534" s="662"/>
      <c r="Z534" s="662"/>
    </row>
    <row r="535">
      <c r="A535" s="662"/>
      <c r="B535" s="664"/>
      <c r="C535" s="795"/>
      <c r="D535" s="796"/>
      <c r="E535" s="681"/>
      <c r="F535" s="797"/>
      <c r="G535" s="797"/>
      <c r="H535" s="797"/>
      <c r="I535" s="797"/>
      <c r="J535" s="797"/>
      <c r="K535" s="797"/>
      <c r="L535" s="797"/>
      <c r="M535" s="797"/>
      <c r="N535" s="797"/>
      <c r="O535" s="797"/>
      <c r="P535" s="797"/>
      <c r="Q535" s="797"/>
      <c r="R535" s="662"/>
      <c r="S535" s="662"/>
      <c r="T535" s="662"/>
      <c r="U535" s="665"/>
      <c r="V535" s="666"/>
      <c r="W535" s="662"/>
      <c r="X535" s="662"/>
      <c r="Y535" s="662"/>
      <c r="Z535" s="662"/>
    </row>
    <row r="536">
      <c r="A536" s="662"/>
      <c r="B536" s="664"/>
      <c r="C536" s="795"/>
      <c r="D536" s="796"/>
      <c r="E536" s="681"/>
      <c r="F536" s="797"/>
      <c r="G536" s="797"/>
      <c r="H536" s="797"/>
      <c r="I536" s="797"/>
      <c r="J536" s="797"/>
      <c r="K536" s="797"/>
      <c r="L536" s="797"/>
      <c r="M536" s="797"/>
      <c r="N536" s="797"/>
      <c r="O536" s="797"/>
      <c r="P536" s="797"/>
      <c r="Q536" s="797"/>
      <c r="R536" s="662"/>
      <c r="S536" s="662"/>
      <c r="T536" s="662"/>
      <c r="U536" s="665"/>
      <c r="V536" s="666"/>
      <c r="W536" s="662"/>
      <c r="X536" s="662"/>
      <c r="Y536" s="662"/>
      <c r="Z536" s="662"/>
    </row>
    <row r="537">
      <c r="A537" s="662"/>
      <c r="B537" s="664"/>
      <c r="C537" s="795"/>
      <c r="D537" s="796"/>
      <c r="E537" s="681"/>
      <c r="F537" s="797"/>
      <c r="G537" s="797"/>
      <c r="H537" s="797"/>
      <c r="I537" s="797"/>
      <c r="J537" s="797"/>
      <c r="K537" s="797"/>
      <c r="L537" s="797"/>
      <c r="M537" s="797"/>
      <c r="N537" s="797"/>
      <c r="O537" s="797"/>
      <c r="P537" s="797"/>
      <c r="Q537" s="797"/>
      <c r="R537" s="662"/>
      <c r="S537" s="662"/>
      <c r="T537" s="662"/>
      <c r="U537" s="665"/>
      <c r="V537" s="666"/>
      <c r="W537" s="662"/>
      <c r="X537" s="662"/>
      <c r="Y537" s="662"/>
      <c r="Z537" s="662"/>
    </row>
    <row r="538">
      <c r="A538" s="662"/>
      <c r="B538" s="664"/>
      <c r="C538" s="795"/>
      <c r="D538" s="796"/>
      <c r="E538" s="681"/>
      <c r="F538" s="797"/>
      <c r="G538" s="797"/>
      <c r="H538" s="797"/>
      <c r="I538" s="797"/>
      <c r="J538" s="797"/>
      <c r="K538" s="797"/>
      <c r="L538" s="797"/>
      <c r="M538" s="797"/>
      <c r="N538" s="797"/>
      <c r="O538" s="797"/>
      <c r="P538" s="797"/>
      <c r="Q538" s="797"/>
      <c r="R538" s="662"/>
      <c r="S538" s="662"/>
      <c r="T538" s="662"/>
      <c r="U538" s="665"/>
      <c r="V538" s="666"/>
      <c r="W538" s="662"/>
      <c r="X538" s="662"/>
      <c r="Y538" s="662"/>
      <c r="Z538" s="662"/>
    </row>
    <row r="539">
      <c r="A539" s="662"/>
      <c r="B539" s="664"/>
      <c r="C539" s="795"/>
      <c r="D539" s="796"/>
      <c r="E539" s="681"/>
      <c r="F539" s="797"/>
      <c r="G539" s="797"/>
      <c r="H539" s="797"/>
      <c r="I539" s="797"/>
      <c r="J539" s="797"/>
      <c r="K539" s="797"/>
      <c r="L539" s="797"/>
      <c r="M539" s="797"/>
      <c r="N539" s="797"/>
      <c r="O539" s="797"/>
      <c r="P539" s="797"/>
      <c r="Q539" s="797"/>
      <c r="R539" s="662"/>
      <c r="S539" s="662"/>
      <c r="T539" s="662"/>
      <c r="U539" s="665"/>
      <c r="V539" s="666"/>
      <c r="W539" s="662"/>
      <c r="X539" s="662"/>
      <c r="Y539" s="662"/>
      <c r="Z539" s="662"/>
    </row>
    <row r="540">
      <c r="A540" s="662"/>
      <c r="B540" s="664"/>
      <c r="C540" s="795"/>
      <c r="D540" s="796"/>
      <c r="E540" s="681"/>
      <c r="F540" s="797"/>
      <c r="G540" s="797"/>
      <c r="H540" s="797"/>
      <c r="I540" s="797"/>
      <c r="J540" s="797"/>
      <c r="K540" s="797"/>
      <c r="L540" s="797"/>
      <c r="M540" s="797"/>
      <c r="N540" s="797"/>
      <c r="O540" s="797"/>
      <c r="P540" s="797"/>
      <c r="Q540" s="797"/>
      <c r="R540" s="662"/>
      <c r="S540" s="662"/>
      <c r="T540" s="662"/>
      <c r="U540" s="665"/>
      <c r="V540" s="666"/>
      <c r="W540" s="662"/>
      <c r="X540" s="662"/>
      <c r="Y540" s="662"/>
      <c r="Z540" s="662"/>
    </row>
    <row r="541">
      <c r="A541" s="662"/>
      <c r="B541" s="664"/>
      <c r="C541" s="795"/>
      <c r="D541" s="796"/>
      <c r="E541" s="681"/>
      <c r="F541" s="797"/>
      <c r="G541" s="797"/>
      <c r="H541" s="797"/>
      <c r="I541" s="797"/>
      <c r="J541" s="797"/>
      <c r="K541" s="797"/>
      <c r="L541" s="797"/>
      <c r="M541" s="797"/>
      <c r="N541" s="797"/>
      <c r="O541" s="797"/>
      <c r="P541" s="797"/>
      <c r="Q541" s="797"/>
      <c r="R541" s="662"/>
      <c r="S541" s="662"/>
      <c r="T541" s="662"/>
      <c r="U541" s="665"/>
      <c r="V541" s="666"/>
      <c r="W541" s="662"/>
      <c r="X541" s="662"/>
      <c r="Y541" s="662"/>
      <c r="Z541" s="662"/>
    </row>
    <row r="542">
      <c r="A542" s="662"/>
      <c r="B542" s="664"/>
      <c r="C542" s="795"/>
      <c r="D542" s="796"/>
      <c r="E542" s="681"/>
      <c r="F542" s="797"/>
      <c r="G542" s="797"/>
      <c r="H542" s="797"/>
      <c r="I542" s="797"/>
      <c r="J542" s="797"/>
      <c r="K542" s="797"/>
      <c r="L542" s="797"/>
      <c r="M542" s="797"/>
      <c r="N542" s="797"/>
      <c r="O542" s="797"/>
      <c r="P542" s="797"/>
      <c r="Q542" s="797"/>
      <c r="R542" s="662"/>
      <c r="S542" s="662"/>
      <c r="T542" s="662"/>
      <c r="U542" s="665"/>
      <c r="V542" s="666"/>
      <c r="W542" s="662"/>
      <c r="X542" s="662"/>
      <c r="Y542" s="662"/>
      <c r="Z542" s="662"/>
    </row>
    <row r="543">
      <c r="A543" s="662"/>
      <c r="B543" s="664"/>
      <c r="C543" s="795"/>
      <c r="D543" s="796"/>
      <c r="E543" s="681"/>
      <c r="F543" s="797"/>
      <c r="G543" s="797"/>
      <c r="H543" s="797"/>
      <c r="I543" s="797"/>
      <c r="J543" s="797"/>
      <c r="K543" s="797"/>
      <c r="L543" s="797"/>
      <c r="M543" s="797"/>
      <c r="N543" s="797"/>
      <c r="O543" s="797"/>
      <c r="P543" s="797"/>
      <c r="Q543" s="797"/>
      <c r="R543" s="662"/>
      <c r="S543" s="662"/>
      <c r="T543" s="662"/>
      <c r="U543" s="665"/>
      <c r="V543" s="666"/>
      <c r="W543" s="662"/>
      <c r="X543" s="662"/>
      <c r="Y543" s="662"/>
      <c r="Z543" s="662"/>
    </row>
    <row r="544">
      <c r="A544" s="662"/>
      <c r="B544" s="664"/>
      <c r="C544" s="795"/>
      <c r="D544" s="796"/>
      <c r="E544" s="681"/>
      <c r="F544" s="797"/>
      <c r="G544" s="797"/>
      <c r="H544" s="797"/>
      <c r="I544" s="797"/>
      <c r="J544" s="797"/>
      <c r="K544" s="797"/>
      <c r="L544" s="797"/>
      <c r="M544" s="797"/>
      <c r="N544" s="797"/>
      <c r="O544" s="797"/>
      <c r="P544" s="797"/>
      <c r="Q544" s="797"/>
      <c r="R544" s="662"/>
      <c r="S544" s="662"/>
      <c r="T544" s="662"/>
      <c r="U544" s="665"/>
      <c r="V544" s="666"/>
      <c r="W544" s="662"/>
      <c r="X544" s="662"/>
      <c r="Y544" s="662"/>
      <c r="Z544" s="662"/>
    </row>
    <row r="545">
      <c r="A545" s="662"/>
      <c r="B545" s="664"/>
      <c r="C545" s="795"/>
      <c r="D545" s="796"/>
      <c r="E545" s="681"/>
      <c r="F545" s="797"/>
      <c r="G545" s="797"/>
      <c r="H545" s="797"/>
      <c r="I545" s="797"/>
      <c r="J545" s="797"/>
      <c r="K545" s="797"/>
      <c r="L545" s="797"/>
      <c r="M545" s="797"/>
      <c r="N545" s="797"/>
      <c r="O545" s="797"/>
      <c r="P545" s="797"/>
      <c r="Q545" s="797"/>
      <c r="R545" s="662"/>
      <c r="S545" s="662"/>
      <c r="T545" s="662"/>
      <c r="U545" s="665"/>
      <c r="V545" s="666"/>
      <c r="W545" s="662"/>
      <c r="X545" s="662"/>
      <c r="Y545" s="662"/>
      <c r="Z545" s="662"/>
    </row>
    <row r="546">
      <c r="A546" s="662"/>
      <c r="B546" s="664"/>
      <c r="C546" s="795"/>
      <c r="D546" s="796"/>
      <c r="E546" s="681"/>
      <c r="F546" s="797"/>
      <c r="G546" s="797"/>
      <c r="H546" s="797"/>
      <c r="I546" s="797"/>
      <c r="J546" s="797"/>
      <c r="K546" s="797"/>
      <c r="L546" s="797"/>
      <c r="M546" s="797"/>
      <c r="N546" s="797"/>
      <c r="O546" s="797"/>
      <c r="P546" s="797"/>
      <c r="Q546" s="797"/>
      <c r="R546" s="662"/>
      <c r="S546" s="662"/>
      <c r="T546" s="662"/>
      <c r="U546" s="665"/>
      <c r="V546" s="666"/>
      <c r="W546" s="662"/>
      <c r="X546" s="662"/>
      <c r="Y546" s="662"/>
      <c r="Z546" s="662"/>
    </row>
    <row r="547">
      <c r="A547" s="662"/>
      <c r="B547" s="664"/>
      <c r="C547" s="795"/>
      <c r="D547" s="796"/>
      <c r="E547" s="681"/>
      <c r="F547" s="797"/>
      <c r="G547" s="797"/>
      <c r="H547" s="797"/>
      <c r="I547" s="797"/>
      <c r="J547" s="797"/>
      <c r="K547" s="797"/>
      <c r="L547" s="797"/>
      <c r="M547" s="797"/>
      <c r="N547" s="797"/>
      <c r="O547" s="797"/>
      <c r="P547" s="797"/>
      <c r="Q547" s="797"/>
      <c r="R547" s="662"/>
      <c r="S547" s="662"/>
      <c r="T547" s="662"/>
      <c r="U547" s="665"/>
      <c r="V547" s="666"/>
      <c r="W547" s="662"/>
      <c r="X547" s="662"/>
      <c r="Y547" s="662"/>
      <c r="Z547" s="662"/>
    </row>
    <row r="548">
      <c r="A548" s="662"/>
      <c r="B548" s="664"/>
      <c r="C548" s="795"/>
      <c r="D548" s="796"/>
      <c r="E548" s="681"/>
      <c r="F548" s="797"/>
      <c r="G548" s="797"/>
      <c r="H548" s="797"/>
      <c r="I548" s="797"/>
      <c r="J548" s="797"/>
      <c r="K548" s="797"/>
      <c r="L548" s="797"/>
      <c r="M548" s="797"/>
      <c r="N548" s="797"/>
      <c r="O548" s="797"/>
      <c r="P548" s="797"/>
      <c r="Q548" s="797"/>
      <c r="R548" s="662"/>
      <c r="S548" s="662"/>
      <c r="T548" s="662"/>
      <c r="U548" s="665"/>
      <c r="V548" s="666"/>
      <c r="W548" s="662"/>
      <c r="X548" s="662"/>
      <c r="Y548" s="662"/>
      <c r="Z548" s="662"/>
    </row>
    <row r="549">
      <c r="A549" s="662"/>
      <c r="B549" s="664"/>
      <c r="C549" s="795"/>
      <c r="D549" s="796"/>
      <c r="E549" s="681"/>
      <c r="F549" s="797"/>
      <c r="G549" s="797"/>
      <c r="H549" s="797"/>
      <c r="I549" s="797"/>
      <c r="J549" s="797"/>
      <c r="K549" s="797"/>
      <c r="L549" s="797"/>
      <c r="M549" s="797"/>
      <c r="N549" s="797"/>
      <c r="O549" s="797"/>
      <c r="P549" s="797"/>
      <c r="Q549" s="797"/>
      <c r="R549" s="662"/>
      <c r="S549" s="662"/>
      <c r="T549" s="662"/>
      <c r="U549" s="665"/>
      <c r="V549" s="666"/>
      <c r="W549" s="662"/>
      <c r="X549" s="662"/>
      <c r="Y549" s="662"/>
      <c r="Z549" s="662"/>
    </row>
    <row r="550">
      <c r="A550" s="662"/>
      <c r="B550" s="664"/>
      <c r="C550" s="795"/>
      <c r="D550" s="796"/>
      <c r="E550" s="681"/>
      <c r="F550" s="797"/>
      <c r="G550" s="797"/>
      <c r="H550" s="797"/>
      <c r="I550" s="797"/>
      <c r="J550" s="797"/>
      <c r="K550" s="797"/>
      <c r="L550" s="797"/>
      <c r="M550" s="797"/>
      <c r="N550" s="797"/>
      <c r="O550" s="797"/>
      <c r="P550" s="797"/>
      <c r="Q550" s="797"/>
      <c r="R550" s="662"/>
      <c r="S550" s="662"/>
      <c r="T550" s="662"/>
      <c r="U550" s="665"/>
      <c r="V550" s="666"/>
      <c r="W550" s="662"/>
      <c r="X550" s="662"/>
      <c r="Y550" s="662"/>
      <c r="Z550" s="662"/>
    </row>
    <row r="551">
      <c r="A551" s="662"/>
      <c r="B551" s="664"/>
      <c r="C551" s="795"/>
      <c r="D551" s="796"/>
      <c r="E551" s="681"/>
      <c r="F551" s="797"/>
      <c r="G551" s="797"/>
      <c r="H551" s="797"/>
      <c r="I551" s="797"/>
      <c r="J551" s="797"/>
      <c r="K551" s="797"/>
      <c r="L551" s="797"/>
      <c r="M551" s="797"/>
      <c r="N551" s="797"/>
      <c r="O551" s="797"/>
      <c r="P551" s="797"/>
      <c r="Q551" s="797"/>
      <c r="R551" s="662"/>
      <c r="S551" s="662"/>
      <c r="T551" s="662"/>
      <c r="U551" s="665"/>
      <c r="V551" s="666"/>
      <c r="W551" s="662"/>
      <c r="X551" s="662"/>
      <c r="Y551" s="662"/>
      <c r="Z551" s="662"/>
    </row>
    <row r="552">
      <c r="A552" s="662"/>
      <c r="B552" s="664"/>
      <c r="C552" s="795"/>
      <c r="D552" s="796"/>
      <c r="E552" s="681"/>
      <c r="F552" s="797"/>
      <c r="G552" s="797"/>
      <c r="H552" s="797"/>
      <c r="I552" s="797"/>
      <c r="J552" s="797"/>
      <c r="K552" s="797"/>
      <c r="L552" s="797"/>
      <c r="M552" s="797"/>
      <c r="N552" s="797"/>
      <c r="O552" s="797"/>
      <c r="P552" s="797"/>
      <c r="Q552" s="797"/>
      <c r="R552" s="662"/>
      <c r="S552" s="662"/>
      <c r="T552" s="662"/>
      <c r="U552" s="665"/>
      <c r="V552" s="666"/>
      <c r="W552" s="662"/>
      <c r="X552" s="662"/>
      <c r="Y552" s="662"/>
      <c r="Z552" s="662"/>
    </row>
    <row r="553">
      <c r="A553" s="662"/>
      <c r="B553" s="664"/>
      <c r="C553" s="795"/>
      <c r="D553" s="796"/>
      <c r="E553" s="681"/>
      <c r="F553" s="797"/>
      <c r="G553" s="797"/>
      <c r="H553" s="797"/>
      <c r="I553" s="797"/>
      <c r="J553" s="797"/>
      <c r="K553" s="797"/>
      <c r="L553" s="797"/>
      <c r="M553" s="797"/>
      <c r="N553" s="797"/>
      <c r="O553" s="797"/>
      <c r="P553" s="797"/>
      <c r="Q553" s="797"/>
      <c r="R553" s="662"/>
      <c r="S553" s="662"/>
      <c r="T553" s="662"/>
      <c r="U553" s="665"/>
      <c r="V553" s="666"/>
      <c r="W553" s="662"/>
      <c r="X553" s="662"/>
      <c r="Y553" s="662"/>
      <c r="Z553" s="662"/>
    </row>
    <row r="554">
      <c r="A554" s="662"/>
      <c r="B554" s="664"/>
      <c r="C554" s="795"/>
      <c r="D554" s="796"/>
      <c r="E554" s="681"/>
      <c r="F554" s="797"/>
      <c r="G554" s="797"/>
      <c r="H554" s="797"/>
      <c r="I554" s="797"/>
      <c r="J554" s="797"/>
      <c r="K554" s="797"/>
      <c r="L554" s="797"/>
      <c r="M554" s="797"/>
      <c r="N554" s="797"/>
      <c r="O554" s="797"/>
      <c r="P554" s="797"/>
      <c r="Q554" s="797"/>
      <c r="R554" s="662"/>
      <c r="S554" s="662"/>
      <c r="T554" s="662"/>
      <c r="U554" s="665"/>
      <c r="V554" s="666"/>
      <c r="W554" s="662"/>
      <c r="X554" s="662"/>
      <c r="Y554" s="662"/>
      <c r="Z554" s="662"/>
    </row>
    <row r="555">
      <c r="A555" s="662"/>
      <c r="B555" s="664"/>
      <c r="C555" s="795"/>
      <c r="D555" s="796"/>
      <c r="E555" s="681"/>
      <c r="F555" s="797"/>
      <c r="G555" s="797"/>
      <c r="H555" s="797"/>
      <c r="I555" s="797"/>
      <c r="J555" s="797"/>
      <c r="K555" s="797"/>
      <c r="L555" s="797"/>
      <c r="M555" s="797"/>
      <c r="N555" s="797"/>
      <c r="O555" s="797"/>
      <c r="P555" s="797"/>
      <c r="Q555" s="797"/>
      <c r="R555" s="662"/>
      <c r="S555" s="662"/>
      <c r="T555" s="662"/>
      <c r="U555" s="665"/>
      <c r="V555" s="666"/>
      <c r="W555" s="662"/>
      <c r="X555" s="662"/>
      <c r="Y555" s="662"/>
      <c r="Z555" s="662"/>
    </row>
    <row r="556">
      <c r="A556" s="662"/>
      <c r="B556" s="664"/>
      <c r="C556" s="795"/>
      <c r="D556" s="796"/>
      <c r="E556" s="681"/>
      <c r="F556" s="797"/>
      <c r="G556" s="797"/>
      <c r="H556" s="797"/>
      <c r="I556" s="797"/>
      <c r="J556" s="797"/>
      <c r="K556" s="797"/>
      <c r="L556" s="797"/>
      <c r="M556" s="797"/>
      <c r="N556" s="797"/>
      <c r="O556" s="797"/>
      <c r="P556" s="797"/>
      <c r="Q556" s="797"/>
      <c r="R556" s="662"/>
      <c r="S556" s="662"/>
      <c r="T556" s="662"/>
      <c r="U556" s="665"/>
      <c r="V556" s="666"/>
      <c r="W556" s="662"/>
      <c r="X556" s="662"/>
      <c r="Y556" s="662"/>
      <c r="Z556" s="662"/>
    </row>
    <row r="557">
      <c r="A557" s="662"/>
      <c r="B557" s="664"/>
      <c r="C557" s="795"/>
      <c r="D557" s="796"/>
      <c r="E557" s="681"/>
      <c r="F557" s="797"/>
      <c r="G557" s="797"/>
      <c r="H557" s="797"/>
      <c r="I557" s="797"/>
      <c r="J557" s="797"/>
      <c r="K557" s="797"/>
      <c r="L557" s="797"/>
      <c r="M557" s="797"/>
      <c r="N557" s="797"/>
      <c r="O557" s="797"/>
      <c r="P557" s="797"/>
      <c r="Q557" s="797"/>
      <c r="R557" s="662"/>
      <c r="S557" s="662"/>
      <c r="T557" s="662"/>
      <c r="U557" s="665"/>
      <c r="V557" s="666"/>
      <c r="W557" s="662"/>
      <c r="X557" s="662"/>
      <c r="Y557" s="662"/>
      <c r="Z557" s="662"/>
    </row>
    <row r="558">
      <c r="A558" s="662"/>
      <c r="B558" s="664"/>
      <c r="C558" s="795"/>
      <c r="D558" s="796"/>
      <c r="E558" s="681"/>
      <c r="F558" s="797"/>
      <c r="G558" s="797"/>
      <c r="H558" s="797"/>
      <c r="I558" s="797"/>
      <c r="J558" s="797"/>
      <c r="K558" s="797"/>
      <c r="L558" s="797"/>
      <c r="M558" s="797"/>
      <c r="N558" s="797"/>
      <c r="O558" s="797"/>
      <c r="P558" s="797"/>
      <c r="Q558" s="797"/>
      <c r="R558" s="662"/>
      <c r="S558" s="662"/>
      <c r="T558" s="662"/>
      <c r="U558" s="665"/>
      <c r="V558" s="666"/>
      <c r="W558" s="662"/>
      <c r="X558" s="662"/>
      <c r="Y558" s="662"/>
      <c r="Z558" s="662"/>
    </row>
    <row r="559">
      <c r="A559" s="662"/>
      <c r="B559" s="664"/>
      <c r="C559" s="795"/>
      <c r="D559" s="796"/>
      <c r="E559" s="681"/>
      <c r="F559" s="797"/>
      <c r="G559" s="797"/>
      <c r="H559" s="797"/>
      <c r="I559" s="797"/>
      <c r="J559" s="797"/>
      <c r="K559" s="797"/>
      <c r="L559" s="797"/>
      <c r="M559" s="797"/>
      <c r="N559" s="797"/>
      <c r="O559" s="797"/>
      <c r="P559" s="797"/>
      <c r="Q559" s="797"/>
      <c r="R559" s="662"/>
      <c r="S559" s="662"/>
      <c r="T559" s="662"/>
      <c r="U559" s="665"/>
      <c r="V559" s="666"/>
      <c r="W559" s="662"/>
      <c r="X559" s="662"/>
      <c r="Y559" s="662"/>
      <c r="Z559" s="662"/>
    </row>
    <row r="560">
      <c r="A560" s="662"/>
      <c r="B560" s="664"/>
      <c r="C560" s="795"/>
      <c r="D560" s="796"/>
      <c r="E560" s="681"/>
      <c r="F560" s="797"/>
      <c r="G560" s="797"/>
      <c r="H560" s="797"/>
      <c r="I560" s="797"/>
      <c r="J560" s="797"/>
      <c r="K560" s="797"/>
      <c r="L560" s="797"/>
      <c r="M560" s="797"/>
      <c r="N560" s="797"/>
      <c r="O560" s="797"/>
      <c r="P560" s="797"/>
      <c r="Q560" s="797"/>
      <c r="R560" s="662"/>
      <c r="S560" s="662"/>
      <c r="T560" s="662"/>
      <c r="U560" s="665"/>
      <c r="V560" s="666"/>
      <c r="W560" s="662"/>
      <c r="X560" s="662"/>
      <c r="Y560" s="662"/>
      <c r="Z560" s="662"/>
    </row>
    <row r="561">
      <c r="A561" s="662"/>
      <c r="B561" s="664"/>
      <c r="C561" s="795"/>
      <c r="D561" s="796"/>
      <c r="E561" s="681"/>
      <c r="F561" s="797"/>
      <c r="G561" s="797"/>
      <c r="H561" s="797"/>
      <c r="I561" s="797"/>
      <c r="J561" s="797"/>
      <c r="K561" s="797"/>
      <c r="L561" s="797"/>
      <c r="M561" s="797"/>
      <c r="N561" s="797"/>
      <c r="O561" s="797"/>
      <c r="P561" s="797"/>
      <c r="Q561" s="797"/>
      <c r="R561" s="662"/>
      <c r="S561" s="662"/>
      <c r="T561" s="662"/>
      <c r="U561" s="665"/>
      <c r="V561" s="666"/>
      <c r="W561" s="662"/>
      <c r="X561" s="662"/>
      <c r="Y561" s="662"/>
      <c r="Z561" s="662"/>
    </row>
    <row r="562">
      <c r="A562" s="662"/>
      <c r="B562" s="664"/>
      <c r="C562" s="795"/>
      <c r="D562" s="796"/>
      <c r="E562" s="681"/>
      <c r="F562" s="797"/>
      <c r="G562" s="797"/>
      <c r="H562" s="797"/>
      <c r="I562" s="797"/>
      <c r="J562" s="797"/>
      <c r="K562" s="797"/>
      <c r="L562" s="797"/>
      <c r="M562" s="797"/>
      <c r="N562" s="797"/>
      <c r="O562" s="797"/>
      <c r="P562" s="797"/>
      <c r="Q562" s="797"/>
      <c r="R562" s="662"/>
      <c r="S562" s="662"/>
      <c r="T562" s="662"/>
      <c r="U562" s="665"/>
      <c r="V562" s="666"/>
      <c r="W562" s="662"/>
      <c r="X562" s="662"/>
      <c r="Y562" s="662"/>
      <c r="Z562" s="662"/>
    </row>
    <row r="563">
      <c r="A563" s="662"/>
      <c r="B563" s="664"/>
      <c r="C563" s="795"/>
      <c r="D563" s="796"/>
      <c r="E563" s="681"/>
      <c r="F563" s="797"/>
      <c r="G563" s="797"/>
      <c r="H563" s="797"/>
      <c r="I563" s="797"/>
      <c r="J563" s="797"/>
      <c r="K563" s="797"/>
      <c r="L563" s="797"/>
      <c r="M563" s="797"/>
      <c r="N563" s="797"/>
      <c r="O563" s="797"/>
      <c r="P563" s="797"/>
      <c r="Q563" s="797"/>
      <c r="R563" s="662"/>
      <c r="S563" s="662"/>
      <c r="T563" s="662"/>
      <c r="U563" s="665"/>
      <c r="V563" s="666"/>
      <c r="W563" s="662"/>
      <c r="X563" s="662"/>
      <c r="Y563" s="662"/>
      <c r="Z563" s="662"/>
    </row>
    <row r="564">
      <c r="A564" s="662"/>
      <c r="B564" s="664"/>
      <c r="C564" s="795"/>
      <c r="D564" s="796"/>
      <c r="E564" s="681"/>
      <c r="F564" s="797"/>
      <c r="G564" s="797"/>
      <c r="H564" s="797"/>
      <c r="I564" s="797"/>
      <c r="J564" s="797"/>
      <c r="K564" s="797"/>
      <c r="L564" s="797"/>
      <c r="M564" s="797"/>
      <c r="N564" s="797"/>
      <c r="O564" s="797"/>
      <c r="P564" s="797"/>
      <c r="Q564" s="797"/>
      <c r="R564" s="662"/>
      <c r="S564" s="662"/>
      <c r="T564" s="662"/>
      <c r="U564" s="665"/>
      <c r="V564" s="666"/>
      <c r="W564" s="662"/>
      <c r="X564" s="662"/>
      <c r="Y564" s="662"/>
      <c r="Z564" s="662"/>
    </row>
    <row r="565">
      <c r="A565" s="662"/>
      <c r="B565" s="664"/>
      <c r="C565" s="795"/>
      <c r="D565" s="796"/>
      <c r="E565" s="681"/>
      <c r="F565" s="797"/>
      <c r="G565" s="797"/>
      <c r="H565" s="797"/>
      <c r="I565" s="797"/>
      <c r="J565" s="797"/>
      <c r="K565" s="797"/>
      <c r="L565" s="797"/>
      <c r="M565" s="797"/>
      <c r="N565" s="797"/>
      <c r="O565" s="797"/>
      <c r="P565" s="797"/>
      <c r="Q565" s="797"/>
      <c r="R565" s="662"/>
      <c r="S565" s="662"/>
      <c r="T565" s="662"/>
      <c r="U565" s="665"/>
      <c r="V565" s="666"/>
      <c r="W565" s="662"/>
      <c r="X565" s="662"/>
      <c r="Y565" s="662"/>
      <c r="Z565" s="662"/>
    </row>
    <row r="566">
      <c r="A566" s="662"/>
      <c r="B566" s="664"/>
      <c r="C566" s="795"/>
      <c r="D566" s="796"/>
      <c r="E566" s="681"/>
      <c r="F566" s="797"/>
      <c r="G566" s="797"/>
      <c r="H566" s="797"/>
      <c r="I566" s="797"/>
      <c r="J566" s="797"/>
      <c r="K566" s="797"/>
      <c r="L566" s="797"/>
      <c r="M566" s="797"/>
      <c r="N566" s="797"/>
      <c r="O566" s="797"/>
      <c r="P566" s="797"/>
      <c r="Q566" s="797"/>
      <c r="R566" s="662"/>
      <c r="S566" s="662"/>
      <c r="T566" s="662"/>
      <c r="U566" s="665"/>
      <c r="V566" s="666"/>
      <c r="W566" s="662"/>
      <c r="X566" s="662"/>
      <c r="Y566" s="662"/>
      <c r="Z566" s="662"/>
    </row>
    <row r="567">
      <c r="A567" s="662"/>
      <c r="B567" s="664"/>
      <c r="C567" s="795"/>
      <c r="D567" s="796"/>
      <c r="E567" s="681"/>
      <c r="F567" s="797"/>
      <c r="G567" s="797"/>
      <c r="H567" s="797"/>
      <c r="I567" s="797"/>
      <c r="J567" s="797"/>
      <c r="K567" s="797"/>
      <c r="L567" s="797"/>
      <c r="M567" s="797"/>
      <c r="N567" s="797"/>
      <c r="O567" s="797"/>
      <c r="P567" s="797"/>
      <c r="Q567" s="797"/>
      <c r="R567" s="662"/>
      <c r="S567" s="662"/>
      <c r="T567" s="662"/>
      <c r="U567" s="665"/>
      <c r="V567" s="666"/>
      <c r="W567" s="662"/>
      <c r="X567" s="662"/>
      <c r="Y567" s="662"/>
      <c r="Z567" s="662"/>
    </row>
    <row r="568">
      <c r="A568" s="662"/>
      <c r="B568" s="664"/>
      <c r="C568" s="795"/>
      <c r="D568" s="796"/>
      <c r="E568" s="681"/>
      <c r="F568" s="797"/>
      <c r="G568" s="797"/>
      <c r="H568" s="797"/>
      <c r="I568" s="797"/>
      <c r="J568" s="797"/>
      <c r="K568" s="797"/>
      <c r="L568" s="797"/>
      <c r="M568" s="797"/>
      <c r="N568" s="797"/>
      <c r="O568" s="797"/>
      <c r="P568" s="797"/>
      <c r="Q568" s="797"/>
      <c r="R568" s="662"/>
      <c r="S568" s="662"/>
      <c r="T568" s="662"/>
      <c r="U568" s="665"/>
      <c r="V568" s="666"/>
      <c r="W568" s="662"/>
      <c r="X568" s="662"/>
      <c r="Y568" s="662"/>
      <c r="Z568" s="662"/>
    </row>
    <row r="569">
      <c r="A569" s="662"/>
      <c r="B569" s="664"/>
      <c r="C569" s="795"/>
      <c r="D569" s="796"/>
      <c r="E569" s="681"/>
      <c r="F569" s="797"/>
      <c r="G569" s="797"/>
      <c r="H569" s="797"/>
      <c r="I569" s="797"/>
      <c r="J569" s="797"/>
      <c r="K569" s="797"/>
      <c r="L569" s="797"/>
      <c r="M569" s="797"/>
      <c r="N569" s="797"/>
      <c r="O569" s="797"/>
      <c r="P569" s="797"/>
      <c r="Q569" s="797"/>
      <c r="R569" s="662"/>
      <c r="S569" s="662"/>
      <c r="T569" s="662"/>
      <c r="U569" s="665"/>
      <c r="V569" s="666"/>
      <c r="W569" s="662"/>
      <c r="X569" s="662"/>
      <c r="Y569" s="662"/>
      <c r="Z569" s="662"/>
    </row>
    <row r="570">
      <c r="A570" s="662"/>
      <c r="B570" s="664"/>
      <c r="C570" s="795"/>
      <c r="D570" s="796"/>
      <c r="E570" s="681"/>
      <c r="F570" s="797"/>
      <c r="G570" s="797"/>
      <c r="H570" s="797"/>
      <c r="I570" s="797"/>
      <c r="J570" s="797"/>
      <c r="K570" s="797"/>
      <c r="L570" s="797"/>
      <c r="M570" s="797"/>
      <c r="N570" s="797"/>
      <c r="O570" s="797"/>
      <c r="P570" s="797"/>
      <c r="Q570" s="797"/>
      <c r="R570" s="662"/>
      <c r="S570" s="662"/>
      <c r="T570" s="662"/>
      <c r="U570" s="665"/>
      <c r="V570" s="666"/>
      <c r="W570" s="662"/>
      <c r="X570" s="662"/>
      <c r="Y570" s="662"/>
      <c r="Z570" s="662"/>
    </row>
    <row r="571">
      <c r="A571" s="662"/>
      <c r="B571" s="664"/>
      <c r="C571" s="795"/>
      <c r="D571" s="796"/>
      <c r="E571" s="681"/>
      <c r="F571" s="797"/>
      <c r="G571" s="797"/>
      <c r="H571" s="797"/>
      <c r="I571" s="797"/>
      <c r="J571" s="797"/>
      <c r="K571" s="797"/>
      <c r="L571" s="797"/>
      <c r="M571" s="797"/>
      <c r="N571" s="797"/>
      <c r="O571" s="797"/>
      <c r="P571" s="797"/>
      <c r="Q571" s="797"/>
      <c r="R571" s="662"/>
      <c r="S571" s="662"/>
      <c r="T571" s="662"/>
      <c r="U571" s="665"/>
      <c r="V571" s="666"/>
      <c r="W571" s="662"/>
      <c r="X571" s="662"/>
      <c r="Y571" s="662"/>
      <c r="Z571" s="662"/>
    </row>
    <row r="572">
      <c r="A572" s="662"/>
      <c r="B572" s="664"/>
      <c r="C572" s="795"/>
      <c r="D572" s="796"/>
      <c r="E572" s="681"/>
      <c r="F572" s="797"/>
      <c r="G572" s="797"/>
      <c r="H572" s="797"/>
      <c r="I572" s="797"/>
      <c r="J572" s="797"/>
      <c r="K572" s="797"/>
      <c r="L572" s="797"/>
      <c r="M572" s="797"/>
      <c r="N572" s="797"/>
      <c r="O572" s="797"/>
      <c r="P572" s="797"/>
      <c r="Q572" s="797"/>
      <c r="R572" s="662"/>
      <c r="S572" s="662"/>
      <c r="T572" s="662"/>
      <c r="U572" s="665"/>
      <c r="V572" s="666"/>
      <c r="W572" s="662"/>
      <c r="X572" s="662"/>
      <c r="Y572" s="662"/>
      <c r="Z572" s="662"/>
    </row>
    <row r="573">
      <c r="A573" s="662"/>
      <c r="B573" s="664"/>
      <c r="C573" s="795"/>
      <c r="D573" s="796"/>
      <c r="E573" s="681"/>
      <c r="F573" s="797"/>
      <c r="G573" s="797"/>
      <c r="H573" s="797"/>
      <c r="I573" s="797"/>
      <c r="J573" s="797"/>
      <c r="K573" s="797"/>
      <c r="L573" s="797"/>
      <c r="M573" s="797"/>
      <c r="N573" s="797"/>
      <c r="O573" s="797"/>
      <c r="P573" s="797"/>
      <c r="Q573" s="797"/>
      <c r="R573" s="662"/>
      <c r="S573" s="662"/>
      <c r="T573" s="662"/>
      <c r="U573" s="665"/>
      <c r="V573" s="666"/>
      <c r="W573" s="662"/>
      <c r="X573" s="662"/>
      <c r="Y573" s="662"/>
      <c r="Z573" s="662"/>
    </row>
    <row r="574">
      <c r="A574" s="662"/>
      <c r="B574" s="664"/>
      <c r="C574" s="795"/>
      <c r="D574" s="796"/>
      <c r="E574" s="681"/>
      <c r="F574" s="797"/>
      <c r="G574" s="797"/>
      <c r="H574" s="797"/>
      <c r="I574" s="797"/>
      <c r="J574" s="797"/>
      <c r="K574" s="797"/>
      <c r="L574" s="797"/>
      <c r="M574" s="797"/>
      <c r="N574" s="797"/>
      <c r="O574" s="797"/>
      <c r="P574" s="797"/>
      <c r="Q574" s="797"/>
      <c r="R574" s="662"/>
      <c r="S574" s="662"/>
      <c r="T574" s="662"/>
      <c r="U574" s="665"/>
      <c r="V574" s="666"/>
      <c r="W574" s="662"/>
      <c r="X574" s="662"/>
      <c r="Y574" s="662"/>
      <c r="Z574" s="662"/>
    </row>
    <row r="575">
      <c r="A575" s="662"/>
      <c r="B575" s="664"/>
      <c r="C575" s="795"/>
      <c r="D575" s="796"/>
      <c r="E575" s="681"/>
      <c r="F575" s="797"/>
      <c r="G575" s="797"/>
      <c r="H575" s="797"/>
      <c r="I575" s="797"/>
      <c r="J575" s="797"/>
      <c r="K575" s="797"/>
      <c r="L575" s="797"/>
      <c r="M575" s="797"/>
      <c r="N575" s="797"/>
      <c r="O575" s="797"/>
      <c r="P575" s="797"/>
      <c r="Q575" s="797"/>
      <c r="R575" s="662"/>
      <c r="S575" s="662"/>
      <c r="T575" s="662"/>
      <c r="U575" s="665"/>
      <c r="V575" s="666"/>
      <c r="W575" s="662"/>
      <c r="X575" s="662"/>
      <c r="Y575" s="662"/>
      <c r="Z575" s="662"/>
    </row>
    <row r="576">
      <c r="A576" s="662"/>
      <c r="B576" s="664"/>
      <c r="C576" s="795"/>
      <c r="D576" s="796"/>
      <c r="E576" s="681"/>
      <c r="F576" s="797"/>
      <c r="G576" s="797"/>
      <c r="H576" s="797"/>
      <c r="I576" s="797"/>
      <c r="J576" s="797"/>
      <c r="K576" s="797"/>
      <c r="L576" s="797"/>
      <c r="M576" s="797"/>
      <c r="N576" s="797"/>
      <c r="O576" s="797"/>
      <c r="P576" s="797"/>
      <c r="Q576" s="797"/>
      <c r="R576" s="662"/>
      <c r="S576" s="662"/>
      <c r="T576" s="662"/>
      <c r="U576" s="665"/>
      <c r="V576" s="666"/>
      <c r="W576" s="662"/>
      <c r="X576" s="662"/>
      <c r="Y576" s="662"/>
      <c r="Z576" s="662"/>
    </row>
    <row r="577">
      <c r="A577" s="662"/>
      <c r="B577" s="664"/>
      <c r="C577" s="795"/>
      <c r="D577" s="796"/>
      <c r="E577" s="681"/>
      <c r="F577" s="797"/>
      <c r="G577" s="797"/>
      <c r="H577" s="797"/>
      <c r="I577" s="797"/>
      <c r="J577" s="797"/>
      <c r="K577" s="797"/>
      <c r="L577" s="797"/>
      <c r="M577" s="797"/>
      <c r="N577" s="797"/>
      <c r="O577" s="797"/>
      <c r="P577" s="797"/>
      <c r="Q577" s="797"/>
      <c r="R577" s="662"/>
      <c r="S577" s="662"/>
      <c r="T577" s="662"/>
      <c r="U577" s="665"/>
      <c r="V577" s="666"/>
      <c r="W577" s="662"/>
      <c r="X577" s="662"/>
      <c r="Y577" s="662"/>
      <c r="Z577" s="662"/>
    </row>
    <row r="578">
      <c r="A578" s="662"/>
      <c r="B578" s="664"/>
      <c r="C578" s="795"/>
      <c r="D578" s="796"/>
      <c r="E578" s="681"/>
      <c r="F578" s="797"/>
      <c r="G578" s="797"/>
      <c r="H578" s="797"/>
      <c r="I578" s="797"/>
      <c r="J578" s="797"/>
      <c r="K578" s="797"/>
      <c r="L578" s="797"/>
      <c r="M578" s="797"/>
      <c r="N578" s="797"/>
      <c r="O578" s="797"/>
      <c r="P578" s="797"/>
      <c r="Q578" s="797"/>
      <c r="R578" s="662"/>
      <c r="S578" s="662"/>
      <c r="T578" s="662"/>
      <c r="U578" s="665"/>
      <c r="V578" s="666"/>
      <c r="W578" s="662"/>
      <c r="X578" s="662"/>
      <c r="Y578" s="662"/>
      <c r="Z578" s="662"/>
    </row>
    <row r="579">
      <c r="A579" s="662"/>
      <c r="B579" s="664"/>
      <c r="C579" s="795"/>
      <c r="D579" s="796"/>
      <c r="E579" s="681"/>
      <c r="F579" s="797"/>
      <c r="G579" s="797"/>
      <c r="H579" s="797"/>
      <c r="I579" s="797"/>
      <c r="J579" s="797"/>
      <c r="K579" s="797"/>
      <c r="L579" s="797"/>
      <c r="M579" s="797"/>
      <c r="N579" s="797"/>
      <c r="O579" s="797"/>
      <c r="P579" s="797"/>
      <c r="Q579" s="797"/>
      <c r="R579" s="662"/>
      <c r="S579" s="662"/>
      <c r="T579" s="662"/>
      <c r="U579" s="665"/>
      <c r="V579" s="666"/>
      <c r="W579" s="662"/>
      <c r="X579" s="662"/>
      <c r="Y579" s="662"/>
      <c r="Z579" s="662"/>
    </row>
    <row r="580">
      <c r="A580" s="662"/>
      <c r="B580" s="664"/>
      <c r="C580" s="795"/>
      <c r="D580" s="796"/>
      <c r="E580" s="681"/>
      <c r="F580" s="797"/>
      <c r="G580" s="797"/>
      <c r="H580" s="797"/>
      <c r="I580" s="797"/>
      <c r="J580" s="797"/>
      <c r="K580" s="797"/>
      <c r="L580" s="797"/>
      <c r="M580" s="797"/>
      <c r="N580" s="797"/>
      <c r="O580" s="797"/>
      <c r="P580" s="797"/>
      <c r="Q580" s="797"/>
      <c r="R580" s="662"/>
      <c r="S580" s="662"/>
      <c r="T580" s="662"/>
      <c r="U580" s="665"/>
      <c r="V580" s="666"/>
      <c r="W580" s="662"/>
      <c r="X580" s="662"/>
      <c r="Y580" s="662"/>
      <c r="Z580" s="662"/>
    </row>
    <row r="581">
      <c r="A581" s="662"/>
      <c r="B581" s="664"/>
      <c r="C581" s="795"/>
      <c r="D581" s="796"/>
      <c r="E581" s="681"/>
      <c r="F581" s="797"/>
      <c r="G581" s="797"/>
      <c r="H581" s="797"/>
      <c r="I581" s="797"/>
      <c r="J581" s="797"/>
      <c r="K581" s="797"/>
      <c r="L581" s="797"/>
      <c r="M581" s="797"/>
      <c r="N581" s="797"/>
      <c r="O581" s="797"/>
      <c r="P581" s="797"/>
      <c r="Q581" s="797"/>
      <c r="R581" s="662"/>
      <c r="S581" s="662"/>
      <c r="T581" s="662"/>
      <c r="U581" s="665"/>
      <c r="V581" s="666"/>
      <c r="W581" s="662"/>
      <c r="X581" s="662"/>
      <c r="Y581" s="662"/>
      <c r="Z581" s="662"/>
    </row>
    <row r="582">
      <c r="A582" s="662"/>
      <c r="B582" s="664"/>
      <c r="C582" s="795"/>
      <c r="D582" s="796"/>
      <c r="E582" s="681"/>
      <c r="F582" s="797"/>
      <c r="G582" s="797"/>
      <c r="H582" s="797"/>
      <c r="I582" s="797"/>
      <c r="J582" s="797"/>
      <c r="K582" s="797"/>
      <c r="L582" s="797"/>
      <c r="M582" s="797"/>
      <c r="N582" s="797"/>
      <c r="O582" s="797"/>
      <c r="P582" s="797"/>
      <c r="Q582" s="797"/>
      <c r="R582" s="662"/>
      <c r="S582" s="662"/>
      <c r="T582" s="662"/>
      <c r="U582" s="665"/>
      <c r="V582" s="666"/>
      <c r="W582" s="662"/>
      <c r="X582" s="662"/>
      <c r="Y582" s="662"/>
      <c r="Z582" s="662"/>
    </row>
    <row r="583">
      <c r="A583" s="662"/>
      <c r="B583" s="664"/>
      <c r="C583" s="795"/>
      <c r="D583" s="796"/>
      <c r="E583" s="681"/>
      <c r="F583" s="797"/>
      <c r="G583" s="797"/>
      <c r="H583" s="797"/>
      <c r="I583" s="797"/>
      <c r="J583" s="797"/>
      <c r="K583" s="797"/>
      <c r="L583" s="797"/>
      <c r="M583" s="797"/>
      <c r="N583" s="797"/>
      <c r="O583" s="797"/>
      <c r="P583" s="797"/>
      <c r="Q583" s="797"/>
      <c r="R583" s="662"/>
      <c r="S583" s="662"/>
      <c r="T583" s="662"/>
      <c r="U583" s="665"/>
      <c r="V583" s="666"/>
      <c r="W583" s="662"/>
      <c r="X583" s="662"/>
      <c r="Y583" s="662"/>
      <c r="Z583" s="662"/>
    </row>
    <row r="584">
      <c r="A584" s="662"/>
      <c r="B584" s="664"/>
      <c r="C584" s="795"/>
      <c r="D584" s="796"/>
      <c r="E584" s="681"/>
      <c r="F584" s="797"/>
      <c r="G584" s="797"/>
      <c r="H584" s="797"/>
      <c r="I584" s="797"/>
      <c r="J584" s="797"/>
      <c r="K584" s="797"/>
      <c r="L584" s="797"/>
      <c r="M584" s="797"/>
      <c r="N584" s="797"/>
      <c r="O584" s="797"/>
      <c r="P584" s="797"/>
      <c r="Q584" s="797"/>
      <c r="R584" s="662"/>
      <c r="S584" s="662"/>
      <c r="T584" s="662"/>
      <c r="U584" s="665"/>
      <c r="V584" s="666"/>
      <c r="W584" s="662"/>
      <c r="X584" s="662"/>
      <c r="Y584" s="662"/>
      <c r="Z584" s="662"/>
    </row>
    <row r="585">
      <c r="A585" s="662"/>
      <c r="B585" s="664"/>
      <c r="C585" s="795"/>
      <c r="D585" s="796"/>
      <c r="E585" s="681"/>
      <c r="F585" s="797"/>
      <c r="G585" s="797"/>
      <c r="H585" s="797"/>
      <c r="I585" s="797"/>
      <c r="J585" s="797"/>
      <c r="K585" s="797"/>
      <c r="L585" s="797"/>
      <c r="M585" s="797"/>
      <c r="N585" s="797"/>
      <c r="O585" s="797"/>
      <c r="P585" s="797"/>
      <c r="Q585" s="797"/>
      <c r="R585" s="662"/>
      <c r="S585" s="662"/>
      <c r="T585" s="662"/>
      <c r="U585" s="665"/>
      <c r="V585" s="666"/>
      <c r="W585" s="662"/>
      <c r="X585" s="662"/>
      <c r="Y585" s="662"/>
      <c r="Z585" s="662"/>
    </row>
    <row r="586">
      <c r="A586" s="662"/>
      <c r="B586" s="664"/>
      <c r="C586" s="795"/>
      <c r="D586" s="796"/>
      <c r="E586" s="681"/>
      <c r="F586" s="797"/>
      <c r="G586" s="797"/>
      <c r="H586" s="797"/>
      <c r="I586" s="797"/>
      <c r="J586" s="797"/>
      <c r="K586" s="797"/>
      <c r="L586" s="797"/>
      <c r="M586" s="797"/>
      <c r="N586" s="797"/>
      <c r="O586" s="797"/>
      <c r="P586" s="797"/>
      <c r="Q586" s="797"/>
      <c r="R586" s="662"/>
      <c r="S586" s="662"/>
      <c r="T586" s="662"/>
      <c r="U586" s="665"/>
      <c r="V586" s="666"/>
      <c r="W586" s="662"/>
      <c r="X586" s="662"/>
      <c r="Y586" s="662"/>
      <c r="Z586" s="662"/>
    </row>
    <row r="587">
      <c r="A587" s="662"/>
      <c r="B587" s="664"/>
      <c r="C587" s="795"/>
      <c r="D587" s="796"/>
      <c r="E587" s="681"/>
      <c r="F587" s="797"/>
      <c r="G587" s="797"/>
      <c r="H587" s="797"/>
      <c r="I587" s="797"/>
      <c r="J587" s="797"/>
      <c r="K587" s="797"/>
      <c r="L587" s="797"/>
      <c r="M587" s="797"/>
      <c r="N587" s="797"/>
      <c r="O587" s="797"/>
      <c r="P587" s="797"/>
      <c r="Q587" s="797"/>
      <c r="R587" s="662"/>
      <c r="S587" s="662"/>
      <c r="T587" s="662"/>
      <c r="U587" s="665"/>
      <c r="V587" s="666"/>
      <c r="W587" s="662"/>
      <c r="X587" s="662"/>
      <c r="Y587" s="662"/>
      <c r="Z587" s="662"/>
    </row>
    <row r="588">
      <c r="A588" s="662"/>
      <c r="B588" s="664"/>
      <c r="C588" s="795"/>
      <c r="D588" s="796"/>
      <c r="E588" s="681"/>
      <c r="F588" s="797"/>
      <c r="G588" s="797"/>
      <c r="H588" s="797"/>
      <c r="I588" s="797"/>
      <c r="J588" s="797"/>
      <c r="K588" s="797"/>
      <c r="L588" s="797"/>
      <c r="M588" s="797"/>
      <c r="N588" s="797"/>
      <c r="O588" s="797"/>
      <c r="P588" s="797"/>
      <c r="Q588" s="797"/>
      <c r="R588" s="662"/>
      <c r="S588" s="662"/>
      <c r="T588" s="662"/>
      <c r="U588" s="665"/>
      <c r="V588" s="666"/>
      <c r="W588" s="662"/>
      <c r="X588" s="662"/>
      <c r="Y588" s="662"/>
      <c r="Z588" s="662"/>
    </row>
    <row r="589">
      <c r="A589" s="662"/>
      <c r="B589" s="664"/>
      <c r="C589" s="795"/>
      <c r="D589" s="796"/>
      <c r="E589" s="681"/>
      <c r="F589" s="797"/>
      <c r="G589" s="797"/>
      <c r="H589" s="797"/>
      <c r="I589" s="797"/>
      <c r="J589" s="797"/>
      <c r="K589" s="797"/>
      <c r="L589" s="797"/>
      <c r="M589" s="797"/>
      <c r="N589" s="797"/>
      <c r="O589" s="797"/>
      <c r="P589" s="797"/>
      <c r="Q589" s="797"/>
      <c r="R589" s="662"/>
      <c r="S589" s="662"/>
      <c r="T589" s="662"/>
      <c r="U589" s="665"/>
      <c r="V589" s="666"/>
      <c r="W589" s="662"/>
      <c r="X589" s="662"/>
      <c r="Y589" s="662"/>
      <c r="Z589" s="662"/>
    </row>
    <row r="590">
      <c r="A590" s="662"/>
      <c r="B590" s="664"/>
      <c r="C590" s="795"/>
      <c r="D590" s="796"/>
      <c r="E590" s="681"/>
      <c r="F590" s="797"/>
      <c r="G590" s="797"/>
      <c r="H590" s="797"/>
      <c r="I590" s="797"/>
      <c r="J590" s="797"/>
      <c r="K590" s="797"/>
      <c r="L590" s="797"/>
      <c r="M590" s="797"/>
      <c r="N590" s="797"/>
      <c r="O590" s="797"/>
      <c r="P590" s="797"/>
      <c r="Q590" s="797"/>
      <c r="R590" s="662"/>
      <c r="S590" s="662"/>
      <c r="T590" s="662"/>
      <c r="U590" s="665"/>
      <c r="V590" s="666"/>
      <c r="W590" s="662"/>
      <c r="X590" s="662"/>
      <c r="Y590" s="662"/>
      <c r="Z590" s="662"/>
    </row>
    <row r="591">
      <c r="A591" s="662"/>
      <c r="B591" s="664"/>
      <c r="C591" s="795"/>
      <c r="D591" s="796"/>
      <c r="E591" s="681"/>
      <c r="F591" s="797"/>
      <c r="G591" s="797"/>
      <c r="H591" s="797"/>
      <c r="I591" s="797"/>
      <c r="J591" s="797"/>
      <c r="K591" s="797"/>
      <c r="L591" s="797"/>
      <c r="M591" s="797"/>
      <c r="N591" s="797"/>
      <c r="O591" s="797"/>
      <c r="P591" s="797"/>
      <c r="Q591" s="797"/>
      <c r="R591" s="662"/>
      <c r="S591" s="662"/>
      <c r="T591" s="662"/>
      <c r="U591" s="665"/>
      <c r="V591" s="666"/>
      <c r="W591" s="662"/>
      <c r="X591" s="662"/>
      <c r="Y591" s="662"/>
      <c r="Z591" s="662"/>
    </row>
    <row r="592">
      <c r="A592" s="662"/>
      <c r="B592" s="664"/>
      <c r="C592" s="795"/>
      <c r="D592" s="796"/>
      <c r="E592" s="681"/>
      <c r="F592" s="797"/>
      <c r="G592" s="797"/>
      <c r="H592" s="797"/>
      <c r="I592" s="797"/>
      <c r="J592" s="797"/>
      <c r="K592" s="797"/>
      <c r="L592" s="797"/>
      <c r="M592" s="797"/>
      <c r="N592" s="797"/>
      <c r="O592" s="797"/>
      <c r="P592" s="797"/>
      <c r="Q592" s="797"/>
      <c r="R592" s="662"/>
      <c r="S592" s="662"/>
      <c r="T592" s="662"/>
      <c r="U592" s="665"/>
      <c r="V592" s="666"/>
      <c r="W592" s="662"/>
      <c r="X592" s="662"/>
      <c r="Y592" s="662"/>
      <c r="Z592" s="662"/>
    </row>
    <row r="593">
      <c r="A593" s="662"/>
      <c r="B593" s="664"/>
      <c r="C593" s="795"/>
      <c r="D593" s="796"/>
      <c r="E593" s="681"/>
      <c r="F593" s="797"/>
      <c r="G593" s="797"/>
      <c r="H593" s="797"/>
      <c r="I593" s="797"/>
      <c r="J593" s="797"/>
      <c r="K593" s="797"/>
      <c r="L593" s="797"/>
      <c r="M593" s="797"/>
      <c r="N593" s="797"/>
      <c r="O593" s="797"/>
      <c r="P593" s="797"/>
      <c r="Q593" s="797"/>
      <c r="R593" s="662"/>
      <c r="S593" s="662"/>
      <c r="T593" s="662"/>
      <c r="U593" s="665"/>
      <c r="V593" s="666"/>
      <c r="W593" s="662"/>
      <c r="X593" s="662"/>
      <c r="Y593" s="662"/>
      <c r="Z593" s="662"/>
    </row>
    <row r="594">
      <c r="A594" s="662"/>
      <c r="B594" s="664"/>
      <c r="C594" s="795"/>
      <c r="D594" s="796"/>
      <c r="E594" s="681"/>
      <c r="F594" s="797"/>
      <c r="G594" s="797"/>
      <c r="H594" s="797"/>
      <c r="I594" s="797"/>
      <c r="J594" s="797"/>
      <c r="K594" s="797"/>
      <c r="L594" s="797"/>
      <c r="M594" s="797"/>
      <c r="N594" s="797"/>
      <c r="O594" s="797"/>
      <c r="P594" s="797"/>
      <c r="Q594" s="797"/>
      <c r="R594" s="662"/>
      <c r="S594" s="662"/>
      <c r="T594" s="662"/>
      <c r="U594" s="665"/>
      <c r="V594" s="666"/>
      <c r="W594" s="662"/>
      <c r="X594" s="662"/>
      <c r="Y594" s="662"/>
      <c r="Z594" s="662"/>
    </row>
    <row r="595">
      <c r="A595" s="662"/>
      <c r="B595" s="664"/>
      <c r="C595" s="795"/>
      <c r="D595" s="796"/>
      <c r="E595" s="681"/>
      <c r="F595" s="797"/>
      <c r="G595" s="797"/>
      <c r="H595" s="797"/>
      <c r="I595" s="797"/>
      <c r="J595" s="797"/>
      <c r="K595" s="797"/>
      <c r="L595" s="797"/>
      <c r="M595" s="797"/>
      <c r="N595" s="797"/>
      <c r="O595" s="797"/>
      <c r="P595" s="797"/>
      <c r="Q595" s="797"/>
      <c r="R595" s="662"/>
      <c r="S595" s="662"/>
      <c r="T595" s="662"/>
      <c r="U595" s="665"/>
      <c r="V595" s="666"/>
      <c r="W595" s="662"/>
      <c r="X595" s="662"/>
      <c r="Y595" s="662"/>
      <c r="Z595" s="662"/>
    </row>
    <row r="596">
      <c r="A596" s="662"/>
      <c r="B596" s="664"/>
      <c r="C596" s="795"/>
      <c r="D596" s="796"/>
      <c r="E596" s="681"/>
      <c r="F596" s="797"/>
      <c r="G596" s="797"/>
      <c r="H596" s="797"/>
      <c r="I596" s="797"/>
      <c r="J596" s="797"/>
      <c r="K596" s="797"/>
      <c r="L596" s="797"/>
      <c r="M596" s="797"/>
      <c r="N596" s="797"/>
      <c r="O596" s="797"/>
      <c r="P596" s="797"/>
      <c r="Q596" s="797"/>
      <c r="R596" s="662"/>
      <c r="S596" s="662"/>
      <c r="T596" s="662"/>
      <c r="U596" s="665"/>
      <c r="V596" s="666"/>
      <c r="W596" s="662"/>
      <c r="X596" s="662"/>
      <c r="Y596" s="662"/>
      <c r="Z596" s="662"/>
    </row>
    <row r="597">
      <c r="A597" s="662"/>
      <c r="B597" s="664"/>
      <c r="C597" s="795"/>
      <c r="D597" s="796"/>
      <c r="E597" s="681"/>
      <c r="F597" s="797"/>
      <c r="G597" s="797"/>
      <c r="H597" s="797"/>
      <c r="I597" s="797"/>
      <c r="J597" s="797"/>
      <c r="K597" s="797"/>
      <c r="L597" s="797"/>
      <c r="M597" s="797"/>
      <c r="N597" s="797"/>
      <c r="O597" s="797"/>
      <c r="P597" s="797"/>
      <c r="Q597" s="797"/>
      <c r="R597" s="662"/>
      <c r="S597" s="662"/>
      <c r="T597" s="662"/>
      <c r="U597" s="665"/>
      <c r="V597" s="666"/>
      <c r="W597" s="662"/>
      <c r="X597" s="662"/>
      <c r="Y597" s="662"/>
      <c r="Z597" s="662"/>
    </row>
    <row r="598">
      <c r="A598" s="662"/>
      <c r="B598" s="664"/>
      <c r="C598" s="795"/>
      <c r="D598" s="796"/>
      <c r="E598" s="681"/>
      <c r="F598" s="797"/>
      <c r="G598" s="797"/>
      <c r="H598" s="797"/>
      <c r="I598" s="797"/>
      <c r="J598" s="797"/>
      <c r="K598" s="797"/>
      <c r="L598" s="797"/>
      <c r="M598" s="797"/>
      <c r="N598" s="797"/>
      <c r="O598" s="797"/>
      <c r="P598" s="797"/>
      <c r="Q598" s="797"/>
      <c r="R598" s="662"/>
      <c r="S598" s="662"/>
      <c r="T598" s="662"/>
      <c r="U598" s="665"/>
      <c r="V598" s="666"/>
      <c r="W598" s="662"/>
      <c r="X598" s="662"/>
      <c r="Y598" s="662"/>
      <c r="Z598" s="662"/>
    </row>
    <row r="599">
      <c r="A599" s="662"/>
      <c r="B599" s="664"/>
      <c r="C599" s="795"/>
      <c r="D599" s="796"/>
      <c r="E599" s="681"/>
      <c r="F599" s="797"/>
      <c r="G599" s="797"/>
      <c r="H599" s="797"/>
      <c r="I599" s="797"/>
      <c r="J599" s="797"/>
      <c r="K599" s="797"/>
      <c r="L599" s="797"/>
      <c r="M599" s="797"/>
      <c r="N599" s="797"/>
      <c r="O599" s="797"/>
      <c r="P599" s="797"/>
      <c r="Q599" s="797"/>
      <c r="R599" s="662"/>
      <c r="S599" s="662"/>
      <c r="T599" s="662"/>
      <c r="U599" s="665"/>
      <c r="V599" s="666"/>
      <c r="W599" s="662"/>
      <c r="X599" s="662"/>
      <c r="Y599" s="662"/>
      <c r="Z599" s="662"/>
    </row>
    <row r="600">
      <c r="A600" s="662"/>
      <c r="B600" s="664"/>
      <c r="C600" s="795"/>
      <c r="D600" s="796"/>
      <c r="E600" s="681"/>
      <c r="F600" s="797"/>
      <c r="G600" s="797"/>
      <c r="H600" s="797"/>
      <c r="I600" s="797"/>
      <c r="J600" s="797"/>
      <c r="K600" s="797"/>
      <c r="L600" s="797"/>
      <c r="M600" s="797"/>
      <c r="N600" s="797"/>
      <c r="O600" s="797"/>
      <c r="P600" s="797"/>
      <c r="Q600" s="797"/>
      <c r="R600" s="662"/>
      <c r="S600" s="662"/>
      <c r="T600" s="662"/>
      <c r="U600" s="665"/>
      <c r="V600" s="666"/>
      <c r="W600" s="662"/>
      <c r="X600" s="662"/>
      <c r="Y600" s="662"/>
      <c r="Z600" s="662"/>
    </row>
    <row r="601">
      <c r="A601" s="662"/>
      <c r="B601" s="664"/>
      <c r="C601" s="795"/>
      <c r="D601" s="796"/>
      <c r="E601" s="681"/>
      <c r="F601" s="797"/>
      <c r="G601" s="797"/>
      <c r="H601" s="797"/>
      <c r="I601" s="797"/>
      <c r="J601" s="797"/>
      <c r="K601" s="797"/>
      <c r="L601" s="797"/>
      <c r="M601" s="797"/>
      <c r="N601" s="797"/>
      <c r="O601" s="797"/>
      <c r="P601" s="797"/>
      <c r="Q601" s="797"/>
      <c r="R601" s="662"/>
      <c r="S601" s="662"/>
      <c r="T601" s="662"/>
      <c r="U601" s="665"/>
      <c r="V601" s="666"/>
      <c r="W601" s="662"/>
      <c r="X601" s="662"/>
      <c r="Y601" s="662"/>
      <c r="Z601" s="662"/>
    </row>
    <row r="602">
      <c r="A602" s="662"/>
      <c r="B602" s="664"/>
      <c r="C602" s="795"/>
      <c r="D602" s="796"/>
      <c r="E602" s="681"/>
      <c r="F602" s="797"/>
      <c r="G602" s="797"/>
      <c r="H602" s="797"/>
      <c r="I602" s="797"/>
      <c r="J602" s="797"/>
      <c r="K602" s="797"/>
      <c r="L602" s="797"/>
      <c r="M602" s="797"/>
      <c r="N602" s="797"/>
      <c r="O602" s="797"/>
      <c r="P602" s="797"/>
      <c r="Q602" s="797"/>
      <c r="R602" s="662"/>
      <c r="S602" s="662"/>
      <c r="T602" s="662"/>
      <c r="U602" s="665"/>
      <c r="V602" s="666"/>
      <c r="W602" s="662"/>
      <c r="X602" s="662"/>
      <c r="Y602" s="662"/>
      <c r="Z602" s="662"/>
    </row>
    <row r="603">
      <c r="A603" s="662"/>
      <c r="B603" s="664"/>
      <c r="C603" s="795"/>
      <c r="D603" s="796"/>
      <c r="E603" s="681"/>
      <c r="F603" s="797"/>
      <c r="G603" s="797"/>
      <c r="H603" s="797"/>
      <c r="I603" s="797"/>
      <c r="J603" s="797"/>
      <c r="K603" s="797"/>
      <c r="L603" s="797"/>
      <c r="M603" s="797"/>
      <c r="N603" s="797"/>
      <c r="O603" s="797"/>
      <c r="P603" s="797"/>
      <c r="Q603" s="797"/>
      <c r="R603" s="662"/>
      <c r="S603" s="662"/>
      <c r="T603" s="662"/>
      <c r="U603" s="665"/>
      <c r="V603" s="666"/>
      <c r="W603" s="662"/>
      <c r="X603" s="662"/>
      <c r="Y603" s="662"/>
      <c r="Z603" s="662"/>
    </row>
    <row r="604">
      <c r="A604" s="662"/>
      <c r="B604" s="664"/>
      <c r="C604" s="795"/>
      <c r="D604" s="796"/>
      <c r="E604" s="681"/>
      <c r="F604" s="797"/>
      <c r="G604" s="797"/>
      <c r="H604" s="797"/>
      <c r="I604" s="797"/>
      <c r="J604" s="797"/>
      <c r="K604" s="797"/>
      <c r="L604" s="797"/>
      <c r="M604" s="797"/>
      <c r="N604" s="797"/>
      <c r="O604" s="797"/>
      <c r="P604" s="797"/>
      <c r="Q604" s="797"/>
      <c r="R604" s="662"/>
      <c r="S604" s="662"/>
      <c r="T604" s="662"/>
      <c r="U604" s="665"/>
      <c r="V604" s="666"/>
      <c r="W604" s="662"/>
      <c r="X604" s="662"/>
      <c r="Y604" s="662"/>
      <c r="Z604" s="662"/>
    </row>
    <row r="605">
      <c r="A605" s="662"/>
      <c r="B605" s="664"/>
      <c r="C605" s="795"/>
      <c r="D605" s="796"/>
      <c r="E605" s="681"/>
      <c r="F605" s="797"/>
      <c r="G605" s="797"/>
      <c r="H605" s="797"/>
      <c r="I605" s="797"/>
      <c r="J605" s="797"/>
      <c r="K605" s="797"/>
      <c r="L605" s="797"/>
      <c r="M605" s="797"/>
      <c r="N605" s="797"/>
      <c r="O605" s="797"/>
      <c r="P605" s="797"/>
      <c r="Q605" s="797"/>
      <c r="R605" s="662"/>
      <c r="S605" s="662"/>
      <c r="T605" s="662"/>
      <c r="U605" s="665"/>
      <c r="V605" s="666"/>
      <c r="W605" s="662"/>
      <c r="X605" s="662"/>
      <c r="Y605" s="662"/>
      <c r="Z605" s="662"/>
    </row>
    <row r="606">
      <c r="A606" s="662"/>
      <c r="B606" s="664"/>
      <c r="C606" s="795"/>
      <c r="D606" s="796"/>
      <c r="E606" s="681"/>
      <c r="F606" s="797"/>
      <c r="G606" s="797"/>
      <c r="H606" s="797"/>
      <c r="I606" s="797"/>
      <c r="J606" s="797"/>
      <c r="K606" s="797"/>
      <c r="L606" s="797"/>
      <c r="M606" s="797"/>
      <c r="N606" s="797"/>
      <c r="O606" s="797"/>
      <c r="P606" s="797"/>
      <c r="Q606" s="797"/>
      <c r="R606" s="662"/>
      <c r="S606" s="662"/>
      <c r="T606" s="662"/>
      <c r="U606" s="665"/>
      <c r="V606" s="666"/>
      <c r="W606" s="662"/>
      <c r="X606" s="662"/>
      <c r="Y606" s="662"/>
      <c r="Z606" s="662"/>
    </row>
    <row r="607">
      <c r="A607" s="662"/>
      <c r="B607" s="664"/>
      <c r="C607" s="795"/>
      <c r="D607" s="796"/>
      <c r="E607" s="681"/>
      <c r="F607" s="797"/>
      <c r="G607" s="797"/>
      <c r="H607" s="797"/>
      <c r="I607" s="797"/>
      <c r="J607" s="797"/>
      <c r="K607" s="797"/>
      <c r="L607" s="797"/>
      <c r="M607" s="797"/>
      <c r="N607" s="797"/>
      <c r="O607" s="797"/>
      <c r="P607" s="797"/>
      <c r="Q607" s="797"/>
      <c r="R607" s="662"/>
      <c r="S607" s="662"/>
      <c r="T607" s="662"/>
      <c r="U607" s="665"/>
      <c r="V607" s="666"/>
      <c r="W607" s="662"/>
      <c r="X607" s="662"/>
      <c r="Y607" s="662"/>
      <c r="Z607" s="662"/>
    </row>
    <row r="608">
      <c r="A608" s="662"/>
      <c r="B608" s="664"/>
      <c r="C608" s="795"/>
      <c r="D608" s="796"/>
      <c r="E608" s="681"/>
      <c r="F608" s="797"/>
      <c r="G608" s="797"/>
      <c r="H608" s="797"/>
      <c r="I608" s="797"/>
      <c r="J608" s="797"/>
      <c r="K608" s="797"/>
      <c r="L608" s="797"/>
      <c r="M608" s="797"/>
      <c r="N608" s="797"/>
      <c r="O608" s="797"/>
      <c r="P608" s="797"/>
      <c r="Q608" s="797"/>
      <c r="R608" s="662"/>
      <c r="S608" s="662"/>
      <c r="T608" s="662"/>
      <c r="U608" s="665"/>
      <c r="V608" s="666"/>
      <c r="W608" s="662"/>
      <c r="X608" s="662"/>
      <c r="Y608" s="662"/>
      <c r="Z608" s="662"/>
    </row>
    <row r="609">
      <c r="A609" s="662"/>
      <c r="B609" s="664"/>
      <c r="C609" s="795"/>
      <c r="D609" s="796"/>
      <c r="E609" s="681"/>
      <c r="F609" s="797"/>
      <c r="G609" s="797"/>
      <c r="H609" s="797"/>
      <c r="I609" s="797"/>
      <c r="J609" s="797"/>
      <c r="K609" s="797"/>
      <c r="L609" s="797"/>
      <c r="M609" s="797"/>
      <c r="N609" s="797"/>
      <c r="O609" s="797"/>
      <c r="P609" s="797"/>
      <c r="Q609" s="797"/>
      <c r="R609" s="662"/>
      <c r="S609" s="662"/>
      <c r="T609" s="662"/>
      <c r="U609" s="665"/>
      <c r="V609" s="666"/>
      <c r="W609" s="662"/>
      <c r="X609" s="662"/>
      <c r="Y609" s="662"/>
      <c r="Z609" s="662"/>
    </row>
    <row r="610">
      <c r="A610" s="662"/>
      <c r="B610" s="664"/>
      <c r="C610" s="795"/>
      <c r="D610" s="796"/>
      <c r="E610" s="681"/>
      <c r="F610" s="797"/>
      <c r="G610" s="797"/>
      <c r="H610" s="797"/>
      <c r="I610" s="797"/>
      <c r="J610" s="797"/>
      <c r="K610" s="797"/>
      <c r="L610" s="797"/>
      <c r="M610" s="797"/>
      <c r="N610" s="797"/>
      <c r="O610" s="797"/>
      <c r="P610" s="797"/>
      <c r="Q610" s="797"/>
      <c r="R610" s="662"/>
      <c r="S610" s="662"/>
      <c r="T610" s="662"/>
      <c r="U610" s="665"/>
      <c r="V610" s="666"/>
      <c r="W610" s="662"/>
      <c r="X610" s="662"/>
      <c r="Y610" s="662"/>
      <c r="Z610" s="662"/>
    </row>
    <row r="611">
      <c r="A611" s="662"/>
      <c r="B611" s="664"/>
      <c r="C611" s="795"/>
      <c r="D611" s="796"/>
      <c r="E611" s="681"/>
      <c r="F611" s="797"/>
      <c r="G611" s="797"/>
      <c r="H611" s="797"/>
      <c r="I611" s="797"/>
      <c r="J611" s="797"/>
      <c r="K611" s="797"/>
      <c r="L611" s="797"/>
      <c r="M611" s="797"/>
      <c r="N611" s="797"/>
      <c r="O611" s="797"/>
      <c r="P611" s="797"/>
      <c r="Q611" s="797"/>
      <c r="R611" s="662"/>
      <c r="S611" s="662"/>
      <c r="T611" s="662"/>
      <c r="U611" s="665"/>
      <c r="V611" s="666"/>
      <c r="W611" s="662"/>
      <c r="X611" s="662"/>
      <c r="Y611" s="662"/>
      <c r="Z611" s="662"/>
    </row>
    <row r="612">
      <c r="A612" s="662"/>
      <c r="B612" s="664"/>
      <c r="C612" s="795"/>
      <c r="D612" s="796"/>
      <c r="E612" s="681"/>
      <c r="F612" s="797"/>
      <c r="G612" s="797"/>
      <c r="H612" s="797"/>
      <c r="I612" s="797"/>
      <c r="J612" s="797"/>
      <c r="K612" s="797"/>
      <c r="L612" s="797"/>
      <c r="M612" s="797"/>
      <c r="N612" s="797"/>
      <c r="O612" s="797"/>
      <c r="P612" s="797"/>
      <c r="Q612" s="797"/>
      <c r="R612" s="662"/>
      <c r="S612" s="662"/>
      <c r="T612" s="662"/>
      <c r="U612" s="665"/>
      <c r="V612" s="666"/>
      <c r="W612" s="662"/>
      <c r="X612" s="662"/>
      <c r="Y612" s="662"/>
      <c r="Z612" s="662"/>
    </row>
    <row r="613">
      <c r="A613" s="662"/>
      <c r="B613" s="664"/>
      <c r="C613" s="795"/>
      <c r="D613" s="796"/>
      <c r="E613" s="681"/>
      <c r="F613" s="797"/>
      <c r="G613" s="797"/>
      <c r="H613" s="797"/>
      <c r="I613" s="797"/>
      <c r="J613" s="797"/>
      <c r="K613" s="797"/>
      <c r="L613" s="797"/>
      <c r="M613" s="797"/>
      <c r="N613" s="797"/>
      <c r="O613" s="797"/>
      <c r="P613" s="797"/>
      <c r="Q613" s="797"/>
      <c r="R613" s="662"/>
      <c r="S613" s="662"/>
      <c r="T613" s="662"/>
      <c r="U613" s="665"/>
      <c r="V613" s="666"/>
      <c r="W613" s="662"/>
      <c r="X613" s="662"/>
      <c r="Y613" s="662"/>
      <c r="Z613" s="662"/>
    </row>
    <row r="614">
      <c r="A614" s="662"/>
      <c r="B614" s="664"/>
      <c r="C614" s="795"/>
      <c r="D614" s="796"/>
      <c r="E614" s="681"/>
      <c r="F614" s="797"/>
      <c r="G614" s="797"/>
      <c r="H614" s="797"/>
      <c r="I614" s="797"/>
      <c r="J614" s="797"/>
      <c r="K614" s="797"/>
      <c r="L614" s="797"/>
      <c r="M614" s="797"/>
      <c r="N614" s="797"/>
      <c r="O614" s="797"/>
      <c r="P614" s="797"/>
      <c r="Q614" s="797"/>
      <c r="R614" s="662"/>
      <c r="S614" s="662"/>
      <c r="T614" s="662"/>
      <c r="U614" s="665"/>
      <c r="V614" s="666"/>
      <c r="W614" s="662"/>
      <c r="X614" s="662"/>
      <c r="Y614" s="662"/>
      <c r="Z614" s="662"/>
    </row>
    <row r="615">
      <c r="A615" s="662"/>
      <c r="B615" s="664"/>
      <c r="C615" s="795"/>
      <c r="D615" s="796"/>
      <c r="E615" s="681"/>
      <c r="F615" s="797"/>
      <c r="G615" s="797"/>
      <c r="H615" s="797"/>
      <c r="I615" s="797"/>
      <c r="J615" s="797"/>
      <c r="K615" s="797"/>
      <c r="L615" s="797"/>
      <c r="M615" s="797"/>
      <c r="N615" s="797"/>
      <c r="O615" s="797"/>
      <c r="P615" s="797"/>
      <c r="Q615" s="797"/>
      <c r="R615" s="662"/>
      <c r="S615" s="662"/>
      <c r="T615" s="662"/>
      <c r="U615" s="665"/>
      <c r="V615" s="666"/>
      <c r="W615" s="662"/>
      <c r="X615" s="662"/>
      <c r="Y615" s="662"/>
      <c r="Z615" s="662"/>
    </row>
    <row r="616">
      <c r="A616" s="662"/>
      <c r="B616" s="664"/>
      <c r="C616" s="795"/>
      <c r="D616" s="796"/>
      <c r="E616" s="681"/>
      <c r="F616" s="797"/>
      <c r="G616" s="797"/>
      <c r="H616" s="797"/>
      <c r="I616" s="797"/>
      <c r="J616" s="797"/>
      <c r="K616" s="797"/>
      <c r="L616" s="797"/>
      <c r="M616" s="797"/>
      <c r="N616" s="797"/>
      <c r="O616" s="797"/>
      <c r="P616" s="797"/>
      <c r="Q616" s="797"/>
      <c r="R616" s="662"/>
      <c r="S616" s="662"/>
      <c r="T616" s="662"/>
      <c r="U616" s="665"/>
      <c r="V616" s="666"/>
      <c r="W616" s="662"/>
      <c r="X616" s="662"/>
      <c r="Y616" s="662"/>
      <c r="Z616" s="662"/>
    </row>
    <row r="617">
      <c r="A617" s="662"/>
      <c r="B617" s="664"/>
      <c r="C617" s="795"/>
      <c r="D617" s="796"/>
      <c r="E617" s="681"/>
      <c r="F617" s="797"/>
      <c r="G617" s="797"/>
      <c r="H617" s="797"/>
      <c r="I617" s="797"/>
      <c r="J617" s="797"/>
      <c r="K617" s="797"/>
      <c r="L617" s="797"/>
      <c r="M617" s="797"/>
      <c r="N617" s="797"/>
      <c r="O617" s="797"/>
      <c r="P617" s="797"/>
      <c r="Q617" s="797"/>
      <c r="R617" s="662"/>
      <c r="S617" s="662"/>
      <c r="T617" s="662"/>
      <c r="U617" s="665"/>
      <c r="V617" s="666"/>
      <c r="W617" s="662"/>
      <c r="X617" s="662"/>
      <c r="Y617" s="662"/>
      <c r="Z617" s="662"/>
    </row>
    <row r="618">
      <c r="A618" s="662"/>
      <c r="B618" s="664"/>
      <c r="C618" s="795"/>
      <c r="D618" s="796"/>
      <c r="E618" s="681"/>
      <c r="F618" s="797"/>
      <c r="G618" s="797"/>
      <c r="H618" s="797"/>
      <c r="I618" s="797"/>
      <c r="J618" s="797"/>
      <c r="K618" s="797"/>
      <c r="L618" s="797"/>
      <c r="M618" s="797"/>
      <c r="N618" s="797"/>
      <c r="O618" s="797"/>
      <c r="P618" s="797"/>
      <c r="Q618" s="797"/>
      <c r="R618" s="662"/>
      <c r="S618" s="662"/>
      <c r="T618" s="662"/>
      <c r="U618" s="665"/>
      <c r="V618" s="666"/>
      <c r="W618" s="662"/>
      <c r="X618" s="662"/>
      <c r="Y618" s="662"/>
      <c r="Z618" s="662"/>
    </row>
    <row r="619">
      <c r="A619" s="662"/>
      <c r="B619" s="664"/>
      <c r="C619" s="795"/>
      <c r="D619" s="796"/>
      <c r="E619" s="681"/>
      <c r="F619" s="797"/>
      <c r="G619" s="797"/>
      <c r="H619" s="797"/>
      <c r="I619" s="797"/>
      <c r="J619" s="797"/>
      <c r="K619" s="797"/>
      <c r="L619" s="797"/>
      <c r="M619" s="797"/>
      <c r="N619" s="797"/>
      <c r="O619" s="797"/>
      <c r="P619" s="797"/>
      <c r="Q619" s="797"/>
      <c r="R619" s="662"/>
      <c r="S619" s="662"/>
      <c r="T619" s="662"/>
      <c r="U619" s="665"/>
      <c r="V619" s="666"/>
      <c r="W619" s="662"/>
      <c r="X619" s="662"/>
      <c r="Y619" s="662"/>
      <c r="Z619" s="662"/>
    </row>
    <row r="620">
      <c r="A620" s="662"/>
      <c r="B620" s="664"/>
      <c r="C620" s="795"/>
      <c r="D620" s="796"/>
      <c r="E620" s="681"/>
      <c r="F620" s="797"/>
      <c r="G620" s="797"/>
      <c r="H620" s="797"/>
      <c r="I620" s="797"/>
      <c r="J620" s="797"/>
      <c r="K620" s="797"/>
      <c r="L620" s="797"/>
      <c r="M620" s="797"/>
      <c r="N620" s="797"/>
      <c r="O620" s="797"/>
      <c r="P620" s="797"/>
      <c r="Q620" s="797"/>
      <c r="R620" s="662"/>
      <c r="S620" s="662"/>
      <c r="T620" s="662"/>
      <c r="U620" s="665"/>
      <c r="V620" s="666"/>
      <c r="W620" s="662"/>
      <c r="X620" s="662"/>
      <c r="Y620" s="662"/>
      <c r="Z620" s="662"/>
    </row>
    <row r="621">
      <c r="A621" s="662"/>
      <c r="B621" s="664"/>
      <c r="C621" s="795"/>
      <c r="D621" s="796"/>
      <c r="E621" s="681"/>
      <c r="F621" s="797"/>
      <c r="G621" s="797"/>
      <c r="H621" s="797"/>
      <c r="I621" s="797"/>
      <c r="J621" s="797"/>
      <c r="K621" s="797"/>
      <c r="L621" s="797"/>
      <c r="M621" s="797"/>
      <c r="N621" s="797"/>
      <c r="O621" s="797"/>
      <c r="P621" s="797"/>
      <c r="Q621" s="797"/>
      <c r="R621" s="662"/>
      <c r="S621" s="662"/>
      <c r="T621" s="662"/>
      <c r="U621" s="665"/>
      <c r="V621" s="666"/>
      <c r="W621" s="662"/>
      <c r="X621" s="662"/>
      <c r="Y621" s="662"/>
      <c r="Z621" s="662"/>
    </row>
    <row r="622">
      <c r="A622" s="662"/>
      <c r="B622" s="664"/>
      <c r="C622" s="795"/>
      <c r="D622" s="796"/>
      <c r="E622" s="681"/>
      <c r="F622" s="797"/>
      <c r="G622" s="797"/>
      <c r="H622" s="797"/>
      <c r="I622" s="797"/>
      <c r="J622" s="797"/>
      <c r="K622" s="797"/>
      <c r="L622" s="797"/>
      <c r="M622" s="797"/>
      <c r="N622" s="797"/>
      <c r="O622" s="797"/>
      <c r="P622" s="797"/>
      <c r="Q622" s="797"/>
      <c r="R622" s="662"/>
      <c r="S622" s="662"/>
      <c r="T622" s="662"/>
      <c r="U622" s="665"/>
      <c r="V622" s="666"/>
      <c r="W622" s="662"/>
      <c r="X622" s="662"/>
      <c r="Y622" s="662"/>
      <c r="Z622" s="662"/>
    </row>
    <row r="623">
      <c r="A623" s="662"/>
      <c r="B623" s="664"/>
      <c r="C623" s="795"/>
      <c r="D623" s="796"/>
      <c r="E623" s="681"/>
      <c r="F623" s="797"/>
      <c r="G623" s="797"/>
      <c r="H623" s="797"/>
      <c r="I623" s="797"/>
      <c r="J623" s="797"/>
      <c r="K623" s="797"/>
      <c r="L623" s="797"/>
      <c r="M623" s="797"/>
      <c r="N623" s="797"/>
      <c r="O623" s="797"/>
      <c r="P623" s="797"/>
      <c r="Q623" s="797"/>
      <c r="R623" s="662"/>
      <c r="S623" s="662"/>
      <c r="T623" s="662"/>
      <c r="U623" s="665"/>
      <c r="V623" s="666"/>
      <c r="W623" s="662"/>
      <c r="X623" s="662"/>
      <c r="Y623" s="662"/>
      <c r="Z623" s="662"/>
    </row>
    <row r="624">
      <c r="A624" s="662"/>
      <c r="B624" s="664"/>
      <c r="C624" s="795"/>
      <c r="D624" s="796"/>
      <c r="E624" s="681"/>
      <c r="F624" s="797"/>
      <c r="G624" s="797"/>
      <c r="H624" s="797"/>
      <c r="I624" s="797"/>
      <c r="J624" s="797"/>
      <c r="K624" s="797"/>
      <c r="L624" s="797"/>
      <c r="M624" s="797"/>
      <c r="N624" s="797"/>
      <c r="O624" s="797"/>
      <c r="P624" s="797"/>
      <c r="Q624" s="797"/>
      <c r="R624" s="662"/>
      <c r="S624" s="662"/>
      <c r="T624" s="662"/>
      <c r="U624" s="665"/>
      <c r="V624" s="666"/>
      <c r="W624" s="662"/>
      <c r="X624" s="662"/>
      <c r="Y624" s="662"/>
      <c r="Z624" s="662"/>
    </row>
    <row r="625">
      <c r="A625" s="662"/>
      <c r="B625" s="664"/>
      <c r="C625" s="795"/>
      <c r="D625" s="796"/>
      <c r="E625" s="681"/>
      <c r="F625" s="797"/>
      <c r="G625" s="797"/>
      <c r="H625" s="797"/>
      <c r="I625" s="797"/>
      <c r="J625" s="797"/>
      <c r="K625" s="797"/>
      <c r="L625" s="797"/>
      <c r="M625" s="797"/>
      <c r="N625" s="797"/>
      <c r="O625" s="797"/>
      <c r="P625" s="797"/>
      <c r="Q625" s="797"/>
      <c r="R625" s="662"/>
      <c r="S625" s="662"/>
      <c r="T625" s="662"/>
      <c r="U625" s="665"/>
      <c r="V625" s="666"/>
      <c r="W625" s="662"/>
      <c r="X625" s="662"/>
      <c r="Y625" s="662"/>
      <c r="Z625" s="662"/>
    </row>
    <row r="626">
      <c r="A626" s="662"/>
      <c r="B626" s="664"/>
      <c r="C626" s="795"/>
      <c r="D626" s="796"/>
      <c r="E626" s="681"/>
      <c r="F626" s="797"/>
      <c r="G626" s="797"/>
      <c r="H626" s="797"/>
      <c r="I626" s="797"/>
      <c r="J626" s="797"/>
      <c r="K626" s="797"/>
      <c r="L626" s="797"/>
      <c r="M626" s="797"/>
      <c r="N626" s="797"/>
      <c r="O626" s="797"/>
      <c r="P626" s="797"/>
      <c r="Q626" s="797"/>
      <c r="R626" s="662"/>
      <c r="S626" s="662"/>
      <c r="T626" s="662"/>
      <c r="U626" s="665"/>
      <c r="V626" s="666"/>
      <c r="W626" s="662"/>
      <c r="X626" s="662"/>
      <c r="Y626" s="662"/>
      <c r="Z626" s="662"/>
    </row>
    <row r="627">
      <c r="A627" s="662"/>
      <c r="B627" s="664"/>
      <c r="C627" s="795"/>
      <c r="D627" s="796"/>
      <c r="E627" s="681"/>
      <c r="F627" s="797"/>
      <c r="G627" s="797"/>
      <c r="H627" s="797"/>
      <c r="I627" s="797"/>
      <c r="J627" s="797"/>
      <c r="K627" s="797"/>
      <c r="L627" s="797"/>
      <c r="M627" s="797"/>
      <c r="N627" s="797"/>
      <c r="O627" s="797"/>
      <c r="P627" s="797"/>
      <c r="Q627" s="797"/>
      <c r="R627" s="662"/>
      <c r="S627" s="662"/>
      <c r="T627" s="662"/>
      <c r="U627" s="665"/>
      <c r="V627" s="666"/>
      <c r="W627" s="662"/>
      <c r="X627" s="662"/>
      <c r="Y627" s="662"/>
      <c r="Z627" s="662"/>
    </row>
    <row r="628">
      <c r="A628" s="662"/>
      <c r="B628" s="664"/>
      <c r="C628" s="795"/>
      <c r="D628" s="796"/>
      <c r="E628" s="681"/>
      <c r="F628" s="797"/>
      <c r="G628" s="797"/>
      <c r="H628" s="797"/>
      <c r="I628" s="797"/>
      <c r="J628" s="797"/>
      <c r="K628" s="797"/>
      <c r="L628" s="797"/>
      <c r="M628" s="797"/>
      <c r="N628" s="797"/>
      <c r="O628" s="797"/>
      <c r="P628" s="797"/>
      <c r="Q628" s="797"/>
      <c r="R628" s="662"/>
      <c r="S628" s="662"/>
      <c r="T628" s="662"/>
      <c r="U628" s="665"/>
      <c r="V628" s="666"/>
      <c r="W628" s="662"/>
      <c r="X628" s="662"/>
      <c r="Y628" s="662"/>
      <c r="Z628" s="662"/>
    </row>
    <row r="629">
      <c r="A629" s="662"/>
      <c r="B629" s="664"/>
      <c r="C629" s="795"/>
      <c r="D629" s="796"/>
      <c r="E629" s="681"/>
      <c r="F629" s="797"/>
      <c r="G629" s="797"/>
      <c r="H629" s="797"/>
      <c r="I629" s="797"/>
      <c r="J629" s="797"/>
      <c r="K629" s="797"/>
      <c r="L629" s="797"/>
      <c r="M629" s="797"/>
      <c r="N629" s="797"/>
      <c r="O629" s="797"/>
      <c r="P629" s="797"/>
      <c r="Q629" s="797"/>
      <c r="R629" s="662"/>
      <c r="S629" s="662"/>
      <c r="T629" s="662"/>
      <c r="U629" s="665"/>
      <c r="V629" s="666"/>
      <c r="W629" s="662"/>
      <c r="X629" s="662"/>
      <c r="Y629" s="662"/>
      <c r="Z629" s="662"/>
    </row>
    <row r="630">
      <c r="A630" s="662"/>
      <c r="B630" s="664"/>
      <c r="C630" s="795"/>
      <c r="D630" s="796"/>
      <c r="E630" s="681"/>
      <c r="F630" s="797"/>
      <c r="G630" s="797"/>
      <c r="H630" s="797"/>
      <c r="I630" s="797"/>
      <c r="J630" s="797"/>
      <c r="K630" s="797"/>
      <c r="L630" s="797"/>
      <c r="M630" s="797"/>
      <c r="N630" s="797"/>
      <c r="O630" s="797"/>
      <c r="P630" s="797"/>
      <c r="Q630" s="797"/>
      <c r="R630" s="662"/>
      <c r="S630" s="662"/>
      <c r="T630" s="662"/>
      <c r="U630" s="665"/>
      <c r="V630" s="666"/>
      <c r="W630" s="662"/>
      <c r="X630" s="662"/>
      <c r="Y630" s="662"/>
      <c r="Z630" s="662"/>
    </row>
    <row r="631">
      <c r="A631" s="662"/>
      <c r="B631" s="664"/>
      <c r="C631" s="795"/>
      <c r="D631" s="796"/>
      <c r="E631" s="681"/>
      <c r="F631" s="797"/>
      <c r="G631" s="797"/>
      <c r="H631" s="797"/>
      <c r="I631" s="797"/>
      <c r="J631" s="797"/>
      <c r="K631" s="797"/>
      <c r="L631" s="797"/>
      <c r="M631" s="797"/>
      <c r="N631" s="797"/>
      <c r="O631" s="797"/>
      <c r="P631" s="797"/>
      <c r="Q631" s="797"/>
      <c r="R631" s="662"/>
      <c r="S631" s="662"/>
      <c r="T631" s="662"/>
      <c r="U631" s="665"/>
      <c r="V631" s="666"/>
      <c r="W631" s="662"/>
      <c r="X631" s="662"/>
      <c r="Y631" s="662"/>
      <c r="Z631" s="662"/>
    </row>
    <row r="632">
      <c r="A632" s="662"/>
      <c r="B632" s="664"/>
      <c r="C632" s="795"/>
      <c r="D632" s="796"/>
      <c r="E632" s="681"/>
      <c r="F632" s="797"/>
      <c r="G632" s="797"/>
      <c r="H632" s="797"/>
      <c r="I632" s="797"/>
      <c r="J632" s="797"/>
      <c r="K632" s="797"/>
      <c r="L632" s="797"/>
      <c r="M632" s="797"/>
      <c r="N632" s="797"/>
      <c r="O632" s="797"/>
      <c r="P632" s="797"/>
      <c r="Q632" s="797"/>
      <c r="R632" s="662"/>
      <c r="S632" s="662"/>
      <c r="T632" s="662"/>
      <c r="U632" s="665"/>
      <c r="V632" s="666"/>
      <c r="W632" s="662"/>
      <c r="X632" s="662"/>
      <c r="Y632" s="662"/>
      <c r="Z632" s="662"/>
    </row>
    <row r="633">
      <c r="A633" s="662"/>
      <c r="B633" s="664"/>
      <c r="C633" s="795"/>
      <c r="D633" s="796"/>
      <c r="E633" s="681"/>
      <c r="F633" s="797"/>
      <c r="G633" s="797"/>
      <c r="H633" s="797"/>
      <c r="I633" s="797"/>
      <c r="J633" s="797"/>
      <c r="K633" s="797"/>
      <c r="L633" s="797"/>
      <c r="M633" s="797"/>
      <c r="N633" s="797"/>
      <c r="O633" s="797"/>
      <c r="P633" s="797"/>
      <c r="Q633" s="797"/>
      <c r="R633" s="662"/>
      <c r="S633" s="662"/>
      <c r="T633" s="662"/>
      <c r="U633" s="665"/>
      <c r="V633" s="666"/>
      <c r="W633" s="662"/>
      <c r="X633" s="662"/>
      <c r="Y633" s="662"/>
      <c r="Z633" s="662"/>
    </row>
    <row r="634">
      <c r="A634" s="662"/>
      <c r="B634" s="664"/>
      <c r="C634" s="795"/>
      <c r="D634" s="796"/>
      <c r="E634" s="681"/>
      <c r="F634" s="797"/>
      <c r="G634" s="797"/>
      <c r="H634" s="797"/>
      <c r="I634" s="797"/>
      <c r="J634" s="797"/>
      <c r="K634" s="797"/>
      <c r="L634" s="797"/>
      <c r="M634" s="797"/>
      <c r="N634" s="797"/>
      <c r="O634" s="797"/>
      <c r="P634" s="797"/>
      <c r="Q634" s="797"/>
      <c r="R634" s="662"/>
      <c r="S634" s="662"/>
      <c r="T634" s="662"/>
      <c r="U634" s="665"/>
      <c r="V634" s="666"/>
      <c r="W634" s="662"/>
      <c r="X634" s="662"/>
      <c r="Y634" s="662"/>
      <c r="Z634" s="662"/>
    </row>
    <row r="635">
      <c r="A635" s="662"/>
      <c r="B635" s="664"/>
      <c r="C635" s="795"/>
      <c r="D635" s="796"/>
      <c r="E635" s="681"/>
      <c r="F635" s="797"/>
      <c r="G635" s="797"/>
      <c r="H635" s="797"/>
      <c r="I635" s="797"/>
      <c r="J635" s="797"/>
      <c r="K635" s="797"/>
      <c r="L635" s="797"/>
      <c r="M635" s="797"/>
      <c r="N635" s="797"/>
      <c r="O635" s="797"/>
      <c r="P635" s="797"/>
      <c r="Q635" s="797"/>
      <c r="R635" s="662"/>
      <c r="S635" s="662"/>
      <c r="T635" s="662"/>
      <c r="U635" s="665"/>
      <c r="V635" s="666"/>
      <c r="W635" s="662"/>
      <c r="X635" s="662"/>
      <c r="Y635" s="662"/>
      <c r="Z635" s="662"/>
    </row>
    <row r="636">
      <c r="A636" s="662"/>
      <c r="B636" s="664"/>
      <c r="C636" s="795"/>
      <c r="D636" s="796"/>
      <c r="E636" s="681"/>
      <c r="F636" s="797"/>
      <c r="G636" s="797"/>
      <c r="H636" s="797"/>
      <c r="I636" s="797"/>
      <c r="J636" s="797"/>
      <c r="K636" s="797"/>
      <c r="L636" s="797"/>
      <c r="M636" s="797"/>
      <c r="N636" s="797"/>
      <c r="O636" s="797"/>
      <c r="P636" s="797"/>
      <c r="Q636" s="797"/>
      <c r="R636" s="662"/>
      <c r="S636" s="662"/>
      <c r="T636" s="662"/>
      <c r="U636" s="665"/>
      <c r="V636" s="666"/>
      <c r="W636" s="662"/>
      <c r="X636" s="662"/>
      <c r="Y636" s="662"/>
      <c r="Z636" s="662"/>
    </row>
    <row r="637">
      <c r="A637" s="662"/>
      <c r="B637" s="664"/>
      <c r="C637" s="795"/>
      <c r="D637" s="796"/>
      <c r="E637" s="681"/>
      <c r="F637" s="797"/>
      <c r="G637" s="797"/>
      <c r="H637" s="797"/>
      <c r="I637" s="797"/>
      <c r="J637" s="797"/>
      <c r="K637" s="797"/>
      <c r="L637" s="797"/>
      <c r="M637" s="797"/>
      <c r="N637" s="797"/>
      <c r="O637" s="797"/>
      <c r="P637" s="797"/>
      <c r="Q637" s="797"/>
      <c r="R637" s="662"/>
      <c r="S637" s="662"/>
      <c r="T637" s="662"/>
      <c r="U637" s="665"/>
      <c r="V637" s="666"/>
      <c r="W637" s="662"/>
      <c r="X637" s="662"/>
      <c r="Y637" s="662"/>
      <c r="Z637" s="662"/>
    </row>
    <row r="638">
      <c r="A638" s="662"/>
      <c r="B638" s="664"/>
      <c r="C638" s="795"/>
      <c r="D638" s="796"/>
      <c r="E638" s="681"/>
      <c r="F638" s="797"/>
      <c r="G638" s="797"/>
      <c r="H638" s="797"/>
      <c r="I638" s="797"/>
      <c r="J638" s="797"/>
      <c r="K638" s="797"/>
      <c r="L638" s="797"/>
      <c r="M638" s="797"/>
      <c r="N638" s="797"/>
      <c r="O638" s="797"/>
      <c r="P638" s="797"/>
      <c r="Q638" s="797"/>
      <c r="R638" s="662"/>
      <c r="S638" s="662"/>
      <c r="T638" s="662"/>
      <c r="U638" s="665"/>
      <c r="V638" s="666"/>
      <c r="W638" s="662"/>
      <c r="X638" s="662"/>
      <c r="Y638" s="662"/>
      <c r="Z638" s="662"/>
    </row>
    <row r="639">
      <c r="A639" s="662"/>
      <c r="B639" s="664"/>
      <c r="C639" s="795"/>
      <c r="D639" s="796"/>
      <c r="E639" s="681"/>
      <c r="F639" s="797"/>
      <c r="G639" s="797"/>
      <c r="H639" s="797"/>
      <c r="I639" s="797"/>
      <c r="J639" s="797"/>
      <c r="K639" s="797"/>
      <c r="L639" s="797"/>
      <c r="M639" s="797"/>
      <c r="N639" s="797"/>
      <c r="O639" s="797"/>
      <c r="P639" s="797"/>
      <c r="Q639" s="797"/>
      <c r="R639" s="662"/>
      <c r="S639" s="662"/>
      <c r="T639" s="662"/>
      <c r="U639" s="665"/>
      <c r="V639" s="666"/>
      <c r="W639" s="662"/>
      <c r="X639" s="662"/>
      <c r="Y639" s="662"/>
      <c r="Z639" s="662"/>
    </row>
    <row r="640">
      <c r="A640" s="662"/>
      <c r="B640" s="664"/>
      <c r="C640" s="795"/>
      <c r="D640" s="796"/>
      <c r="E640" s="681"/>
      <c r="F640" s="797"/>
      <c r="G640" s="797"/>
      <c r="H640" s="797"/>
      <c r="I640" s="797"/>
      <c r="J640" s="797"/>
      <c r="K640" s="797"/>
      <c r="L640" s="797"/>
      <c r="M640" s="797"/>
      <c r="N640" s="797"/>
      <c r="O640" s="797"/>
      <c r="P640" s="797"/>
      <c r="Q640" s="797"/>
      <c r="R640" s="662"/>
      <c r="S640" s="662"/>
      <c r="T640" s="662"/>
      <c r="U640" s="665"/>
      <c r="V640" s="666"/>
      <c r="W640" s="662"/>
      <c r="X640" s="662"/>
      <c r="Y640" s="662"/>
      <c r="Z640" s="662"/>
    </row>
    <row r="641">
      <c r="A641" s="662"/>
      <c r="B641" s="664"/>
      <c r="C641" s="795"/>
      <c r="D641" s="796"/>
      <c r="E641" s="681"/>
      <c r="F641" s="797"/>
      <c r="G641" s="797"/>
      <c r="H641" s="797"/>
      <c r="I641" s="797"/>
      <c r="J641" s="797"/>
      <c r="K641" s="797"/>
      <c r="L641" s="797"/>
      <c r="M641" s="797"/>
      <c r="N641" s="797"/>
      <c r="O641" s="797"/>
      <c r="P641" s="797"/>
      <c r="Q641" s="797"/>
      <c r="R641" s="662"/>
      <c r="S641" s="662"/>
      <c r="T641" s="662"/>
      <c r="U641" s="665"/>
      <c r="V641" s="666"/>
      <c r="W641" s="662"/>
      <c r="X641" s="662"/>
      <c r="Y641" s="662"/>
      <c r="Z641" s="662"/>
    </row>
    <row r="642">
      <c r="A642" s="662"/>
      <c r="B642" s="664"/>
      <c r="C642" s="795"/>
      <c r="D642" s="796"/>
      <c r="E642" s="681"/>
      <c r="F642" s="797"/>
      <c r="G642" s="797"/>
      <c r="H642" s="797"/>
      <c r="I642" s="797"/>
      <c r="J642" s="797"/>
      <c r="K642" s="797"/>
      <c r="L642" s="797"/>
      <c r="M642" s="797"/>
      <c r="N642" s="797"/>
      <c r="O642" s="797"/>
      <c r="P642" s="797"/>
      <c r="Q642" s="797"/>
      <c r="R642" s="662"/>
      <c r="S642" s="662"/>
      <c r="T642" s="662"/>
      <c r="U642" s="665"/>
      <c r="V642" s="666"/>
      <c r="W642" s="662"/>
      <c r="X642" s="662"/>
      <c r="Y642" s="662"/>
      <c r="Z642" s="662"/>
    </row>
    <row r="643">
      <c r="A643" s="662"/>
      <c r="B643" s="664"/>
      <c r="C643" s="795"/>
      <c r="D643" s="796"/>
      <c r="E643" s="681"/>
      <c r="F643" s="797"/>
      <c r="G643" s="797"/>
      <c r="H643" s="797"/>
      <c r="I643" s="797"/>
      <c r="J643" s="797"/>
      <c r="K643" s="797"/>
      <c r="L643" s="797"/>
      <c r="M643" s="797"/>
      <c r="N643" s="797"/>
      <c r="O643" s="797"/>
      <c r="P643" s="797"/>
      <c r="Q643" s="797"/>
      <c r="R643" s="662"/>
      <c r="S643" s="662"/>
      <c r="T643" s="662"/>
      <c r="U643" s="665"/>
      <c r="V643" s="666"/>
      <c r="W643" s="662"/>
      <c r="X643" s="662"/>
      <c r="Y643" s="662"/>
      <c r="Z643" s="662"/>
    </row>
    <row r="644">
      <c r="A644" s="662"/>
      <c r="B644" s="664"/>
      <c r="C644" s="795"/>
      <c r="D644" s="796"/>
      <c r="E644" s="681"/>
      <c r="F644" s="797"/>
      <c r="G644" s="797"/>
      <c r="H644" s="797"/>
      <c r="I644" s="797"/>
      <c r="J644" s="797"/>
      <c r="K644" s="797"/>
      <c r="L644" s="797"/>
      <c r="M644" s="797"/>
      <c r="N644" s="797"/>
      <c r="O644" s="797"/>
      <c r="P644" s="797"/>
      <c r="Q644" s="797"/>
      <c r="R644" s="662"/>
      <c r="S644" s="662"/>
      <c r="T644" s="662"/>
      <c r="U644" s="665"/>
      <c r="V644" s="666"/>
      <c r="W644" s="662"/>
      <c r="X644" s="662"/>
      <c r="Y644" s="662"/>
      <c r="Z644" s="662"/>
    </row>
    <row r="645">
      <c r="A645" s="662"/>
      <c r="B645" s="664"/>
      <c r="C645" s="795"/>
      <c r="D645" s="796"/>
      <c r="E645" s="681"/>
      <c r="F645" s="797"/>
      <c r="G645" s="797"/>
      <c r="H645" s="797"/>
      <c r="I645" s="797"/>
      <c r="J645" s="797"/>
      <c r="K645" s="797"/>
      <c r="L645" s="797"/>
      <c r="M645" s="797"/>
      <c r="N645" s="797"/>
      <c r="O645" s="797"/>
      <c r="P645" s="797"/>
      <c r="Q645" s="797"/>
      <c r="R645" s="662"/>
      <c r="S645" s="662"/>
      <c r="T645" s="662"/>
      <c r="U645" s="665"/>
      <c r="V645" s="666"/>
      <c r="W645" s="662"/>
      <c r="X645" s="662"/>
      <c r="Y645" s="662"/>
      <c r="Z645" s="662"/>
    </row>
    <row r="646">
      <c r="A646" s="662"/>
      <c r="B646" s="664"/>
      <c r="C646" s="795"/>
      <c r="D646" s="796"/>
      <c r="E646" s="681"/>
      <c r="F646" s="797"/>
      <c r="G646" s="797"/>
      <c r="H646" s="797"/>
      <c r="I646" s="797"/>
      <c r="J646" s="797"/>
      <c r="K646" s="797"/>
      <c r="L646" s="797"/>
      <c r="M646" s="797"/>
      <c r="N646" s="797"/>
      <c r="O646" s="797"/>
      <c r="P646" s="797"/>
      <c r="Q646" s="797"/>
      <c r="R646" s="662"/>
      <c r="S646" s="662"/>
      <c r="T646" s="662"/>
      <c r="U646" s="665"/>
      <c r="V646" s="666"/>
      <c r="W646" s="662"/>
      <c r="X646" s="662"/>
      <c r="Y646" s="662"/>
      <c r="Z646" s="662"/>
    </row>
    <row r="647">
      <c r="A647" s="662"/>
      <c r="B647" s="664"/>
      <c r="C647" s="795"/>
      <c r="D647" s="796"/>
      <c r="E647" s="681"/>
      <c r="F647" s="797"/>
      <c r="G647" s="797"/>
      <c r="H647" s="797"/>
      <c r="I647" s="797"/>
      <c r="J647" s="797"/>
      <c r="K647" s="797"/>
      <c r="L647" s="797"/>
      <c r="M647" s="797"/>
      <c r="N647" s="797"/>
      <c r="O647" s="797"/>
      <c r="P647" s="797"/>
      <c r="Q647" s="797"/>
      <c r="R647" s="662"/>
      <c r="S647" s="662"/>
      <c r="T647" s="662"/>
      <c r="U647" s="665"/>
      <c r="V647" s="666"/>
      <c r="W647" s="662"/>
      <c r="X647" s="662"/>
      <c r="Y647" s="662"/>
      <c r="Z647" s="662"/>
    </row>
    <row r="648">
      <c r="A648" s="662"/>
      <c r="B648" s="664"/>
      <c r="C648" s="795"/>
      <c r="D648" s="796"/>
      <c r="E648" s="681"/>
      <c r="F648" s="797"/>
      <c r="G648" s="797"/>
      <c r="H648" s="797"/>
      <c r="I648" s="797"/>
      <c r="J648" s="797"/>
      <c r="K648" s="797"/>
      <c r="L648" s="797"/>
      <c r="M648" s="797"/>
      <c r="N648" s="797"/>
      <c r="O648" s="797"/>
      <c r="P648" s="797"/>
      <c r="Q648" s="797"/>
      <c r="R648" s="662"/>
      <c r="S648" s="662"/>
      <c r="T648" s="662"/>
      <c r="U648" s="665"/>
      <c r="V648" s="666"/>
      <c r="W648" s="662"/>
      <c r="X648" s="662"/>
      <c r="Y648" s="662"/>
      <c r="Z648" s="662"/>
    </row>
    <row r="649">
      <c r="A649" s="662"/>
      <c r="B649" s="664"/>
      <c r="C649" s="795"/>
      <c r="D649" s="796"/>
      <c r="E649" s="681"/>
      <c r="F649" s="797"/>
      <c r="G649" s="797"/>
      <c r="H649" s="797"/>
      <c r="I649" s="797"/>
      <c r="J649" s="797"/>
      <c r="K649" s="797"/>
      <c r="L649" s="797"/>
      <c r="M649" s="797"/>
      <c r="N649" s="797"/>
      <c r="O649" s="797"/>
      <c r="P649" s="797"/>
      <c r="Q649" s="797"/>
      <c r="R649" s="662"/>
      <c r="S649" s="662"/>
      <c r="T649" s="662"/>
      <c r="U649" s="665"/>
      <c r="V649" s="666"/>
      <c r="W649" s="662"/>
      <c r="X649" s="662"/>
      <c r="Y649" s="662"/>
      <c r="Z649" s="662"/>
    </row>
    <row r="650">
      <c r="A650" s="662"/>
      <c r="B650" s="664"/>
      <c r="C650" s="795"/>
      <c r="D650" s="796"/>
      <c r="E650" s="681"/>
      <c r="F650" s="797"/>
      <c r="G650" s="797"/>
      <c r="H650" s="797"/>
      <c r="I650" s="797"/>
      <c r="J650" s="797"/>
      <c r="K650" s="797"/>
      <c r="L650" s="797"/>
      <c r="M650" s="797"/>
      <c r="N650" s="797"/>
      <c r="O650" s="797"/>
      <c r="P650" s="797"/>
      <c r="Q650" s="797"/>
      <c r="R650" s="662"/>
      <c r="S650" s="662"/>
      <c r="T650" s="662"/>
      <c r="U650" s="665"/>
      <c r="V650" s="666"/>
      <c r="W650" s="662"/>
      <c r="X650" s="662"/>
      <c r="Y650" s="662"/>
      <c r="Z650" s="662"/>
    </row>
    <row r="651">
      <c r="A651" s="662"/>
      <c r="B651" s="664"/>
      <c r="C651" s="795"/>
      <c r="D651" s="796"/>
      <c r="E651" s="681"/>
      <c r="F651" s="797"/>
      <c r="G651" s="797"/>
      <c r="H651" s="797"/>
      <c r="I651" s="797"/>
      <c r="J651" s="797"/>
      <c r="K651" s="797"/>
      <c r="L651" s="797"/>
      <c r="M651" s="797"/>
      <c r="N651" s="797"/>
      <c r="O651" s="797"/>
      <c r="P651" s="797"/>
      <c r="Q651" s="797"/>
      <c r="R651" s="662"/>
      <c r="S651" s="662"/>
      <c r="T651" s="662"/>
      <c r="U651" s="665"/>
      <c r="V651" s="666"/>
      <c r="W651" s="662"/>
      <c r="X651" s="662"/>
      <c r="Y651" s="662"/>
      <c r="Z651" s="662"/>
    </row>
    <row r="652">
      <c r="A652" s="662"/>
      <c r="B652" s="664"/>
      <c r="C652" s="795"/>
      <c r="D652" s="796"/>
      <c r="E652" s="681"/>
      <c r="F652" s="797"/>
      <c r="G652" s="797"/>
      <c r="H652" s="797"/>
      <c r="I652" s="797"/>
      <c r="J652" s="797"/>
      <c r="K652" s="797"/>
      <c r="L652" s="797"/>
      <c r="M652" s="797"/>
      <c r="N652" s="797"/>
      <c r="O652" s="797"/>
      <c r="P652" s="797"/>
      <c r="Q652" s="797"/>
      <c r="R652" s="662"/>
      <c r="S652" s="662"/>
      <c r="T652" s="662"/>
      <c r="U652" s="665"/>
      <c r="V652" s="666"/>
      <c r="W652" s="662"/>
      <c r="X652" s="662"/>
      <c r="Y652" s="662"/>
      <c r="Z652" s="662"/>
    </row>
    <row r="653">
      <c r="A653" s="662"/>
      <c r="B653" s="664"/>
      <c r="C653" s="795"/>
      <c r="D653" s="796"/>
      <c r="E653" s="681"/>
      <c r="F653" s="797"/>
      <c r="G653" s="797"/>
      <c r="H653" s="797"/>
      <c r="I653" s="797"/>
      <c r="J653" s="797"/>
      <c r="K653" s="797"/>
      <c r="L653" s="797"/>
      <c r="M653" s="797"/>
      <c r="N653" s="797"/>
      <c r="O653" s="797"/>
      <c r="P653" s="797"/>
      <c r="Q653" s="797"/>
      <c r="R653" s="662"/>
      <c r="S653" s="662"/>
      <c r="T653" s="662"/>
      <c r="U653" s="665"/>
      <c r="V653" s="666"/>
      <c r="W653" s="662"/>
      <c r="X653" s="662"/>
      <c r="Y653" s="662"/>
      <c r="Z653" s="662"/>
    </row>
    <row r="654">
      <c r="A654" s="662"/>
      <c r="B654" s="664"/>
      <c r="C654" s="795"/>
      <c r="D654" s="796"/>
      <c r="E654" s="681"/>
      <c r="F654" s="797"/>
      <c r="G654" s="797"/>
      <c r="H654" s="797"/>
      <c r="I654" s="797"/>
      <c r="J654" s="797"/>
      <c r="K654" s="797"/>
      <c r="L654" s="797"/>
      <c r="M654" s="797"/>
      <c r="N654" s="797"/>
      <c r="O654" s="797"/>
      <c r="P654" s="797"/>
      <c r="Q654" s="797"/>
      <c r="R654" s="662"/>
      <c r="S654" s="662"/>
      <c r="T654" s="662"/>
      <c r="U654" s="665"/>
      <c r="V654" s="666"/>
      <c r="W654" s="662"/>
      <c r="X654" s="662"/>
      <c r="Y654" s="662"/>
      <c r="Z654" s="662"/>
    </row>
    <row r="655">
      <c r="A655" s="662"/>
      <c r="B655" s="664"/>
      <c r="C655" s="795"/>
      <c r="D655" s="796"/>
      <c r="E655" s="681"/>
      <c r="F655" s="797"/>
      <c r="G655" s="797"/>
      <c r="H655" s="797"/>
      <c r="I655" s="797"/>
      <c r="J655" s="797"/>
      <c r="K655" s="797"/>
      <c r="L655" s="797"/>
      <c r="M655" s="797"/>
      <c r="N655" s="797"/>
      <c r="O655" s="797"/>
      <c r="P655" s="797"/>
      <c r="Q655" s="797"/>
      <c r="R655" s="662"/>
      <c r="S655" s="662"/>
      <c r="T655" s="662"/>
      <c r="U655" s="665"/>
      <c r="V655" s="666"/>
      <c r="W655" s="662"/>
      <c r="X655" s="662"/>
      <c r="Y655" s="662"/>
      <c r="Z655" s="662"/>
    </row>
    <row r="656">
      <c r="A656" s="662"/>
      <c r="B656" s="664"/>
      <c r="C656" s="795"/>
      <c r="D656" s="796"/>
      <c r="E656" s="681"/>
      <c r="F656" s="797"/>
      <c r="G656" s="797"/>
      <c r="H656" s="797"/>
      <c r="I656" s="797"/>
      <c r="J656" s="797"/>
      <c r="K656" s="797"/>
      <c r="L656" s="797"/>
      <c r="M656" s="797"/>
      <c r="N656" s="797"/>
      <c r="O656" s="797"/>
      <c r="P656" s="797"/>
      <c r="Q656" s="797"/>
      <c r="R656" s="662"/>
      <c r="S656" s="662"/>
      <c r="T656" s="662"/>
      <c r="U656" s="665"/>
      <c r="V656" s="666"/>
      <c r="W656" s="662"/>
      <c r="X656" s="662"/>
      <c r="Y656" s="662"/>
      <c r="Z656" s="662"/>
    </row>
    <row r="657">
      <c r="A657" s="662"/>
      <c r="B657" s="664"/>
      <c r="C657" s="795"/>
      <c r="D657" s="796"/>
      <c r="E657" s="681"/>
      <c r="F657" s="797"/>
      <c r="G657" s="797"/>
      <c r="H657" s="797"/>
      <c r="I657" s="797"/>
      <c r="J657" s="797"/>
      <c r="K657" s="797"/>
      <c r="L657" s="797"/>
      <c r="M657" s="797"/>
      <c r="N657" s="797"/>
      <c r="O657" s="797"/>
      <c r="P657" s="797"/>
      <c r="Q657" s="797"/>
      <c r="R657" s="662"/>
      <c r="S657" s="662"/>
      <c r="T657" s="662"/>
      <c r="U657" s="665"/>
      <c r="V657" s="666"/>
      <c r="W657" s="662"/>
      <c r="X657" s="662"/>
      <c r="Y657" s="662"/>
      <c r="Z657" s="662"/>
    </row>
    <row r="658">
      <c r="A658" s="662"/>
      <c r="B658" s="664"/>
      <c r="C658" s="795"/>
      <c r="D658" s="796"/>
      <c r="E658" s="681"/>
      <c r="F658" s="797"/>
      <c r="G658" s="797"/>
      <c r="H658" s="797"/>
      <c r="I658" s="797"/>
      <c r="J658" s="797"/>
      <c r="K658" s="797"/>
      <c r="L658" s="797"/>
      <c r="M658" s="797"/>
      <c r="N658" s="797"/>
      <c r="O658" s="797"/>
      <c r="P658" s="797"/>
      <c r="Q658" s="797"/>
      <c r="R658" s="662"/>
      <c r="S658" s="662"/>
      <c r="T658" s="662"/>
      <c r="U658" s="665"/>
      <c r="V658" s="666"/>
      <c r="W658" s="662"/>
      <c r="X658" s="662"/>
      <c r="Y658" s="662"/>
      <c r="Z658" s="662"/>
    </row>
    <row r="659">
      <c r="A659" s="662"/>
      <c r="B659" s="664"/>
      <c r="C659" s="795"/>
      <c r="D659" s="796"/>
      <c r="E659" s="681"/>
      <c r="F659" s="797"/>
      <c r="G659" s="797"/>
      <c r="H659" s="797"/>
      <c r="I659" s="797"/>
      <c r="J659" s="797"/>
      <c r="K659" s="797"/>
      <c r="L659" s="797"/>
      <c r="M659" s="797"/>
      <c r="N659" s="797"/>
      <c r="O659" s="797"/>
      <c r="P659" s="797"/>
      <c r="Q659" s="797"/>
      <c r="R659" s="662"/>
      <c r="S659" s="662"/>
      <c r="T659" s="662"/>
      <c r="U659" s="665"/>
      <c r="V659" s="666"/>
      <c r="W659" s="662"/>
      <c r="X659" s="662"/>
      <c r="Y659" s="662"/>
      <c r="Z659" s="662"/>
    </row>
    <row r="660">
      <c r="A660" s="662"/>
      <c r="B660" s="664"/>
      <c r="C660" s="795"/>
      <c r="D660" s="796"/>
      <c r="E660" s="681"/>
      <c r="F660" s="797"/>
      <c r="G660" s="797"/>
      <c r="H660" s="797"/>
      <c r="I660" s="797"/>
      <c r="J660" s="797"/>
      <c r="K660" s="797"/>
      <c r="L660" s="797"/>
      <c r="M660" s="797"/>
      <c r="N660" s="797"/>
      <c r="O660" s="797"/>
      <c r="P660" s="797"/>
      <c r="Q660" s="797"/>
      <c r="R660" s="662"/>
      <c r="S660" s="662"/>
      <c r="T660" s="662"/>
      <c r="U660" s="665"/>
      <c r="V660" s="666"/>
      <c r="W660" s="662"/>
      <c r="X660" s="662"/>
      <c r="Y660" s="662"/>
      <c r="Z660" s="662"/>
    </row>
    <row r="661">
      <c r="A661" s="662"/>
      <c r="B661" s="664"/>
      <c r="C661" s="795"/>
      <c r="D661" s="796"/>
      <c r="E661" s="681"/>
      <c r="F661" s="797"/>
      <c r="G661" s="797"/>
      <c r="H661" s="797"/>
      <c r="I661" s="797"/>
      <c r="J661" s="797"/>
      <c r="K661" s="797"/>
      <c r="L661" s="797"/>
      <c r="M661" s="797"/>
      <c r="N661" s="797"/>
      <c r="O661" s="797"/>
      <c r="P661" s="797"/>
      <c r="Q661" s="797"/>
      <c r="R661" s="662"/>
      <c r="S661" s="662"/>
      <c r="T661" s="662"/>
      <c r="U661" s="665"/>
      <c r="V661" s="666"/>
      <c r="W661" s="662"/>
      <c r="X661" s="662"/>
      <c r="Y661" s="662"/>
      <c r="Z661" s="662"/>
    </row>
    <row r="662">
      <c r="A662" s="662"/>
      <c r="B662" s="664"/>
      <c r="C662" s="795"/>
      <c r="D662" s="796"/>
      <c r="E662" s="681"/>
      <c r="F662" s="797"/>
      <c r="G662" s="797"/>
      <c r="H662" s="797"/>
      <c r="I662" s="797"/>
      <c r="J662" s="797"/>
      <c r="K662" s="797"/>
      <c r="L662" s="797"/>
      <c r="M662" s="797"/>
      <c r="N662" s="797"/>
      <c r="O662" s="797"/>
      <c r="P662" s="797"/>
      <c r="Q662" s="797"/>
      <c r="R662" s="662"/>
      <c r="S662" s="662"/>
      <c r="T662" s="662"/>
      <c r="U662" s="665"/>
      <c r="V662" s="666"/>
      <c r="W662" s="662"/>
      <c r="X662" s="662"/>
      <c r="Y662" s="662"/>
      <c r="Z662" s="662"/>
    </row>
    <row r="663">
      <c r="A663" s="662"/>
      <c r="B663" s="664"/>
      <c r="C663" s="795"/>
      <c r="D663" s="796"/>
      <c r="E663" s="681"/>
      <c r="F663" s="797"/>
      <c r="G663" s="797"/>
      <c r="H663" s="797"/>
      <c r="I663" s="797"/>
      <c r="J663" s="797"/>
      <c r="K663" s="797"/>
      <c r="L663" s="797"/>
      <c r="M663" s="797"/>
      <c r="N663" s="797"/>
      <c r="O663" s="797"/>
      <c r="P663" s="797"/>
      <c r="Q663" s="797"/>
      <c r="R663" s="662"/>
      <c r="S663" s="662"/>
      <c r="T663" s="662"/>
      <c r="U663" s="665"/>
      <c r="V663" s="666"/>
      <c r="W663" s="662"/>
      <c r="X663" s="662"/>
      <c r="Y663" s="662"/>
      <c r="Z663" s="662"/>
    </row>
    <row r="664">
      <c r="A664" s="662"/>
      <c r="B664" s="664"/>
      <c r="C664" s="795"/>
      <c r="D664" s="796"/>
      <c r="E664" s="681"/>
      <c r="F664" s="797"/>
      <c r="G664" s="797"/>
      <c r="H664" s="797"/>
      <c r="I664" s="797"/>
      <c r="J664" s="797"/>
      <c r="K664" s="797"/>
      <c r="L664" s="797"/>
      <c r="M664" s="797"/>
      <c r="N664" s="797"/>
      <c r="O664" s="797"/>
      <c r="P664" s="797"/>
      <c r="Q664" s="797"/>
      <c r="R664" s="662"/>
      <c r="S664" s="662"/>
      <c r="T664" s="662"/>
      <c r="U664" s="665"/>
      <c r="V664" s="666"/>
      <c r="W664" s="662"/>
      <c r="X664" s="662"/>
      <c r="Y664" s="662"/>
      <c r="Z664" s="662"/>
    </row>
    <row r="665">
      <c r="A665" s="662"/>
      <c r="B665" s="664"/>
      <c r="C665" s="795"/>
      <c r="D665" s="796"/>
      <c r="E665" s="681"/>
      <c r="F665" s="797"/>
      <c r="G665" s="797"/>
      <c r="H665" s="797"/>
      <c r="I665" s="797"/>
      <c r="J665" s="797"/>
      <c r="K665" s="797"/>
      <c r="L665" s="797"/>
      <c r="M665" s="797"/>
      <c r="N665" s="797"/>
      <c r="O665" s="797"/>
      <c r="P665" s="797"/>
      <c r="Q665" s="797"/>
      <c r="R665" s="662"/>
      <c r="S665" s="662"/>
      <c r="T665" s="662"/>
      <c r="U665" s="665"/>
      <c r="V665" s="666"/>
      <c r="W665" s="662"/>
      <c r="X665" s="662"/>
      <c r="Y665" s="662"/>
      <c r="Z665" s="662"/>
    </row>
    <row r="666">
      <c r="A666" s="662"/>
      <c r="B666" s="664"/>
      <c r="C666" s="795"/>
      <c r="D666" s="796"/>
      <c r="E666" s="681"/>
      <c r="F666" s="797"/>
      <c r="G666" s="797"/>
      <c r="H666" s="797"/>
      <c r="I666" s="797"/>
      <c r="J666" s="797"/>
      <c r="K666" s="797"/>
      <c r="L666" s="797"/>
      <c r="M666" s="797"/>
      <c r="N666" s="797"/>
      <c r="O666" s="797"/>
      <c r="P666" s="797"/>
      <c r="Q666" s="797"/>
      <c r="R666" s="662"/>
      <c r="S666" s="662"/>
      <c r="T666" s="662"/>
      <c r="U666" s="665"/>
      <c r="V666" s="666"/>
      <c r="W666" s="662"/>
      <c r="X666" s="662"/>
      <c r="Y666" s="662"/>
      <c r="Z666" s="662"/>
    </row>
    <row r="667">
      <c r="A667" s="662"/>
      <c r="B667" s="664"/>
      <c r="C667" s="795"/>
      <c r="D667" s="796"/>
      <c r="E667" s="681"/>
      <c r="F667" s="797"/>
      <c r="G667" s="797"/>
      <c r="H667" s="797"/>
      <c r="I667" s="797"/>
      <c r="J667" s="797"/>
      <c r="K667" s="797"/>
      <c r="L667" s="797"/>
      <c r="M667" s="797"/>
      <c r="N667" s="797"/>
      <c r="O667" s="797"/>
      <c r="P667" s="797"/>
      <c r="Q667" s="797"/>
      <c r="R667" s="662"/>
      <c r="S667" s="662"/>
      <c r="T667" s="662"/>
      <c r="U667" s="665"/>
      <c r="V667" s="666"/>
      <c r="W667" s="662"/>
      <c r="X667" s="662"/>
      <c r="Y667" s="662"/>
      <c r="Z667" s="662"/>
    </row>
    <row r="668">
      <c r="A668" s="662"/>
      <c r="B668" s="664"/>
      <c r="C668" s="795"/>
      <c r="D668" s="796"/>
      <c r="E668" s="681"/>
      <c r="F668" s="797"/>
      <c r="G668" s="797"/>
      <c r="H668" s="797"/>
      <c r="I668" s="797"/>
      <c r="J668" s="797"/>
      <c r="K668" s="797"/>
      <c r="L668" s="797"/>
      <c r="M668" s="797"/>
      <c r="N668" s="797"/>
      <c r="O668" s="797"/>
      <c r="P668" s="797"/>
      <c r="Q668" s="797"/>
      <c r="R668" s="662"/>
      <c r="S668" s="662"/>
      <c r="T668" s="662"/>
      <c r="U668" s="665"/>
      <c r="V668" s="666"/>
      <c r="W668" s="662"/>
      <c r="X668" s="662"/>
      <c r="Y668" s="662"/>
      <c r="Z668" s="662"/>
    </row>
    <row r="669">
      <c r="A669" s="662"/>
      <c r="B669" s="664"/>
      <c r="C669" s="795"/>
      <c r="D669" s="796"/>
      <c r="E669" s="681"/>
      <c r="F669" s="797"/>
      <c r="G669" s="797"/>
      <c r="H669" s="797"/>
      <c r="I669" s="797"/>
      <c r="J669" s="797"/>
      <c r="K669" s="797"/>
      <c r="L669" s="797"/>
      <c r="M669" s="797"/>
      <c r="N669" s="797"/>
      <c r="O669" s="797"/>
      <c r="P669" s="797"/>
      <c r="Q669" s="797"/>
      <c r="R669" s="662"/>
      <c r="S669" s="662"/>
      <c r="T669" s="662"/>
      <c r="U669" s="665"/>
      <c r="V669" s="666"/>
      <c r="W669" s="662"/>
      <c r="X669" s="662"/>
      <c r="Y669" s="662"/>
      <c r="Z669" s="662"/>
    </row>
    <row r="670">
      <c r="A670" s="662"/>
      <c r="B670" s="664"/>
      <c r="C670" s="795"/>
      <c r="D670" s="796"/>
      <c r="E670" s="681"/>
      <c r="F670" s="797"/>
      <c r="G670" s="797"/>
      <c r="H670" s="797"/>
      <c r="I670" s="797"/>
      <c r="J670" s="797"/>
      <c r="K670" s="797"/>
      <c r="L670" s="797"/>
      <c r="M670" s="797"/>
      <c r="N670" s="797"/>
      <c r="O670" s="797"/>
      <c r="P670" s="797"/>
      <c r="Q670" s="797"/>
      <c r="R670" s="662"/>
      <c r="S670" s="662"/>
      <c r="T670" s="662"/>
      <c r="U670" s="665"/>
      <c r="V670" s="666"/>
      <c r="W670" s="662"/>
      <c r="X670" s="662"/>
      <c r="Y670" s="662"/>
      <c r="Z670" s="662"/>
    </row>
    <row r="671">
      <c r="A671" s="662"/>
      <c r="B671" s="664"/>
      <c r="C671" s="795"/>
      <c r="D671" s="796"/>
      <c r="E671" s="681"/>
      <c r="F671" s="797"/>
      <c r="G671" s="797"/>
      <c r="H671" s="797"/>
      <c r="I671" s="797"/>
      <c r="J671" s="797"/>
      <c r="K671" s="797"/>
      <c r="L671" s="797"/>
      <c r="M671" s="797"/>
      <c r="N671" s="797"/>
      <c r="O671" s="797"/>
      <c r="P671" s="797"/>
      <c r="Q671" s="797"/>
      <c r="R671" s="662"/>
      <c r="S671" s="662"/>
      <c r="T671" s="662"/>
      <c r="U671" s="665"/>
      <c r="V671" s="666"/>
      <c r="W671" s="662"/>
      <c r="X671" s="662"/>
      <c r="Y671" s="662"/>
      <c r="Z671" s="662"/>
    </row>
    <row r="672">
      <c r="A672" s="662"/>
      <c r="B672" s="664"/>
      <c r="C672" s="795"/>
      <c r="D672" s="796"/>
      <c r="E672" s="681"/>
      <c r="F672" s="797"/>
      <c r="G672" s="797"/>
      <c r="H672" s="797"/>
      <c r="I672" s="797"/>
      <c r="J672" s="797"/>
      <c r="K672" s="797"/>
      <c r="L672" s="797"/>
      <c r="M672" s="797"/>
      <c r="N672" s="797"/>
      <c r="O672" s="797"/>
      <c r="P672" s="797"/>
      <c r="Q672" s="797"/>
      <c r="R672" s="662"/>
      <c r="S672" s="662"/>
      <c r="T672" s="662"/>
      <c r="U672" s="665"/>
      <c r="V672" s="666"/>
      <c r="W672" s="662"/>
      <c r="X672" s="662"/>
      <c r="Y672" s="662"/>
      <c r="Z672" s="662"/>
    </row>
    <row r="673">
      <c r="A673" s="662"/>
      <c r="B673" s="664"/>
      <c r="C673" s="795"/>
      <c r="D673" s="796"/>
      <c r="E673" s="681"/>
      <c r="F673" s="797"/>
      <c r="G673" s="797"/>
      <c r="H673" s="797"/>
      <c r="I673" s="797"/>
      <c r="J673" s="797"/>
      <c r="K673" s="797"/>
      <c r="L673" s="797"/>
      <c r="M673" s="797"/>
      <c r="N673" s="797"/>
      <c r="O673" s="797"/>
      <c r="P673" s="797"/>
      <c r="Q673" s="797"/>
      <c r="R673" s="662"/>
      <c r="S673" s="662"/>
      <c r="T673" s="662"/>
      <c r="U673" s="665"/>
      <c r="V673" s="666"/>
      <c r="W673" s="662"/>
      <c r="X673" s="662"/>
      <c r="Y673" s="662"/>
      <c r="Z673" s="662"/>
    </row>
    <row r="674">
      <c r="A674" s="662"/>
      <c r="B674" s="664"/>
      <c r="C674" s="795"/>
      <c r="D674" s="796"/>
      <c r="E674" s="681"/>
      <c r="F674" s="797"/>
      <c r="G674" s="797"/>
      <c r="H674" s="797"/>
      <c r="I674" s="797"/>
      <c r="J674" s="797"/>
      <c r="K674" s="797"/>
      <c r="L674" s="797"/>
      <c r="M674" s="797"/>
      <c r="N674" s="797"/>
      <c r="O674" s="797"/>
      <c r="P674" s="797"/>
      <c r="Q674" s="797"/>
      <c r="R674" s="662"/>
      <c r="S674" s="662"/>
      <c r="T674" s="662"/>
      <c r="U674" s="665"/>
      <c r="V674" s="666"/>
      <c r="W674" s="662"/>
      <c r="X674" s="662"/>
      <c r="Y674" s="662"/>
      <c r="Z674" s="662"/>
    </row>
    <row r="675">
      <c r="A675" s="662"/>
      <c r="B675" s="664"/>
      <c r="C675" s="795"/>
      <c r="D675" s="796"/>
      <c r="E675" s="681"/>
      <c r="F675" s="797"/>
      <c r="G675" s="797"/>
      <c r="H675" s="797"/>
      <c r="I675" s="797"/>
      <c r="J675" s="797"/>
      <c r="K675" s="797"/>
      <c r="L675" s="797"/>
      <c r="M675" s="797"/>
      <c r="N675" s="797"/>
      <c r="O675" s="797"/>
      <c r="P675" s="797"/>
      <c r="Q675" s="797"/>
      <c r="R675" s="662"/>
      <c r="S675" s="662"/>
      <c r="T675" s="662"/>
      <c r="U675" s="665"/>
      <c r="V675" s="666"/>
      <c r="W675" s="662"/>
      <c r="X675" s="662"/>
      <c r="Y675" s="662"/>
      <c r="Z675" s="662"/>
    </row>
    <row r="676">
      <c r="A676" s="662"/>
      <c r="B676" s="664"/>
      <c r="C676" s="795"/>
      <c r="D676" s="796"/>
      <c r="E676" s="681"/>
      <c r="F676" s="797"/>
      <c r="G676" s="797"/>
      <c r="H676" s="797"/>
      <c r="I676" s="797"/>
      <c r="J676" s="797"/>
      <c r="K676" s="797"/>
      <c r="L676" s="797"/>
      <c r="M676" s="797"/>
      <c r="N676" s="797"/>
      <c r="O676" s="797"/>
      <c r="P676" s="797"/>
      <c r="Q676" s="797"/>
      <c r="R676" s="662"/>
      <c r="S676" s="662"/>
      <c r="T676" s="662"/>
      <c r="U676" s="665"/>
      <c r="V676" s="666"/>
      <c r="W676" s="662"/>
      <c r="X676" s="662"/>
      <c r="Y676" s="662"/>
      <c r="Z676" s="662"/>
    </row>
    <row r="677">
      <c r="A677" s="662"/>
      <c r="B677" s="664"/>
      <c r="C677" s="795"/>
      <c r="D677" s="796"/>
      <c r="E677" s="681"/>
      <c r="F677" s="797"/>
      <c r="G677" s="797"/>
      <c r="H677" s="797"/>
      <c r="I677" s="797"/>
      <c r="J677" s="797"/>
      <c r="K677" s="797"/>
      <c r="L677" s="797"/>
      <c r="M677" s="797"/>
      <c r="N677" s="797"/>
      <c r="O677" s="797"/>
      <c r="P677" s="797"/>
      <c r="Q677" s="797"/>
      <c r="R677" s="662"/>
      <c r="S677" s="662"/>
      <c r="T677" s="662"/>
      <c r="U677" s="665"/>
      <c r="V677" s="666"/>
      <c r="W677" s="662"/>
      <c r="X677" s="662"/>
      <c r="Y677" s="662"/>
      <c r="Z677" s="662"/>
    </row>
    <row r="678">
      <c r="A678" s="662"/>
      <c r="B678" s="664"/>
      <c r="C678" s="795"/>
      <c r="D678" s="796"/>
      <c r="E678" s="681"/>
      <c r="F678" s="797"/>
      <c r="G678" s="797"/>
      <c r="H678" s="797"/>
      <c r="I678" s="797"/>
      <c r="J678" s="797"/>
      <c r="K678" s="797"/>
      <c r="L678" s="797"/>
      <c r="M678" s="797"/>
      <c r="N678" s="797"/>
      <c r="O678" s="797"/>
      <c r="P678" s="797"/>
      <c r="Q678" s="797"/>
      <c r="R678" s="662"/>
      <c r="S678" s="662"/>
      <c r="T678" s="662"/>
      <c r="U678" s="665"/>
      <c r="V678" s="666"/>
      <c r="W678" s="662"/>
      <c r="X678" s="662"/>
      <c r="Y678" s="662"/>
      <c r="Z678" s="662"/>
    </row>
    <row r="679">
      <c r="A679" s="662"/>
      <c r="B679" s="664"/>
      <c r="C679" s="795"/>
      <c r="D679" s="796"/>
      <c r="E679" s="681"/>
      <c r="F679" s="797"/>
      <c r="G679" s="797"/>
      <c r="H679" s="797"/>
      <c r="I679" s="797"/>
      <c r="J679" s="797"/>
      <c r="K679" s="797"/>
      <c r="L679" s="797"/>
      <c r="M679" s="797"/>
      <c r="N679" s="797"/>
      <c r="O679" s="797"/>
      <c r="P679" s="797"/>
      <c r="Q679" s="797"/>
      <c r="R679" s="662"/>
      <c r="S679" s="662"/>
      <c r="T679" s="662"/>
      <c r="U679" s="665"/>
      <c r="V679" s="666"/>
      <c r="W679" s="662"/>
      <c r="X679" s="662"/>
      <c r="Y679" s="662"/>
      <c r="Z679" s="662"/>
    </row>
    <row r="680">
      <c r="A680" s="662"/>
      <c r="B680" s="664"/>
      <c r="C680" s="795"/>
      <c r="D680" s="796"/>
      <c r="E680" s="681"/>
      <c r="F680" s="797"/>
      <c r="G680" s="797"/>
      <c r="H680" s="797"/>
      <c r="I680" s="797"/>
      <c r="J680" s="797"/>
      <c r="K680" s="797"/>
      <c r="L680" s="797"/>
      <c r="M680" s="797"/>
      <c r="N680" s="797"/>
      <c r="O680" s="797"/>
      <c r="P680" s="797"/>
      <c r="Q680" s="797"/>
      <c r="R680" s="662"/>
      <c r="S680" s="662"/>
      <c r="T680" s="662"/>
      <c r="U680" s="665"/>
      <c r="V680" s="666"/>
      <c r="W680" s="662"/>
      <c r="X680" s="662"/>
      <c r="Y680" s="662"/>
      <c r="Z680" s="662"/>
    </row>
    <row r="681">
      <c r="A681" s="662"/>
      <c r="B681" s="664"/>
      <c r="C681" s="795"/>
      <c r="D681" s="796"/>
      <c r="E681" s="681"/>
      <c r="F681" s="797"/>
      <c r="G681" s="797"/>
      <c r="H681" s="797"/>
      <c r="I681" s="797"/>
      <c r="J681" s="797"/>
      <c r="K681" s="797"/>
      <c r="L681" s="797"/>
      <c r="M681" s="797"/>
      <c r="N681" s="797"/>
      <c r="O681" s="797"/>
      <c r="P681" s="797"/>
      <c r="Q681" s="797"/>
      <c r="R681" s="662"/>
      <c r="S681" s="662"/>
      <c r="T681" s="662"/>
      <c r="U681" s="665"/>
      <c r="V681" s="666"/>
      <c r="W681" s="662"/>
      <c r="X681" s="662"/>
      <c r="Y681" s="662"/>
      <c r="Z681" s="662"/>
    </row>
    <row r="682">
      <c r="A682" s="662"/>
      <c r="B682" s="664"/>
      <c r="C682" s="795"/>
      <c r="D682" s="796"/>
      <c r="E682" s="681"/>
      <c r="F682" s="797"/>
      <c r="G682" s="797"/>
      <c r="H682" s="797"/>
      <c r="I682" s="797"/>
      <c r="J682" s="797"/>
      <c r="K682" s="797"/>
      <c r="L682" s="797"/>
      <c r="M682" s="797"/>
      <c r="N682" s="797"/>
      <c r="O682" s="797"/>
      <c r="P682" s="797"/>
      <c r="Q682" s="797"/>
      <c r="R682" s="662"/>
      <c r="S682" s="662"/>
      <c r="T682" s="662"/>
      <c r="U682" s="665"/>
      <c r="V682" s="666"/>
      <c r="W682" s="662"/>
      <c r="X682" s="662"/>
      <c r="Y682" s="662"/>
      <c r="Z682" s="662"/>
    </row>
    <row r="683">
      <c r="A683" s="662"/>
      <c r="B683" s="664"/>
      <c r="C683" s="795"/>
      <c r="D683" s="796"/>
      <c r="E683" s="681"/>
      <c r="F683" s="797"/>
      <c r="G683" s="797"/>
      <c r="H683" s="797"/>
      <c r="I683" s="797"/>
      <c r="J683" s="797"/>
      <c r="K683" s="797"/>
      <c r="L683" s="797"/>
      <c r="M683" s="797"/>
      <c r="N683" s="797"/>
      <c r="O683" s="797"/>
      <c r="P683" s="797"/>
      <c r="Q683" s="797"/>
      <c r="R683" s="662"/>
      <c r="S683" s="662"/>
      <c r="T683" s="662"/>
      <c r="U683" s="665"/>
      <c r="V683" s="666"/>
      <c r="W683" s="662"/>
      <c r="X683" s="662"/>
      <c r="Y683" s="662"/>
      <c r="Z683" s="662"/>
    </row>
    <row r="684">
      <c r="A684" s="662"/>
      <c r="B684" s="664"/>
      <c r="C684" s="795"/>
      <c r="D684" s="796"/>
      <c r="E684" s="681"/>
      <c r="F684" s="797"/>
      <c r="G684" s="797"/>
      <c r="H684" s="797"/>
      <c r="I684" s="797"/>
      <c r="J684" s="797"/>
      <c r="K684" s="797"/>
      <c r="L684" s="797"/>
      <c r="M684" s="797"/>
      <c r="N684" s="797"/>
      <c r="O684" s="797"/>
      <c r="P684" s="797"/>
      <c r="Q684" s="797"/>
      <c r="R684" s="662"/>
      <c r="S684" s="662"/>
      <c r="T684" s="662"/>
      <c r="U684" s="665"/>
      <c r="V684" s="666"/>
      <c r="W684" s="662"/>
      <c r="X684" s="662"/>
      <c r="Y684" s="662"/>
      <c r="Z684" s="662"/>
    </row>
    <row r="685">
      <c r="A685" s="662"/>
      <c r="B685" s="664"/>
      <c r="C685" s="795"/>
      <c r="D685" s="796"/>
      <c r="E685" s="681"/>
      <c r="F685" s="797"/>
      <c r="G685" s="797"/>
      <c r="H685" s="797"/>
      <c r="I685" s="797"/>
      <c r="J685" s="797"/>
      <c r="K685" s="797"/>
      <c r="L685" s="797"/>
      <c r="M685" s="797"/>
      <c r="N685" s="797"/>
      <c r="O685" s="797"/>
      <c r="P685" s="797"/>
      <c r="Q685" s="797"/>
      <c r="R685" s="662"/>
      <c r="S685" s="662"/>
      <c r="T685" s="662"/>
      <c r="U685" s="665"/>
      <c r="V685" s="666"/>
      <c r="W685" s="662"/>
      <c r="X685" s="662"/>
      <c r="Y685" s="662"/>
      <c r="Z685" s="662"/>
    </row>
    <row r="686">
      <c r="A686" s="662"/>
      <c r="B686" s="664"/>
      <c r="C686" s="795"/>
      <c r="D686" s="796"/>
      <c r="E686" s="681"/>
      <c r="F686" s="797"/>
      <c r="G686" s="797"/>
      <c r="H686" s="797"/>
      <c r="I686" s="797"/>
      <c r="J686" s="797"/>
      <c r="K686" s="797"/>
      <c r="L686" s="797"/>
      <c r="M686" s="797"/>
      <c r="N686" s="797"/>
      <c r="O686" s="797"/>
      <c r="P686" s="797"/>
      <c r="Q686" s="797"/>
      <c r="R686" s="662"/>
      <c r="S686" s="662"/>
      <c r="T686" s="662"/>
      <c r="U686" s="665"/>
      <c r="V686" s="666"/>
      <c r="W686" s="662"/>
      <c r="X686" s="662"/>
      <c r="Y686" s="662"/>
      <c r="Z686" s="662"/>
    </row>
    <row r="687">
      <c r="A687" s="662"/>
      <c r="B687" s="664"/>
      <c r="C687" s="795"/>
      <c r="D687" s="796"/>
      <c r="E687" s="681"/>
      <c r="F687" s="797"/>
      <c r="G687" s="797"/>
      <c r="H687" s="797"/>
      <c r="I687" s="797"/>
      <c r="J687" s="797"/>
      <c r="K687" s="797"/>
      <c r="L687" s="797"/>
      <c r="M687" s="797"/>
      <c r="N687" s="797"/>
      <c r="O687" s="797"/>
      <c r="P687" s="797"/>
      <c r="Q687" s="797"/>
      <c r="R687" s="662"/>
      <c r="S687" s="662"/>
      <c r="T687" s="662"/>
      <c r="U687" s="665"/>
      <c r="V687" s="666"/>
      <c r="W687" s="662"/>
      <c r="X687" s="662"/>
      <c r="Y687" s="662"/>
      <c r="Z687" s="662"/>
    </row>
    <row r="688">
      <c r="A688" s="662"/>
      <c r="B688" s="664"/>
      <c r="C688" s="795"/>
      <c r="D688" s="796"/>
      <c r="E688" s="681"/>
      <c r="F688" s="797"/>
      <c r="G688" s="797"/>
      <c r="H688" s="797"/>
      <c r="I688" s="797"/>
      <c r="J688" s="797"/>
      <c r="K688" s="797"/>
      <c r="L688" s="797"/>
      <c r="M688" s="797"/>
      <c r="N688" s="797"/>
      <c r="O688" s="797"/>
      <c r="P688" s="797"/>
      <c r="Q688" s="797"/>
      <c r="R688" s="662"/>
      <c r="S688" s="662"/>
      <c r="T688" s="662"/>
      <c r="U688" s="665"/>
      <c r="V688" s="666"/>
      <c r="W688" s="662"/>
      <c r="X688" s="662"/>
      <c r="Y688" s="662"/>
      <c r="Z688" s="662"/>
    </row>
    <row r="689">
      <c r="A689" s="662"/>
      <c r="B689" s="664"/>
      <c r="C689" s="795"/>
      <c r="D689" s="796"/>
      <c r="E689" s="681"/>
      <c r="F689" s="797"/>
      <c r="G689" s="797"/>
      <c r="H689" s="797"/>
      <c r="I689" s="797"/>
      <c r="J689" s="797"/>
      <c r="K689" s="797"/>
      <c r="L689" s="797"/>
      <c r="M689" s="797"/>
      <c r="N689" s="797"/>
      <c r="O689" s="797"/>
      <c r="P689" s="797"/>
      <c r="Q689" s="797"/>
      <c r="R689" s="662"/>
      <c r="S689" s="662"/>
      <c r="T689" s="662"/>
      <c r="U689" s="665"/>
      <c r="V689" s="666"/>
      <c r="W689" s="662"/>
      <c r="X689" s="662"/>
      <c r="Y689" s="662"/>
      <c r="Z689" s="662"/>
    </row>
    <row r="690">
      <c r="A690" s="662"/>
      <c r="B690" s="664"/>
      <c r="C690" s="795"/>
      <c r="D690" s="796"/>
      <c r="E690" s="681"/>
      <c r="F690" s="797"/>
      <c r="G690" s="797"/>
      <c r="H690" s="797"/>
      <c r="I690" s="797"/>
      <c r="J690" s="797"/>
      <c r="K690" s="797"/>
      <c r="L690" s="797"/>
      <c r="M690" s="797"/>
      <c r="N690" s="797"/>
      <c r="O690" s="797"/>
      <c r="P690" s="797"/>
      <c r="Q690" s="797"/>
      <c r="R690" s="662"/>
      <c r="S690" s="662"/>
      <c r="T690" s="662"/>
      <c r="U690" s="665"/>
      <c r="V690" s="666"/>
      <c r="W690" s="662"/>
      <c r="X690" s="662"/>
      <c r="Y690" s="662"/>
      <c r="Z690" s="662"/>
    </row>
    <row r="691">
      <c r="A691" s="662"/>
      <c r="B691" s="664"/>
      <c r="C691" s="795"/>
      <c r="D691" s="796"/>
      <c r="E691" s="681"/>
      <c r="F691" s="797"/>
      <c r="G691" s="797"/>
      <c r="H691" s="797"/>
      <c r="I691" s="797"/>
      <c r="J691" s="797"/>
      <c r="K691" s="797"/>
      <c r="L691" s="797"/>
      <c r="M691" s="797"/>
      <c r="N691" s="797"/>
      <c r="O691" s="797"/>
      <c r="P691" s="797"/>
      <c r="Q691" s="797"/>
      <c r="R691" s="662"/>
      <c r="S691" s="662"/>
      <c r="T691" s="662"/>
      <c r="U691" s="665"/>
      <c r="V691" s="666"/>
      <c r="W691" s="662"/>
      <c r="X691" s="662"/>
      <c r="Y691" s="662"/>
      <c r="Z691" s="662"/>
    </row>
    <row r="692">
      <c r="A692" s="662"/>
      <c r="B692" s="664"/>
      <c r="C692" s="795"/>
      <c r="D692" s="796"/>
      <c r="E692" s="681"/>
      <c r="F692" s="797"/>
      <c r="G692" s="797"/>
      <c r="H692" s="797"/>
      <c r="I692" s="797"/>
      <c r="J692" s="797"/>
      <c r="K692" s="797"/>
      <c r="L692" s="797"/>
      <c r="M692" s="797"/>
      <c r="N692" s="797"/>
      <c r="O692" s="797"/>
      <c r="P692" s="797"/>
      <c r="Q692" s="797"/>
      <c r="R692" s="662"/>
      <c r="S692" s="662"/>
      <c r="T692" s="662"/>
      <c r="U692" s="665"/>
      <c r="V692" s="666"/>
      <c r="W692" s="662"/>
      <c r="X692" s="662"/>
      <c r="Y692" s="662"/>
      <c r="Z692" s="662"/>
    </row>
    <row r="693">
      <c r="A693" s="662"/>
      <c r="B693" s="664"/>
      <c r="C693" s="795"/>
      <c r="D693" s="796"/>
      <c r="E693" s="681"/>
      <c r="F693" s="797"/>
      <c r="G693" s="797"/>
      <c r="H693" s="797"/>
      <c r="I693" s="797"/>
      <c r="J693" s="797"/>
      <c r="K693" s="797"/>
      <c r="L693" s="797"/>
      <c r="M693" s="797"/>
      <c r="N693" s="797"/>
      <c r="O693" s="797"/>
      <c r="P693" s="797"/>
      <c r="Q693" s="797"/>
      <c r="R693" s="662"/>
      <c r="S693" s="662"/>
      <c r="T693" s="662"/>
      <c r="U693" s="665"/>
      <c r="V693" s="666"/>
      <c r="W693" s="662"/>
      <c r="X693" s="662"/>
      <c r="Y693" s="662"/>
      <c r="Z693" s="662"/>
    </row>
    <row r="694">
      <c r="A694" s="662"/>
      <c r="B694" s="664"/>
      <c r="C694" s="795"/>
      <c r="D694" s="796"/>
      <c r="E694" s="681"/>
      <c r="F694" s="797"/>
      <c r="G694" s="797"/>
      <c r="H694" s="797"/>
      <c r="I694" s="797"/>
      <c r="J694" s="797"/>
      <c r="K694" s="797"/>
      <c r="L694" s="797"/>
      <c r="M694" s="797"/>
      <c r="N694" s="797"/>
      <c r="O694" s="797"/>
      <c r="P694" s="797"/>
      <c r="Q694" s="797"/>
      <c r="R694" s="662"/>
      <c r="S694" s="662"/>
      <c r="T694" s="662"/>
      <c r="U694" s="665"/>
      <c r="V694" s="666"/>
      <c r="W694" s="662"/>
      <c r="X694" s="662"/>
      <c r="Y694" s="662"/>
      <c r="Z694" s="662"/>
    </row>
    <row r="695">
      <c r="A695" s="662"/>
      <c r="B695" s="664"/>
      <c r="C695" s="795"/>
      <c r="D695" s="796"/>
      <c r="E695" s="681"/>
      <c r="F695" s="797"/>
      <c r="G695" s="797"/>
      <c r="H695" s="797"/>
      <c r="I695" s="797"/>
      <c r="J695" s="797"/>
      <c r="K695" s="797"/>
      <c r="L695" s="797"/>
      <c r="M695" s="797"/>
      <c r="N695" s="797"/>
      <c r="O695" s="797"/>
      <c r="P695" s="797"/>
      <c r="Q695" s="797"/>
      <c r="R695" s="662"/>
      <c r="S695" s="662"/>
      <c r="T695" s="662"/>
      <c r="U695" s="665"/>
      <c r="V695" s="666"/>
      <c r="W695" s="662"/>
      <c r="X695" s="662"/>
      <c r="Y695" s="662"/>
      <c r="Z695" s="662"/>
    </row>
    <row r="696">
      <c r="A696" s="662"/>
      <c r="B696" s="664"/>
      <c r="C696" s="795"/>
      <c r="D696" s="796"/>
      <c r="E696" s="681"/>
      <c r="F696" s="797"/>
      <c r="G696" s="797"/>
      <c r="H696" s="797"/>
      <c r="I696" s="797"/>
      <c r="J696" s="797"/>
      <c r="K696" s="797"/>
      <c r="L696" s="797"/>
      <c r="M696" s="797"/>
      <c r="N696" s="797"/>
      <c r="O696" s="797"/>
      <c r="P696" s="797"/>
      <c r="Q696" s="797"/>
      <c r="R696" s="662"/>
      <c r="S696" s="662"/>
      <c r="T696" s="662"/>
      <c r="U696" s="665"/>
      <c r="V696" s="666"/>
      <c r="W696" s="662"/>
      <c r="X696" s="662"/>
      <c r="Y696" s="662"/>
      <c r="Z696" s="662"/>
    </row>
    <row r="697">
      <c r="A697" s="662"/>
      <c r="B697" s="664"/>
      <c r="C697" s="795"/>
      <c r="D697" s="796"/>
      <c r="E697" s="681"/>
      <c r="F697" s="797"/>
      <c r="G697" s="797"/>
      <c r="H697" s="797"/>
      <c r="I697" s="797"/>
      <c r="J697" s="797"/>
      <c r="K697" s="797"/>
      <c r="L697" s="797"/>
      <c r="M697" s="797"/>
      <c r="N697" s="797"/>
      <c r="O697" s="797"/>
      <c r="P697" s="797"/>
      <c r="Q697" s="797"/>
      <c r="R697" s="662"/>
      <c r="S697" s="662"/>
      <c r="T697" s="662"/>
      <c r="U697" s="665"/>
      <c r="V697" s="666"/>
      <c r="W697" s="662"/>
      <c r="X697" s="662"/>
      <c r="Y697" s="662"/>
      <c r="Z697" s="662"/>
    </row>
    <row r="698">
      <c r="A698" s="662"/>
      <c r="B698" s="664"/>
      <c r="C698" s="795"/>
      <c r="D698" s="796"/>
      <c r="E698" s="681"/>
      <c r="F698" s="797"/>
      <c r="G698" s="797"/>
      <c r="H698" s="797"/>
      <c r="I698" s="797"/>
      <c r="J698" s="797"/>
      <c r="K698" s="797"/>
      <c r="L698" s="797"/>
      <c r="M698" s="797"/>
      <c r="N698" s="797"/>
      <c r="O698" s="797"/>
      <c r="P698" s="797"/>
      <c r="Q698" s="797"/>
      <c r="R698" s="662"/>
      <c r="S698" s="662"/>
      <c r="T698" s="662"/>
      <c r="U698" s="665"/>
      <c r="V698" s="666"/>
      <c r="W698" s="662"/>
      <c r="X698" s="662"/>
      <c r="Y698" s="662"/>
      <c r="Z698" s="662"/>
    </row>
    <row r="699">
      <c r="A699" s="662"/>
      <c r="B699" s="664"/>
      <c r="C699" s="795"/>
      <c r="D699" s="796"/>
      <c r="E699" s="681"/>
      <c r="F699" s="797"/>
      <c r="G699" s="797"/>
      <c r="H699" s="797"/>
      <c r="I699" s="797"/>
      <c r="J699" s="797"/>
      <c r="K699" s="797"/>
      <c r="L699" s="797"/>
      <c r="M699" s="797"/>
      <c r="N699" s="797"/>
      <c r="O699" s="797"/>
      <c r="P699" s="797"/>
      <c r="Q699" s="797"/>
      <c r="R699" s="662"/>
      <c r="S699" s="662"/>
      <c r="T699" s="662"/>
      <c r="U699" s="665"/>
      <c r="V699" s="666"/>
      <c r="W699" s="662"/>
      <c r="X699" s="662"/>
      <c r="Y699" s="662"/>
      <c r="Z699" s="662"/>
    </row>
    <row r="700">
      <c r="A700" s="662"/>
      <c r="B700" s="664"/>
      <c r="C700" s="795"/>
      <c r="D700" s="796"/>
      <c r="E700" s="681"/>
      <c r="F700" s="797"/>
      <c r="G700" s="797"/>
      <c r="H700" s="797"/>
      <c r="I700" s="797"/>
      <c r="J700" s="797"/>
      <c r="K700" s="797"/>
      <c r="L700" s="797"/>
      <c r="M700" s="797"/>
      <c r="N700" s="797"/>
      <c r="O700" s="797"/>
      <c r="P700" s="797"/>
      <c r="Q700" s="797"/>
      <c r="R700" s="662"/>
      <c r="S700" s="662"/>
      <c r="T700" s="662"/>
      <c r="U700" s="665"/>
      <c r="V700" s="666"/>
      <c r="W700" s="662"/>
      <c r="X700" s="662"/>
      <c r="Y700" s="662"/>
      <c r="Z700" s="662"/>
    </row>
    <row r="701">
      <c r="A701" s="662"/>
      <c r="B701" s="664"/>
      <c r="C701" s="795"/>
      <c r="D701" s="796"/>
      <c r="E701" s="681"/>
      <c r="F701" s="797"/>
      <c r="G701" s="797"/>
      <c r="H701" s="797"/>
      <c r="I701" s="797"/>
      <c r="J701" s="797"/>
      <c r="K701" s="797"/>
      <c r="L701" s="797"/>
      <c r="M701" s="797"/>
      <c r="N701" s="797"/>
      <c r="O701" s="797"/>
      <c r="P701" s="797"/>
      <c r="Q701" s="797"/>
      <c r="R701" s="662"/>
      <c r="S701" s="662"/>
      <c r="T701" s="662"/>
      <c r="U701" s="665"/>
      <c r="V701" s="666"/>
      <c r="W701" s="662"/>
      <c r="X701" s="662"/>
      <c r="Y701" s="662"/>
      <c r="Z701" s="662"/>
    </row>
    <row r="702">
      <c r="A702" s="662"/>
      <c r="B702" s="664"/>
      <c r="C702" s="795"/>
      <c r="D702" s="796"/>
      <c r="E702" s="681"/>
      <c r="F702" s="797"/>
      <c r="G702" s="797"/>
      <c r="H702" s="797"/>
      <c r="I702" s="797"/>
      <c r="J702" s="797"/>
      <c r="K702" s="797"/>
      <c r="L702" s="797"/>
      <c r="M702" s="797"/>
      <c r="N702" s="797"/>
      <c r="O702" s="797"/>
      <c r="P702" s="797"/>
      <c r="Q702" s="797"/>
      <c r="R702" s="662"/>
      <c r="S702" s="662"/>
      <c r="T702" s="662"/>
      <c r="U702" s="665"/>
      <c r="V702" s="666"/>
      <c r="W702" s="662"/>
      <c r="X702" s="662"/>
      <c r="Y702" s="662"/>
      <c r="Z702" s="662"/>
    </row>
    <row r="703">
      <c r="A703" s="662"/>
      <c r="B703" s="664"/>
      <c r="C703" s="795"/>
      <c r="D703" s="796"/>
      <c r="E703" s="681"/>
      <c r="F703" s="797"/>
      <c r="G703" s="797"/>
      <c r="H703" s="797"/>
      <c r="I703" s="797"/>
      <c r="J703" s="797"/>
      <c r="K703" s="797"/>
      <c r="L703" s="797"/>
      <c r="M703" s="797"/>
      <c r="N703" s="797"/>
      <c r="O703" s="797"/>
      <c r="P703" s="797"/>
      <c r="Q703" s="797"/>
      <c r="R703" s="662"/>
      <c r="S703" s="662"/>
      <c r="T703" s="662"/>
      <c r="U703" s="665"/>
      <c r="V703" s="666"/>
      <c r="W703" s="662"/>
      <c r="X703" s="662"/>
      <c r="Y703" s="662"/>
      <c r="Z703" s="662"/>
    </row>
    <row r="704">
      <c r="A704" s="662"/>
      <c r="B704" s="664"/>
      <c r="C704" s="795"/>
      <c r="D704" s="796"/>
      <c r="E704" s="681"/>
      <c r="F704" s="797"/>
      <c r="G704" s="797"/>
      <c r="H704" s="797"/>
      <c r="I704" s="797"/>
      <c r="J704" s="797"/>
      <c r="K704" s="797"/>
      <c r="L704" s="797"/>
      <c r="M704" s="797"/>
      <c r="N704" s="797"/>
      <c r="O704" s="797"/>
      <c r="P704" s="797"/>
      <c r="Q704" s="797"/>
      <c r="R704" s="662"/>
      <c r="S704" s="662"/>
      <c r="T704" s="662"/>
      <c r="U704" s="665"/>
      <c r="V704" s="666"/>
      <c r="W704" s="662"/>
      <c r="X704" s="662"/>
      <c r="Y704" s="662"/>
      <c r="Z704" s="662"/>
    </row>
    <row r="705">
      <c r="A705" s="662"/>
      <c r="B705" s="664"/>
      <c r="C705" s="795"/>
      <c r="D705" s="796"/>
      <c r="E705" s="681"/>
      <c r="F705" s="797"/>
      <c r="G705" s="797"/>
      <c r="H705" s="797"/>
      <c r="I705" s="797"/>
      <c r="J705" s="797"/>
      <c r="K705" s="797"/>
      <c r="L705" s="797"/>
      <c r="M705" s="797"/>
      <c r="N705" s="797"/>
      <c r="O705" s="797"/>
      <c r="P705" s="797"/>
      <c r="Q705" s="797"/>
      <c r="R705" s="662"/>
      <c r="S705" s="662"/>
      <c r="T705" s="662"/>
      <c r="U705" s="665"/>
      <c r="V705" s="666"/>
      <c r="W705" s="662"/>
      <c r="X705" s="662"/>
      <c r="Y705" s="662"/>
      <c r="Z705" s="662"/>
    </row>
    <row r="706">
      <c r="A706" s="662"/>
      <c r="B706" s="664"/>
      <c r="C706" s="795"/>
      <c r="D706" s="796"/>
      <c r="E706" s="681"/>
      <c r="F706" s="797"/>
      <c r="G706" s="797"/>
      <c r="H706" s="797"/>
      <c r="I706" s="797"/>
      <c r="J706" s="797"/>
      <c r="K706" s="797"/>
      <c r="L706" s="797"/>
      <c r="M706" s="797"/>
      <c r="N706" s="797"/>
      <c r="O706" s="797"/>
      <c r="P706" s="797"/>
      <c r="Q706" s="797"/>
      <c r="R706" s="662"/>
      <c r="S706" s="662"/>
      <c r="T706" s="662"/>
      <c r="U706" s="665"/>
      <c r="V706" s="666"/>
      <c r="W706" s="662"/>
      <c r="X706" s="662"/>
      <c r="Y706" s="662"/>
      <c r="Z706" s="662"/>
    </row>
    <row r="707">
      <c r="A707" s="662"/>
      <c r="B707" s="664"/>
      <c r="C707" s="795"/>
      <c r="D707" s="796"/>
      <c r="E707" s="681"/>
      <c r="F707" s="797"/>
      <c r="G707" s="797"/>
      <c r="H707" s="797"/>
      <c r="I707" s="797"/>
      <c r="J707" s="797"/>
      <c r="K707" s="797"/>
      <c r="L707" s="797"/>
      <c r="M707" s="797"/>
      <c r="N707" s="797"/>
      <c r="O707" s="797"/>
      <c r="P707" s="797"/>
      <c r="Q707" s="797"/>
      <c r="R707" s="662"/>
      <c r="S707" s="662"/>
      <c r="T707" s="662"/>
      <c r="U707" s="665"/>
      <c r="V707" s="666"/>
      <c r="W707" s="662"/>
      <c r="X707" s="662"/>
      <c r="Y707" s="662"/>
      <c r="Z707" s="662"/>
    </row>
    <row r="708">
      <c r="A708" s="662"/>
      <c r="B708" s="664"/>
      <c r="C708" s="795"/>
      <c r="D708" s="796"/>
      <c r="E708" s="681"/>
      <c r="F708" s="797"/>
      <c r="G708" s="797"/>
      <c r="H708" s="797"/>
      <c r="I708" s="797"/>
      <c r="J708" s="797"/>
      <c r="K708" s="797"/>
      <c r="L708" s="797"/>
      <c r="M708" s="797"/>
      <c r="N708" s="797"/>
      <c r="O708" s="797"/>
      <c r="P708" s="797"/>
      <c r="Q708" s="797"/>
      <c r="R708" s="662"/>
      <c r="S708" s="662"/>
      <c r="T708" s="662"/>
      <c r="U708" s="665"/>
      <c r="V708" s="666"/>
      <c r="W708" s="662"/>
      <c r="X708" s="662"/>
      <c r="Y708" s="662"/>
      <c r="Z708" s="662"/>
    </row>
    <row r="709">
      <c r="A709" s="662"/>
      <c r="B709" s="664"/>
      <c r="C709" s="795"/>
      <c r="D709" s="796"/>
      <c r="E709" s="681"/>
      <c r="F709" s="797"/>
      <c r="G709" s="797"/>
      <c r="H709" s="797"/>
      <c r="I709" s="797"/>
      <c r="J709" s="797"/>
      <c r="K709" s="797"/>
      <c r="L709" s="797"/>
      <c r="M709" s="797"/>
      <c r="N709" s="797"/>
      <c r="O709" s="797"/>
      <c r="P709" s="797"/>
      <c r="Q709" s="797"/>
      <c r="R709" s="662"/>
      <c r="S709" s="662"/>
      <c r="T709" s="662"/>
      <c r="U709" s="665"/>
      <c r="V709" s="666"/>
      <c r="W709" s="662"/>
      <c r="X709" s="662"/>
      <c r="Y709" s="662"/>
      <c r="Z709" s="662"/>
    </row>
    <row r="710">
      <c r="A710" s="662"/>
      <c r="B710" s="664"/>
      <c r="C710" s="795"/>
      <c r="D710" s="796"/>
      <c r="E710" s="681"/>
      <c r="F710" s="797"/>
      <c r="G710" s="797"/>
      <c r="H710" s="797"/>
      <c r="I710" s="797"/>
      <c r="J710" s="797"/>
      <c r="K710" s="797"/>
      <c r="L710" s="797"/>
      <c r="M710" s="797"/>
      <c r="N710" s="797"/>
      <c r="O710" s="797"/>
      <c r="P710" s="797"/>
      <c r="Q710" s="797"/>
      <c r="R710" s="662"/>
      <c r="S710" s="662"/>
      <c r="T710" s="662"/>
      <c r="U710" s="665"/>
      <c r="V710" s="666"/>
      <c r="W710" s="662"/>
      <c r="X710" s="662"/>
      <c r="Y710" s="662"/>
      <c r="Z710" s="662"/>
    </row>
    <row r="711">
      <c r="A711" s="662"/>
      <c r="B711" s="664"/>
      <c r="C711" s="795"/>
      <c r="D711" s="796"/>
      <c r="E711" s="681"/>
      <c r="F711" s="797"/>
      <c r="G711" s="797"/>
      <c r="H711" s="797"/>
      <c r="I711" s="797"/>
      <c r="J711" s="797"/>
      <c r="K711" s="797"/>
      <c r="L711" s="797"/>
      <c r="M711" s="797"/>
      <c r="N711" s="797"/>
      <c r="O711" s="797"/>
      <c r="P711" s="797"/>
      <c r="Q711" s="797"/>
      <c r="R711" s="662"/>
      <c r="S711" s="662"/>
      <c r="T711" s="662"/>
      <c r="U711" s="665"/>
      <c r="V711" s="666"/>
      <c r="W711" s="662"/>
      <c r="X711" s="662"/>
      <c r="Y711" s="662"/>
      <c r="Z711" s="662"/>
    </row>
    <row r="712">
      <c r="A712" s="662"/>
      <c r="B712" s="664"/>
      <c r="C712" s="795"/>
      <c r="D712" s="796"/>
      <c r="E712" s="681"/>
      <c r="F712" s="797"/>
      <c r="G712" s="797"/>
      <c r="H712" s="797"/>
      <c r="I712" s="797"/>
      <c r="J712" s="797"/>
      <c r="K712" s="797"/>
      <c r="L712" s="797"/>
      <c r="M712" s="797"/>
      <c r="N712" s="797"/>
      <c r="O712" s="797"/>
      <c r="P712" s="797"/>
      <c r="Q712" s="797"/>
      <c r="R712" s="662"/>
      <c r="S712" s="662"/>
      <c r="T712" s="662"/>
      <c r="U712" s="665"/>
      <c r="V712" s="666"/>
      <c r="W712" s="662"/>
      <c r="X712" s="662"/>
      <c r="Y712" s="662"/>
      <c r="Z712" s="662"/>
    </row>
    <row r="713">
      <c r="A713" s="662"/>
      <c r="B713" s="664"/>
      <c r="C713" s="795"/>
      <c r="D713" s="796"/>
      <c r="E713" s="681"/>
      <c r="F713" s="797"/>
      <c r="G713" s="797"/>
      <c r="H713" s="797"/>
      <c r="I713" s="797"/>
      <c r="J713" s="797"/>
      <c r="K713" s="797"/>
      <c r="L713" s="797"/>
      <c r="M713" s="797"/>
      <c r="N713" s="797"/>
      <c r="O713" s="797"/>
      <c r="P713" s="797"/>
      <c r="Q713" s="797"/>
      <c r="R713" s="662"/>
      <c r="S713" s="662"/>
      <c r="T713" s="662"/>
      <c r="U713" s="665"/>
      <c r="V713" s="666"/>
      <c r="W713" s="662"/>
      <c r="X713" s="662"/>
      <c r="Y713" s="662"/>
      <c r="Z713" s="662"/>
    </row>
    <row r="714">
      <c r="A714" s="662"/>
      <c r="B714" s="664"/>
      <c r="C714" s="795"/>
      <c r="D714" s="796"/>
      <c r="E714" s="681"/>
      <c r="F714" s="797"/>
      <c r="G714" s="797"/>
      <c r="H714" s="797"/>
      <c r="I714" s="797"/>
      <c r="J714" s="797"/>
      <c r="K714" s="797"/>
      <c r="L714" s="797"/>
      <c r="M714" s="797"/>
      <c r="N714" s="797"/>
      <c r="O714" s="797"/>
      <c r="P714" s="797"/>
      <c r="Q714" s="797"/>
      <c r="R714" s="662"/>
      <c r="S714" s="662"/>
      <c r="T714" s="662"/>
      <c r="U714" s="665"/>
      <c r="V714" s="666"/>
      <c r="W714" s="662"/>
      <c r="X714" s="662"/>
      <c r="Y714" s="662"/>
      <c r="Z714" s="662"/>
    </row>
    <row r="715">
      <c r="A715" s="662"/>
      <c r="B715" s="664"/>
      <c r="C715" s="795"/>
      <c r="D715" s="796"/>
      <c r="E715" s="681"/>
      <c r="F715" s="797"/>
      <c r="G715" s="797"/>
      <c r="H715" s="797"/>
      <c r="I715" s="797"/>
      <c r="J715" s="797"/>
      <c r="K715" s="797"/>
      <c r="L715" s="797"/>
      <c r="M715" s="797"/>
      <c r="N715" s="797"/>
      <c r="O715" s="797"/>
      <c r="P715" s="797"/>
      <c r="Q715" s="797"/>
      <c r="R715" s="662"/>
      <c r="S715" s="662"/>
      <c r="T715" s="662"/>
      <c r="U715" s="665"/>
      <c r="V715" s="666"/>
      <c r="W715" s="662"/>
      <c r="X715" s="662"/>
      <c r="Y715" s="662"/>
      <c r="Z715" s="662"/>
    </row>
    <row r="716">
      <c r="A716" s="662"/>
      <c r="B716" s="664"/>
      <c r="C716" s="795"/>
      <c r="D716" s="796"/>
      <c r="E716" s="681"/>
      <c r="F716" s="797"/>
      <c r="G716" s="797"/>
      <c r="H716" s="797"/>
      <c r="I716" s="797"/>
      <c r="J716" s="797"/>
      <c r="K716" s="797"/>
      <c r="L716" s="797"/>
      <c r="M716" s="797"/>
      <c r="N716" s="797"/>
      <c r="O716" s="797"/>
      <c r="P716" s="797"/>
      <c r="Q716" s="797"/>
      <c r="R716" s="662"/>
      <c r="S716" s="662"/>
      <c r="T716" s="662"/>
      <c r="U716" s="665"/>
      <c r="V716" s="666"/>
      <c r="W716" s="662"/>
      <c r="X716" s="662"/>
      <c r="Y716" s="662"/>
      <c r="Z716" s="662"/>
    </row>
    <row r="717">
      <c r="A717" s="662"/>
      <c r="B717" s="664"/>
      <c r="C717" s="795"/>
      <c r="D717" s="796"/>
      <c r="E717" s="681"/>
      <c r="F717" s="797"/>
      <c r="G717" s="797"/>
      <c r="H717" s="797"/>
      <c r="I717" s="797"/>
      <c r="J717" s="797"/>
      <c r="K717" s="797"/>
      <c r="L717" s="797"/>
      <c r="M717" s="797"/>
      <c r="N717" s="797"/>
      <c r="O717" s="797"/>
      <c r="P717" s="797"/>
      <c r="Q717" s="797"/>
      <c r="R717" s="662"/>
      <c r="S717" s="662"/>
      <c r="T717" s="662"/>
      <c r="U717" s="665"/>
      <c r="V717" s="666"/>
      <c r="W717" s="662"/>
      <c r="X717" s="662"/>
      <c r="Y717" s="662"/>
      <c r="Z717" s="662"/>
    </row>
    <row r="718">
      <c r="A718" s="662"/>
      <c r="B718" s="664"/>
      <c r="C718" s="795"/>
      <c r="D718" s="796"/>
      <c r="E718" s="681"/>
      <c r="F718" s="797"/>
      <c r="G718" s="797"/>
      <c r="H718" s="797"/>
      <c r="I718" s="797"/>
      <c r="J718" s="797"/>
      <c r="K718" s="797"/>
      <c r="L718" s="797"/>
      <c r="M718" s="797"/>
      <c r="N718" s="797"/>
      <c r="O718" s="797"/>
      <c r="P718" s="797"/>
      <c r="Q718" s="797"/>
      <c r="R718" s="662"/>
      <c r="S718" s="662"/>
      <c r="T718" s="662"/>
      <c r="U718" s="665"/>
      <c r="V718" s="666"/>
      <c r="W718" s="662"/>
      <c r="X718" s="662"/>
      <c r="Y718" s="662"/>
      <c r="Z718" s="662"/>
    </row>
    <row r="719">
      <c r="A719" s="662"/>
      <c r="B719" s="664"/>
      <c r="C719" s="795"/>
      <c r="D719" s="796"/>
      <c r="E719" s="681"/>
      <c r="F719" s="797"/>
      <c r="G719" s="797"/>
      <c r="H719" s="797"/>
      <c r="I719" s="797"/>
      <c r="J719" s="797"/>
      <c r="K719" s="797"/>
      <c r="L719" s="797"/>
      <c r="M719" s="797"/>
      <c r="N719" s="797"/>
      <c r="O719" s="797"/>
      <c r="P719" s="797"/>
      <c r="Q719" s="797"/>
      <c r="R719" s="662"/>
      <c r="S719" s="662"/>
      <c r="T719" s="662"/>
      <c r="U719" s="665"/>
      <c r="V719" s="666"/>
      <c r="W719" s="662"/>
      <c r="X719" s="662"/>
      <c r="Y719" s="662"/>
      <c r="Z719" s="662"/>
    </row>
    <row r="720">
      <c r="A720" s="662"/>
      <c r="B720" s="664"/>
      <c r="C720" s="795"/>
      <c r="D720" s="796"/>
      <c r="E720" s="681"/>
      <c r="F720" s="797"/>
      <c r="G720" s="797"/>
      <c r="H720" s="797"/>
      <c r="I720" s="797"/>
      <c r="J720" s="797"/>
      <c r="K720" s="797"/>
      <c r="L720" s="797"/>
      <c r="M720" s="797"/>
      <c r="N720" s="797"/>
      <c r="O720" s="797"/>
      <c r="P720" s="797"/>
      <c r="Q720" s="797"/>
      <c r="R720" s="662"/>
      <c r="S720" s="662"/>
      <c r="T720" s="662"/>
      <c r="U720" s="665"/>
      <c r="V720" s="666"/>
      <c r="W720" s="662"/>
      <c r="X720" s="662"/>
      <c r="Y720" s="662"/>
      <c r="Z720" s="662"/>
    </row>
    <row r="721">
      <c r="A721" s="662"/>
      <c r="B721" s="664"/>
      <c r="C721" s="795"/>
      <c r="D721" s="796"/>
      <c r="E721" s="681"/>
      <c r="F721" s="797"/>
      <c r="G721" s="797"/>
      <c r="H721" s="797"/>
      <c r="I721" s="797"/>
      <c r="J721" s="797"/>
      <c r="K721" s="797"/>
      <c r="L721" s="797"/>
      <c r="M721" s="797"/>
      <c r="N721" s="797"/>
      <c r="O721" s="797"/>
      <c r="P721" s="797"/>
      <c r="Q721" s="797"/>
      <c r="R721" s="662"/>
      <c r="S721" s="662"/>
      <c r="T721" s="662"/>
      <c r="U721" s="665"/>
      <c r="V721" s="666"/>
      <c r="W721" s="662"/>
      <c r="X721" s="662"/>
      <c r="Y721" s="662"/>
      <c r="Z721" s="662"/>
    </row>
    <row r="722">
      <c r="A722" s="662"/>
      <c r="B722" s="664"/>
      <c r="C722" s="795"/>
      <c r="D722" s="796"/>
      <c r="E722" s="681"/>
      <c r="F722" s="797"/>
      <c r="G722" s="797"/>
      <c r="H722" s="797"/>
      <c r="I722" s="797"/>
      <c r="J722" s="797"/>
      <c r="K722" s="797"/>
      <c r="L722" s="797"/>
      <c r="M722" s="797"/>
      <c r="N722" s="797"/>
      <c r="O722" s="797"/>
      <c r="P722" s="797"/>
      <c r="Q722" s="797"/>
      <c r="R722" s="662"/>
      <c r="S722" s="662"/>
      <c r="T722" s="662"/>
      <c r="U722" s="665"/>
      <c r="V722" s="666"/>
      <c r="W722" s="662"/>
      <c r="X722" s="662"/>
      <c r="Y722" s="662"/>
      <c r="Z722" s="662"/>
    </row>
    <row r="723">
      <c r="A723" s="662"/>
      <c r="B723" s="664"/>
      <c r="C723" s="795"/>
      <c r="D723" s="796"/>
      <c r="E723" s="681"/>
      <c r="F723" s="797"/>
      <c r="G723" s="797"/>
      <c r="H723" s="797"/>
      <c r="I723" s="797"/>
      <c r="J723" s="797"/>
      <c r="K723" s="797"/>
      <c r="L723" s="797"/>
      <c r="M723" s="797"/>
      <c r="N723" s="797"/>
      <c r="O723" s="797"/>
      <c r="P723" s="797"/>
      <c r="Q723" s="797"/>
      <c r="R723" s="662"/>
      <c r="S723" s="662"/>
      <c r="T723" s="662"/>
      <c r="U723" s="665"/>
      <c r="V723" s="666"/>
      <c r="W723" s="662"/>
      <c r="X723" s="662"/>
      <c r="Y723" s="662"/>
      <c r="Z723" s="662"/>
    </row>
    <row r="724">
      <c r="A724" s="662"/>
      <c r="B724" s="664"/>
      <c r="C724" s="795"/>
      <c r="D724" s="796"/>
      <c r="E724" s="681"/>
      <c r="F724" s="797"/>
      <c r="G724" s="797"/>
      <c r="H724" s="797"/>
      <c r="I724" s="797"/>
      <c r="J724" s="797"/>
      <c r="K724" s="797"/>
      <c r="L724" s="797"/>
      <c r="M724" s="797"/>
      <c r="N724" s="797"/>
      <c r="O724" s="797"/>
      <c r="P724" s="797"/>
      <c r="Q724" s="797"/>
      <c r="R724" s="662"/>
      <c r="S724" s="662"/>
      <c r="T724" s="662"/>
      <c r="U724" s="665"/>
      <c r="V724" s="666"/>
      <c r="W724" s="662"/>
      <c r="X724" s="662"/>
      <c r="Y724" s="662"/>
      <c r="Z724" s="662"/>
    </row>
    <row r="725">
      <c r="A725" s="662"/>
      <c r="B725" s="664"/>
      <c r="C725" s="795"/>
      <c r="D725" s="796"/>
      <c r="E725" s="681"/>
      <c r="F725" s="797"/>
      <c r="G725" s="797"/>
      <c r="H725" s="797"/>
      <c r="I725" s="797"/>
      <c r="J725" s="797"/>
      <c r="K725" s="797"/>
      <c r="L725" s="797"/>
      <c r="M725" s="797"/>
      <c r="N725" s="797"/>
      <c r="O725" s="797"/>
      <c r="P725" s="797"/>
      <c r="Q725" s="797"/>
      <c r="R725" s="662"/>
      <c r="S725" s="662"/>
      <c r="T725" s="662"/>
      <c r="U725" s="665"/>
      <c r="V725" s="666"/>
      <c r="W725" s="662"/>
      <c r="X725" s="662"/>
      <c r="Y725" s="662"/>
      <c r="Z725" s="662"/>
    </row>
    <row r="726">
      <c r="A726" s="662"/>
      <c r="B726" s="664"/>
      <c r="C726" s="795"/>
      <c r="D726" s="796"/>
      <c r="E726" s="681"/>
      <c r="F726" s="797"/>
      <c r="G726" s="797"/>
      <c r="H726" s="797"/>
      <c r="I726" s="797"/>
      <c r="J726" s="797"/>
      <c r="K726" s="797"/>
      <c r="L726" s="797"/>
      <c r="M726" s="797"/>
      <c r="N726" s="797"/>
      <c r="O726" s="797"/>
      <c r="P726" s="797"/>
      <c r="Q726" s="797"/>
      <c r="R726" s="662"/>
      <c r="S726" s="662"/>
      <c r="T726" s="662"/>
      <c r="U726" s="665"/>
      <c r="V726" s="666"/>
      <c r="W726" s="662"/>
      <c r="X726" s="662"/>
      <c r="Y726" s="662"/>
      <c r="Z726" s="662"/>
    </row>
    <row r="727">
      <c r="A727" s="662"/>
      <c r="B727" s="664"/>
      <c r="C727" s="795"/>
      <c r="D727" s="796"/>
      <c r="E727" s="681"/>
      <c r="F727" s="797"/>
      <c r="G727" s="797"/>
      <c r="H727" s="797"/>
      <c r="I727" s="797"/>
      <c r="J727" s="797"/>
      <c r="K727" s="797"/>
      <c r="L727" s="797"/>
      <c r="M727" s="797"/>
      <c r="N727" s="797"/>
      <c r="O727" s="797"/>
      <c r="P727" s="797"/>
      <c r="Q727" s="797"/>
      <c r="R727" s="662"/>
      <c r="S727" s="662"/>
      <c r="T727" s="662"/>
      <c r="U727" s="665"/>
      <c r="V727" s="666"/>
      <c r="W727" s="662"/>
      <c r="X727" s="662"/>
      <c r="Y727" s="662"/>
      <c r="Z727" s="662"/>
    </row>
    <row r="728">
      <c r="A728" s="662"/>
      <c r="B728" s="664"/>
      <c r="C728" s="795"/>
      <c r="D728" s="796"/>
      <c r="E728" s="681"/>
      <c r="F728" s="797"/>
      <c r="G728" s="797"/>
      <c r="H728" s="797"/>
      <c r="I728" s="797"/>
      <c r="J728" s="797"/>
      <c r="K728" s="797"/>
      <c r="L728" s="797"/>
      <c r="M728" s="797"/>
      <c r="N728" s="797"/>
      <c r="O728" s="797"/>
      <c r="P728" s="797"/>
      <c r="Q728" s="797"/>
      <c r="R728" s="662"/>
      <c r="S728" s="662"/>
      <c r="T728" s="662"/>
      <c r="U728" s="665"/>
      <c r="V728" s="666"/>
      <c r="W728" s="662"/>
      <c r="X728" s="662"/>
      <c r="Y728" s="662"/>
      <c r="Z728" s="662"/>
    </row>
    <row r="729">
      <c r="A729" s="662"/>
      <c r="B729" s="664"/>
      <c r="C729" s="795"/>
      <c r="D729" s="796"/>
      <c r="E729" s="681"/>
      <c r="F729" s="797"/>
      <c r="G729" s="797"/>
      <c r="H729" s="797"/>
      <c r="I729" s="797"/>
      <c r="J729" s="797"/>
      <c r="K729" s="797"/>
      <c r="L729" s="797"/>
      <c r="M729" s="797"/>
      <c r="N729" s="797"/>
      <c r="O729" s="797"/>
      <c r="P729" s="797"/>
      <c r="Q729" s="797"/>
      <c r="R729" s="662"/>
      <c r="S729" s="662"/>
      <c r="T729" s="662"/>
      <c r="U729" s="665"/>
      <c r="V729" s="666"/>
      <c r="W729" s="662"/>
      <c r="X729" s="662"/>
      <c r="Y729" s="662"/>
      <c r="Z729" s="662"/>
    </row>
    <row r="730">
      <c r="A730" s="662"/>
      <c r="B730" s="664"/>
      <c r="C730" s="795"/>
      <c r="D730" s="796"/>
      <c r="E730" s="681"/>
      <c r="F730" s="797"/>
      <c r="G730" s="797"/>
      <c r="H730" s="797"/>
      <c r="I730" s="797"/>
      <c r="J730" s="797"/>
      <c r="K730" s="797"/>
      <c r="L730" s="797"/>
      <c r="M730" s="797"/>
      <c r="N730" s="797"/>
      <c r="O730" s="797"/>
      <c r="P730" s="797"/>
      <c r="Q730" s="797"/>
      <c r="R730" s="662"/>
      <c r="S730" s="662"/>
      <c r="T730" s="662"/>
      <c r="U730" s="665"/>
      <c r="V730" s="666"/>
      <c r="W730" s="662"/>
      <c r="X730" s="662"/>
      <c r="Y730" s="662"/>
      <c r="Z730" s="662"/>
    </row>
    <row r="731">
      <c r="A731" s="662"/>
      <c r="B731" s="664"/>
      <c r="C731" s="795"/>
      <c r="D731" s="796"/>
      <c r="E731" s="681"/>
      <c r="F731" s="797"/>
      <c r="G731" s="797"/>
      <c r="H731" s="797"/>
      <c r="I731" s="797"/>
      <c r="J731" s="797"/>
      <c r="K731" s="797"/>
      <c r="L731" s="797"/>
      <c r="M731" s="797"/>
      <c r="N731" s="797"/>
      <c r="O731" s="797"/>
      <c r="P731" s="797"/>
      <c r="Q731" s="797"/>
      <c r="R731" s="662"/>
      <c r="S731" s="662"/>
      <c r="T731" s="662"/>
      <c r="U731" s="665"/>
      <c r="V731" s="666"/>
      <c r="W731" s="662"/>
      <c r="X731" s="662"/>
      <c r="Y731" s="662"/>
      <c r="Z731" s="662"/>
    </row>
    <row r="732">
      <c r="A732" s="662"/>
      <c r="B732" s="664"/>
      <c r="C732" s="795"/>
      <c r="D732" s="796"/>
      <c r="E732" s="681"/>
      <c r="F732" s="797"/>
      <c r="G732" s="797"/>
      <c r="H732" s="797"/>
      <c r="I732" s="797"/>
      <c r="J732" s="797"/>
      <c r="K732" s="797"/>
      <c r="L732" s="797"/>
      <c r="M732" s="797"/>
      <c r="N732" s="797"/>
      <c r="O732" s="797"/>
      <c r="P732" s="797"/>
      <c r="Q732" s="797"/>
      <c r="R732" s="662"/>
      <c r="S732" s="662"/>
      <c r="T732" s="662"/>
      <c r="U732" s="665"/>
      <c r="V732" s="666"/>
      <c r="W732" s="662"/>
      <c r="X732" s="662"/>
      <c r="Y732" s="662"/>
      <c r="Z732" s="662"/>
    </row>
    <row r="733">
      <c r="A733" s="662"/>
      <c r="B733" s="664"/>
      <c r="C733" s="795"/>
      <c r="D733" s="796"/>
      <c r="E733" s="681"/>
      <c r="F733" s="797"/>
      <c r="G733" s="797"/>
      <c r="H733" s="797"/>
      <c r="I733" s="797"/>
      <c r="J733" s="797"/>
      <c r="K733" s="797"/>
      <c r="L733" s="797"/>
      <c r="M733" s="797"/>
      <c r="N733" s="797"/>
      <c r="O733" s="797"/>
      <c r="P733" s="797"/>
      <c r="Q733" s="797"/>
      <c r="R733" s="662"/>
      <c r="S733" s="662"/>
      <c r="T733" s="662"/>
      <c r="U733" s="665"/>
      <c r="V733" s="666"/>
      <c r="W733" s="662"/>
      <c r="X733" s="662"/>
      <c r="Y733" s="662"/>
      <c r="Z733" s="662"/>
    </row>
    <row r="734">
      <c r="A734" s="662"/>
      <c r="B734" s="664"/>
      <c r="C734" s="795"/>
      <c r="D734" s="796"/>
      <c r="E734" s="681"/>
      <c r="F734" s="797"/>
      <c r="G734" s="797"/>
      <c r="H734" s="797"/>
      <c r="I734" s="797"/>
      <c r="J734" s="797"/>
      <c r="K734" s="797"/>
      <c r="L734" s="797"/>
      <c r="M734" s="797"/>
      <c r="N734" s="797"/>
      <c r="O734" s="797"/>
      <c r="P734" s="797"/>
      <c r="Q734" s="797"/>
      <c r="R734" s="662"/>
      <c r="S734" s="662"/>
      <c r="T734" s="662"/>
      <c r="U734" s="665"/>
      <c r="V734" s="666"/>
      <c r="W734" s="662"/>
      <c r="X734" s="662"/>
      <c r="Y734" s="662"/>
      <c r="Z734" s="662"/>
    </row>
    <row r="735">
      <c r="A735" s="662"/>
      <c r="B735" s="664"/>
      <c r="C735" s="795"/>
      <c r="D735" s="796"/>
      <c r="E735" s="681"/>
      <c r="F735" s="797"/>
      <c r="G735" s="797"/>
      <c r="H735" s="797"/>
      <c r="I735" s="797"/>
      <c r="J735" s="797"/>
      <c r="K735" s="797"/>
      <c r="L735" s="797"/>
      <c r="M735" s="797"/>
      <c r="N735" s="797"/>
      <c r="O735" s="797"/>
      <c r="P735" s="797"/>
      <c r="Q735" s="797"/>
      <c r="R735" s="662"/>
      <c r="S735" s="662"/>
      <c r="T735" s="662"/>
      <c r="U735" s="665"/>
      <c r="V735" s="666"/>
      <c r="W735" s="662"/>
      <c r="X735" s="662"/>
      <c r="Y735" s="662"/>
      <c r="Z735" s="662"/>
    </row>
    <row r="736">
      <c r="A736" s="662"/>
      <c r="B736" s="664"/>
      <c r="C736" s="795"/>
      <c r="D736" s="796"/>
      <c r="E736" s="681"/>
      <c r="F736" s="797"/>
      <c r="G736" s="797"/>
      <c r="H736" s="797"/>
      <c r="I736" s="797"/>
      <c r="J736" s="797"/>
      <c r="K736" s="797"/>
      <c r="L736" s="797"/>
      <c r="M736" s="797"/>
      <c r="N736" s="797"/>
      <c r="O736" s="797"/>
      <c r="P736" s="797"/>
      <c r="Q736" s="797"/>
      <c r="R736" s="662"/>
      <c r="S736" s="662"/>
      <c r="T736" s="662"/>
      <c r="U736" s="665"/>
      <c r="V736" s="666"/>
      <c r="W736" s="662"/>
      <c r="X736" s="662"/>
      <c r="Y736" s="662"/>
      <c r="Z736" s="662"/>
    </row>
    <row r="737">
      <c r="A737" s="662"/>
      <c r="B737" s="664"/>
      <c r="C737" s="795"/>
      <c r="D737" s="796"/>
      <c r="E737" s="681"/>
      <c r="F737" s="797"/>
      <c r="G737" s="797"/>
      <c r="H737" s="797"/>
      <c r="I737" s="797"/>
      <c r="J737" s="797"/>
      <c r="K737" s="797"/>
      <c r="L737" s="797"/>
      <c r="M737" s="797"/>
      <c r="N737" s="797"/>
      <c r="O737" s="797"/>
      <c r="P737" s="797"/>
      <c r="Q737" s="797"/>
      <c r="R737" s="662"/>
      <c r="S737" s="662"/>
      <c r="T737" s="662"/>
      <c r="U737" s="665"/>
      <c r="V737" s="666"/>
      <c r="W737" s="662"/>
      <c r="X737" s="662"/>
      <c r="Y737" s="662"/>
      <c r="Z737" s="662"/>
    </row>
    <row r="738">
      <c r="A738" s="662"/>
      <c r="B738" s="664"/>
      <c r="C738" s="795"/>
      <c r="D738" s="796"/>
      <c r="E738" s="681"/>
      <c r="F738" s="797"/>
      <c r="G738" s="797"/>
      <c r="H738" s="797"/>
      <c r="I738" s="797"/>
      <c r="J738" s="797"/>
      <c r="K738" s="797"/>
      <c r="L738" s="797"/>
      <c r="M738" s="797"/>
      <c r="N738" s="797"/>
      <c r="O738" s="797"/>
      <c r="P738" s="797"/>
      <c r="Q738" s="797"/>
      <c r="R738" s="662"/>
      <c r="S738" s="662"/>
      <c r="T738" s="662"/>
      <c r="U738" s="665"/>
      <c r="V738" s="666"/>
      <c r="W738" s="662"/>
      <c r="X738" s="662"/>
      <c r="Y738" s="662"/>
      <c r="Z738" s="662"/>
    </row>
    <row r="739">
      <c r="A739" s="662"/>
      <c r="B739" s="664"/>
      <c r="C739" s="795"/>
      <c r="D739" s="796"/>
      <c r="E739" s="681"/>
      <c r="F739" s="797"/>
      <c r="G739" s="797"/>
      <c r="H739" s="797"/>
      <c r="I739" s="797"/>
      <c r="J739" s="797"/>
      <c r="K739" s="797"/>
      <c r="L739" s="797"/>
      <c r="M739" s="797"/>
      <c r="N739" s="797"/>
      <c r="O739" s="797"/>
      <c r="P739" s="797"/>
      <c r="Q739" s="797"/>
      <c r="R739" s="662"/>
      <c r="S739" s="662"/>
      <c r="T739" s="662"/>
      <c r="U739" s="665"/>
      <c r="V739" s="666"/>
      <c r="W739" s="662"/>
      <c r="X739" s="662"/>
      <c r="Y739" s="662"/>
      <c r="Z739" s="662"/>
    </row>
    <row r="740">
      <c r="A740" s="662"/>
      <c r="B740" s="664"/>
      <c r="C740" s="795"/>
      <c r="D740" s="796"/>
      <c r="E740" s="681"/>
      <c r="F740" s="797"/>
      <c r="G740" s="797"/>
      <c r="H740" s="797"/>
      <c r="I740" s="797"/>
      <c r="J740" s="797"/>
      <c r="K740" s="797"/>
      <c r="L740" s="797"/>
      <c r="M740" s="797"/>
      <c r="N740" s="797"/>
      <c r="O740" s="797"/>
      <c r="P740" s="797"/>
      <c r="Q740" s="797"/>
      <c r="R740" s="662"/>
      <c r="S740" s="662"/>
      <c r="T740" s="662"/>
      <c r="U740" s="665"/>
      <c r="V740" s="666"/>
      <c r="W740" s="662"/>
      <c r="X740" s="662"/>
      <c r="Y740" s="662"/>
      <c r="Z740" s="662"/>
    </row>
    <row r="741">
      <c r="A741" s="662"/>
      <c r="B741" s="664"/>
      <c r="C741" s="795"/>
      <c r="D741" s="796"/>
      <c r="E741" s="681"/>
      <c r="F741" s="797"/>
      <c r="G741" s="797"/>
      <c r="H741" s="797"/>
      <c r="I741" s="797"/>
      <c r="J741" s="797"/>
      <c r="K741" s="797"/>
      <c r="L741" s="797"/>
      <c r="M741" s="797"/>
      <c r="N741" s="797"/>
      <c r="O741" s="797"/>
      <c r="P741" s="797"/>
      <c r="Q741" s="797"/>
      <c r="R741" s="662"/>
      <c r="S741" s="662"/>
      <c r="T741" s="662"/>
      <c r="U741" s="665"/>
      <c r="V741" s="666"/>
      <c r="W741" s="662"/>
      <c r="X741" s="662"/>
      <c r="Y741" s="662"/>
      <c r="Z741" s="662"/>
    </row>
    <row r="742">
      <c r="A742" s="662"/>
      <c r="B742" s="664"/>
      <c r="C742" s="795"/>
      <c r="D742" s="796"/>
      <c r="E742" s="681"/>
      <c r="F742" s="797"/>
      <c r="G742" s="797"/>
      <c r="H742" s="797"/>
      <c r="I742" s="797"/>
      <c r="J742" s="797"/>
      <c r="K742" s="797"/>
      <c r="L742" s="797"/>
      <c r="M742" s="797"/>
      <c r="N742" s="797"/>
      <c r="O742" s="797"/>
      <c r="P742" s="797"/>
      <c r="Q742" s="797"/>
      <c r="R742" s="662"/>
      <c r="S742" s="662"/>
      <c r="T742" s="662"/>
      <c r="U742" s="665"/>
      <c r="V742" s="666"/>
      <c r="W742" s="662"/>
      <c r="X742" s="662"/>
      <c r="Y742" s="662"/>
      <c r="Z742" s="662"/>
    </row>
    <row r="743">
      <c r="A743" s="662"/>
      <c r="B743" s="664"/>
      <c r="C743" s="795"/>
      <c r="D743" s="796"/>
      <c r="E743" s="681"/>
      <c r="F743" s="797"/>
      <c r="G743" s="797"/>
      <c r="H743" s="797"/>
      <c r="I743" s="797"/>
      <c r="J743" s="797"/>
      <c r="K743" s="797"/>
      <c r="L743" s="797"/>
      <c r="M743" s="797"/>
      <c r="N743" s="797"/>
      <c r="O743" s="797"/>
      <c r="P743" s="797"/>
      <c r="Q743" s="797"/>
      <c r="R743" s="662"/>
      <c r="S743" s="662"/>
      <c r="T743" s="662"/>
      <c r="U743" s="665"/>
      <c r="V743" s="666"/>
      <c r="W743" s="662"/>
      <c r="X743" s="662"/>
      <c r="Y743" s="662"/>
      <c r="Z743" s="662"/>
    </row>
    <row r="744">
      <c r="A744" s="662"/>
      <c r="B744" s="664"/>
      <c r="C744" s="795"/>
      <c r="D744" s="796"/>
      <c r="E744" s="681"/>
      <c r="F744" s="797"/>
      <c r="G744" s="797"/>
      <c r="H744" s="797"/>
      <c r="I744" s="797"/>
      <c r="J744" s="797"/>
      <c r="K744" s="797"/>
      <c r="L744" s="797"/>
      <c r="M744" s="797"/>
      <c r="N744" s="797"/>
      <c r="O744" s="797"/>
      <c r="P744" s="797"/>
      <c r="Q744" s="797"/>
      <c r="R744" s="662"/>
      <c r="S744" s="662"/>
      <c r="T744" s="662"/>
      <c r="U744" s="665"/>
      <c r="V744" s="666"/>
      <c r="W744" s="662"/>
      <c r="X744" s="662"/>
      <c r="Y744" s="662"/>
      <c r="Z744" s="662"/>
    </row>
    <row r="745">
      <c r="A745" s="662"/>
      <c r="B745" s="664"/>
      <c r="C745" s="795"/>
      <c r="D745" s="796"/>
      <c r="E745" s="681"/>
      <c r="F745" s="797"/>
      <c r="G745" s="797"/>
      <c r="H745" s="797"/>
      <c r="I745" s="797"/>
      <c r="J745" s="797"/>
      <c r="K745" s="797"/>
      <c r="L745" s="797"/>
      <c r="M745" s="797"/>
      <c r="N745" s="797"/>
      <c r="O745" s="797"/>
      <c r="P745" s="797"/>
      <c r="Q745" s="797"/>
      <c r="R745" s="662"/>
      <c r="S745" s="662"/>
      <c r="T745" s="662"/>
      <c r="U745" s="665"/>
      <c r="V745" s="666"/>
      <c r="W745" s="662"/>
      <c r="X745" s="662"/>
      <c r="Y745" s="662"/>
      <c r="Z745" s="662"/>
    </row>
    <row r="746">
      <c r="A746" s="662"/>
      <c r="B746" s="664"/>
      <c r="C746" s="795"/>
      <c r="D746" s="796"/>
      <c r="E746" s="681"/>
      <c r="F746" s="797"/>
      <c r="G746" s="797"/>
      <c r="H746" s="797"/>
      <c r="I746" s="797"/>
      <c r="J746" s="797"/>
      <c r="K746" s="797"/>
      <c r="L746" s="797"/>
      <c r="M746" s="797"/>
      <c r="N746" s="797"/>
      <c r="O746" s="797"/>
      <c r="P746" s="797"/>
      <c r="Q746" s="797"/>
      <c r="R746" s="662"/>
      <c r="S746" s="662"/>
      <c r="T746" s="662"/>
      <c r="U746" s="665"/>
      <c r="V746" s="666"/>
      <c r="W746" s="662"/>
      <c r="X746" s="662"/>
      <c r="Y746" s="662"/>
      <c r="Z746" s="662"/>
    </row>
    <row r="747">
      <c r="A747" s="662"/>
      <c r="B747" s="664"/>
      <c r="C747" s="795"/>
      <c r="D747" s="796"/>
      <c r="E747" s="681"/>
      <c r="F747" s="797"/>
      <c r="G747" s="797"/>
      <c r="H747" s="797"/>
      <c r="I747" s="797"/>
      <c r="J747" s="797"/>
      <c r="K747" s="797"/>
      <c r="L747" s="797"/>
      <c r="M747" s="797"/>
      <c r="N747" s="797"/>
      <c r="O747" s="797"/>
      <c r="P747" s="797"/>
      <c r="Q747" s="797"/>
      <c r="R747" s="662"/>
      <c r="S747" s="662"/>
      <c r="T747" s="662"/>
      <c r="U747" s="665"/>
      <c r="V747" s="666"/>
      <c r="W747" s="662"/>
      <c r="X747" s="662"/>
      <c r="Y747" s="662"/>
      <c r="Z747" s="662"/>
    </row>
    <row r="748">
      <c r="A748" s="662"/>
      <c r="B748" s="664"/>
      <c r="C748" s="795"/>
      <c r="D748" s="796"/>
      <c r="E748" s="681"/>
      <c r="F748" s="797"/>
      <c r="G748" s="797"/>
      <c r="H748" s="797"/>
      <c r="I748" s="797"/>
      <c r="J748" s="797"/>
      <c r="K748" s="797"/>
      <c r="L748" s="797"/>
      <c r="M748" s="797"/>
      <c r="N748" s="797"/>
      <c r="O748" s="797"/>
      <c r="P748" s="797"/>
      <c r="Q748" s="797"/>
      <c r="R748" s="662"/>
      <c r="S748" s="662"/>
      <c r="T748" s="662"/>
      <c r="U748" s="665"/>
      <c r="V748" s="666"/>
      <c r="W748" s="662"/>
      <c r="X748" s="662"/>
      <c r="Y748" s="662"/>
      <c r="Z748" s="662"/>
    </row>
    <row r="749">
      <c r="A749" s="662"/>
      <c r="B749" s="664"/>
      <c r="C749" s="795"/>
      <c r="D749" s="796"/>
      <c r="E749" s="681"/>
      <c r="F749" s="797"/>
      <c r="G749" s="797"/>
      <c r="H749" s="797"/>
      <c r="I749" s="797"/>
      <c r="J749" s="797"/>
      <c r="K749" s="797"/>
      <c r="L749" s="797"/>
      <c r="M749" s="797"/>
      <c r="N749" s="797"/>
      <c r="O749" s="797"/>
      <c r="P749" s="797"/>
      <c r="Q749" s="797"/>
      <c r="R749" s="662"/>
      <c r="S749" s="662"/>
      <c r="T749" s="662"/>
      <c r="U749" s="665"/>
      <c r="V749" s="666"/>
      <c r="W749" s="662"/>
      <c r="X749" s="662"/>
      <c r="Y749" s="662"/>
      <c r="Z749" s="662"/>
    </row>
    <row r="750">
      <c r="A750" s="662"/>
      <c r="B750" s="664"/>
      <c r="C750" s="795"/>
      <c r="D750" s="796"/>
      <c r="E750" s="681"/>
      <c r="F750" s="797"/>
      <c r="G750" s="797"/>
      <c r="H750" s="797"/>
      <c r="I750" s="797"/>
      <c r="J750" s="797"/>
      <c r="K750" s="797"/>
      <c r="L750" s="797"/>
      <c r="M750" s="797"/>
      <c r="N750" s="797"/>
      <c r="O750" s="797"/>
      <c r="P750" s="797"/>
      <c r="Q750" s="797"/>
      <c r="R750" s="662"/>
      <c r="S750" s="662"/>
      <c r="T750" s="662"/>
      <c r="U750" s="665"/>
      <c r="V750" s="666"/>
      <c r="W750" s="662"/>
      <c r="X750" s="662"/>
      <c r="Y750" s="662"/>
      <c r="Z750" s="662"/>
    </row>
    <row r="751">
      <c r="A751" s="662"/>
      <c r="B751" s="664"/>
      <c r="C751" s="795"/>
      <c r="D751" s="796"/>
      <c r="E751" s="681"/>
      <c r="F751" s="797"/>
      <c r="G751" s="797"/>
      <c r="H751" s="797"/>
      <c r="I751" s="797"/>
      <c r="J751" s="797"/>
      <c r="K751" s="797"/>
      <c r="L751" s="797"/>
      <c r="M751" s="797"/>
      <c r="N751" s="797"/>
      <c r="O751" s="797"/>
      <c r="P751" s="797"/>
      <c r="Q751" s="797"/>
      <c r="R751" s="662"/>
      <c r="S751" s="662"/>
      <c r="T751" s="662"/>
      <c r="U751" s="665"/>
      <c r="V751" s="666"/>
      <c r="W751" s="662"/>
      <c r="X751" s="662"/>
      <c r="Y751" s="662"/>
      <c r="Z751" s="662"/>
    </row>
    <row r="752">
      <c r="A752" s="662"/>
      <c r="B752" s="664"/>
      <c r="C752" s="795"/>
      <c r="D752" s="796"/>
      <c r="E752" s="681"/>
      <c r="F752" s="797"/>
      <c r="G752" s="797"/>
      <c r="H752" s="797"/>
      <c r="I752" s="797"/>
      <c r="J752" s="797"/>
      <c r="K752" s="797"/>
      <c r="L752" s="797"/>
      <c r="M752" s="797"/>
      <c r="N752" s="797"/>
      <c r="O752" s="797"/>
      <c r="P752" s="797"/>
      <c r="Q752" s="797"/>
      <c r="R752" s="662"/>
      <c r="S752" s="662"/>
      <c r="T752" s="662"/>
      <c r="U752" s="665"/>
      <c r="V752" s="666"/>
      <c r="W752" s="662"/>
      <c r="X752" s="662"/>
      <c r="Y752" s="662"/>
      <c r="Z752" s="662"/>
    </row>
    <row r="753">
      <c r="A753" s="662"/>
      <c r="B753" s="664"/>
      <c r="C753" s="795"/>
      <c r="D753" s="796"/>
      <c r="E753" s="681"/>
      <c r="F753" s="797"/>
      <c r="G753" s="797"/>
      <c r="H753" s="797"/>
      <c r="I753" s="797"/>
      <c r="J753" s="797"/>
      <c r="K753" s="797"/>
      <c r="L753" s="797"/>
      <c r="M753" s="797"/>
      <c r="N753" s="797"/>
      <c r="O753" s="797"/>
      <c r="P753" s="797"/>
      <c r="Q753" s="797"/>
      <c r="R753" s="662"/>
      <c r="S753" s="662"/>
      <c r="T753" s="662"/>
      <c r="U753" s="665"/>
      <c r="V753" s="666"/>
      <c r="W753" s="662"/>
      <c r="X753" s="662"/>
      <c r="Y753" s="662"/>
      <c r="Z753" s="662"/>
    </row>
    <row r="754">
      <c r="A754" s="662"/>
      <c r="B754" s="664"/>
      <c r="C754" s="795"/>
      <c r="D754" s="796"/>
      <c r="E754" s="681"/>
      <c r="F754" s="797"/>
      <c r="G754" s="797"/>
      <c r="H754" s="797"/>
      <c r="I754" s="797"/>
      <c r="J754" s="797"/>
      <c r="K754" s="797"/>
      <c r="L754" s="797"/>
      <c r="M754" s="797"/>
      <c r="N754" s="797"/>
      <c r="O754" s="797"/>
      <c r="P754" s="797"/>
      <c r="Q754" s="797"/>
      <c r="R754" s="662"/>
      <c r="S754" s="662"/>
      <c r="T754" s="662"/>
      <c r="U754" s="665"/>
      <c r="V754" s="666"/>
      <c r="W754" s="662"/>
      <c r="X754" s="662"/>
      <c r="Y754" s="662"/>
      <c r="Z754" s="662"/>
    </row>
    <row r="755">
      <c r="A755" s="662"/>
      <c r="B755" s="664"/>
      <c r="C755" s="795"/>
      <c r="D755" s="796"/>
      <c r="E755" s="681"/>
      <c r="F755" s="797"/>
      <c r="G755" s="797"/>
      <c r="H755" s="797"/>
      <c r="I755" s="797"/>
      <c r="J755" s="797"/>
      <c r="K755" s="797"/>
      <c r="L755" s="797"/>
      <c r="M755" s="797"/>
      <c r="N755" s="797"/>
      <c r="O755" s="797"/>
      <c r="P755" s="797"/>
      <c r="Q755" s="797"/>
      <c r="R755" s="662"/>
      <c r="S755" s="662"/>
      <c r="T755" s="662"/>
      <c r="U755" s="665"/>
      <c r="V755" s="666"/>
      <c r="W755" s="662"/>
      <c r="X755" s="662"/>
      <c r="Y755" s="662"/>
      <c r="Z755" s="662"/>
    </row>
    <row r="756">
      <c r="A756" s="662"/>
      <c r="B756" s="664"/>
      <c r="C756" s="795"/>
      <c r="D756" s="796"/>
      <c r="E756" s="681"/>
      <c r="F756" s="797"/>
      <c r="G756" s="797"/>
      <c r="H756" s="797"/>
      <c r="I756" s="797"/>
      <c r="J756" s="797"/>
      <c r="K756" s="797"/>
      <c r="L756" s="797"/>
      <c r="M756" s="797"/>
      <c r="N756" s="797"/>
      <c r="O756" s="797"/>
      <c r="P756" s="797"/>
      <c r="Q756" s="797"/>
      <c r="R756" s="662"/>
      <c r="S756" s="662"/>
      <c r="T756" s="662"/>
      <c r="U756" s="665"/>
      <c r="V756" s="666"/>
      <c r="W756" s="662"/>
      <c r="X756" s="662"/>
      <c r="Y756" s="662"/>
      <c r="Z756" s="662"/>
    </row>
    <row r="757">
      <c r="A757" s="662"/>
      <c r="B757" s="664"/>
      <c r="C757" s="795"/>
      <c r="D757" s="796"/>
      <c r="E757" s="681"/>
      <c r="F757" s="797"/>
      <c r="G757" s="797"/>
      <c r="H757" s="797"/>
      <c r="I757" s="797"/>
      <c r="J757" s="797"/>
      <c r="K757" s="797"/>
      <c r="L757" s="797"/>
      <c r="M757" s="797"/>
      <c r="N757" s="797"/>
      <c r="O757" s="797"/>
      <c r="P757" s="797"/>
      <c r="Q757" s="797"/>
      <c r="R757" s="662"/>
      <c r="S757" s="662"/>
      <c r="T757" s="662"/>
      <c r="U757" s="665"/>
      <c r="V757" s="666"/>
      <c r="W757" s="662"/>
      <c r="X757" s="662"/>
      <c r="Y757" s="662"/>
      <c r="Z757" s="662"/>
    </row>
    <row r="758">
      <c r="A758" s="662"/>
      <c r="B758" s="664"/>
      <c r="C758" s="795"/>
      <c r="D758" s="796"/>
      <c r="E758" s="681"/>
      <c r="F758" s="797"/>
      <c r="G758" s="797"/>
      <c r="H758" s="797"/>
      <c r="I758" s="797"/>
      <c r="J758" s="797"/>
      <c r="K758" s="797"/>
      <c r="L758" s="797"/>
      <c r="M758" s="797"/>
      <c r="N758" s="797"/>
      <c r="O758" s="797"/>
      <c r="P758" s="797"/>
      <c r="Q758" s="797"/>
      <c r="R758" s="662"/>
      <c r="S758" s="662"/>
      <c r="T758" s="662"/>
      <c r="U758" s="665"/>
      <c r="V758" s="666"/>
      <c r="W758" s="662"/>
      <c r="X758" s="662"/>
      <c r="Y758" s="662"/>
      <c r="Z758" s="662"/>
    </row>
    <row r="759">
      <c r="A759" s="662"/>
      <c r="B759" s="664"/>
      <c r="C759" s="795"/>
      <c r="D759" s="796"/>
      <c r="E759" s="681"/>
      <c r="F759" s="797"/>
      <c r="G759" s="797"/>
      <c r="H759" s="797"/>
      <c r="I759" s="797"/>
      <c r="J759" s="797"/>
      <c r="K759" s="797"/>
      <c r="L759" s="797"/>
      <c r="M759" s="797"/>
      <c r="N759" s="797"/>
      <c r="O759" s="797"/>
      <c r="P759" s="797"/>
      <c r="Q759" s="797"/>
      <c r="R759" s="662"/>
      <c r="S759" s="662"/>
      <c r="T759" s="662"/>
      <c r="U759" s="665"/>
      <c r="V759" s="666"/>
      <c r="W759" s="662"/>
      <c r="X759" s="662"/>
      <c r="Y759" s="662"/>
      <c r="Z759" s="662"/>
    </row>
    <row r="760">
      <c r="A760" s="662"/>
      <c r="B760" s="664"/>
      <c r="C760" s="795"/>
      <c r="D760" s="796"/>
      <c r="E760" s="681"/>
      <c r="F760" s="797"/>
      <c r="G760" s="797"/>
      <c r="H760" s="797"/>
      <c r="I760" s="797"/>
      <c r="J760" s="797"/>
      <c r="K760" s="797"/>
      <c r="L760" s="797"/>
      <c r="M760" s="797"/>
      <c r="N760" s="797"/>
      <c r="O760" s="797"/>
      <c r="P760" s="797"/>
      <c r="Q760" s="797"/>
      <c r="R760" s="662"/>
      <c r="S760" s="662"/>
      <c r="T760" s="662"/>
      <c r="U760" s="665"/>
      <c r="V760" s="666"/>
      <c r="W760" s="662"/>
      <c r="X760" s="662"/>
      <c r="Y760" s="662"/>
      <c r="Z760" s="662"/>
    </row>
    <row r="761">
      <c r="A761" s="662"/>
      <c r="B761" s="664"/>
      <c r="C761" s="795"/>
      <c r="D761" s="796"/>
      <c r="E761" s="681"/>
      <c r="F761" s="797"/>
      <c r="G761" s="797"/>
      <c r="H761" s="797"/>
      <c r="I761" s="797"/>
      <c r="J761" s="797"/>
      <c r="K761" s="797"/>
      <c r="L761" s="797"/>
      <c r="M761" s="797"/>
      <c r="N761" s="797"/>
      <c r="O761" s="797"/>
      <c r="P761" s="797"/>
      <c r="Q761" s="797"/>
      <c r="R761" s="662"/>
      <c r="S761" s="662"/>
      <c r="T761" s="662"/>
      <c r="U761" s="665"/>
      <c r="V761" s="666"/>
      <c r="W761" s="662"/>
      <c r="X761" s="662"/>
      <c r="Y761" s="662"/>
      <c r="Z761" s="662"/>
    </row>
    <row r="762">
      <c r="A762" s="662"/>
      <c r="B762" s="664"/>
      <c r="C762" s="795"/>
      <c r="D762" s="796"/>
      <c r="E762" s="681"/>
      <c r="F762" s="797"/>
      <c r="G762" s="797"/>
      <c r="H762" s="797"/>
      <c r="I762" s="797"/>
      <c r="J762" s="797"/>
      <c r="K762" s="797"/>
      <c r="L762" s="797"/>
      <c r="M762" s="797"/>
      <c r="N762" s="797"/>
      <c r="O762" s="797"/>
      <c r="P762" s="797"/>
      <c r="Q762" s="797"/>
      <c r="R762" s="662"/>
      <c r="S762" s="662"/>
      <c r="T762" s="662"/>
      <c r="U762" s="665"/>
      <c r="V762" s="666"/>
      <c r="W762" s="662"/>
      <c r="X762" s="662"/>
      <c r="Y762" s="662"/>
      <c r="Z762" s="662"/>
    </row>
    <row r="763">
      <c r="A763" s="662"/>
      <c r="B763" s="664"/>
      <c r="C763" s="795"/>
      <c r="D763" s="796"/>
      <c r="E763" s="681"/>
      <c r="F763" s="797"/>
      <c r="G763" s="797"/>
      <c r="H763" s="797"/>
      <c r="I763" s="797"/>
      <c r="J763" s="797"/>
      <c r="K763" s="797"/>
      <c r="L763" s="797"/>
      <c r="M763" s="797"/>
      <c r="N763" s="797"/>
      <c r="O763" s="797"/>
      <c r="P763" s="797"/>
      <c r="Q763" s="797"/>
      <c r="R763" s="662"/>
      <c r="S763" s="662"/>
      <c r="T763" s="662"/>
      <c r="U763" s="665"/>
      <c r="V763" s="666"/>
      <c r="W763" s="662"/>
      <c r="X763" s="662"/>
      <c r="Y763" s="662"/>
      <c r="Z763" s="662"/>
    </row>
    <row r="764">
      <c r="A764" s="662"/>
      <c r="B764" s="664"/>
      <c r="C764" s="795"/>
      <c r="D764" s="796"/>
      <c r="E764" s="681"/>
      <c r="F764" s="797"/>
      <c r="G764" s="797"/>
      <c r="H764" s="797"/>
      <c r="I764" s="797"/>
      <c r="J764" s="797"/>
      <c r="K764" s="797"/>
      <c r="L764" s="797"/>
      <c r="M764" s="797"/>
      <c r="N764" s="797"/>
      <c r="O764" s="797"/>
      <c r="P764" s="797"/>
      <c r="Q764" s="797"/>
      <c r="R764" s="662"/>
      <c r="S764" s="662"/>
      <c r="T764" s="662"/>
      <c r="U764" s="665"/>
      <c r="V764" s="666"/>
      <c r="W764" s="662"/>
      <c r="X764" s="662"/>
      <c r="Y764" s="662"/>
      <c r="Z764" s="662"/>
    </row>
    <row r="765">
      <c r="A765" s="662"/>
      <c r="B765" s="664"/>
      <c r="C765" s="795"/>
      <c r="D765" s="796"/>
      <c r="E765" s="681"/>
      <c r="F765" s="797"/>
      <c r="G765" s="797"/>
      <c r="H765" s="797"/>
      <c r="I765" s="797"/>
      <c r="J765" s="797"/>
      <c r="K765" s="797"/>
      <c r="L765" s="797"/>
      <c r="M765" s="797"/>
      <c r="N765" s="797"/>
      <c r="O765" s="797"/>
      <c r="P765" s="797"/>
      <c r="Q765" s="797"/>
      <c r="R765" s="662"/>
      <c r="S765" s="662"/>
      <c r="T765" s="662"/>
      <c r="U765" s="665"/>
      <c r="V765" s="666"/>
      <c r="W765" s="662"/>
      <c r="X765" s="662"/>
      <c r="Y765" s="662"/>
      <c r="Z765" s="662"/>
    </row>
    <row r="766">
      <c r="A766" s="662"/>
      <c r="B766" s="664"/>
      <c r="C766" s="795"/>
      <c r="D766" s="796"/>
      <c r="E766" s="681"/>
      <c r="F766" s="797"/>
      <c r="G766" s="797"/>
      <c r="H766" s="797"/>
      <c r="I766" s="797"/>
      <c r="J766" s="797"/>
      <c r="K766" s="797"/>
      <c r="L766" s="797"/>
      <c r="M766" s="797"/>
      <c r="N766" s="797"/>
      <c r="O766" s="797"/>
      <c r="P766" s="797"/>
      <c r="Q766" s="797"/>
      <c r="R766" s="662"/>
      <c r="S766" s="662"/>
      <c r="T766" s="662"/>
      <c r="U766" s="665"/>
      <c r="V766" s="666"/>
      <c r="W766" s="662"/>
      <c r="X766" s="662"/>
      <c r="Y766" s="662"/>
      <c r="Z766" s="662"/>
    </row>
    <row r="767">
      <c r="A767" s="662"/>
      <c r="B767" s="664"/>
      <c r="C767" s="795"/>
      <c r="D767" s="796"/>
      <c r="E767" s="681"/>
      <c r="F767" s="797"/>
      <c r="G767" s="797"/>
      <c r="H767" s="797"/>
      <c r="I767" s="797"/>
      <c r="J767" s="797"/>
      <c r="K767" s="797"/>
      <c r="L767" s="797"/>
      <c r="M767" s="797"/>
      <c r="N767" s="797"/>
      <c r="O767" s="797"/>
      <c r="P767" s="797"/>
      <c r="Q767" s="797"/>
      <c r="R767" s="662"/>
      <c r="S767" s="662"/>
      <c r="T767" s="662"/>
      <c r="U767" s="665"/>
      <c r="V767" s="666"/>
      <c r="W767" s="662"/>
      <c r="X767" s="662"/>
      <c r="Y767" s="662"/>
      <c r="Z767" s="662"/>
    </row>
    <row r="768">
      <c r="A768" s="662"/>
      <c r="B768" s="664"/>
      <c r="C768" s="795"/>
      <c r="D768" s="796"/>
      <c r="E768" s="681"/>
      <c r="F768" s="797"/>
      <c r="G768" s="797"/>
      <c r="H768" s="797"/>
      <c r="I768" s="797"/>
      <c r="J768" s="797"/>
      <c r="K768" s="797"/>
      <c r="L768" s="797"/>
      <c r="M768" s="797"/>
      <c r="N768" s="797"/>
      <c r="O768" s="797"/>
      <c r="P768" s="797"/>
      <c r="Q768" s="797"/>
      <c r="R768" s="662"/>
      <c r="S768" s="662"/>
      <c r="T768" s="662"/>
      <c r="U768" s="665"/>
      <c r="V768" s="666"/>
      <c r="W768" s="662"/>
      <c r="X768" s="662"/>
      <c r="Y768" s="662"/>
      <c r="Z768" s="662"/>
    </row>
    <row r="769">
      <c r="A769" s="662"/>
      <c r="B769" s="664"/>
      <c r="C769" s="795"/>
      <c r="D769" s="796"/>
      <c r="E769" s="681"/>
      <c r="F769" s="797"/>
      <c r="G769" s="797"/>
      <c r="H769" s="797"/>
      <c r="I769" s="797"/>
      <c r="J769" s="797"/>
      <c r="K769" s="797"/>
      <c r="L769" s="797"/>
      <c r="M769" s="797"/>
      <c r="N769" s="797"/>
      <c r="O769" s="797"/>
      <c r="P769" s="797"/>
      <c r="Q769" s="797"/>
      <c r="R769" s="662"/>
      <c r="S769" s="662"/>
      <c r="T769" s="662"/>
      <c r="U769" s="665"/>
      <c r="V769" s="666"/>
      <c r="W769" s="662"/>
      <c r="X769" s="662"/>
      <c r="Y769" s="662"/>
      <c r="Z769" s="662"/>
    </row>
    <row r="770">
      <c r="A770" s="662"/>
      <c r="B770" s="664"/>
      <c r="C770" s="795"/>
      <c r="D770" s="796"/>
      <c r="E770" s="681"/>
      <c r="F770" s="797"/>
      <c r="G770" s="797"/>
      <c r="H770" s="797"/>
      <c r="I770" s="797"/>
      <c r="J770" s="797"/>
      <c r="K770" s="797"/>
      <c r="L770" s="797"/>
      <c r="M770" s="797"/>
      <c r="N770" s="797"/>
      <c r="O770" s="797"/>
      <c r="P770" s="797"/>
      <c r="Q770" s="797"/>
      <c r="R770" s="662"/>
      <c r="S770" s="662"/>
      <c r="T770" s="662"/>
      <c r="U770" s="665"/>
      <c r="V770" s="666"/>
      <c r="W770" s="662"/>
      <c r="X770" s="662"/>
      <c r="Y770" s="662"/>
      <c r="Z770" s="662"/>
    </row>
    <row r="771">
      <c r="A771" s="662"/>
      <c r="B771" s="664"/>
      <c r="C771" s="795"/>
      <c r="D771" s="796"/>
      <c r="E771" s="681"/>
      <c r="F771" s="797"/>
      <c r="G771" s="797"/>
      <c r="H771" s="797"/>
      <c r="I771" s="797"/>
      <c r="J771" s="797"/>
      <c r="K771" s="797"/>
      <c r="L771" s="797"/>
      <c r="M771" s="797"/>
      <c r="N771" s="797"/>
      <c r="O771" s="797"/>
      <c r="P771" s="797"/>
      <c r="Q771" s="797"/>
      <c r="R771" s="662"/>
      <c r="S771" s="662"/>
      <c r="T771" s="662"/>
      <c r="U771" s="665"/>
      <c r="V771" s="666"/>
      <c r="W771" s="662"/>
      <c r="X771" s="662"/>
      <c r="Y771" s="662"/>
      <c r="Z771" s="662"/>
    </row>
    <row r="772">
      <c r="A772" s="662"/>
      <c r="B772" s="664"/>
      <c r="C772" s="795"/>
      <c r="D772" s="796"/>
      <c r="E772" s="681"/>
      <c r="F772" s="797"/>
      <c r="G772" s="797"/>
      <c r="H772" s="797"/>
      <c r="I772" s="797"/>
      <c r="J772" s="797"/>
      <c r="K772" s="797"/>
      <c r="L772" s="797"/>
      <c r="M772" s="797"/>
      <c r="N772" s="797"/>
      <c r="O772" s="797"/>
      <c r="P772" s="797"/>
      <c r="Q772" s="797"/>
      <c r="R772" s="662"/>
      <c r="S772" s="662"/>
      <c r="T772" s="662"/>
      <c r="U772" s="665"/>
      <c r="V772" s="666"/>
      <c r="W772" s="662"/>
      <c r="X772" s="662"/>
      <c r="Y772" s="662"/>
      <c r="Z772" s="662"/>
    </row>
    <row r="773">
      <c r="A773" s="662"/>
      <c r="B773" s="664"/>
      <c r="C773" s="795"/>
      <c r="D773" s="796"/>
      <c r="E773" s="681"/>
      <c r="F773" s="797"/>
      <c r="G773" s="797"/>
      <c r="H773" s="797"/>
      <c r="I773" s="797"/>
      <c r="J773" s="797"/>
      <c r="K773" s="797"/>
      <c r="L773" s="797"/>
      <c r="M773" s="797"/>
      <c r="N773" s="797"/>
      <c r="O773" s="797"/>
      <c r="P773" s="797"/>
      <c r="Q773" s="797"/>
      <c r="R773" s="662"/>
      <c r="S773" s="662"/>
      <c r="T773" s="662"/>
      <c r="U773" s="665"/>
      <c r="V773" s="666"/>
      <c r="W773" s="662"/>
      <c r="X773" s="662"/>
      <c r="Y773" s="662"/>
      <c r="Z773" s="662"/>
    </row>
    <row r="774">
      <c r="A774" s="662"/>
      <c r="B774" s="664"/>
      <c r="C774" s="795"/>
      <c r="D774" s="796"/>
      <c r="E774" s="681"/>
      <c r="F774" s="797"/>
      <c r="G774" s="797"/>
      <c r="H774" s="797"/>
      <c r="I774" s="797"/>
      <c r="J774" s="797"/>
      <c r="K774" s="797"/>
      <c r="L774" s="797"/>
      <c r="M774" s="797"/>
      <c r="N774" s="797"/>
      <c r="O774" s="797"/>
      <c r="P774" s="797"/>
      <c r="Q774" s="797"/>
      <c r="R774" s="662"/>
      <c r="S774" s="662"/>
      <c r="T774" s="662"/>
      <c r="U774" s="665"/>
      <c r="V774" s="666"/>
      <c r="W774" s="662"/>
      <c r="X774" s="662"/>
      <c r="Y774" s="662"/>
      <c r="Z774" s="662"/>
    </row>
    <row r="775">
      <c r="A775" s="662"/>
      <c r="B775" s="664"/>
      <c r="C775" s="795"/>
      <c r="D775" s="796"/>
      <c r="E775" s="681"/>
      <c r="F775" s="797"/>
      <c r="G775" s="797"/>
      <c r="H775" s="797"/>
      <c r="I775" s="797"/>
      <c r="J775" s="797"/>
      <c r="K775" s="797"/>
      <c r="L775" s="797"/>
      <c r="M775" s="797"/>
      <c r="N775" s="797"/>
      <c r="O775" s="797"/>
      <c r="P775" s="797"/>
      <c r="Q775" s="797"/>
      <c r="R775" s="662"/>
      <c r="S775" s="662"/>
      <c r="T775" s="662"/>
      <c r="U775" s="665"/>
      <c r="V775" s="666"/>
      <c r="W775" s="662"/>
      <c r="X775" s="662"/>
      <c r="Y775" s="662"/>
      <c r="Z775" s="662"/>
    </row>
    <row r="776">
      <c r="A776" s="662"/>
      <c r="B776" s="664"/>
      <c r="C776" s="795"/>
      <c r="D776" s="796"/>
      <c r="E776" s="681"/>
      <c r="F776" s="797"/>
      <c r="G776" s="797"/>
      <c r="H776" s="797"/>
      <c r="I776" s="797"/>
      <c r="J776" s="797"/>
      <c r="K776" s="797"/>
      <c r="L776" s="797"/>
      <c r="M776" s="797"/>
      <c r="N776" s="797"/>
      <c r="O776" s="797"/>
      <c r="P776" s="797"/>
      <c r="Q776" s="797"/>
      <c r="R776" s="662"/>
      <c r="S776" s="662"/>
      <c r="T776" s="662"/>
      <c r="U776" s="665"/>
      <c r="V776" s="666"/>
      <c r="W776" s="662"/>
      <c r="X776" s="662"/>
      <c r="Y776" s="662"/>
      <c r="Z776" s="662"/>
    </row>
    <row r="777">
      <c r="A777" s="662"/>
      <c r="B777" s="664"/>
      <c r="C777" s="795"/>
      <c r="D777" s="796"/>
      <c r="E777" s="681"/>
      <c r="F777" s="797"/>
      <c r="G777" s="797"/>
      <c r="H777" s="797"/>
      <c r="I777" s="797"/>
      <c r="J777" s="797"/>
      <c r="K777" s="797"/>
      <c r="L777" s="797"/>
      <c r="M777" s="797"/>
      <c r="N777" s="797"/>
      <c r="O777" s="797"/>
      <c r="P777" s="797"/>
      <c r="Q777" s="797"/>
      <c r="R777" s="662"/>
      <c r="S777" s="662"/>
      <c r="T777" s="662"/>
      <c r="U777" s="665"/>
      <c r="V777" s="666"/>
      <c r="W777" s="662"/>
      <c r="X777" s="662"/>
      <c r="Y777" s="662"/>
      <c r="Z777" s="662"/>
    </row>
    <row r="778">
      <c r="A778" s="662"/>
      <c r="B778" s="664"/>
      <c r="C778" s="795"/>
      <c r="D778" s="796"/>
      <c r="E778" s="681"/>
      <c r="F778" s="797"/>
      <c r="G778" s="797"/>
      <c r="H778" s="797"/>
      <c r="I778" s="797"/>
      <c r="J778" s="797"/>
      <c r="K778" s="797"/>
      <c r="L778" s="797"/>
      <c r="M778" s="797"/>
      <c r="N778" s="797"/>
      <c r="O778" s="797"/>
      <c r="P778" s="797"/>
      <c r="Q778" s="797"/>
      <c r="R778" s="662"/>
      <c r="S778" s="662"/>
      <c r="T778" s="662"/>
      <c r="U778" s="665"/>
      <c r="V778" s="666"/>
      <c r="W778" s="662"/>
      <c r="X778" s="662"/>
      <c r="Y778" s="662"/>
      <c r="Z778" s="662"/>
    </row>
    <row r="779">
      <c r="A779" s="662"/>
      <c r="B779" s="664"/>
      <c r="C779" s="795"/>
      <c r="D779" s="796"/>
      <c r="E779" s="681"/>
      <c r="F779" s="797"/>
      <c r="G779" s="797"/>
      <c r="H779" s="797"/>
      <c r="I779" s="797"/>
      <c r="J779" s="797"/>
      <c r="K779" s="797"/>
      <c r="L779" s="797"/>
      <c r="M779" s="797"/>
      <c r="N779" s="797"/>
      <c r="O779" s="797"/>
      <c r="P779" s="797"/>
      <c r="Q779" s="797"/>
      <c r="R779" s="662"/>
      <c r="S779" s="662"/>
      <c r="T779" s="662"/>
      <c r="U779" s="665"/>
      <c r="V779" s="666"/>
      <c r="W779" s="662"/>
      <c r="X779" s="662"/>
      <c r="Y779" s="662"/>
      <c r="Z779" s="662"/>
    </row>
    <row r="780">
      <c r="A780" s="662"/>
      <c r="B780" s="664"/>
      <c r="C780" s="795"/>
      <c r="D780" s="796"/>
      <c r="E780" s="681"/>
      <c r="F780" s="797"/>
      <c r="G780" s="797"/>
      <c r="H780" s="797"/>
      <c r="I780" s="797"/>
      <c r="J780" s="797"/>
      <c r="K780" s="797"/>
      <c r="L780" s="797"/>
      <c r="M780" s="797"/>
      <c r="N780" s="797"/>
      <c r="O780" s="797"/>
      <c r="P780" s="797"/>
      <c r="Q780" s="797"/>
      <c r="R780" s="662"/>
      <c r="S780" s="662"/>
      <c r="T780" s="662"/>
      <c r="U780" s="665"/>
      <c r="V780" s="666"/>
      <c r="W780" s="662"/>
      <c r="X780" s="662"/>
      <c r="Y780" s="662"/>
      <c r="Z780" s="662"/>
    </row>
    <row r="781">
      <c r="A781" s="662"/>
      <c r="B781" s="664"/>
      <c r="C781" s="795"/>
      <c r="D781" s="796"/>
      <c r="E781" s="681"/>
      <c r="F781" s="797"/>
      <c r="G781" s="797"/>
      <c r="H781" s="797"/>
      <c r="I781" s="797"/>
      <c r="J781" s="797"/>
      <c r="K781" s="797"/>
      <c r="L781" s="797"/>
      <c r="M781" s="797"/>
      <c r="N781" s="797"/>
      <c r="O781" s="797"/>
      <c r="P781" s="797"/>
      <c r="Q781" s="797"/>
      <c r="R781" s="662"/>
      <c r="S781" s="662"/>
      <c r="T781" s="662"/>
      <c r="U781" s="665"/>
      <c r="V781" s="666"/>
      <c r="W781" s="662"/>
      <c r="X781" s="662"/>
      <c r="Y781" s="662"/>
      <c r="Z781" s="662"/>
    </row>
    <row r="782">
      <c r="A782" s="662"/>
      <c r="B782" s="664"/>
      <c r="C782" s="795"/>
      <c r="D782" s="796"/>
      <c r="E782" s="681"/>
      <c r="F782" s="797"/>
      <c r="G782" s="797"/>
      <c r="H782" s="797"/>
      <c r="I782" s="797"/>
      <c r="J782" s="797"/>
      <c r="K782" s="797"/>
      <c r="L782" s="797"/>
      <c r="M782" s="797"/>
      <c r="N782" s="797"/>
      <c r="O782" s="797"/>
      <c r="P782" s="797"/>
      <c r="Q782" s="797"/>
      <c r="R782" s="662"/>
      <c r="S782" s="662"/>
      <c r="T782" s="662"/>
      <c r="U782" s="665"/>
      <c r="V782" s="666"/>
      <c r="W782" s="662"/>
      <c r="X782" s="662"/>
      <c r="Y782" s="662"/>
      <c r="Z782" s="662"/>
    </row>
    <row r="783">
      <c r="A783" s="662"/>
      <c r="B783" s="664"/>
      <c r="C783" s="795"/>
      <c r="D783" s="796"/>
      <c r="E783" s="681"/>
      <c r="F783" s="797"/>
      <c r="G783" s="797"/>
      <c r="H783" s="797"/>
      <c r="I783" s="797"/>
      <c r="J783" s="797"/>
      <c r="K783" s="797"/>
      <c r="L783" s="797"/>
      <c r="M783" s="797"/>
      <c r="N783" s="797"/>
      <c r="O783" s="797"/>
      <c r="P783" s="797"/>
      <c r="Q783" s="797"/>
      <c r="R783" s="662"/>
      <c r="S783" s="662"/>
      <c r="T783" s="662"/>
      <c r="U783" s="665"/>
      <c r="V783" s="666"/>
      <c r="W783" s="662"/>
      <c r="X783" s="662"/>
      <c r="Y783" s="662"/>
      <c r="Z783" s="662"/>
    </row>
    <row r="784">
      <c r="A784" s="662"/>
      <c r="B784" s="664"/>
      <c r="C784" s="795"/>
      <c r="D784" s="796"/>
      <c r="E784" s="681"/>
      <c r="F784" s="797"/>
      <c r="G784" s="797"/>
      <c r="H784" s="797"/>
      <c r="I784" s="797"/>
      <c r="J784" s="797"/>
      <c r="K784" s="797"/>
      <c r="L784" s="797"/>
      <c r="M784" s="797"/>
      <c r="N784" s="797"/>
      <c r="O784" s="797"/>
      <c r="P784" s="797"/>
      <c r="Q784" s="797"/>
      <c r="R784" s="662"/>
      <c r="S784" s="662"/>
      <c r="T784" s="662"/>
      <c r="U784" s="665"/>
      <c r="V784" s="666"/>
      <c r="W784" s="662"/>
      <c r="X784" s="662"/>
      <c r="Y784" s="662"/>
      <c r="Z784" s="662"/>
    </row>
    <row r="785">
      <c r="A785" s="662"/>
      <c r="B785" s="664"/>
      <c r="C785" s="795"/>
      <c r="D785" s="796"/>
      <c r="E785" s="681"/>
      <c r="F785" s="797"/>
      <c r="G785" s="797"/>
      <c r="H785" s="797"/>
      <c r="I785" s="797"/>
      <c r="J785" s="797"/>
      <c r="K785" s="797"/>
      <c r="L785" s="797"/>
      <c r="M785" s="797"/>
      <c r="N785" s="797"/>
      <c r="O785" s="797"/>
      <c r="P785" s="797"/>
      <c r="Q785" s="797"/>
      <c r="R785" s="662"/>
      <c r="S785" s="662"/>
      <c r="T785" s="662"/>
      <c r="U785" s="665"/>
      <c r="V785" s="666"/>
      <c r="W785" s="662"/>
      <c r="X785" s="662"/>
      <c r="Y785" s="662"/>
      <c r="Z785" s="662"/>
    </row>
    <row r="786">
      <c r="A786" s="662"/>
      <c r="B786" s="664"/>
      <c r="C786" s="795"/>
      <c r="D786" s="796"/>
      <c r="E786" s="681"/>
      <c r="F786" s="797"/>
      <c r="G786" s="797"/>
      <c r="H786" s="797"/>
      <c r="I786" s="797"/>
      <c r="J786" s="797"/>
      <c r="K786" s="797"/>
      <c r="L786" s="797"/>
      <c r="M786" s="797"/>
      <c r="N786" s="797"/>
      <c r="O786" s="797"/>
      <c r="P786" s="797"/>
      <c r="Q786" s="797"/>
      <c r="R786" s="662"/>
      <c r="S786" s="662"/>
      <c r="T786" s="662"/>
      <c r="U786" s="665"/>
      <c r="V786" s="666"/>
      <c r="W786" s="662"/>
      <c r="X786" s="662"/>
      <c r="Y786" s="662"/>
      <c r="Z786" s="662"/>
    </row>
    <row r="787">
      <c r="A787" s="662"/>
      <c r="B787" s="664"/>
      <c r="C787" s="795"/>
      <c r="D787" s="796"/>
      <c r="E787" s="681"/>
      <c r="F787" s="797"/>
      <c r="G787" s="797"/>
      <c r="H787" s="797"/>
      <c r="I787" s="797"/>
      <c r="J787" s="797"/>
      <c r="K787" s="797"/>
      <c r="L787" s="797"/>
      <c r="M787" s="797"/>
      <c r="N787" s="797"/>
      <c r="O787" s="797"/>
      <c r="P787" s="797"/>
      <c r="Q787" s="797"/>
      <c r="R787" s="662"/>
      <c r="S787" s="662"/>
      <c r="T787" s="662"/>
      <c r="U787" s="665"/>
      <c r="V787" s="666"/>
      <c r="W787" s="662"/>
      <c r="X787" s="662"/>
      <c r="Y787" s="662"/>
      <c r="Z787" s="662"/>
    </row>
    <row r="788">
      <c r="A788" s="662"/>
      <c r="B788" s="664"/>
      <c r="C788" s="795"/>
      <c r="D788" s="796"/>
      <c r="E788" s="681"/>
      <c r="F788" s="797"/>
      <c r="G788" s="797"/>
      <c r="H788" s="797"/>
      <c r="I788" s="797"/>
      <c r="J788" s="797"/>
      <c r="K788" s="797"/>
      <c r="L788" s="797"/>
      <c r="M788" s="797"/>
      <c r="N788" s="797"/>
      <c r="O788" s="797"/>
      <c r="P788" s="797"/>
      <c r="Q788" s="797"/>
      <c r="R788" s="662"/>
      <c r="S788" s="662"/>
      <c r="T788" s="662"/>
      <c r="U788" s="665"/>
      <c r="V788" s="666"/>
      <c r="W788" s="662"/>
      <c r="X788" s="662"/>
      <c r="Y788" s="662"/>
      <c r="Z788" s="662"/>
    </row>
    <row r="789">
      <c r="A789" s="662"/>
      <c r="B789" s="664"/>
      <c r="C789" s="795"/>
      <c r="D789" s="796"/>
      <c r="E789" s="681"/>
      <c r="F789" s="797"/>
      <c r="G789" s="797"/>
      <c r="H789" s="797"/>
      <c r="I789" s="797"/>
      <c r="J789" s="797"/>
      <c r="K789" s="797"/>
      <c r="L789" s="797"/>
      <c r="M789" s="797"/>
      <c r="N789" s="797"/>
      <c r="O789" s="797"/>
      <c r="P789" s="797"/>
      <c r="Q789" s="797"/>
      <c r="R789" s="662"/>
      <c r="S789" s="662"/>
      <c r="T789" s="662"/>
      <c r="U789" s="665"/>
      <c r="V789" s="666"/>
      <c r="W789" s="662"/>
      <c r="X789" s="662"/>
      <c r="Y789" s="662"/>
      <c r="Z789" s="662"/>
    </row>
    <row r="790">
      <c r="A790" s="662"/>
      <c r="B790" s="664"/>
      <c r="C790" s="795"/>
      <c r="D790" s="796"/>
      <c r="E790" s="681"/>
      <c r="F790" s="797"/>
      <c r="G790" s="797"/>
      <c r="H790" s="797"/>
      <c r="I790" s="797"/>
      <c r="J790" s="797"/>
      <c r="K790" s="797"/>
      <c r="L790" s="797"/>
      <c r="M790" s="797"/>
      <c r="N790" s="797"/>
      <c r="O790" s="797"/>
      <c r="P790" s="797"/>
      <c r="Q790" s="797"/>
      <c r="R790" s="662"/>
      <c r="S790" s="662"/>
      <c r="T790" s="662"/>
      <c r="U790" s="665"/>
      <c r="V790" s="666"/>
      <c r="W790" s="662"/>
      <c r="X790" s="662"/>
      <c r="Y790" s="662"/>
      <c r="Z790" s="662"/>
    </row>
    <row r="791">
      <c r="A791" s="662"/>
      <c r="B791" s="664"/>
      <c r="C791" s="795"/>
      <c r="D791" s="796"/>
      <c r="E791" s="681"/>
      <c r="F791" s="797"/>
      <c r="G791" s="797"/>
      <c r="H791" s="797"/>
      <c r="I791" s="797"/>
      <c r="J791" s="797"/>
      <c r="K791" s="797"/>
      <c r="L791" s="797"/>
      <c r="M791" s="797"/>
      <c r="N791" s="797"/>
      <c r="O791" s="797"/>
      <c r="P791" s="797"/>
      <c r="Q791" s="797"/>
      <c r="R791" s="662"/>
      <c r="S791" s="662"/>
      <c r="T791" s="662"/>
      <c r="U791" s="665"/>
      <c r="V791" s="666"/>
      <c r="W791" s="662"/>
      <c r="X791" s="662"/>
      <c r="Y791" s="662"/>
      <c r="Z791" s="662"/>
    </row>
    <row r="792">
      <c r="A792" s="662"/>
      <c r="B792" s="664"/>
      <c r="C792" s="795"/>
      <c r="D792" s="796"/>
      <c r="E792" s="681"/>
      <c r="F792" s="797"/>
      <c r="G792" s="797"/>
      <c r="H792" s="797"/>
      <c r="I792" s="797"/>
      <c r="J792" s="797"/>
      <c r="K792" s="797"/>
      <c r="L792" s="797"/>
      <c r="M792" s="797"/>
      <c r="N792" s="797"/>
      <c r="O792" s="797"/>
      <c r="P792" s="797"/>
      <c r="Q792" s="797"/>
      <c r="R792" s="662"/>
      <c r="S792" s="662"/>
      <c r="T792" s="662"/>
      <c r="U792" s="665"/>
      <c r="V792" s="666"/>
      <c r="W792" s="662"/>
      <c r="X792" s="662"/>
      <c r="Y792" s="662"/>
      <c r="Z792" s="662"/>
    </row>
    <row r="793">
      <c r="A793" s="662"/>
      <c r="B793" s="664"/>
      <c r="C793" s="795"/>
      <c r="D793" s="796"/>
      <c r="E793" s="681"/>
      <c r="F793" s="797"/>
      <c r="G793" s="797"/>
      <c r="H793" s="797"/>
      <c r="I793" s="797"/>
      <c r="J793" s="797"/>
      <c r="K793" s="797"/>
      <c r="L793" s="797"/>
      <c r="M793" s="797"/>
      <c r="N793" s="797"/>
      <c r="O793" s="797"/>
      <c r="P793" s="797"/>
      <c r="Q793" s="797"/>
      <c r="R793" s="662"/>
      <c r="S793" s="662"/>
      <c r="T793" s="662"/>
      <c r="U793" s="665"/>
      <c r="V793" s="666"/>
      <c r="W793" s="662"/>
      <c r="X793" s="662"/>
      <c r="Y793" s="662"/>
      <c r="Z793" s="662"/>
    </row>
    <row r="794">
      <c r="A794" s="662"/>
      <c r="B794" s="664"/>
      <c r="C794" s="795"/>
      <c r="D794" s="796"/>
      <c r="E794" s="681"/>
      <c r="F794" s="797"/>
      <c r="G794" s="797"/>
      <c r="H794" s="797"/>
      <c r="I794" s="797"/>
      <c r="J794" s="797"/>
      <c r="K794" s="797"/>
      <c r="L794" s="797"/>
      <c r="M794" s="797"/>
      <c r="N794" s="797"/>
      <c r="O794" s="797"/>
      <c r="P794" s="797"/>
      <c r="Q794" s="797"/>
      <c r="R794" s="662"/>
      <c r="S794" s="662"/>
      <c r="T794" s="662"/>
      <c r="U794" s="665"/>
      <c r="V794" s="666"/>
      <c r="W794" s="662"/>
      <c r="X794" s="662"/>
      <c r="Y794" s="662"/>
      <c r="Z794" s="662"/>
    </row>
    <row r="795">
      <c r="A795" s="662"/>
      <c r="B795" s="664"/>
      <c r="C795" s="795"/>
      <c r="D795" s="796"/>
      <c r="E795" s="681"/>
      <c r="F795" s="797"/>
      <c r="G795" s="797"/>
      <c r="H795" s="797"/>
      <c r="I795" s="797"/>
      <c r="J795" s="797"/>
      <c r="K795" s="797"/>
      <c r="L795" s="797"/>
      <c r="M795" s="797"/>
      <c r="N795" s="797"/>
      <c r="O795" s="797"/>
      <c r="P795" s="797"/>
      <c r="Q795" s="797"/>
      <c r="R795" s="662"/>
      <c r="S795" s="662"/>
      <c r="T795" s="662"/>
      <c r="U795" s="665"/>
      <c r="V795" s="666"/>
      <c r="W795" s="662"/>
      <c r="X795" s="662"/>
      <c r="Y795" s="662"/>
      <c r="Z795" s="662"/>
    </row>
    <row r="796">
      <c r="A796" s="662"/>
      <c r="B796" s="664"/>
      <c r="C796" s="795"/>
      <c r="D796" s="796"/>
      <c r="E796" s="681"/>
      <c r="F796" s="797"/>
      <c r="G796" s="797"/>
      <c r="H796" s="797"/>
      <c r="I796" s="797"/>
      <c r="J796" s="797"/>
      <c r="K796" s="797"/>
      <c r="L796" s="797"/>
      <c r="M796" s="797"/>
      <c r="N796" s="797"/>
      <c r="O796" s="797"/>
      <c r="P796" s="797"/>
      <c r="Q796" s="797"/>
      <c r="R796" s="662"/>
      <c r="S796" s="662"/>
      <c r="T796" s="662"/>
      <c r="U796" s="665"/>
      <c r="V796" s="666"/>
      <c r="W796" s="662"/>
      <c r="X796" s="662"/>
      <c r="Y796" s="662"/>
      <c r="Z796" s="662"/>
    </row>
    <row r="797">
      <c r="A797" s="662"/>
      <c r="B797" s="664"/>
      <c r="C797" s="795"/>
      <c r="D797" s="796"/>
      <c r="E797" s="681"/>
      <c r="F797" s="797"/>
      <c r="G797" s="797"/>
      <c r="H797" s="797"/>
      <c r="I797" s="797"/>
      <c r="J797" s="797"/>
      <c r="K797" s="797"/>
      <c r="L797" s="797"/>
      <c r="M797" s="797"/>
      <c r="N797" s="797"/>
      <c r="O797" s="797"/>
      <c r="P797" s="797"/>
      <c r="Q797" s="797"/>
      <c r="R797" s="662"/>
      <c r="S797" s="662"/>
      <c r="T797" s="662"/>
      <c r="U797" s="665"/>
      <c r="V797" s="666"/>
      <c r="W797" s="662"/>
      <c r="X797" s="662"/>
      <c r="Y797" s="662"/>
      <c r="Z797" s="662"/>
    </row>
    <row r="798">
      <c r="A798" s="662"/>
      <c r="B798" s="664"/>
      <c r="C798" s="795"/>
      <c r="D798" s="796"/>
      <c r="E798" s="681"/>
      <c r="F798" s="797"/>
      <c r="G798" s="797"/>
      <c r="H798" s="797"/>
      <c r="I798" s="797"/>
      <c r="J798" s="797"/>
      <c r="K798" s="797"/>
      <c r="L798" s="797"/>
      <c r="M798" s="797"/>
      <c r="N798" s="797"/>
      <c r="O798" s="797"/>
      <c r="P798" s="797"/>
      <c r="Q798" s="797"/>
      <c r="R798" s="662"/>
      <c r="S798" s="662"/>
      <c r="T798" s="662"/>
      <c r="U798" s="665"/>
      <c r="V798" s="666"/>
      <c r="W798" s="662"/>
      <c r="X798" s="662"/>
      <c r="Y798" s="662"/>
      <c r="Z798" s="662"/>
    </row>
    <row r="799">
      <c r="A799" s="662"/>
      <c r="B799" s="664"/>
      <c r="C799" s="795"/>
      <c r="D799" s="796"/>
      <c r="E799" s="681"/>
      <c r="F799" s="797"/>
      <c r="G799" s="797"/>
      <c r="H799" s="797"/>
      <c r="I799" s="797"/>
      <c r="J799" s="797"/>
      <c r="K799" s="797"/>
      <c r="L799" s="797"/>
      <c r="M799" s="797"/>
      <c r="N799" s="797"/>
      <c r="O799" s="797"/>
      <c r="P799" s="797"/>
      <c r="Q799" s="797"/>
      <c r="R799" s="662"/>
      <c r="S799" s="662"/>
      <c r="T799" s="662"/>
      <c r="U799" s="665"/>
      <c r="V799" s="666"/>
      <c r="W799" s="662"/>
      <c r="X799" s="662"/>
      <c r="Y799" s="662"/>
      <c r="Z799" s="662"/>
    </row>
    <row r="800">
      <c r="A800" s="662"/>
      <c r="B800" s="664"/>
      <c r="C800" s="795"/>
      <c r="D800" s="796"/>
      <c r="E800" s="681"/>
      <c r="F800" s="797"/>
      <c r="G800" s="797"/>
      <c r="H800" s="797"/>
      <c r="I800" s="797"/>
      <c r="J800" s="797"/>
      <c r="K800" s="797"/>
      <c r="L800" s="797"/>
      <c r="M800" s="797"/>
      <c r="N800" s="797"/>
      <c r="O800" s="797"/>
      <c r="P800" s="797"/>
      <c r="Q800" s="797"/>
      <c r="R800" s="662"/>
      <c r="S800" s="662"/>
      <c r="T800" s="662"/>
      <c r="U800" s="665"/>
      <c r="V800" s="666"/>
      <c r="W800" s="662"/>
      <c r="X800" s="662"/>
      <c r="Y800" s="662"/>
      <c r="Z800" s="662"/>
    </row>
    <row r="801">
      <c r="A801" s="662"/>
      <c r="B801" s="664"/>
      <c r="C801" s="795"/>
      <c r="D801" s="796"/>
      <c r="E801" s="681"/>
      <c r="F801" s="797"/>
      <c r="G801" s="797"/>
      <c r="H801" s="797"/>
      <c r="I801" s="797"/>
      <c r="J801" s="797"/>
      <c r="K801" s="797"/>
      <c r="L801" s="797"/>
      <c r="M801" s="797"/>
      <c r="N801" s="797"/>
      <c r="O801" s="797"/>
      <c r="P801" s="797"/>
      <c r="Q801" s="797"/>
      <c r="R801" s="662"/>
      <c r="S801" s="662"/>
      <c r="T801" s="662"/>
      <c r="U801" s="665"/>
      <c r="V801" s="666"/>
      <c r="W801" s="662"/>
      <c r="X801" s="662"/>
      <c r="Y801" s="662"/>
      <c r="Z801" s="662"/>
    </row>
    <row r="802">
      <c r="A802" s="662"/>
      <c r="B802" s="664"/>
      <c r="C802" s="795"/>
      <c r="D802" s="796"/>
      <c r="E802" s="681"/>
      <c r="F802" s="797"/>
      <c r="G802" s="797"/>
      <c r="H802" s="797"/>
      <c r="I802" s="797"/>
      <c r="J802" s="797"/>
      <c r="K802" s="797"/>
      <c r="L802" s="797"/>
      <c r="M802" s="797"/>
      <c r="N802" s="797"/>
      <c r="O802" s="797"/>
      <c r="P802" s="797"/>
      <c r="Q802" s="797"/>
      <c r="R802" s="662"/>
      <c r="S802" s="662"/>
      <c r="T802" s="662"/>
      <c r="U802" s="665"/>
      <c r="V802" s="666"/>
      <c r="W802" s="662"/>
      <c r="X802" s="662"/>
      <c r="Y802" s="662"/>
      <c r="Z802" s="662"/>
    </row>
    <row r="803">
      <c r="A803" s="662"/>
      <c r="B803" s="664"/>
      <c r="C803" s="795"/>
      <c r="D803" s="796"/>
      <c r="E803" s="681"/>
      <c r="F803" s="797"/>
      <c r="G803" s="797"/>
      <c r="H803" s="797"/>
      <c r="I803" s="797"/>
      <c r="J803" s="797"/>
      <c r="K803" s="797"/>
      <c r="L803" s="797"/>
      <c r="M803" s="797"/>
      <c r="N803" s="797"/>
      <c r="O803" s="797"/>
      <c r="P803" s="797"/>
      <c r="Q803" s="797"/>
      <c r="R803" s="662"/>
      <c r="S803" s="662"/>
      <c r="T803" s="662"/>
      <c r="U803" s="665"/>
      <c r="V803" s="666"/>
      <c r="W803" s="662"/>
      <c r="X803" s="662"/>
      <c r="Y803" s="662"/>
      <c r="Z803" s="662"/>
    </row>
    <row r="804">
      <c r="A804" s="662"/>
      <c r="B804" s="664"/>
      <c r="C804" s="795"/>
      <c r="D804" s="796"/>
      <c r="E804" s="681"/>
      <c r="F804" s="797"/>
      <c r="G804" s="797"/>
      <c r="H804" s="797"/>
      <c r="I804" s="797"/>
      <c r="J804" s="797"/>
      <c r="K804" s="797"/>
      <c r="L804" s="797"/>
      <c r="M804" s="797"/>
      <c r="N804" s="797"/>
      <c r="O804" s="797"/>
      <c r="P804" s="797"/>
      <c r="Q804" s="797"/>
      <c r="R804" s="662"/>
      <c r="S804" s="662"/>
      <c r="T804" s="662"/>
      <c r="U804" s="665"/>
      <c r="V804" s="666"/>
      <c r="W804" s="662"/>
      <c r="X804" s="662"/>
      <c r="Y804" s="662"/>
      <c r="Z804" s="662"/>
    </row>
    <row r="805">
      <c r="A805" s="662"/>
      <c r="B805" s="664"/>
      <c r="C805" s="795"/>
      <c r="D805" s="796"/>
      <c r="E805" s="681"/>
      <c r="F805" s="797"/>
      <c r="G805" s="797"/>
      <c r="H805" s="797"/>
      <c r="I805" s="797"/>
      <c r="J805" s="797"/>
      <c r="K805" s="797"/>
      <c r="L805" s="797"/>
      <c r="M805" s="797"/>
      <c r="N805" s="797"/>
      <c r="O805" s="797"/>
      <c r="P805" s="797"/>
      <c r="Q805" s="797"/>
      <c r="R805" s="662"/>
      <c r="S805" s="662"/>
      <c r="T805" s="662"/>
      <c r="U805" s="665"/>
      <c r="V805" s="666"/>
      <c r="W805" s="662"/>
      <c r="X805" s="662"/>
      <c r="Y805" s="662"/>
      <c r="Z805" s="662"/>
    </row>
    <row r="806">
      <c r="A806" s="662"/>
      <c r="B806" s="664"/>
      <c r="C806" s="795"/>
      <c r="D806" s="796"/>
      <c r="E806" s="681"/>
      <c r="F806" s="797"/>
      <c r="G806" s="797"/>
      <c r="H806" s="797"/>
      <c r="I806" s="797"/>
      <c r="J806" s="797"/>
      <c r="K806" s="797"/>
      <c r="L806" s="797"/>
      <c r="M806" s="797"/>
      <c r="N806" s="797"/>
      <c r="O806" s="797"/>
      <c r="P806" s="797"/>
      <c r="Q806" s="797"/>
      <c r="R806" s="662"/>
      <c r="S806" s="662"/>
      <c r="T806" s="662"/>
      <c r="U806" s="665"/>
      <c r="V806" s="666"/>
      <c r="W806" s="662"/>
      <c r="X806" s="662"/>
      <c r="Y806" s="662"/>
      <c r="Z806" s="662"/>
    </row>
    <row r="807">
      <c r="A807" s="662"/>
      <c r="B807" s="664"/>
      <c r="C807" s="795"/>
      <c r="D807" s="796"/>
      <c r="E807" s="681"/>
      <c r="F807" s="797"/>
      <c r="G807" s="797"/>
      <c r="H807" s="797"/>
      <c r="I807" s="797"/>
      <c r="J807" s="797"/>
      <c r="K807" s="797"/>
      <c r="L807" s="797"/>
      <c r="M807" s="797"/>
      <c r="N807" s="797"/>
      <c r="O807" s="797"/>
      <c r="P807" s="797"/>
      <c r="Q807" s="797"/>
      <c r="R807" s="662"/>
      <c r="S807" s="662"/>
      <c r="T807" s="662"/>
      <c r="U807" s="665"/>
      <c r="V807" s="666"/>
      <c r="W807" s="662"/>
      <c r="X807" s="662"/>
      <c r="Y807" s="662"/>
      <c r="Z807" s="662"/>
    </row>
    <row r="808">
      <c r="A808" s="662"/>
      <c r="B808" s="664"/>
      <c r="C808" s="795"/>
      <c r="D808" s="796"/>
      <c r="E808" s="681"/>
      <c r="F808" s="797"/>
      <c r="G808" s="797"/>
      <c r="H808" s="797"/>
      <c r="I808" s="797"/>
      <c r="J808" s="797"/>
      <c r="K808" s="797"/>
      <c r="L808" s="797"/>
      <c r="M808" s="797"/>
      <c r="N808" s="797"/>
      <c r="O808" s="797"/>
      <c r="P808" s="797"/>
      <c r="Q808" s="797"/>
      <c r="R808" s="662"/>
      <c r="S808" s="662"/>
      <c r="T808" s="662"/>
      <c r="U808" s="665"/>
      <c r="V808" s="666"/>
      <c r="W808" s="662"/>
      <c r="X808" s="662"/>
      <c r="Y808" s="662"/>
      <c r="Z808" s="662"/>
    </row>
    <row r="809">
      <c r="A809" s="662"/>
      <c r="B809" s="664"/>
      <c r="C809" s="795"/>
      <c r="D809" s="796"/>
      <c r="E809" s="681"/>
      <c r="F809" s="797"/>
      <c r="G809" s="797"/>
      <c r="H809" s="797"/>
      <c r="I809" s="797"/>
      <c r="J809" s="797"/>
      <c r="K809" s="797"/>
      <c r="L809" s="797"/>
      <c r="M809" s="797"/>
      <c r="N809" s="797"/>
      <c r="O809" s="797"/>
      <c r="P809" s="797"/>
      <c r="Q809" s="797"/>
      <c r="R809" s="662"/>
      <c r="S809" s="662"/>
      <c r="T809" s="662"/>
      <c r="U809" s="665"/>
      <c r="V809" s="666"/>
      <c r="W809" s="662"/>
      <c r="X809" s="662"/>
      <c r="Y809" s="662"/>
      <c r="Z809" s="662"/>
    </row>
    <row r="810">
      <c r="A810" s="662"/>
      <c r="B810" s="664"/>
      <c r="C810" s="795"/>
      <c r="D810" s="796"/>
      <c r="E810" s="681"/>
      <c r="F810" s="797"/>
      <c r="G810" s="797"/>
      <c r="H810" s="797"/>
      <c r="I810" s="797"/>
      <c r="J810" s="797"/>
      <c r="K810" s="797"/>
      <c r="L810" s="797"/>
      <c r="M810" s="797"/>
      <c r="N810" s="797"/>
      <c r="O810" s="797"/>
      <c r="P810" s="797"/>
      <c r="Q810" s="797"/>
      <c r="R810" s="662"/>
      <c r="S810" s="662"/>
      <c r="T810" s="662"/>
      <c r="U810" s="665"/>
      <c r="V810" s="666"/>
      <c r="W810" s="662"/>
      <c r="X810" s="662"/>
      <c r="Y810" s="662"/>
      <c r="Z810" s="662"/>
    </row>
    <row r="811">
      <c r="A811" s="662"/>
      <c r="B811" s="664"/>
      <c r="C811" s="795"/>
      <c r="D811" s="796"/>
      <c r="E811" s="681"/>
      <c r="F811" s="797"/>
      <c r="G811" s="797"/>
      <c r="H811" s="797"/>
      <c r="I811" s="797"/>
      <c r="J811" s="797"/>
      <c r="K811" s="797"/>
      <c r="L811" s="797"/>
      <c r="M811" s="797"/>
      <c r="N811" s="797"/>
      <c r="O811" s="797"/>
      <c r="P811" s="797"/>
      <c r="Q811" s="797"/>
      <c r="R811" s="662"/>
      <c r="S811" s="662"/>
      <c r="T811" s="662"/>
      <c r="U811" s="665"/>
      <c r="V811" s="666"/>
      <c r="W811" s="662"/>
      <c r="X811" s="662"/>
      <c r="Y811" s="662"/>
      <c r="Z811" s="662"/>
    </row>
    <row r="812">
      <c r="A812" s="662"/>
      <c r="B812" s="664"/>
      <c r="C812" s="795"/>
      <c r="D812" s="796"/>
      <c r="E812" s="681"/>
      <c r="F812" s="797"/>
      <c r="G812" s="797"/>
      <c r="H812" s="797"/>
      <c r="I812" s="797"/>
      <c r="J812" s="797"/>
      <c r="K812" s="797"/>
      <c r="L812" s="797"/>
      <c r="M812" s="797"/>
      <c r="N812" s="797"/>
      <c r="O812" s="797"/>
      <c r="P812" s="797"/>
      <c r="Q812" s="797"/>
      <c r="R812" s="662"/>
      <c r="S812" s="662"/>
      <c r="T812" s="662"/>
      <c r="U812" s="665"/>
      <c r="V812" s="666"/>
      <c r="W812" s="662"/>
      <c r="X812" s="662"/>
      <c r="Y812" s="662"/>
      <c r="Z812" s="662"/>
    </row>
    <row r="813">
      <c r="A813" s="662"/>
      <c r="B813" s="664"/>
      <c r="C813" s="795"/>
      <c r="D813" s="796"/>
      <c r="E813" s="681"/>
      <c r="F813" s="797"/>
      <c r="G813" s="797"/>
      <c r="H813" s="797"/>
      <c r="I813" s="797"/>
      <c r="J813" s="797"/>
      <c r="K813" s="797"/>
      <c r="L813" s="797"/>
      <c r="M813" s="797"/>
      <c r="N813" s="797"/>
      <c r="O813" s="797"/>
      <c r="P813" s="797"/>
      <c r="Q813" s="797"/>
      <c r="R813" s="662"/>
      <c r="S813" s="662"/>
      <c r="T813" s="662"/>
      <c r="U813" s="665"/>
      <c r="V813" s="666"/>
      <c r="W813" s="662"/>
      <c r="X813" s="662"/>
      <c r="Y813" s="662"/>
      <c r="Z813" s="662"/>
    </row>
    <row r="814">
      <c r="A814" s="662"/>
      <c r="B814" s="664"/>
      <c r="C814" s="795"/>
      <c r="D814" s="796"/>
      <c r="E814" s="681"/>
      <c r="F814" s="797"/>
      <c r="G814" s="797"/>
      <c r="H814" s="797"/>
      <c r="I814" s="797"/>
      <c r="J814" s="797"/>
      <c r="K814" s="797"/>
      <c r="L814" s="797"/>
      <c r="M814" s="797"/>
      <c r="N814" s="797"/>
      <c r="O814" s="797"/>
      <c r="P814" s="797"/>
      <c r="Q814" s="797"/>
      <c r="R814" s="662"/>
      <c r="S814" s="662"/>
      <c r="T814" s="662"/>
      <c r="U814" s="665"/>
      <c r="V814" s="666"/>
      <c r="W814" s="662"/>
      <c r="X814" s="662"/>
      <c r="Y814" s="662"/>
      <c r="Z814" s="662"/>
    </row>
    <row r="815">
      <c r="A815" s="662"/>
      <c r="B815" s="664"/>
      <c r="C815" s="795"/>
      <c r="D815" s="796"/>
      <c r="E815" s="681"/>
      <c r="F815" s="797"/>
      <c r="G815" s="797"/>
      <c r="H815" s="797"/>
      <c r="I815" s="797"/>
      <c r="J815" s="797"/>
      <c r="K815" s="797"/>
      <c r="L815" s="797"/>
      <c r="M815" s="797"/>
      <c r="N815" s="797"/>
      <c r="O815" s="797"/>
      <c r="P815" s="797"/>
      <c r="Q815" s="797"/>
      <c r="R815" s="662"/>
      <c r="S815" s="662"/>
      <c r="T815" s="662"/>
      <c r="U815" s="665"/>
      <c r="V815" s="666"/>
      <c r="W815" s="662"/>
      <c r="X815" s="662"/>
      <c r="Y815" s="662"/>
      <c r="Z815" s="662"/>
    </row>
    <row r="816">
      <c r="A816" s="662"/>
      <c r="B816" s="664"/>
      <c r="C816" s="795"/>
      <c r="D816" s="796"/>
      <c r="E816" s="681"/>
      <c r="F816" s="797"/>
      <c r="G816" s="797"/>
      <c r="H816" s="797"/>
      <c r="I816" s="797"/>
      <c r="J816" s="797"/>
      <c r="K816" s="797"/>
      <c r="L816" s="797"/>
      <c r="M816" s="797"/>
      <c r="N816" s="797"/>
      <c r="O816" s="797"/>
      <c r="P816" s="797"/>
      <c r="Q816" s="797"/>
      <c r="R816" s="662"/>
      <c r="S816" s="662"/>
      <c r="T816" s="662"/>
      <c r="U816" s="665"/>
      <c r="V816" s="666"/>
      <c r="W816" s="662"/>
      <c r="X816" s="662"/>
      <c r="Y816" s="662"/>
      <c r="Z816" s="662"/>
    </row>
    <row r="817">
      <c r="A817" s="662"/>
      <c r="B817" s="664"/>
      <c r="C817" s="795"/>
      <c r="D817" s="796"/>
      <c r="E817" s="681"/>
      <c r="F817" s="797"/>
      <c r="G817" s="797"/>
      <c r="H817" s="797"/>
      <c r="I817" s="797"/>
      <c r="J817" s="797"/>
      <c r="K817" s="797"/>
      <c r="L817" s="797"/>
      <c r="M817" s="797"/>
      <c r="N817" s="797"/>
      <c r="O817" s="797"/>
      <c r="P817" s="797"/>
      <c r="Q817" s="797"/>
      <c r="R817" s="662"/>
      <c r="S817" s="662"/>
      <c r="T817" s="662"/>
      <c r="U817" s="665"/>
      <c r="V817" s="666"/>
      <c r="W817" s="662"/>
      <c r="X817" s="662"/>
      <c r="Y817" s="662"/>
      <c r="Z817" s="662"/>
    </row>
    <row r="818">
      <c r="A818" s="662"/>
      <c r="B818" s="664"/>
      <c r="C818" s="795"/>
      <c r="D818" s="796"/>
      <c r="E818" s="681"/>
      <c r="F818" s="797"/>
      <c r="G818" s="797"/>
      <c r="H818" s="797"/>
      <c r="I818" s="797"/>
      <c r="J818" s="797"/>
      <c r="K818" s="797"/>
      <c r="L818" s="797"/>
      <c r="M818" s="797"/>
      <c r="N818" s="797"/>
      <c r="O818" s="797"/>
      <c r="P818" s="797"/>
      <c r="Q818" s="797"/>
      <c r="R818" s="662"/>
      <c r="S818" s="662"/>
      <c r="T818" s="662"/>
      <c r="U818" s="665"/>
      <c r="V818" s="666"/>
      <c r="W818" s="662"/>
      <c r="X818" s="662"/>
      <c r="Y818" s="662"/>
      <c r="Z818" s="662"/>
    </row>
    <row r="819">
      <c r="A819" s="662"/>
      <c r="B819" s="664"/>
      <c r="C819" s="795"/>
      <c r="D819" s="796"/>
      <c r="E819" s="681"/>
      <c r="F819" s="797"/>
      <c r="G819" s="797"/>
      <c r="H819" s="797"/>
      <c r="I819" s="797"/>
      <c r="J819" s="797"/>
      <c r="K819" s="797"/>
      <c r="L819" s="797"/>
      <c r="M819" s="797"/>
      <c r="N819" s="797"/>
      <c r="O819" s="797"/>
      <c r="P819" s="797"/>
      <c r="Q819" s="797"/>
      <c r="R819" s="662"/>
      <c r="S819" s="662"/>
      <c r="T819" s="662"/>
      <c r="U819" s="665"/>
      <c r="V819" s="666"/>
      <c r="W819" s="662"/>
      <c r="X819" s="662"/>
      <c r="Y819" s="662"/>
      <c r="Z819" s="662"/>
    </row>
    <row r="820">
      <c r="A820" s="662"/>
      <c r="B820" s="664"/>
      <c r="C820" s="795"/>
      <c r="D820" s="796"/>
      <c r="E820" s="681"/>
      <c r="F820" s="797"/>
      <c r="G820" s="797"/>
      <c r="H820" s="797"/>
      <c r="I820" s="797"/>
      <c r="J820" s="797"/>
      <c r="K820" s="797"/>
      <c r="L820" s="797"/>
      <c r="M820" s="797"/>
      <c r="N820" s="797"/>
      <c r="O820" s="797"/>
      <c r="P820" s="797"/>
      <c r="Q820" s="797"/>
      <c r="R820" s="662"/>
      <c r="S820" s="662"/>
      <c r="T820" s="662"/>
      <c r="U820" s="665"/>
      <c r="V820" s="666"/>
      <c r="W820" s="662"/>
      <c r="X820" s="662"/>
      <c r="Y820" s="662"/>
      <c r="Z820" s="662"/>
    </row>
    <row r="821">
      <c r="A821" s="662"/>
      <c r="B821" s="664"/>
      <c r="C821" s="795"/>
      <c r="D821" s="796"/>
      <c r="E821" s="681"/>
      <c r="F821" s="797"/>
      <c r="G821" s="797"/>
      <c r="H821" s="797"/>
      <c r="I821" s="797"/>
      <c r="J821" s="797"/>
      <c r="K821" s="797"/>
      <c r="L821" s="797"/>
      <c r="M821" s="797"/>
      <c r="N821" s="797"/>
      <c r="O821" s="797"/>
      <c r="P821" s="797"/>
      <c r="Q821" s="797"/>
      <c r="R821" s="662"/>
      <c r="S821" s="662"/>
      <c r="T821" s="662"/>
      <c r="U821" s="665"/>
      <c r="V821" s="666"/>
      <c r="W821" s="662"/>
      <c r="X821" s="662"/>
      <c r="Y821" s="662"/>
      <c r="Z821" s="662"/>
    </row>
    <row r="822">
      <c r="A822" s="662"/>
      <c r="B822" s="664"/>
      <c r="C822" s="795"/>
      <c r="D822" s="796"/>
      <c r="E822" s="681"/>
      <c r="F822" s="797"/>
      <c r="G822" s="797"/>
      <c r="H822" s="797"/>
      <c r="I822" s="797"/>
      <c r="J822" s="797"/>
      <c r="K822" s="797"/>
      <c r="L822" s="797"/>
      <c r="M822" s="797"/>
      <c r="N822" s="797"/>
      <c r="O822" s="797"/>
      <c r="P822" s="797"/>
      <c r="Q822" s="797"/>
      <c r="R822" s="662"/>
      <c r="S822" s="662"/>
      <c r="T822" s="662"/>
      <c r="U822" s="665"/>
      <c r="V822" s="666"/>
      <c r="W822" s="662"/>
      <c r="X822" s="662"/>
      <c r="Y822" s="662"/>
      <c r="Z822" s="662"/>
    </row>
    <row r="823">
      <c r="A823" s="662"/>
      <c r="B823" s="664"/>
      <c r="C823" s="795"/>
      <c r="D823" s="796"/>
      <c r="E823" s="681"/>
      <c r="F823" s="797"/>
      <c r="G823" s="797"/>
      <c r="H823" s="797"/>
      <c r="I823" s="797"/>
      <c r="J823" s="797"/>
      <c r="K823" s="797"/>
      <c r="L823" s="797"/>
      <c r="M823" s="797"/>
      <c r="N823" s="797"/>
      <c r="O823" s="797"/>
      <c r="P823" s="797"/>
      <c r="Q823" s="797"/>
      <c r="R823" s="662"/>
      <c r="S823" s="662"/>
      <c r="T823" s="662"/>
      <c r="U823" s="665"/>
      <c r="V823" s="666"/>
      <c r="W823" s="662"/>
      <c r="X823" s="662"/>
      <c r="Y823" s="662"/>
      <c r="Z823" s="662"/>
    </row>
    <row r="824">
      <c r="A824" s="662"/>
      <c r="B824" s="664"/>
      <c r="C824" s="795"/>
      <c r="D824" s="796"/>
      <c r="E824" s="681"/>
      <c r="F824" s="797"/>
      <c r="G824" s="797"/>
      <c r="H824" s="797"/>
      <c r="I824" s="797"/>
      <c r="J824" s="797"/>
      <c r="K824" s="797"/>
      <c r="L824" s="797"/>
      <c r="M824" s="797"/>
      <c r="N824" s="797"/>
      <c r="O824" s="797"/>
      <c r="P824" s="797"/>
      <c r="Q824" s="797"/>
      <c r="R824" s="662"/>
      <c r="S824" s="662"/>
      <c r="T824" s="662"/>
      <c r="U824" s="665"/>
      <c r="V824" s="666"/>
      <c r="W824" s="662"/>
      <c r="X824" s="662"/>
      <c r="Y824" s="662"/>
      <c r="Z824" s="662"/>
    </row>
    <row r="825">
      <c r="A825" s="662"/>
      <c r="B825" s="664"/>
      <c r="C825" s="795"/>
      <c r="D825" s="796"/>
      <c r="E825" s="681"/>
      <c r="F825" s="797"/>
      <c r="G825" s="797"/>
      <c r="H825" s="797"/>
      <c r="I825" s="797"/>
      <c r="J825" s="797"/>
      <c r="K825" s="797"/>
      <c r="L825" s="797"/>
      <c r="M825" s="797"/>
      <c r="N825" s="797"/>
      <c r="O825" s="797"/>
      <c r="P825" s="797"/>
      <c r="Q825" s="797"/>
      <c r="R825" s="662"/>
      <c r="S825" s="662"/>
      <c r="T825" s="662"/>
      <c r="U825" s="665"/>
      <c r="V825" s="666"/>
      <c r="W825" s="662"/>
      <c r="X825" s="662"/>
      <c r="Y825" s="662"/>
      <c r="Z825" s="662"/>
    </row>
    <row r="826">
      <c r="A826" s="662"/>
      <c r="B826" s="664"/>
      <c r="C826" s="795"/>
      <c r="D826" s="796"/>
      <c r="E826" s="681"/>
      <c r="F826" s="797"/>
      <c r="G826" s="797"/>
      <c r="H826" s="797"/>
      <c r="I826" s="797"/>
      <c r="J826" s="797"/>
      <c r="K826" s="797"/>
      <c r="L826" s="797"/>
      <c r="M826" s="797"/>
      <c r="N826" s="797"/>
      <c r="O826" s="797"/>
      <c r="P826" s="797"/>
      <c r="Q826" s="797"/>
      <c r="R826" s="662"/>
      <c r="S826" s="662"/>
      <c r="T826" s="662"/>
      <c r="U826" s="665"/>
      <c r="V826" s="666"/>
      <c r="W826" s="662"/>
      <c r="X826" s="662"/>
      <c r="Y826" s="662"/>
      <c r="Z826" s="662"/>
    </row>
    <row r="827">
      <c r="A827" s="662"/>
      <c r="B827" s="664"/>
      <c r="C827" s="795"/>
      <c r="D827" s="796"/>
      <c r="E827" s="681"/>
      <c r="F827" s="797"/>
      <c r="G827" s="797"/>
      <c r="H827" s="797"/>
      <c r="I827" s="797"/>
      <c r="J827" s="797"/>
      <c r="K827" s="797"/>
      <c r="L827" s="797"/>
      <c r="M827" s="797"/>
      <c r="N827" s="797"/>
      <c r="O827" s="797"/>
      <c r="P827" s="797"/>
      <c r="Q827" s="797"/>
      <c r="R827" s="662"/>
      <c r="S827" s="662"/>
      <c r="T827" s="662"/>
      <c r="U827" s="665"/>
      <c r="V827" s="666"/>
      <c r="W827" s="662"/>
      <c r="X827" s="662"/>
      <c r="Y827" s="662"/>
      <c r="Z827" s="662"/>
    </row>
    <row r="828">
      <c r="A828" s="662"/>
      <c r="B828" s="664"/>
      <c r="C828" s="795"/>
      <c r="D828" s="796"/>
      <c r="E828" s="681"/>
      <c r="F828" s="797"/>
      <c r="G828" s="797"/>
      <c r="H828" s="797"/>
      <c r="I828" s="797"/>
      <c r="J828" s="797"/>
      <c r="K828" s="797"/>
      <c r="L828" s="797"/>
      <c r="M828" s="797"/>
      <c r="N828" s="797"/>
      <c r="O828" s="797"/>
      <c r="P828" s="797"/>
      <c r="Q828" s="797"/>
      <c r="R828" s="662"/>
      <c r="S828" s="662"/>
      <c r="T828" s="662"/>
      <c r="U828" s="665"/>
      <c r="V828" s="666"/>
      <c r="W828" s="662"/>
      <c r="X828" s="662"/>
      <c r="Y828" s="662"/>
      <c r="Z828" s="662"/>
    </row>
    <row r="829">
      <c r="A829" s="662"/>
      <c r="B829" s="664"/>
      <c r="C829" s="795"/>
      <c r="D829" s="796"/>
      <c r="E829" s="681"/>
      <c r="F829" s="797"/>
      <c r="G829" s="797"/>
      <c r="H829" s="797"/>
      <c r="I829" s="797"/>
      <c r="J829" s="797"/>
      <c r="K829" s="797"/>
      <c r="L829" s="797"/>
      <c r="M829" s="797"/>
      <c r="N829" s="797"/>
      <c r="O829" s="797"/>
      <c r="P829" s="797"/>
      <c r="Q829" s="797"/>
      <c r="R829" s="662"/>
      <c r="S829" s="662"/>
      <c r="T829" s="662"/>
      <c r="U829" s="665"/>
      <c r="V829" s="666"/>
      <c r="W829" s="662"/>
      <c r="X829" s="662"/>
      <c r="Y829" s="662"/>
      <c r="Z829" s="662"/>
    </row>
    <row r="830">
      <c r="A830" s="662"/>
      <c r="B830" s="664"/>
      <c r="C830" s="795"/>
      <c r="D830" s="796"/>
      <c r="E830" s="681"/>
      <c r="F830" s="797"/>
      <c r="G830" s="797"/>
      <c r="H830" s="797"/>
      <c r="I830" s="797"/>
      <c r="J830" s="797"/>
      <c r="K830" s="797"/>
      <c r="L830" s="797"/>
      <c r="M830" s="797"/>
      <c r="N830" s="797"/>
      <c r="O830" s="797"/>
      <c r="P830" s="797"/>
      <c r="Q830" s="797"/>
      <c r="R830" s="662"/>
      <c r="S830" s="662"/>
      <c r="T830" s="662"/>
      <c r="U830" s="665"/>
      <c r="V830" s="666"/>
      <c r="W830" s="662"/>
      <c r="X830" s="662"/>
      <c r="Y830" s="662"/>
      <c r="Z830" s="662"/>
    </row>
    <row r="831">
      <c r="A831" s="662"/>
      <c r="B831" s="664"/>
      <c r="C831" s="795"/>
      <c r="D831" s="796"/>
      <c r="E831" s="681"/>
      <c r="F831" s="797"/>
      <c r="G831" s="797"/>
      <c r="H831" s="797"/>
      <c r="I831" s="797"/>
      <c r="J831" s="797"/>
      <c r="K831" s="797"/>
      <c r="L831" s="797"/>
      <c r="M831" s="797"/>
      <c r="N831" s="797"/>
      <c r="O831" s="797"/>
      <c r="P831" s="797"/>
      <c r="Q831" s="797"/>
      <c r="R831" s="662"/>
      <c r="S831" s="662"/>
      <c r="T831" s="662"/>
      <c r="U831" s="665"/>
      <c r="V831" s="666"/>
      <c r="W831" s="662"/>
      <c r="X831" s="662"/>
      <c r="Y831" s="662"/>
      <c r="Z831" s="662"/>
    </row>
    <row r="832">
      <c r="A832" s="662"/>
      <c r="B832" s="664"/>
      <c r="C832" s="795"/>
      <c r="D832" s="796"/>
      <c r="E832" s="681"/>
      <c r="F832" s="797"/>
      <c r="G832" s="797"/>
      <c r="H832" s="797"/>
      <c r="I832" s="797"/>
      <c r="J832" s="797"/>
      <c r="K832" s="797"/>
      <c r="L832" s="797"/>
      <c r="M832" s="797"/>
      <c r="N832" s="797"/>
      <c r="O832" s="797"/>
      <c r="P832" s="797"/>
      <c r="Q832" s="797"/>
      <c r="R832" s="662"/>
      <c r="S832" s="662"/>
      <c r="T832" s="662"/>
      <c r="U832" s="665"/>
      <c r="V832" s="666"/>
      <c r="W832" s="662"/>
      <c r="X832" s="662"/>
      <c r="Y832" s="662"/>
      <c r="Z832" s="662"/>
    </row>
    <row r="833">
      <c r="A833" s="662"/>
      <c r="B833" s="664"/>
      <c r="C833" s="795"/>
      <c r="D833" s="796"/>
      <c r="E833" s="681"/>
      <c r="F833" s="797"/>
      <c r="G833" s="797"/>
      <c r="H833" s="797"/>
      <c r="I833" s="797"/>
      <c r="J833" s="797"/>
      <c r="K833" s="797"/>
      <c r="L833" s="797"/>
      <c r="M833" s="797"/>
      <c r="N833" s="797"/>
      <c r="O833" s="797"/>
      <c r="P833" s="797"/>
      <c r="Q833" s="797"/>
      <c r="R833" s="662"/>
      <c r="S833" s="662"/>
      <c r="T833" s="662"/>
      <c r="U833" s="665"/>
      <c r="V833" s="666"/>
      <c r="W833" s="662"/>
      <c r="X833" s="662"/>
      <c r="Y833" s="662"/>
      <c r="Z833" s="662"/>
    </row>
    <row r="834">
      <c r="A834" s="662"/>
      <c r="B834" s="664"/>
      <c r="C834" s="795"/>
      <c r="D834" s="796"/>
      <c r="E834" s="681"/>
      <c r="F834" s="797"/>
      <c r="G834" s="797"/>
      <c r="H834" s="797"/>
      <c r="I834" s="797"/>
      <c r="J834" s="797"/>
      <c r="K834" s="797"/>
      <c r="L834" s="797"/>
      <c r="M834" s="797"/>
      <c r="N834" s="797"/>
      <c r="O834" s="797"/>
      <c r="P834" s="797"/>
      <c r="Q834" s="797"/>
      <c r="R834" s="662"/>
      <c r="S834" s="662"/>
      <c r="T834" s="662"/>
      <c r="U834" s="665"/>
      <c r="V834" s="666"/>
      <c r="W834" s="662"/>
      <c r="X834" s="662"/>
      <c r="Y834" s="662"/>
      <c r="Z834" s="662"/>
    </row>
    <row r="835">
      <c r="A835" s="662"/>
      <c r="B835" s="664"/>
      <c r="C835" s="795"/>
      <c r="D835" s="796"/>
      <c r="E835" s="681"/>
      <c r="F835" s="797"/>
      <c r="G835" s="797"/>
      <c r="H835" s="797"/>
      <c r="I835" s="797"/>
      <c r="J835" s="797"/>
      <c r="K835" s="797"/>
      <c r="L835" s="797"/>
      <c r="M835" s="797"/>
      <c r="N835" s="797"/>
      <c r="O835" s="797"/>
      <c r="P835" s="797"/>
      <c r="Q835" s="797"/>
      <c r="R835" s="662"/>
      <c r="S835" s="662"/>
      <c r="T835" s="662"/>
      <c r="U835" s="665"/>
      <c r="V835" s="666"/>
      <c r="W835" s="662"/>
      <c r="X835" s="662"/>
      <c r="Y835" s="662"/>
      <c r="Z835" s="662"/>
    </row>
    <row r="836">
      <c r="A836" s="662"/>
      <c r="B836" s="664"/>
      <c r="C836" s="795"/>
      <c r="D836" s="796"/>
      <c r="E836" s="681"/>
      <c r="F836" s="797"/>
      <c r="G836" s="797"/>
      <c r="H836" s="797"/>
      <c r="I836" s="797"/>
      <c r="J836" s="797"/>
      <c r="K836" s="797"/>
      <c r="L836" s="797"/>
      <c r="M836" s="797"/>
      <c r="N836" s="797"/>
      <c r="O836" s="797"/>
      <c r="P836" s="797"/>
      <c r="Q836" s="797"/>
      <c r="R836" s="662"/>
      <c r="S836" s="662"/>
      <c r="T836" s="662"/>
      <c r="U836" s="665"/>
      <c r="V836" s="666"/>
      <c r="W836" s="662"/>
      <c r="X836" s="662"/>
      <c r="Y836" s="662"/>
      <c r="Z836" s="662"/>
    </row>
    <row r="837">
      <c r="A837" s="662"/>
      <c r="B837" s="664"/>
      <c r="C837" s="795"/>
      <c r="D837" s="796"/>
      <c r="E837" s="681"/>
      <c r="F837" s="797"/>
      <c r="G837" s="797"/>
      <c r="H837" s="797"/>
      <c r="I837" s="797"/>
      <c r="J837" s="797"/>
      <c r="K837" s="797"/>
      <c r="L837" s="797"/>
      <c r="M837" s="797"/>
      <c r="N837" s="797"/>
      <c r="O837" s="797"/>
      <c r="P837" s="797"/>
      <c r="Q837" s="797"/>
      <c r="R837" s="662"/>
      <c r="S837" s="662"/>
      <c r="T837" s="662"/>
      <c r="U837" s="665"/>
      <c r="V837" s="666"/>
      <c r="W837" s="662"/>
      <c r="X837" s="662"/>
      <c r="Y837" s="662"/>
      <c r="Z837" s="662"/>
    </row>
    <row r="838">
      <c r="A838" s="662"/>
      <c r="B838" s="664"/>
      <c r="C838" s="795"/>
      <c r="D838" s="796"/>
      <c r="E838" s="681"/>
      <c r="F838" s="797"/>
      <c r="G838" s="797"/>
      <c r="H838" s="797"/>
      <c r="I838" s="797"/>
      <c r="J838" s="797"/>
      <c r="K838" s="797"/>
      <c r="L838" s="797"/>
      <c r="M838" s="797"/>
      <c r="N838" s="797"/>
      <c r="O838" s="797"/>
      <c r="P838" s="797"/>
      <c r="Q838" s="797"/>
      <c r="R838" s="662"/>
      <c r="S838" s="662"/>
      <c r="T838" s="662"/>
      <c r="U838" s="665"/>
      <c r="V838" s="666"/>
      <c r="W838" s="662"/>
      <c r="X838" s="662"/>
      <c r="Y838" s="662"/>
      <c r="Z838" s="662"/>
    </row>
    <row r="839">
      <c r="A839" s="662"/>
      <c r="B839" s="664"/>
      <c r="C839" s="795"/>
      <c r="D839" s="796"/>
      <c r="E839" s="681"/>
      <c r="F839" s="797"/>
      <c r="G839" s="797"/>
      <c r="H839" s="797"/>
      <c r="I839" s="797"/>
      <c r="J839" s="797"/>
      <c r="K839" s="797"/>
      <c r="L839" s="797"/>
      <c r="M839" s="797"/>
      <c r="N839" s="797"/>
      <c r="O839" s="797"/>
      <c r="P839" s="797"/>
      <c r="Q839" s="797"/>
      <c r="R839" s="662"/>
      <c r="S839" s="662"/>
      <c r="T839" s="662"/>
      <c r="U839" s="665"/>
      <c r="V839" s="666"/>
      <c r="W839" s="662"/>
      <c r="X839" s="662"/>
      <c r="Y839" s="662"/>
      <c r="Z839" s="662"/>
    </row>
    <row r="840">
      <c r="A840" s="662"/>
      <c r="B840" s="664"/>
      <c r="C840" s="795"/>
      <c r="D840" s="796"/>
      <c r="E840" s="681"/>
      <c r="F840" s="797"/>
      <c r="G840" s="797"/>
      <c r="H840" s="797"/>
      <c r="I840" s="797"/>
      <c r="J840" s="797"/>
      <c r="K840" s="797"/>
      <c r="L840" s="797"/>
      <c r="M840" s="797"/>
      <c r="N840" s="797"/>
      <c r="O840" s="797"/>
      <c r="P840" s="797"/>
      <c r="Q840" s="797"/>
      <c r="R840" s="662"/>
      <c r="S840" s="662"/>
      <c r="T840" s="662"/>
      <c r="U840" s="665"/>
      <c r="V840" s="666"/>
      <c r="W840" s="662"/>
      <c r="X840" s="662"/>
      <c r="Y840" s="662"/>
      <c r="Z840" s="662"/>
    </row>
    <row r="841">
      <c r="A841" s="662"/>
      <c r="B841" s="664"/>
      <c r="C841" s="795"/>
      <c r="D841" s="796"/>
      <c r="E841" s="681"/>
      <c r="F841" s="797"/>
      <c r="G841" s="797"/>
      <c r="H841" s="797"/>
      <c r="I841" s="797"/>
      <c r="J841" s="797"/>
      <c r="K841" s="797"/>
      <c r="L841" s="797"/>
      <c r="M841" s="797"/>
      <c r="N841" s="797"/>
      <c r="O841" s="797"/>
      <c r="P841" s="797"/>
      <c r="Q841" s="797"/>
      <c r="R841" s="662"/>
      <c r="S841" s="662"/>
      <c r="T841" s="662"/>
      <c r="U841" s="665"/>
      <c r="V841" s="666"/>
      <c r="W841" s="662"/>
      <c r="X841" s="662"/>
      <c r="Y841" s="662"/>
      <c r="Z841" s="662"/>
    </row>
    <row r="842">
      <c r="A842" s="662"/>
      <c r="B842" s="664"/>
      <c r="C842" s="795"/>
      <c r="D842" s="796"/>
      <c r="E842" s="681"/>
      <c r="F842" s="797"/>
      <c r="G842" s="797"/>
      <c r="H842" s="797"/>
      <c r="I842" s="797"/>
      <c r="J842" s="797"/>
      <c r="K842" s="797"/>
      <c r="L842" s="797"/>
      <c r="M842" s="797"/>
      <c r="N842" s="797"/>
      <c r="O842" s="797"/>
      <c r="P842" s="797"/>
      <c r="Q842" s="797"/>
      <c r="R842" s="662"/>
      <c r="S842" s="662"/>
      <c r="T842" s="662"/>
      <c r="U842" s="665"/>
      <c r="V842" s="666"/>
      <c r="W842" s="662"/>
      <c r="X842" s="662"/>
      <c r="Y842" s="662"/>
      <c r="Z842" s="662"/>
    </row>
    <row r="843">
      <c r="A843" s="662"/>
      <c r="B843" s="664"/>
      <c r="C843" s="795"/>
      <c r="D843" s="796"/>
      <c r="E843" s="681"/>
      <c r="F843" s="797"/>
      <c r="G843" s="797"/>
      <c r="H843" s="797"/>
      <c r="I843" s="797"/>
      <c r="J843" s="797"/>
      <c r="K843" s="797"/>
      <c r="L843" s="797"/>
      <c r="M843" s="797"/>
      <c r="N843" s="797"/>
      <c r="O843" s="797"/>
      <c r="P843" s="797"/>
      <c r="Q843" s="797"/>
      <c r="R843" s="662"/>
      <c r="S843" s="662"/>
      <c r="T843" s="662"/>
      <c r="U843" s="665"/>
      <c r="V843" s="666"/>
      <c r="W843" s="662"/>
      <c r="X843" s="662"/>
      <c r="Y843" s="662"/>
      <c r="Z843" s="662"/>
    </row>
    <row r="844">
      <c r="A844" s="662"/>
      <c r="B844" s="664"/>
      <c r="C844" s="795"/>
      <c r="D844" s="796"/>
      <c r="E844" s="681"/>
      <c r="F844" s="797"/>
      <c r="G844" s="797"/>
      <c r="H844" s="797"/>
      <c r="I844" s="797"/>
      <c r="J844" s="797"/>
      <c r="K844" s="797"/>
      <c r="L844" s="797"/>
      <c r="M844" s="797"/>
      <c r="N844" s="797"/>
      <c r="O844" s="797"/>
      <c r="P844" s="797"/>
      <c r="Q844" s="797"/>
      <c r="R844" s="662"/>
      <c r="S844" s="662"/>
      <c r="T844" s="662"/>
      <c r="U844" s="665"/>
      <c r="V844" s="666"/>
      <c r="W844" s="662"/>
      <c r="X844" s="662"/>
      <c r="Y844" s="662"/>
      <c r="Z844" s="662"/>
    </row>
    <row r="845">
      <c r="A845" s="662"/>
      <c r="B845" s="664"/>
      <c r="C845" s="795"/>
      <c r="D845" s="796"/>
      <c r="E845" s="681"/>
      <c r="F845" s="797"/>
      <c r="G845" s="797"/>
      <c r="H845" s="797"/>
      <c r="I845" s="797"/>
      <c r="J845" s="797"/>
      <c r="K845" s="797"/>
      <c r="L845" s="797"/>
      <c r="M845" s="797"/>
      <c r="N845" s="797"/>
      <c r="O845" s="797"/>
      <c r="P845" s="797"/>
      <c r="Q845" s="797"/>
      <c r="R845" s="662"/>
      <c r="S845" s="662"/>
      <c r="T845" s="662"/>
      <c r="U845" s="665"/>
      <c r="V845" s="666"/>
      <c r="W845" s="662"/>
      <c r="X845" s="662"/>
      <c r="Y845" s="662"/>
      <c r="Z845" s="662"/>
    </row>
    <row r="846">
      <c r="A846" s="662"/>
      <c r="B846" s="664"/>
      <c r="C846" s="795"/>
      <c r="D846" s="796"/>
      <c r="E846" s="681"/>
      <c r="F846" s="797"/>
      <c r="G846" s="797"/>
      <c r="H846" s="797"/>
      <c r="I846" s="797"/>
      <c r="J846" s="797"/>
      <c r="K846" s="797"/>
      <c r="L846" s="797"/>
      <c r="M846" s="797"/>
      <c r="N846" s="797"/>
      <c r="O846" s="797"/>
      <c r="P846" s="797"/>
      <c r="Q846" s="797"/>
      <c r="R846" s="662"/>
      <c r="S846" s="662"/>
      <c r="T846" s="662"/>
      <c r="U846" s="665"/>
      <c r="V846" s="666"/>
      <c r="W846" s="662"/>
      <c r="X846" s="662"/>
      <c r="Y846" s="662"/>
      <c r="Z846" s="662"/>
    </row>
    <row r="847">
      <c r="A847" s="662"/>
      <c r="B847" s="664"/>
      <c r="C847" s="795"/>
      <c r="D847" s="796"/>
      <c r="E847" s="681"/>
      <c r="F847" s="797"/>
      <c r="G847" s="797"/>
      <c r="H847" s="797"/>
      <c r="I847" s="797"/>
      <c r="J847" s="797"/>
      <c r="K847" s="797"/>
      <c r="L847" s="797"/>
      <c r="M847" s="797"/>
      <c r="N847" s="797"/>
      <c r="O847" s="797"/>
      <c r="P847" s="797"/>
      <c r="Q847" s="797"/>
      <c r="R847" s="662"/>
      <c r="S847" s="662"/>
      <c r="T847" s="662"/>
      <c r="U847" s="665"/>
      <c r="V847" s="666"/>
      <c r="W847" s="662"/>
      <c r="X847" s="662"/>
      <c r="Y847" s="662"/>
      <c r="Z847" s="662"/>
    </row>
    <row r="848">
      <c r="A848" s="662"/>
      <c r="B848" s="664"/>
      <c r="C848" s="795"/>
      <c r="D848" s="796"/>
      <c r="E848" s="681"/>
      <c r="F848" s="797"/>
      <c r="G848" s="797"/>
      <c r="H848" s="797"/>
      <c r="I848" s="797"/>
      <c r="J848" s="797"/>
      <c r="K848" s="797"/>
      <c r="L848" s="797"/>
      <c r="M848" s="797"/>
      <c r="N848" s="797"/>
      <c r="O848" s="797"/>
      <c r="P848" s="797"/>
      <c r="Q848" s="797"/>
      <c r="R848" s="662"/>
      <c r="S848" s="662"/>
      <c r="T848" s="662"/>
      <c r="U848" s="665"/>
      <c r="V848" s="666"/>
      <c r="W848" s="662"/>
      <c r="X848" s="662"/>
      <c r="Y848" s="662"/>
      <c r="Z848" s="662"/>
    </row>
    <row r="849">
      <c r="A849" s="662"/>
      <c r="B849" s="664"/>
      <c r="C849" s="795"/>
      <c r="D849" s="796"/>
      <c r="E849" s="681"/>
      <c r="F849" s="797"/>
      <c r="G849" s="797"/>
      <c r="H849" s="797"/>
      <c r="I849" s="797"/>
      <c r="J849" s="797"/>
      <c r="K849" s="797"/>
      <c r="L849" s="797"/>
      <c r="M849" s="797"/>
      <c r="N849" s="797"/>
      <c r="O849" s="797"/>
      <c r="P849" s="797"/>
      <c r="Q849" s="797"/>
      <c r="R849" s="662"/>
      <c r="S849" s="662"/>
      <c r="T849" s="662"/>
      <c r="U849" s="665"/>
      <c r="V849" s="666"/>
      <c r="W849" s="662"/>
      <c r="X849" s="662"/>
      <c r="Y849" s="662"/>
      <c r="Z849" s="662"/>
    </row>
    <row r="850">
      <c r="A850" s="662"/>
      <c r="B850" s="664"/>
      <c r="C850" s="795"/>
      <c r="D850" s="796"/>
      <c r="E850" s="681"/>
      <c r="F850" s="797"/>
      <c r="G850" s="797"/>
      <c r="H850" s="797"/>
      <c r="I850" s="797"/>
      <c r="J850" s="797"/>
      <c r="K850" s="797"/>
      <c r="L850" s="797"/>
      <c r="M850" s="797"/>
      <c r="N850" s="797"/>
      <c r="O850" s="797"/>
      <c r="P850" s="797"/>
      <c r="Q850" s="797"/>
      <c r="R850" s="662"/>
      <c r="S850" s="662"/>
      <c r="T850" s="662"/>
      <c r="U850" s="665"/>
      <c r="V850" s="666"/>
      <c r="W850" s="662"/>
      <c r="X850" s="662"/>
      <c r="Y850" s="662"/>
      <c r="Z850" s="662"/>
    </row>
    <row r="851">
      <c r="A851" s="662"/>
      <c r="B851" s="664"/>
      <c r="C851" s="795"/>
      <c r="D851" s="796"/>
      <c r="E851" s="681"/>
      <c r="F851" s="797"/>
      <c r="G851" s="797"/>
      <c r="H851" s="797"/>
      <c r="I851" s="797"/>
      <c r="J851" s="797"/>
      <c r="K851" s="797"/>
      <c r="L851" s="797"/>
      <c r="M851" s="797"/>
      <c r="N851" s="797"/>
      <c r="O851" s="797"/>
      <c r="P851" s="797"/>
      <c r="Q851" s="797"/>
      <c r="R851" s="662"/>
      <c r="S851" s="662"/>
      <c r="T851" s="662"/>
      <c r="U851" s="665"/>
      <c r="V851" s="666"/>
      <c r="W851" s="662"/>
      <c r="X851" s="662"/>
      <c r="Y851" s="662"/>
      <c r="Z851" s="662"/>
    </row>
    <row r="852">
      <c r="A852" s="662"/>
      <c r="B852" s="664"/>
      <c r="C852" s="795"/>
      <c r="D852" s="796"/>
      <c r="E852" s="681"/>
      <c r="F852" s="797"/>
      <c r="G852" s="797"/>
      <c r="H852" s="797"/>
      <c r="I852" s="797"/>
      <c r="J852" s="797"/>
      <c r="K852" s="797"/>
      <c r="L852" s="797"/>
      <c r="M852" s="797"/>
      <c r="N852" s="797"/>
      <c r="O852" s="797"/>
      <c r="P852" s="797"/>
      <c r="Q852" s="797"/>
      <c r="R852" s="662"/>
      <c r="S852" s="662"/>
      <c r="T852" s="662"/>
      <c r="U852" s="665"/>
      <c r="V852" s="666"/>
      <c r="W852" s="662"/>
      <c r="X852" s="662"/>
      <c r="Y852" s="662"/>
      <c r="Z852" s="662"/>
    </row>
    <row r="853">
      <c r="A853" s="662"/>
      <c r="B853" s="664"/>
      <c r="C853" s="795"/>
      <c r="D853" s="796"/>
      <c r="E853" s="681"/>
      <c r="F853" s="797"/>
      <c r="G853" s="797"/>
      <c r="H853" s="797"/>
      <c r="I853" s="797"/>
      <c r="J853" s="797"/>
      <c r="K853" s="797"/>
      <c r="L853" s="797"/>
      <c r="M853" s="797"/>
      <c r="N853" s="797"/>
      <c r="O853" s="797"/>
      <c r="P853" s="797"/>
      <c r="Q853" s="797"/>
      <c r="R853" s="662"/>
      <c r="S853" s="662"/>
      <c r="T853" s="662"/>
      <c r="U853" s="665"/>
      <c r="V853" s="666"/>
      <c r="W853" s="662"/>
      <c r="X853" s="662"/>
      <c r="Y853" s="662"/>
      <c r="Z853" s="662"/>
    </row>
    <row r="854">
      <c r="A854" s="662"/>
      <c r="B854" s="664"/>
      <c r="C854" s="795"/>
      <c r="D854" s="796"/>
      <c r="E854" s="681"/>
      <c r="F854" s="797"/>
      <c r="G854" s="797"/>
      <c r="H854" s="797"/>
      <c r="I854" s="797"/>
      <c r="J854" s="797"/>
      <c r="K854" s="797"/>
      <c r="L854" s="797"/>
      <c r="M854" s="797"/>
      <c r="N854" s="797"/>
      <c r="O854" s="797"/>
      <c r="P854" s="797"/>
      <c r="Q854" s="797"/>
      <c r="R854" s="662"/>
      <c r="S854" s="662"/>
      <c r="T854" s="662"/>
      <c r="U854" s="665"/>
      <c r="V854" s="666"/>
      <c r="W854" s="662"/>
      <c r="X854" s="662"/>
      <c r="Y854" s="662"/>
      <c r="Z854" s="662"/>
    </row>
    <row r="855">
      <c r="A855" s="662"/>
      <c r="B855" s="664"/>
      <c r="C855" s="795"/>
      <c r="D855" s="796"/>
      <c r="E855" s="681"/>
      <c r="F855" s="797"/>
      <c r="G855" s="797"/>
      <c r="H855" s="797"/>
      <c r="I855" s="797"/>
      <c r="J855" s="797"/>
      <c r="K855" s="797"/>
      <c r="L855" s="797"/>
      <c r="M855" s="797"/>
      <c r="N855" s="797"/>
      <c r="O855" s="797"/>
      <c r="P855" s="797"/>
      <c r="Q855" s="797"/>
      <c r="R855" s="662"/>
      <c r="S855" s="662"/>
      <c r="T855" s="662"/>
      <c r="U855" s="665"/>
      <c r="V855" s="666"/>
      <c r="W855" s="662"/>
      <c r="X855" s="662"/>
      <c r="Y855" s="662"/>
      <c r="Z855" s="662"/>
    </row>
    <row r="856">
      <c r="A856" s="662"/>
      <c r="B856" s="664"/>
      <c r="C856" s="795"/>
      <c r="D856" s="796"/>
      <c r="E856" s="681"/>
      <c r="F856" s="797"/>
      <c r="G856" s="797"/>
      <c r="H856" s="797"/>
      <c r="I856" s="797"/>
      <c r="J856" s="797"/>
      <c r="K856" s="797"/>
      <c r="L856" s="797"/>
      <c r="M856" s="797"/>
      <c r="N856" s="797"/>
      <c r="O856" s="797"/>
      <c r="P856" s="797"/>
      <c r="Q856" s="797"/>
      <c r="R856" s="662"/>
      <c r="S856" s="662"/>
      <c r="T856" s="662"/>
      <c r="U856" s="665"/>
      <c r="V856" s="666"/>
      <c r="W856" s="662"/>
      <c r="X856" s="662"/>
      <c r="Y856" s="662"/>
      <c r="Z856" s="662"/>
    </row>
    <row r="857">
      <c r="A857" s="662"/>
      <c r="B857" s="664"/>
      <c r="C857" s="795"/>
      <c r="D857" s="796"/>
      <c r="E857" s="681"/>
      <c r="F857" s="797"/>
      <c r="G857" s="797"/>
      <c r="H857" s="797"/>
      <c r="I857" s="797"/>
      <c r="J857" s="797"/>
      <c r="K857" s="797"/>
      <c r="L857" s="797"/>
      <c r="M857" s="797"/>
      <c r="N857" s="797"/>
      <c r="O857" s="797"/>
      <c r="P857" s="797"/>
      <c r="Q857" s="797"/>
      <c r="R857" s="662"/>
      <c r="S857" s="662"/>
      <c r="T857" s="662"/>
      <c r="U857" s="665"/>
      <c r="V857" s="666"/>
      <c r="W857" s="662"/>
      <c r="X857" s="662"/>
      <c r="Y857" s="662"/>
      <c r="Z857" s="662"/>
    </row>
    <row r="858">
      <c r="A858" s="662"/>
      <c r="B858" s="664"/>
      <c r="C858" s="795"/>
      <c r="D858" s="796"/>
      <c r="E858" s="681"/>
      <c r="F858" s="797"/>
      <c r="G858" s="797"/>
      <c r="H858" s="797"/>
      <c r="I858" s="797"/>
      <c r="J858" s="797"/>
      <c r="K858" s="797"/>
      <c r="L858" s="797"/>
      <c r="M858" s="797"/>
      <c r="N858" s="797"/>
      <c r="O858" s="797"/>
      <c r="P858" s="797"/>
      <c r="Q858" s="797"/>
      <c r="R858" s="662"/>
      <c r="S858" s="662"/>
      <c r="T858" s="662"/>
      <c r="U858" s="665"/>
      <c r="V858" s="666"/>
      <c r="W858" s="662"/>
      <c r="X858" s="662"/>
      <c r="Y858" s="662"/>
      <c r="Z858" s="662"/>
    </row>
    <row r="859">
      <c r="A859" s="662"/>
      <c r="B859" s="664"/>
      <c r="C859" s="795"/>
      <c r="D859" s="796"/>
      <c r="E859" s="681"/>
      <c r="F859" s="797"/>
      <c r="G859" s="797"/>
      <c r="H859" s="797"/>
      <c r="I859" s="797"/>
      <c r="J859" s="797"/>
      <c r="K859" s="797"/>
      <c r="L859" s="797"/>
      <c r="M859" s="797"/>
      <c r="N859" s="797"/>
      <c r="O859" s="797"/>
      <c r="P859" s="797"/>
      <c r="Q859" s="797"/>
      <c r="R859" s="662"/>
      <c r="S859" s="662"/>
      <c r="T859" s="662"/>
      <c r="U859" s="665"/>
      <c r="V859" s="666"/>
      <c r="W859" s="662"/>
      <c r="X859" s="662"/>
      <c r="Y859" s="662"/>
      <c r="Z859" s="662"/>
    </row>
    <row r="860">
      <c r="A860" s="662"/>
      <c r="B860" s="664"/>
      <c r="C860" s="795"/>
      <c r="D860" s="796"/>
      <c r="E860" s="681"/>
      <c r="F860" s="797"/>
      <c r="G860" s="797"/>
      <c r="H860" s="797"/>
      <c r="I860" s="797"/>
      <c r="J860" s="797"/>
      <c r="K860" s="797"/>
      <c r="L860" s="797"/>
      <c r="M860" s="797"/>
      <c r="N860" s="797"/>
      <c r="O860" s="797"/>
      <c r="P860" s="797"/>
      <c r="Q860" s="797"/>
      <c r="R860" s="662"/>
      <c r="S860" s="662"/>
      <c r="T860" s="662"/>
      <c r="U860" s="665"/>
      <c r="V860" s="666"/>
      <c r="W860" s="662"/>
      <c r="X860" s="662"/>
      <c r="Y860" s="662"/>
      <c r="Z860" s="662"/>
    </row>
    <row r="861">
      <c r="A861" s="662"/>
      <c r="B861" s="664"/>
      <c r="C861" s="795"/>
      <c r="D861" s="796"/>
      <c r="E861" s="681"/>
      <c r="F861" s="797"/>
      <c r="G861" s="797"/>
      <c r="H861" s="797"/>
      <c r="I861" s="797"/>
      <c r="J861" s="797"/>
      <c r="K861" s="797"/>
      <c r="L861" s="797"/>
      <c r="M861" s="797"/>
      <c r="N861" s="797"/>
      <c r="O861" s="797"/>
      <c r="P861" s="797"/>
      <c r="Q861" s="797"/>
      <c r="R861" s="662"/>
      <c r="S861" s="662"/>
      <c r="T861" s="662"/>
      <c r="U861" s="665"/>
      <c r="V861" s="666"/>
      <c r="W861" s="662"/>
      <c r="X861" s="662"/>
      <c r="Y861" s="662"/>
      <c r="Z861" s="662"/>
    </row>
    <row r="862">
      <c r="A862" s="662"/>
      <c r="B862" s="664"/>
      <c r="C862" s="795"/>
      <c r="D862" s="796"/>
      <c r="E862" s="681"/>
      <c r="F862" s="797"/>
      <c r="G862" s="797"/>
      <c r="H862" s="797"/>
      <c r="I862" s="797"/>
      <c r="J862" s="797"/>
      <c r="K862" s="797"/>
      <c r="L862" s="797"/>
      <c r="M862" s="797"/>
      <c r="N862" s="797"/>
      <c r="O862" s="797"/>
      <c r="P862" s="797"/>
      <c r="Q862" s="797"/>
      <c r="R862" s="662"/>
      <c r="S862" s="662"/>
      <c r="T862" s="662"/>
      <c r="U862" s="665"/>
      <c r="V862" s="666"/>
      <c r="W862" s="662"/>
      <c r="X862" s="662"/>
      <c r="Y862" s="662"/>
      <c r="Z862" s="662"/>
    </row>
    <row r="863">
      <c r="A863" s="662"/>
      <c r="B863" s="664"/>
      <c r="C863" s="795"/>
      <c r="D863" s="796"/>
      <c r="E863" s="681"/>
      <c r="F863" s="797"/>
      <c r="G863" s="797"/>
      <c r="H863" s="797"/>
      <c r="I863" s="797"/>
      <c r="J863" s="797"/>
      <c r="K863" s="797"/>
      <c r="L863" s="797"/>
      <c r="M863" s="797"/>
      <c r="N863" s="797"/>
      <c r="O863" s="797"/>
      <c r="P863" s="797"/>
      <c r="Q863" s="797"/>
      <c r="R863" s="662"/>
      <c r="S863" s="662"/>
      <c r="T863" s="662"/>
      <c r="U863" s="665"/>
      <c r="V863" s="666"/>
      <c r="W863" s="662"/>
      <c r="X863" s="662"/>
      <c r="Y863" s="662"/>
      <c r="Z863" s="662"/>
    </row>
    <row r="864">
      <c r="A864" s="662"/>
      <c r="B864" s="664"/>
      <c r="C864" s="795"/>
      <c r="D864" s="796"/>
      <c r="E864" s="681"/>
      <c r="F864" s="797"/>
      <c r="G864" s="797"/>
      <c r="H864" s="797"/>
      <c r="I864" s="797"/>
      <c r="J864" s="797"/>
      <c r="K864" s="797"/>
      <c r="L864" s="797"/>
      <c r="M864" s="797"/>
      <c r="N864" s="797"/>
      <c r="O864" s="797"/>
      <c r="P864" s="797"/>
      <c r="Q864" s="797"/>
      <c r="R864" s="662"/>
      <c r="S864" s="662"/>
      <c r="T864" s="662"/>
      <c r="U864" s="665"/>
      <c r="V864" s="666"/>
      <c r="W864" s="662"/>
      <c r="X864" s="662"/>
      <c r="Y864" s="662"/>
      <c r="Z864" s="662"/>
    </row>
    <row r="865">
      <c r="A865" s="662"/>
      <c r="B865" s="664"/>
      <c r="C865" s="795"/>
      <c r="D865" s="796"/>
      <c r="E865" s="681"/>
      <c r="F865" s="797"/>
      <c r="G865" s="797"/>
      <c r="H865" s="797"/>
      <c r="I865" s="797"/>
      <c r="J865" s="797"/>
      <c r="K865" s="797"/>
      <c r="L865" s="797"/>
      <c r="M865" s="797"/>
      <c r="N865" s="797"/>
      <c r="O865" s="797"/>
      <c r="P865" s="797"/>
      <c r="Q865" s="797"/>
      <c r="R865" s="662"/>
      <c r="S865" s="662"/>
      <c r="T865" s="662"/>
      <c r="U865" s="665"/>
      <c r="V865" s="666"/>
      <c r="W865" s="662"/>
      <c r="X865" s="662"/>
      <c r="Y865" s="662"/>
      <c r="Z865" s="662"/>
    </row>
    <row r="866">
      <c r="A866" s="662"/>
      <c r="B866" s="664"/>
      <c r="C866" s="795"/>
      <c r="D866" s="796"/>
      <c r="E866" s="681"/>
      <c r="F866" s="797"/>
      <c r="G866" s="797"/>
      <c r="H866" s="797"/>
      <c r="I866" s="797"/>
      <c r="J866" s="797"/>
      <c r="K866" s="797"/>
      <c r="L866" s="797"/>
      <c r="M866" s="797"/>
      <c r="N866" s="797"/>
      <c r="O866" s="797"/>
      <c r="P866" s="797"/>
      <c r="Q866" s="797"/>
      <c r="R866" s="662"/>
      <c r="S866" s="662"/>
      <c r="T866" s="662"/>
      <c r="U866" s="665"/>
      <c r="V866" s="666"/>
      <c r="W866" s="662"/>
      <c r="X866" s="662"/>
      <c r="Y866" s="662"/>
      <c r="Z866" s="662"/>
    </row>
    <row r="867">
      <c r="A867" s="662"/>
      <c r="B867" s="664"/>
      <c r="C867" s="795"/>
      <c r="D867" s="796"/>
      <c r="E867" s="681"/>
      <c r="F867" s="797"/>
      <c r="G867" s="797"/>
      <c r="H867" s="797"/>
      <c r="I867" s="797"/>
      <c r="J867" s="797"/>
      <c r="K867" s="797"/>
      <c r="L867" s="797"/>
      <c r="M867" s="797"/>
      <c r="N867" s="797"/>
      <c r="O867" s="797"/>
      <c r="P867" s="797"/>
      <c r="Q867" s="797"/>
      <c r="R867" s="662"/>
      <c r="S867" s="662"/>
      <c r="T867" s="662"/>
      <c r="U867" s="665"/>
      <c r="V867" s="666"/>
      <c r="W867" s="662"/>
      <c r="X867" s="662"/>
      <c r="Y867" s="662"/>
      <c r="Z867" s="662"/>
    </row>
    <row r="868">
      <c r="A868" s="662"/>
      <c r="B868" s="664"/>
      <c r="C868" s="795"/>
      <c r="D868" s="796"/>
      <c r="E868" s="681"/>
      <c r="F868" s="797"/>
      <c r="G868" s="797"/>
      <c r="H868" s="797"/>
      <c r="I868" s="797"/>
      <c r="J868" s="797"/>
      <c r="K868" s="797"/>
      <c r="L868" s="797"/>
      <c r="M868" s="797"/>
      <c r="N868" s="797"/>
      <c r="O868" s="797"/>
      <c r="P868" s="797"/>
      <c r="Q868" s="797"/>
      <c r="R868" s="662"/>
      <c r="S868" s="662"/>
      <c r="T868" s="662"/>
      <c r="U868" s="665"/>
      <c r="V868" s="666"/>
      <c r="W868" s="662"/>
      <c r="X868" s="662"/>
      <c r="Y868" s="662"/>
      <c r="Z868" s="662"/>
    </row>
    <row r="869">
      <c r="A869" s="662"/>
      <c r="B869" s="664"/>
      <c r="C869" s="795"/>
      <c r="D869" s="796"/>
      <c r="E869" s="681"/>
      <c r="F869" s="797"/>
      <c r="G869" s="797"/>
      <c r="H869" s="797"/>
      <c r="I869" s="797"/>
      <c r="J869" s="797"/>
      <c r="K869" s="797"/>
      <c r="L869" s="797"/>
      <c r="M869" s="797"/>
      <c r="N869" s="797"/>
      <c r="O869" s="797"/>
      <c r="P869" s="797"/>
      <c r="Q869" s="797"/>
      <c r="R869" s="662"/>
      <c r="S869" s="662"/>
      <c r="T869" s="662"/>
      <c r="U869" s="665"/>
      <c r="V869" s="666"/>
      <c r="W869" s="662"/>
      <c r="X869" s="662"/>
      <c r="Y869" s="662"/>
      <c r="Z869" s="662"/>
    </row>
    <row r="870">
      <c r="A870" s="662"/>
      <c r="B870" s="664"/>
      <c r="C870" s="795"/>
      <c r="D870" s="796"/>
      <c r="E870" s="681"/>
      <c r="F870" s="797"/>
      <c r="G870" s="797"/>
      <c r="H870" s="797"/>
      <c r="I870" s="797"/>
      <c r="J870" s="797"/>
      <c r="K870" s="797"/>
      <c r="L870" s="797"/>
      <c r="M870" s="797"/>
      <c r="N870" s="797"/>
      <c r="O870" s="797"/>
      <c r="P870" s="797"/>
      <c r="Q870" s="797"/>
      <c r="R870" s="662"/>
      <c r="S870" s="662"/>
      <c r="T870" s="662"/>
      <c r="U870" s="665"/>
      <c r="V870" s="666"/>
      <c r="W870" s="662"/>
      <c r="X870" s="662"/>
      <c r="Y870" s="662"/>
      <c r="Z870" s="662"/>
    </row>
    <row r="871">
      <c r="A871" s="662"/>
      <c r="B871" s="664"/>
      <c r="C871" s="795"/>
      <c r="D871" s="796"/>
      <c r="E871" s="681"/>
      <c r="F871" s="797"/>
      <c r="G871" s="797"/>
      <c r="H871" s="797"/>
      <c r="I871" s="797"/>
      <c r="J871" s="797"/>
      <c r="K871" s="797"/>
      <c r="L871" s="797"/>
      <c r="M871" s="797"/>
      <c r="N871" s="797"/>
      <c r="O871" s="797"/>
      <c r="P871" s="797"/>
      <c r="Q871" s="797"/>
      <c r="R871" s="662"/>
      <c r="S871" s="662"/>
      <c r="T871" s="662"/>
      <c r="U871" s="665"/>
      <c r="V871" s="666"/>
      <c r="W871" s="662"/>
      <c r="X871" s="662"/>
      <c r="Y871" s="662"/>
      <c r="Z871" s="662"/>
    </row>
    <row r="872">
      <c r="A872" s="662"/>
      <c r="B872" s="664"/>
      <c r="C872" s="795"/>
      <c r="D872" s="796"/>
      <c r="E872" s="681"/>
      <c r="F872" s="797"/>
      <c r="G872" s="797"/>
      <c r="H872" s="797"/>
      <c r="I872" s="797"/>
      <c r="J872" s="797"/>
      <c r="K872" s="797"/>
      <c r="L872" s="797"/>
      <c r="M872" s="797"/>
      <c r="N872" s="797"/>
      <c r="O872" s="797"/>
      <c r="P872" s="797"/>
      <c r="Q872" s="797"/>
      <c r="R872" s="662"/>
      <c r="S872" s="662"/>
      <c r="T872" s="662"/>
      <c r="U872" s="665"/>
      <c r="V872" s="666"/>
      <c r="W872" s="662"/>
      <c r="X872" s="662"/>
      <c r="Y872" s="662"/>
      <c r="Z872" s="662"/>
    </row>
    <row r="873">
      <c r="A873" s="662"/>
      <c r="B873" s="664"/>
      <c r="C873" s="795"/>
      <c r="D873" s="796"/>
      <c r="E873" s="681"/>
      <c r="F873" s="797"/>
      <c r="G873" s="797"/>
      <c r="H873" s="797"/>
      <c r="I873" s="797"/>
      <c r="J873" s="797"/>
      <c r="K873" s="797"/>
      <c r="L873" s="797"/>
      <c r="M873" s="797"/>
      <c r="N873" s="797"/>
      <c r="O873" s="797"/>
      <c r="P873" s="797"/>
      <c r="Q873" s="797"/>
      <c r="R873" s="662"/>
      <c r="S873" s="662"/>
      <c r="T873" s="662"/>
      <c r="U873" s="665"/>
      <c r="V873" s="666"/>
      <c r="W873" s="662"/>
      <c r="X873" s="662"/>
      <c r="Y873" s="662"/>
      <c r="Z873" s="662"/>
    </row>
    <row r="874">
      <c r="A874" s="662"/>
      <c r="B874" s="664"/>
      <c r="C874" s="795"/>
      <c r="D874" s="796"/>
      <c r="E874" s="681"/>
      <c r="F874" s="797"/>
      <c r="G874" s="797"/>
      <c r="H874" s="797"/>
      <c r="I874" s="797"/>
      <c r="J874" s="797"/>
      <c r="K874" s="797"/>
      <c r="L874" s="797"/>
      <c r="M874" s="797"/>
      <c r="N874" s="797"/>
      <c r="O874" s="797"/>
      <c r="P874" s="797"/>
      <c r="Q874" s="797"/>
      <c r="R874" s="662"/>
      <c r="S874" s="662"/>
      <c r="T874" s="662"/>
      <c r="U874" s="665"/>
      <c r="V874" s="666"/>
      <c r="W874" s="662"/>
      <c r="X874" s="662"/>
      <c r="Y874" s="662"/>
      <c r="Z874" s="662"/>
    </row>
    <row r="875">
      <c r="A875" s="662"/>
      <c r="B875" s="664"/>
      <c r="C875" s="795"/>
      <c r="D875" s="796"/>
      <c r="E875" s="681"/>
      <c r="F875" s="797"/>
      <c r="G875" s="797"/>
      <c r="H875" s="797"/>
      <c r="I875" s="797"/>
      <c r="J875" s="797"/>
      <c r="K875" s="797"/>
      <c r="L875" s="797"/>
      <c r="M875" s="797"/>
      <c r="N875" s="797"/>
      <c r="O875" s="797"/>
      <c r="P875" s="797"/>
      <c r="Q875" s="797"/>
      <c r="R875" s="662"/>
      <c r="S875" s="662"/>
      <c r="T875" s="662"/>
      <c r="U875" s="665"/>
      <c r="V875" s="666"/>
      <c r="W875" s="662"/>
      <c r="X875" s="662"/>
      <c r="Y875" s="662"/>
      <c r="Z875" s="662"/>
    </row>
    <row r="876">
      <c r="A876" s="662"/>
      <c r="B876" s="664"/>
      <c r="C876" s="795"/>
      <c r="D876" s="796"/>
      <c r="E876" s="681"/>
      <c r="F876" s="797"/>
      <c r="G876" s="797"/>
      <c r="H876" s="797"/>
      <c r="I876" s="797"/>
      <c r="J876" s="797"/>
      <c r="K876" s="797"/>
      <c r="L876" s="797"/>
      <c r="M876" s="797"/>
      <c r="N876" s="797"/>
      <c r="O876" s="797"/>
      <c r="P876" s="797"/>
      <c r="Q876" s="797"/>
      <c r="R876" s="662"/>
      <c r="S876" s="662"/>
      <c r="T876" s="662"/>
      <c r="U876" s="665"/>
      <c r="V876" s="666"/>
      <c r="W876" s="662"/>
      <c r="X876" s="662"/>
      <c r="Y876" s="662"/>
      <c r="Z876" s="662"/>
    </row>
    <row r="877">
      <c r="A877" s="662"/>
      <c r="B877" s="664"/>
      <c r="C877" s="795"/>
      <c r="D877" s="796"/>
      <c r="E877" s="681"/>
      <c r="F877" s="797"/>
      <c r="G877" s="797"/>
      <c r="H877" s="797"/>
      <c r="I877" s="797"/>
      <c r="J877" s="797"/>
      <c r="K877" s="797"/>
      <c r="L877" s="797"/>
      <c r="M877" s="797"/>
      <c r="N877" s="797"/>
      <c r="O877" s="797"/>
      <c r="P877" s="797"/>
      <c r="Q877" s="797"/>
      <c r="R877" s="662"/>
      <c r="S877" s="662"/>
      <c r="T877" s="662"/>
      <c r="U877" s="665"/>
      <c r="V877" s="666"/>
      <c r="W877" s="662"/>
      <c r="X877" s="662"/>
      <c r="Y877" s="662"/>
      <c r="Z877" s="662"/>
    </row>
    <row r="878">
      <c r="A878" s="662"/>
      <c r="B878" s="664"/>
      <c r="C878" s="795"/>
      <c r="D878" s="796"/>
      <c r="E878" s="681"/>
      <c r="F878" s="797"/>
      <c r="G878" s="797"/>
      <c r="H878" s="797"/>
      <c r="I878" s="797"/>
      <c r="J878" s="797"/>
      <c r="K878" s="797"/>
      <c r="L878" s="797"/>
      <c r="M878" s="797"/>
      <c r="N878" s="797"/>
      <c r="O878" s="797"/>
      <c r="P878" s="797"/>
      <c r="Q878" s="797"/>
      <c r="R878" s="662"/>
      <c r="S878" s="662"/>
      <c r="T878" s="662"/>
      <c r="U878" s="665"/>
      <c r="V878" s="666"/>
      <c r="W878" s="662"/>
      <c r="X878" s="662"/>
      <c r="Y878" s="662"/>
      <c r="Z878" s="662"/>
    </row>
    <row r="879">
      <c r="A879" s="662"/>
      <c r="B879" s="664"/>
      <c r="C879" s="795"/>
      <c r="D879" s="796"/>
      <c r="E879" s="681"/>
      <c r="F879" s="797"/>
      <c r="G879" s="797"/>
      <c r="H879" s="797"/>
      <c r="I879" s="797"/>
      <c r="J879" s="797"/>
      <c r="K879" s="797"/>
      <c r="L879" s="797"/>
      <c r="M879" s="797"/>
      <c r="N879" s="797"/>
      <c r="O879" s="797"/>
      <c r="P879" s="797"/>
      <c r="Q879" s="797"/>
      <c r="R879" s="662"/>
      <c r="S879" s="662"/>
      <c r="T879" s="662"/>
      <c r="U879" s="665"/>
      <c r="V879" s="666"/>
      <c r="W879" s="662"/>
      <c r="X879" s="662"/>
      <c r="Y879" s="662"/>
      <c r="Z879" s="662"/>
    </row>
    <row r="880">
      <c r="A880" s="662"/>
      <c r="B880" s="664"/>
      <c r="C880" s="795"/>
      <c r="D880" s="796"/>
      <c r="E880" s="681"/>
      <c r="F880" s="797"/>
      <c r="G880" s="797"/>
      <c r="H880" s="797"/>
      <c r="I880" s="797"/>
      <c r="J880" s="797"/>
      <c r="K880" s="797"/>
      <c r="L880" s="797"/>
      <c r="M880" s="797"/>
      <c r="N880" s="797"/>
      <c r="O880" s="797"/>
      <c r="P880" s="797"/>
      <c r="Q880" s="797"/>
      <c r="R880" s="662"/>
      <c r="S880" s="662"/>
      <c r="T880" s="662"/>
      <c r="U880" s="665"/>
      <c r="V880" s="666"/>
      <c r="W880" s="662"/>
      <c r="X880" s="662"/>
      <c r="Y880" s="662"/>
      <c r="Z880" s="662"/>
    </row>
    <row r="881">
      <c r="A881" s="662"/>
      <c r="B881" s="664"/>
      <c r="C881" s="795"/>
      <c r="D881" s="796"/>
      <c r="E881" s="681"/>
      <c r="F881" s="797"/>
      <c r="G881" s="797"/>
      <c r="H881" s="797"/>
      <c r="I881" s="797"/>
      <c r="J881" s="797"/>
      <c r="K881" s="797"/>
      <c r="L881" s="797"/>
      <c r="M881" s="797"/>
      <c r="N881" s="797"/>
      <c r="O881" s="797"/>
      <c r="P881" s="797"/>
      <c r="Q881" s="797"/>
      <c r="R881" s="662"/>
      <c r="S881" s="662"/>
      <c r="T881" s="662"/>
      <c r="U881" s="665"/>
      <c r="V881" s="666"/>
      <c r="W881" s="662"/>
      <c r="X881" s="662"/>
      <c r="Y881" s="662"/>
      <c r="Z881" s="662"/>
    </row>
    <row r="882">
      <c r="A882" s="662"/>
      <c r="B882" s="664"/>
      <c r="C882" s="795"/>
      <c r="D882" s="796"/>
      <c r="E882" s="681"/>
      <c r="F882" s="797"/>
      <c r="G882" s="797"/>
      <c r="H882" s="797"/>
      <c r="I882" s="797"/>
      <c r="J882" s="797"/>
      <c r="K882" s="797"/>
      <c r="L882" s="797"/>
      <c r="M882" s="797"/>
      <c r="N882" s="797"/>
      <c r="O882" s="797"/>
      <c r="P882" s="797"/>
      <c r="Q882" s="797"/>
      <c r="R882" s="662"/>
      <c r="S882" s="662"/>
      <c r="T882" s="662"/>
      <c r="U882" s="665"/>
      <c r="V882" s="666"/>
      <c r="W882" s="662"/>
      <c r="X882" s="662"/>
      <c r="Y882" s="662"/>
      <c r="Z882" s="662"/>
    </row>
    <row r="883">
      <c r="A883" s="662"/>
      <c r="B883" s="664"/>
      <c r="C883" s="795"/>
      <c r="D883" s="796"/>
      <c r="E883" s="681"/>
      <c r="F883" s="797"/>
      <c r="G883" s="797"/>
      <c r="H883" s="797"/>
      <c r="I883" s="797"/>
      <c r="J883" s="797"/>
      <c r="K883" s="797"/>
      <c r="L883" s="797"/>
      <c r="M883" s="797"/>
      <c r="N883" s="797"/>
      <c r="O883" s="797"/>
      <c r="P883" s="797"/>
      <c r="Q883" s="797"/>
      <c r="R883" s="662"/>
      <c r="S883" s="662"/>
      <c r="T883" s="662"/>
      <c r="U883" s="665"/>
      <c r="V883" s="666"/>
      <c r="W883" s="662"/>
      <c r="X883" s="662"/>
      <c r="Y883" s="662"/>
      <c r="Z883" s="662"/>
    </row>
    <row r="884">
      <c r="A884" s="662"/>
      <c r="B884" s="664"/>
      <c r="C884" s="795"/>
      <c r="D884" s="796"/>
      <c r="E884" s="681"/>
      <c r="F884" s="797"/>
      <c r="G884" s="797"/>
      <c r="H884" s="797"/>
      <c r="I884" s="797"/>
      <c r="J884" s="797"/>
      <c r="K884" s="797"/>
      <c r="L884" s="797"/>
      <c r="M884" s="797"/>
      <c r="N884" s="797"/>
      <c r="O884" s="797"/>
      <c r="P884" s="797"/>
      <c r="Q884" s="797"/>
      <c r="R884" s="662"/>
      <c r="S884" s="662"/>
      <c r="T884" s="662"/>
      <c r="U884" s="665"/>
      <c r="V884" s="666"/>
      <c r="W884" s="662"/>
      <c r="X884" s="662"/>
      <c r="Y884" s="662"/>
      <c r="Z884" s="662"/>
    </row>
    <row r="885">
      <c r="A885" s="662"/>
      <c r="B885" s="664"/>
      <c r="C885" s="795"/>
      <c r="D885" s="796"/>
      <c r="E885" s="681"/>
      <c r="F885" s="797"/>
      <c r="G885" s="797"/>
      <c r="H885" s="797"/>
      <c r="I885" s="797"/>
      <c r="J885" s="797"/>
      <c r="K885" s="797"/>
      <c r="L885" s="797"/>
      <c r="M885" s="797"/>
      <c r="N885" s="797"/>
      <c r="O885" s="797"/>
      <c r="P885" s="797"/>
      <c r="Q885" s="797"/>
      <c r="R885" s="662"/>
      <c r="S885" s="662"/>
      <c r="T885" s="662"/>
      <c r="U885" s="665"/>
      <c r="V885" s="666"/>
      <c r="W885" s="662"/>
      <c r="X885" s="662"/>
      <c r="Y885" s="662"/>
      <c r="Z885" s="662"/>
    </row>
    <row r="886">
      <c r="A886" s="662"/>
      <c r="B886" s="664"/>
      <c r="C886" s="795"/>
      <c r="D886" s="796"/>
      <c r="E886" s="681"/>
      <c r="F886" s="797"/>
      <c r="G886" s="797"/>
      <c r="H886" s="797"/>
      <c r="I886" s="797"/>
      <c r="J886" s="797"/>
      <c r="K886" s="797"/>
      <c r="L886" s="797"/>
      <c r="M886" s="797"/>
      <c r="N886" s="797"/>
      <c r="O886" s="797"/>
      <c r="P886" s="797"/>
      <c r="Q886" s="797"/>
      <c r="R886" s="662"/>
      <c r="S886" s="662"/>
      <c r="T886" s="662"/>
      <c r="U886" s="665"/>
      <c r="V886" s="666"/>
      <c r="W886" s="662"/>
      <c r="X886" s="662"/>
      <c r="Y886" s="662"/>
      <c r="Z886" s="662"/>
    </row>
    <row r="887">
      <c r="A887" s="662"/>
      <c r="B887" s="664"/>
      <c r="C887" s="795"/>
      <c r="D887" s="796"/>
      <c r="E887" s="681"/>
      <c r="F887" s="797"/>
      <c r="G887" s="797"/>
      <c r="H887" s="797"/>
      <c r="I887" s="797"/>
      <c r="J887" s="797"/>
      <c r="K887" s="797"/>
      <c r="L887" s="797"/>
      <c r="M887" s="797"/>
      <c r="N887" s="797"/>
      <c r="O887" s="797"/>
      <c r="P887" s="797"/>
      <c r="Q887" s="797"/>
      <c r="R887" s="662"/>
      <c r="S887" s="662"/>
      <c r="T887" s="662"/>
      <c r="U887" s="665"/>
      <c r="V887" s="666"/>
      <c r="W887" s="662"/>
      <c r="X887" s="662"/>
      <c r="Y887" s="662"/>
      <c r="Z887" s="662"/>
    </row>
    <row r="888">
      <c r="A888" s="662"/>
      <c r="B888" s="664"/>
      <c r="C888" s="795"/>
      <c r="D888" s="796"/>
      <c r="E888" s="681"/>
      <c r="F888" s="797"/>
      <c r="G888" s="797"/>
      <c r="H888" s="797"/>
      <c r="I888" s="797"/>
      <c r="J888" s="797"/>
      <c r="K888" s="797"/>
      <c r="L888" s="797"/>
      <c r="M888" s="797"/>
      <c r="N888" s="797"/>
      <c r="O888" s="797"/>
      <c r="P888" s="797"/>
      <c r="Q888" s="797"/>
      <c r="R888" s="662"/>
      <c r="S888" s="662"/>
      <c r="T888" s="662"/>
      <c r="U888" s="665"/>
      <c r="V888" s="666"/>
      <c r="W888" s="662"/>
      <c r="X888" s="662"/>
      <c r="Y888" s="662"/>
      <c r="Z888" s="662"/>
    </row>
    <row r="889">
      <c r="A889" s="662"/>
      <c r="B889" s="664"/>
      <c r="C889" s="795"/>
      <c r="D889" s="796"/>
      <c r="E889" s="681"/>
      <c r="F889" s="797"/>
      <c r="G889" s="797"/>
      <c r="H889" s="797"/>
      <c r="I889" s="797"/>
      <c r="J889" s="797"/>
      <c r="K889" s="797"/>
      <c r="L889" s="797"/>
      <c r="M889" s="797"/>
      <c r="N889" s="797"/>
      <c r="O889" s="797"/>
      <c r="P889" s="797"/>
      <c r="Q889" s="797"/>
      <c r="R889" s="662"/>
      <c r="S889" s="662"/>
      <c r="T889" s="662"/>
      <c r="U889" s="665"/>
      <c r="V889" s="666"/>
      <c r="W889" s="662"/>
      <c r="X889" s="662"/>
      <c r="Y889" s="662"/>
      <c r="Z889" s="662"/>
    </row>
    <row r="890">
      <c r="A890" s="662"/>
      <c r="B890" s="664"/>
      <c r="C890" s="795"/>
      <c r="D890" s="796"/>
      <c r="E890" s="681"/>
      <c r="F890" s="797"/>
      <c r="G890" s="797"/>
      <c r="H890" s="797"/>
      <c r="I890" s="797"/>
      <c r="J890" s="797"/>
      <c r="K890" s="797"/>
      <c r="L890" s="797"/>
      <c r="M890" s="797"/>
      <c r="N890" s="797"/>
      <c r="O890" s="797"/>
      <c r="P890" s="797"/>
      <c r="Q890" s="797"/>
      <c r="R890" s="662"/>
      <c r="S890" s="662"/>
      <c r="T890" s="662"/>
      <c r="U890" s="665"/>
      <c r="V890" s="666"/>
      <c r="W890" s="662"/>
      <c r="X890" s="662"/>
      <c r="Y890" s="662"/>
      <c r="Z890" s="662"/>
    </row>
    <row r="891">
      <c r="A891" s="662"/>
      <c r="B891" s="664"/>
      <c r="C891" s="795"/>
      <c r="D891" s="796"/>
      <c r="E891" s="681"/>
      <c r="F891" s="797"/>
      <c r="G891" s="797"/>
      <c r="H891" s="797"/>
      <c r="I891" s="797"/>
      <c r="J891" s="797"/>
      <c r="K891" s="797"/>
      <c r="L891" s="797"/>
      <c r="M891" s="797"/>
      <c r="N891" s="797"/>
      <c r="O891" s="797"/>
      <c r="P891" s="797"/>
      <c r="Q891" s="797"/>
      <c r="R891" s="662"/>
      <c r="S891" s="662"/>
      <c r="T891" s="662"/>
      <c r="U891" s="665"/>
      <c r="V891" s="666"/>
      <c r="W891" s="662"/>
      <c r="X891" s="662"/>
      <c r="Y891" s="662"/>
      <c r="Z891" s="662"/>
    </row>
    <row r="892">
      <c r="A892" s="662"/>
      <c r="B892" s="664"/>
      <c r="C892" s="795"/>
      <c r="D892" s="796"/>
      <c r="E892" s="681"/>
      <c r="F892" s="797"/>
      <c r="G892" s="797"/>
      <c r="H892" s="797"/>
      <c r="I892" s="797"/>
      <c r="J892" s="797"/>
      <c r="K892" s="797"/>
      <c r="L892" s="797"/>
      <c r="M892" s="797"/>
      <c r="N892" s="797"/>
      <c r="O892" s="797"/>
      <c r="P892" s="797"/>
      <c r="Q892" s="797"/>
      <c r="R892" s="662"/>
      <c r="S892" s="662"/>
      <c r="T892" s="662"/>
      <c r="U892" s="665"/>
      <c r="V892" s="666"/>
      <c r="W892" s="662"/>
      <c r="X892" s="662"/>
      <c r="Y892" s="662"/>
      <c r="Z892" s="662"/>
    </row>
    <row r="893">
      <c r="A893" s="662"/>
      <c r="B893" s="664"/>
      <c r="C893" s="795"/>
      <c r="D893" s="796"/>
      <c r="E893" s="681"/>
      <c r="F893" s="797"/>
      <c r="G893" s="797"/>
      <c r="H893" s="797"/>
      <c r="I893" s="797"/>
      <c r="J893" s="797"/>
      <c r="K893" s="797"/>
      <c r="L893" s="797"/>
      <c r="M893" s="797"/>
      <c r="N893" s="797"/>
      <c r="O893" s="797"/>
      <c r="P893" s="797"/>
      <c r="Q893" s="797"/>
      <c r="R893" s="662"/>
      <c r="S893" s="662"/>
      <c r="T893" s="662"/>
      <c r="U893" s="665"/>
      <c r="V893" s="666"/>
      <c r="W893" s="662"/>
      <c r="X893" s="662"/>
      <c r="Y893" s="662"/>
      <c r="Z893" s="662"/>
    </row>
    <row r="894">
      <c r="A894" s="662"/>
      <c r="B894" s="664"/>
      <c r="C894" s="795"/>
      <c r="D894" s="796"/>
      <c r="E894" s="681"/>
      <c r="F894" s="797"/>
      <c r="G894" s="797"/>
      <c r="H894" s="797"/>
      <c r="I894" s="797"/>
      <c r="J894" s="797"/>
      <c r="K894" s="797"/>
      <c r="L894" s="797"/>
      <c r="M894" s="797"/>
      <c r="N894" s="797"/>
      <c r="O894" s="797"/>
      <c r="P894" s="797"/>
      <c r="Q894" s="797"/>
      <c r="R894" s="662"/>
      <c r="S894" s="662"/>
      <c r="T894" s="662"/>
      <c r="U894" s="665"/>
      <c r="V894" s="666"/>
      <c r="W894" s="662"/>
      <c r="X894" s="662"/>
      <c r="Y894" s="662"/>
      <c r="Z894" s="662"/>
    </row>
    <row r="895">
      <c r="A895" s="662"/>
      <c r="B895" s="664"/>
      <c r="C895" s="795"/>
      <c r="D895" s="796"/>
      <c r="E895" s="681"/>
      <c r="F895" s="797"/>
      <c r="G895" s="797"/>
      <c r="H895" s="797"/>
      <c r="I895" s="797"/>
      <c r="J895" s="797"/>
      <c r="K895" s="797"/>
      <c r="L895" s="797"/>
      <c r="M895" s="797"/>
      <c r="N895" s="797"/>
      <c r="O895" s="797"/>
      <c r="P895" s="797"/>
      <c r="Q895" s="797"/>
      <c r="R895" s="662"/>
      <c r="S895" s="662"/>
      <c r="T895" s="662"/>
      <c r="U895" s="665"/>
      <c r="V895" s="666"/>
      <c r="W895" s="662"/>
      <c r="X895" s="662"/>
      <c r="Y895" s="662"/>
      <c r="Z895" s="662"/>
    </row>
    <row r="896">
      <c r="A896" s="662"/>
      <c r="B896" s="664"/>
      <c r="C896" s="795"/>
      <c r="D896" s="796"/>
      <c r="E896" s="681"/>
      <c r="F896" s="797"/>
      <c r="G896" s="797"/>
      <c r="H896" s="797"/>
      <c r="I896" s="797"/>
      <c r="J896" s="797"/>
      <c r="K896" s="797"/>
      <c r="L896" s="797"/>
      <c r="M896" s="797"/>
      <c r="N896" s="797"/>
      <c r="O896" s="797"/>
      <c r="P896" s="797"/>
      <c r="Q896" s="797"/>
      <c r="R896" s="662"/>
      <c r="S896" s="662"/>
      <c r="T896" s="662"/>
      <c r="U896" s="665"/>
      <c r="V896" s="666"/>
      <c r="W896" s="662"/>
      <c r="X896" s="662"/>
      <c r="Y896" s="662"/>
      <c r="Z896" s="662"/>
    </row>
    <row r="897">
      <c r="A897" s="662"/>
      <c r="B897" s="664"/>
      <c r="C897" s="795"/>
      <c r="D897" s="796"/>
      <c r="E897" s="681"/>
      <c r="F897" s="797"/>
      <c r="G897" s="797"/>
      <c r="H897" s="797"/>
      <c r="I897" s="797"/>
      <c r="J897" s="797"/>
      <c r="K897" s="797"/>
      <c r="L897" s="797"/>
      <c r="M897" s="797"/>
      <c r="N897" s="797"/>
      <c r="O897" s="797"/>
      <c r="P897" s="797"/>
      <c r="Q897" s="797"/>
      <c r="R897" s="662"/>
      <c r="S897" s="662"/>
      <c r="T897" s="662"/>
      <c r="U897" s="665"/>
      <c r="V897" s="666"/>
      <c r="W897" s="662"/>
      <c r="X897" s="662"/>
      <c r="Y897" s="662"/>
      <c r="Z897" s="662"/>
    </row>
    <row r="898">
      <c r="A898" s="662"/>
      <c r="B898" s="664"/>
      <c r="C898" s="795"/>
      <c r="D898" s="796"/>
      <c r="E898" s="681"/>
      <c r="F898" s="797"/>
      <c r="G898" s="797"/>
      <c r="H898" s="797"/>
      <c r="I898" s="797"/>
      <c r="J898" s="797"/>
      <c r="K898" s="797"/>
      <c r="L898" s="797"/>
      <c r="M898" s="797"/>
      <c r="N898" s="797"/>
      <c r="O898" s="797"/>
      <c r="P898" s="797"/>
      <c r="Q898" s="797"/>
      <c r="R898" s="662"/>
      <c r="S898" s="662"/>
      <c r="T898" s="662"/>
      <c r="U898" s="665"/>
      <c r="V898" s="666"/>
      <c r="W898" s="662"/>
      <c r="X898" s="662"/>
      <c r="Y898" s="662"/>
      <c r="Z898" s="662"/>
    </row>
    <row r="899">
      <c r="A899" s="662"/>
      <c r="B899" s="664"/>
      <c r="C899" s="795"/>
      <c r="D899" s="796"/>
      <c r="E899" s="681"/>
      <c r="F899" s="797"/>
      <c r="G899" s="797"/>
      <c r="H899" s="797"/>
      <c r="I899" s="797"/>
      <c r="J899" s="797"/>
      <c r="K899" s="797"/>
      <c r="L899" s="797"/>
      <c r="M899" s="797"/>
      <c r="N899" s="797"/>
      <c r="O899" s="797"/>
      <c r="P899" s="797"/>
      <c r="Q899" s="797"/>
      <c r="R899" s="662"/>
      <c r="S899" s="662"/>
      <c r="T899" s="662"/>
      <c r="U899" s="665"/>
      <c r="V899" s="666"/>
      <c r="W899" s="662"/>
      <c r="X899" s="662"/>
      <c r="Y899" s="662"/>
      <c r="Z899" s="662"/>
    </row>
    <row r="900">
      <c r="A900" s="662"/>
      <c r="B900" s="664"/>
      <c r="C900" s="795"/>
      <c r="D900" s="796"/>
      <c r="E900" s="681"/>
      <c r="F900" s="797"/>
      <c r="G900" s="797"/>
      <c r="H900" s="797"/>
      <c r="I900" s="797"/>
      <c r="J900" s="797"/>
      <c r="K900" s="797"/>
      <c r="L900" s="797"/>
      <c r="M900" s="797"/>
      <c r="N900" s="797"/>
      <c r="O900" s="797"/>
      <c r="P900" s="797"/>
      <c r="Q900" s="797"/>
      <c r="R900" s="662"/>
      <c r="S900" s="662"/>
      <c r="T900" s="662"/>
      <c r="U900" s="665"/>
      <c r="V900" s="666"/>
      <c r="W900" s="662"/>
      <c r="X900" s="662"/>
      <c r="Y900" s="662"/>
      <c r="Z900" s="662"/>
    </row>
    <row r="901">
      <c r="A901" s="662"/>
      <c r="B901" s="664"/>
      <c r="C901" s="795"/>
      <c r="D901" s="796"/>
      <c r="E901" s="681"/>
      <c r="F901" s="797"/>
      <c r="G901" s="797"/>
      <c r="H901" s="797"/>
      <c r="I901" s="797"/>
      <c r="J901" s="797"/>
      <c r="K901" s="797"/>
      <c r="L901" s="797"/>
      <c r="M901" s="797"/>
      <c r="N901" s="797"/>
      <c r="O901" s="797"/>
      <c r="P901" s="797"/>
      <c r="Q901" s="797"/>
      <c r="R901" s="662"/>
      <c r="S901" s="662"/>
      <c r="T901" s="662"/>
      <c r="U901" s="665"/>
      <c r="V901" s="666"/>
      <c r="W901" s="662"/>
      <c r="X901" s="662"/>
      <c r="Y901" s="662"/>
      <c r="Z901" s="662"/>
    </row>
    <row r="902">
      <c r="A902" s="662"/>
      <c r="B902" s="664"/>
      <c r="C902" s="795"/>
      <c r="D902" s="796"/>
      <c r="E902" s="681"/>
      <c r="F902" s="797"/>
      <c r="G902" s="797"/>
      <c r="H902" s="797"/>
      <c r="I902" s="797"/>
      <c r="J902" s="797"/>
      <c r="K902" s="797"/>
      <c r="L902" s="797"/>
      <c r="M902" s="797"/>
      <c r="N902" s="797"/>
      <c r="O902" s="797"/>
      <c r="P902" s="797"/>
      <c r="Q902" s="797"/>
      <c r="R902" s="662"/>
      <c r="S902" s="662"/>
      <c r="T902" s="662"/>
      <c r="U902" s="665"/>
      <c r="V902" s="666"/>
      <c r="W902" s="662"/>
      <c r="X902" s="662"/>
      <c r="Y902" s="662"/>
      <c r="Z902" s="662"/>
    </row>
    <row r="903">
      <c r="A903" s="662"/>
      <c r="B903" s="664"/>
      <c r="C903" s="795"/>
      <c r="D903" s="796"/>
      <c r="E903" s="681"/>
      <c r="F903" s="797"/>
      <c r="G903" s="797"/>
      <c r="H903" s="797"/>
      <c r="I903" s="797"/>
      <c r="J903" s="797"/>
      <c r="K903" s="797"/>
      <c r="L903" s="797"/>
      <c r="M903" s="797"/>
      <c r="N903" s="797"/>
      <c r="O903" s="797"/>
      <c r="P903" s="797"/>
      <c r="Q903" s="797"/>
      <c r="R903" s="662"/>
      <c r="S903" s="662"/>
      <c r="T903" s="662"/>
      <c r="U903" s="665"/>
      <c r="V903" s="666"/>
      <c r="W903" s="662"/>
      <c r="X903" s="662"/>
      <c r="Y903" s="662"/>
      <c r="Z903" s="662"/>
    </row>
    <row r="904">
      <c r="A904" s="662"/>
      <c r="B904" s="664"/>
      <c r="C904" s="795"/>
      <c r="D904" s="796"/>
      <c r="E904" s="681"/>
      <c r="F904" s="797"/>
      <c r="G904" s="797"/>
      <c r="H904" s="797"/>
      <c r="I904" s="797"/>
      <c r="J904" s="797"/>
      <c r="K904" s="797"/>
      <c r="L904" s="797"/>
      <c r="M904" s="797"/>
      <c r="N904" s="797"/>
      <c r="O904" s="797"/>
      <c r="P904" s="797"/>
      <c r="Q904" s="797"/>
      <c r="R904" s="662"/>
      <c r="S904" s="662"/>
      <c r="T904" s="662"/>
      <c r="U904" s="665"/>
      <c r="V904" s="666"/>
      <c r="W904" s="662"/>
      <c r="X904" s="662"/>
      <c r="Y904" s="662"/>
      <c r="Z904" s="662"/>
    </row>
    <row r="905">
      <c r="A905" s="662"/>
      <c r="B905" s="664"/>
      <c r="C905" s="795"/>
      <c r="D905" s="796"/>
      <c r="E905" s="681"/>
      <c r="F905" s="797"/>
      <c r="G905" s="797"/>
      <c r="H905" s="797"/>
      <c r="I905" s="797"/>
      <c r="J905" s="797"/>
      <c r="K905" s="797"/>
      <c r="L905" s="797"/>
      <c r="M905" s="797"/>
      <c r="N905" s="797"/>
      <c r="O905" s="797"/>
      <c r="P905" s="797"/>
      <c r="Q905" s="797"/>
      <c r="R905" s="662"/>
      <c r="S905" s="662"/>
      <c r="T905" s="662"/>
      <c r="U905" s="665"/>
      <c r="V905" s="666"/>
      <c r="W905" s="662"/>
      <c r="X905" s="662"/>
      <c r="Y905" s="662"/>
      <c r="Z905" s="662"/>
    </row>
    <row r="906">
      <c r="A906" s="662"/>
      <c r="B906" s="664"/>
      <c r="C906" s="795"/>
      <c r="D906" s="796"/>
      <c r="E906" s="681"/>
      <c r="F906" s="797"/>
      <c r="G906" s="797"/>
      <c r="H906" s="797"/>
      <c r="I906" s="797"/>
      <c r="J906" s="797"/>
      <c r="K906" s="797"/>
      <c r="L906" s="797"/>
      <c r="M906" s="797"/>
      <c r="N906" s="797"/>
      <c r="O906" s="797"/>
      <c r="P906" s="797"/>
      <c r="Q906" s="797"/>
      <c r="R906" s="662"/>
      <c r="S906" s="662"/>
      <c r="T906" s="662"/>
      <c r="U906" s="665"/>
      <c r="V906" s="666"/>
      <c r="W906" s="662"/>
      <c r="X906" s="662"/>
      <c r="Y906" s="662"/>
      <c r="Z906" s="662"/>
    </row>
    <row r="907">
      <c r="A907" s="662"/>
      <c r="B907" s="664"/>
      <c r="C907" s="795"/>
      <c r="D907" s="796"/>
      <c r="E907" s="681"/>
      <c r="F907" s="797"/>
      <c r="G907" s="797"/>
      <c r="H907" s="797"/>
      <c r="I907" s="797"/>
      <c r="J907" s="797"/>
      <c r="K907" s="797"/>
      <c r="L907" s="797"/>
      <c r="M907" s="797"/>
      <c r="N907" s="797"/>
      <c r="O907" s="797"/>
      <c r="P907" s="797"/>
      <c r="Q907" s="797"/>
      <c r="R907" s="662"/>
      <c r="S907" s="662"/>
      <c r="T907" s="662"/>
      <c r="U907" s="665"/>
      <c r="V907" s="666"/>
      <c r="W907" s="662"/>
      <c r="X907" s="662"/>
      <c r="Y907" s="662"/>
      <c r="Z907" s="662"/>
    </row>
    <row r="908">
      <c r="A908" s="662"/>
      <c r="B908" s="664"/>
      <c r="C908" s="795"/>
      <c r="D908" s="796"/>
      <c r="E908" s="681"/>
      <c r="F908" s="797"/>
      <c r="G908" s="797"/>
      <c r="H908" s="797"/>
      <c r="I908" s="797"/>
      <c r="J908" s="797"/>
      <c r="K908" s="797"/>
      <c r="L908" s="797"/>
      <c r="M908" s="797"/>
      <c r="N908" s="797"/>
      <c r="O908" s="797"/>
      <c r="P908" s="797"/>
      <c r="Q908" s="797"/>
      <c r="R908" s="662"/>
      <c r="S908" s="662"/>
      <c r="T908" s="662"/>
      <c r="U908" s="665"/>
      <c r="V908" s="666"/>
      <c r="W908" s="662"/>
      <c r="X908" s="662"/>
      <c r="Y908" s="662"/>
      <c r="Z908" s="662"/>
    </row>
    <row r="909">
      <c r="A909" s="662"/>
      <c r="B909" s="664"/>
      <c r="C909" s="795"/>
      <c r="D909" s="796"/>
      <c r="E909" s="681"/>
      <c r="F909" s="797"/>
      <c r="G909" s="797"/>
      <c r="H909" s="797"/>
      <c r="I909" s="797"/>
      <c r="J909" s="797"/>
      <c r="K909" s="797"/>
      <c r="L909" s="797"/>
      <c r="M909" s="797"/>
      <c r="N909" s="797"/>
      <c r="O909" s="797"/>
      <c r="P909" s="797"/>
      <c r="Q909" s="797"/>
      <c r="R909" s="662"/>
      <c r="S909" s="662"/>
      <c r="T909" s="662"/>
      <c r="U909" s="665"/>
      <c r="V909" s="666"/>
      <c r="W909" s="662"/>
      <c r="X909" s="662"/>
      <c r="Y909" s="662"/>
      <c r="Z909" s="662"/>
    </row>
    <row r="910">
      <c r="A910" s="662"/>
      <c r="B910" s="664"/>
      <c r="C910" s="795"/>
      <c r="D910" s="796"/>
      <c r="E910" s="681"/>
      <c r="F910" s="797"/>
      <c r="G910" s="797"/>
      <c r="H910" s="797"/>
      <c r="I910" s="797"/>
      <c r="J910" s="797"/>
      <c r="K910" s="797"/>
      <c r="L910" s="797"/>
      <c r="M910" s="797"/>
      <c r="N910" s="797"/>
      <c r="O910" s="797"/>
      <c r="P910" s="797"/>
      <c r="Q910" s="797"/>
      <c r="R910" s="662"/>
      <c r="S910" s="662"/>
      <c r="T910" s="662"/>
      <c r="U910" s="665"/>
      <c r="V910" s="666"/>
      <c r="W910" s="662"/>
      <c r="X910" s="662"/>
      <c r="Y910" s="662"/>
      <c r="Z910" s="662"/>
    </row>
    <row r="911">
      <c r="A911" s="662"/>
      <c r="B911" s="664"/>
      <c r="C911" s="795"/>
      <c r="D911" s="796"/>
      <c r="E911" s="681"/>
      <c r="F911" s="797"/>
      <c r="G911" s="797"/>
      <c r="H911" s="797"/>
      <c r="I911" s="797"/>
      <c r="J911" s="797"/>
      <c r="K911" s="797"/>
      <c r="L911" s="797"/>
      <c r="M911" s="797"/>
      <c r="N911" s="797"/>
      <c r="O911" s="797"/>
      <c r="P911" s="797"/>
      <c r="Q911" s="797"/>
      <c r="R911" s="662"/>
      <c r="S911" s="662"/>
      <c r="T911" s="662"/>
      <c r="U911" s="665"/>
      <c r="V911" s="666"/>
      <c r="W911" s="662"/>
      <c r="X911" s="662"/>
      <c r="Y911" s="662"/>
      <c r="Z911" s="662"/>
    </row>
    <row r="912">
      <c r="A912" s="662"/>
      <c r="B912" s="664"/>
      <c r="C912" s="795"/>
      <c r="D912" s="796"/>
      <c r="E912" s="681"/>
      <c r="F912" s="797"/>
      <c r="G912" s="797"/>
      <c r="H912" s="797"/>
      <c r="I912" s="797"/>
      <c r="J912" s="797"/>
      <c r="K912" s="797"/>
      <c r="L912" s="797"/>
      <c r="M912" s="797"/>
      <c r="N912" s="797"/>
      <c r="O912" s="797"/>
      <c r="P912" s="797"/>
      <c r="Q912" s="797"/>
      <c r="R912" s="662"/>
      <c r="S912" s="662"/>
      <c r="T912" s="662"/>
      <c r="U912" s="665"/>
      <c r="V912" s="666"/>
      <c r="W912" s="662"/>
      <c r="X912" s="662"/>
      <c r="Y912" s="662"/>
      <c r="Z912" s="662"/>
    </row>
    <row r="913">
      <c r="A913" s="662"/>
      <c r="B913" s="664"/>
      <c r="C913" s="795"/>
      <c r="D913" s="796"/>
      <c r="E913" s="681"/>
      <c r="F913" s="797"/>
      <c r="G913" s="797"/>
      <c r="H913" s="797"/>
      <c r="I913" s="797"/>
      <c r="J913" s="797"/>
      <c r="K913" s="797"/>
      <c r="L913" s="797"/>
      <c r="M913" s="797"/>
      <c r="N913" s="797"/>
      <c r="O913" s="797"/>
      <c r="P913" s="797"/>
      <c r="Q913" s="797"/>
      <c r="R913" s="662"/>
      <c r="S913" s="662"/>
      <c r="T913" s="662"/>
      <c r="U913" s="665"/>
      <c r="V913" s="666"/>
      <c r="W913" s="662"/>
      <c r="X913" s="662"/>
      <c r="Y913" s="662"/>
      <c r="Z913" s="662"/>
    </row>
    <row r="914">
      <c r="A914" s="662"/>
      <c r="B914" s="664"/>
      <c r="C914" s="795"/>
      <c r="D914" s="796"/>
      <c r="E914" s="681"/>
      <c r="F914" s="797"/>
      <c r="G914" s="797"/>
      <c r="H914" s="797"/>
      <c r="I914" s="797"/>
      <c r="J914" s="797"/>
      <c r="K914" s="797"/>
      <c r="L914" s="797"/>
      <c r="M914" s="797"/>
      <c r="N914" s="797"/>
      <c r="O914" s="797"/>
      <c r="P914" s="797"/>
      <c r="Q914" s="797"/>
      <c r="R914" s="662"/>
      <c r="S914" s="662"/>
      <c r="T914" s="662"/>
      <c r="U914" s="665"/>
      <c r="V914" s="666"/>
      <c r="W914" s="662"/>
      <c r="X914" s="662"/>
      <c r="Y914" s="662"/>
      <c r="Z914" s="662"/>
    </row>
    <row r="915">
      <c r="A915" s="662"/>
      <c r="B915" s="664"/>
      <c r="C915" s="795"/>
      <c r="D915" s="796"/>
      <c r="E915" s="681"/>
      <c r="F915" s="797"/>
      <c r="G915" s="797"/>
      <c r="H915" s="797"/>
      <c r="I915" s="797"/>
      <c r="J915" s="797"/>
      <c r="K915" s="797"/>
      <c r="L915" s="797"/>
      <c r="M915" s="797"/>
      <c r="N915" s="797"/>
      <c r="O915" s="797"/>
      <c r="P915" s="797"/>
      <c r="Q915" s="797"/>
      <c r="R915" s="662"/>
      <c r="S915" s="662"/>
      <c r="T915" s="662"/>
      <c r="U915" s="665"/>
      <c r="V915" s="666"/>
      <c r="W915" s="662"/>
      <c r="X915" s="662"/>
      <c r="Y915" s="662"/>
      <c r="Z915" s="662"/>
    </row>
    <row r="916">
      <c r="A916" s="662"/>
      <c r="B916" s="664"/>
      <c r="C916" s="795"/>
      <c r="D916" s="796"/>
      <c r="E916" s="681"/>
      <c r="F916" s="797"/>
      <c r="G916" s="797"/>
      <c r="H916" s="797"/>
      <c r="I916" s="797"/>
      <c r="J916" s="797"/>
      <c r="K916" s="797"/>
      <c r="L916" s="797"/>
      <c r="M916" s="797"/>
      <c r="N916" s="797"/>
      <c r="O916" s="797"/>
      <c r="P916" s="797"/>
      <c r="Q916" s="797"/>
      <c r="R916" s="662"/>
      <c r="S916" s="662"/>
      <c r="T916" s="662"/>
      <c r="U916" s="665"/>
      <c r="V916" s="666"/>
      <c r="W916" s="662"/>
      <c r="X916" s="662"/>
      <c r="Y916" s="662"/>
      <c r="Z916" s="662"/>
    </row>
    <row r="917">
      <c r="A917" s="662"/>
      <c r="B917" s="664"/>
      <c r="C917" s="795"/>
      <c r="D917" s="796"/>
      <c r="E917" s="681"/>
      <c r="F917" s="797"/>
      <c r="G917" s="797"/>
      <c r="H917" s="797"/>
      <c r="I917" s="797"/>
      <c r="J917" s="797"/>
      <c r="K917" s="797"/>
      <c r="L917" s="797"/>
      <c r="M917" s="797"/>
      <c r="N917" s="797"/>
      <c r="O917" s="797"/>
      <c r="P917" s="797"/>
      <c r="Q917" s="797"/>
      <c r="R917" s="662"/>
      <c r="S917" s="662"/>
      <c r="T917" s="662"/>
      <c r="U917" s="665"/>
      <c r="V917" s="666"/>
      <c r="W917" s="662"/>
      <c r="X917" s="662"/>
      <c r="Y917" s="662"/>
      <c r="Z917" s="662"/>
    </row>
    <row r="918">
      <c r="A918" s="662"/>
      <c r="B918" s="664"/>
      <c r="C918" s="795"/>
      <c r="D918" s="796"/>
      <c r="E918" s="681"/>
      <c r="F918" s="797"/>
      <c r="G918" s="797"/>
      <c r="H918" s="797"/>
      <c r="I918" s="797"/>
      <c r="J918" s="797"/>
      <c r="K918" s="797"/>
      <c r="L918" s="797"/>
      <c r="M918" s="797"/>
      <c r="N918" s="797"/>
      <c r="O918" s="797"/>
      <c r="P918" s="797"/>
      <c r="Q918" s="797"/>
      <c r="R918" s="662"/>
      <c r="S918" s="662"/>
      <c r="T918" s="662"/>
      <c r="U918" s="665"/>
      <c r="V918" s="666"/>
      <c r="W918" s="662"/>
      <c r="X918" s="662"/>
      <c r="Y918" s="662"/>
      <c r="Z918" s="662"/>
    </row>
    <row r="919">
      <c r="A919" s="662"/>
      <c r="B919" s="664"/>
      <c r="C919" s="795"/>
      <c r="D919" s="796"/>
      <c r="E919" s="681"/>
      <c r="F919" s="797"/>
      <c r="G919" s="797"/>
      <c r="H919" s="797"/>
      <c r="I919" s="797"/>
      <c r="J919" s="797"/>
      <c r="K919" s="797"/>
      <c r="L919" s="797"/>
      <c r="M919" s="797"/>
      <c r="N919" s="797"/>
      <c r="O919" s="797"/>
      <c r="P919" s="797"/>
      <c r="Q919" s="797"/>
      <c r="R919" s="662"/>
      <c r="S919" s="662"/>
      <c r="T919" s="662"/>
      <c r="U919" s="665"/>
      <c r="V919" s="666"/>
      <c r="W919" s="662"/>
      <c r="X919" s="662"/>
      <c r="Y919" s="662"/>
      <c r="Z919" s="662"/>
    </row>
    <row r="920">
      <c r="A920" s="662"/>
      <c r="B920" s="664"/>
      <c r="C920" s="795"/>
      <c r="D920" s="796"/>
      <c r="E920" s="681"/>
      <c r="F920" s="797"/>
      <c r="G920" s="797"/>
      <c r="H920" s="797"/>
      <c r="I920" s="797"/>
      <c r="J920" s="797"/>
      <c r="K920" s="797"/>
      <c r="L920" s="797"/>
      <c r="M920" s="797"/>
      <c r="N920" s="797"/>
      <c r="O920" s="797"/>
      <c r="P920" s="797"/>
      <c r="Q920" s="797"/>
      <c r="R920" s="662"/>
      <c r="S920" s="662"/>
      <c r="T920" s="662"/>
      <c r="U920" s="665"/>
      <c r="V920" s="666"/>
      <c r="W920" s="662"/>
      <c r="X920" s="662"/>
      <c r="Y920" s="662"/>
      <c r="Z920" s="662"/>
    </row>
    <row r="921">
      <c r="A921" s="662"/>
      <c r="B921" s="664"/>
      <c r="C921" s="795"/>
      <c r="D921" s="796"/>
      <c r="E921" s="681"/>
      <c r="F921" s="797"/>
      <c r="G921" s="797"/>
      <c r="H921" s="797"/>
      <c r="I921" s="797"/>
      <c r="J921" s="797"/>
      <c r="K921" s="797"/>
      <c r="L921" s="797"/>
      <c r="M921" s="797"/>
      <c r="N921" s="797"/>
      <c r="O921" s="797"/>
      <c r="P921" s="797"/>
      <c r="Q921" s="797"/>
      <c r="R921" s="662"/>
      <c r="S921" s="662"/>
      <c r="T921" s="662"/>
      <c r="U921" s="665"/>
      <c r="V921" s="666"/>
      <c r="W921" s="662"/>
      <c r="X921" s="662"/>
      <c r="Y921" s="662"/>
      <c r="Z921" s="662"/>
    </row>
    <row r="922">
      <c r="A922" s="662"/>
      <c r="B922" s="664"/>
      <c r="C922" s="795"/>
      <c r="D922" s="796"/>
      <c r="E922" s="681"/>
      <c r="F922" s="797"/>
      <c r="G922" s="797"/>
      <c r="H922" s="797"/>
      <c r="I922" s="797"/>
      <c r="J922" s="797"/>
      <c r="K922" s="797"/>
      <c r="L922" s="797"/>
      <c r="M922" s="797"/>
      <c r="N922" s="797"/>
      <c r="O922" s="797"/>
      <c r="P922" s="797"/>
      <c r="Q922" s="797"/>
      <c r="R922" s="662"/>
      <c r="S922" s="662"/>
      <c r="T922" s="662"/>
      <c r="U922" s="665"/>
      <c r="V922" s="666"/>
      <c r="W922" s="662"/>
      <c r="X922" s="662"/>
      <c r="Y922" s="662"/>
      <c r="Z922" s="662"/>
    </row>
    <row r="923">
      <c r="A923" s="662"/>
      <c r="B923" s="664"/>
      <c r="C923" s="795"/>
      <c r="D923" s="796"/>
      <c r="E923" s="681"/>
      <c r="F923" s="797"/>
      <c r="G923" s="797"/>
      <c r="H923" s="797"/>
      <c r="I923" s="797"/>
      <c r="J923" s="797"/>
      <c r="K923" s="797"/>
      <c r="L923" s="797"/>
      <c r="M923" s="797"/>
      <c r="N923" s="797"/>
      <c r="O923" s="797"/>
      <c r="P923" s="797"/>
      <c r="Q923" s="797"/>
      <c r="R923" s="662"/>
      <c r="S923" s="662"/>
      <c r="T923" s="662"/>
      <c r="U923" s="665"/>
      <c r="V923" s="666"/>
      <c r="W923" s="662"/>
      <c r="X923" s="662"/>
      <c r="Y923" s="662"/>
      <c r="Z923" s="662"/>
    </row>
    <row r="924">
      <c r="A924" s="662"/>
      <c r="B924" s="664"/>
      <c r="C924" s="795"/>
      <c r="D924" s="796"/>
      <c r="E924" s="681"/>
      <c r="F924" s="797"/>
      <c r="G924" s="797"/>
      <c r="H924" s="797"/>
      <c r="I924" s="797"/>
      <c r="J924" s="797"/>
      <c r="K924" s="797"/>
      <c r="L924" s="797"/>
      <c r="M924" s="797"/>
      <c r="N924" s="797"/>
      <c r="O924" s="797"/>
      <c r="P924" s="797"/>
      <c r="Q924" s="797"/>
      <c r="R924" s="662"/>
      <c r="S924" s="662"/>
      <c r="T924" s="662"/>
      <c r="U924" s="665"/>
      <c r="V924" s="666"/>
      <c r="W924" s="662"/>
      <c r="X924" s="662"/>
      <c r="Y924" s="662"/>
      <c r="Z924" s="662"/>
    </row>
    <row r="925">
      <c r="A925" s="662"/>
      <c r="B925" s="664"/>
      <c r="C925" s="795"/>
      <c r="D925" s="796"/>
      <c r="E925" s="681"/>
      <c r="F925" s="797"/>
      <c r="G925" s="797"/>
      <c r="H925" s="797"/>
      <c r="I925" s="797"/>
      <c r="J925" s="797"/>
      <c r="K925" s="797"/>
      <c r="L925" s="797"/>
      <c r="M925" s="797"/>
      <c r="N925" s="797"/>
      <c r="O925" s="797"/>
      <c r="P925" s="797"/>
      <c r="Q925" s="797"/>
      <c r="R925" s="662"/>
      <c r="S925" s="662"/>
      <c r="T925" s="662"/>
      <c r="U925" s="665"/>
      <c r="V925" s="666"/>
      <c r="W925" s="662"/>
      <c r="X925" s="662"/>
      <c r="Y925" s="662"/>
      <c r="Z925" s="662"/>
    </row>
    <row r="926">
      <c r="A926" s="662"/>
      <c r="B926" s="664"/>
      <c r="C926" s="795"/>
      <c r="D926" s="796"/>
      <c r="E926" s="681"/>
      <c r="F926" s="797"/>
      <c r="G926" s="797"/>
      <c r="H926" s="797"/>
      <c r="I926" s="797"/>
      <c r="J926" s="797"/>
      <c r="K926" s="797"/>
      <c r="L926" s="797"/>
      <c r="M926" s="797"/>
      <c r="N926" s="797"/>
      <c r="O926" s="797"/>
      <c r="P926" s="797"/>
      <c r="Q926" s="797"/>
      <c r="R926" s="662"/>
      <c r="S926" s="662"/>
      <c r="T926" s="662"/>
      <c r="U926" s="665"/>
      <c r="V926" s="666"/>
      <c r="W926" s="662"/>
      <c r="X926" s="662"/>
      <c r="Y926" s="662"/>
      <c r="Z926" s="662"/>
    </row>
    <row r="927">
      <c r="A927" s="662"/>
      <c r="B927" s="664"/>
      <c r="C927" s="795"/>
      <c r="D927" s="796"/>
      <c r="E927" s="681"/>
      <c r="F927" s="797"/>
      <c r="G927" s="797"/>
      <c r="H927" s="797"/>
      <c r="I927" s="797"/>
      <c r="J927" s="797"/>
      <c r="K927" s="797"/>
      <c r="L927" s="797"/>
      <c r="M927" s="797"/>
      <c r="N927" s="797"/>
      <c r="O927" s="797"/>
      <c r="P927" s="797"/>
      <c r="Q927" s="797"/>
      <c r="R927" s="662"/>
      <c r="S927" s="662"/>
      <c r="T927" s="662"/>
      <c r="U927" s="665"/>
      <c r="V927" s="666"/>
      <c r="W927" s="662"/>
      <c r="X927" s="662"/>
      <c r="Y927" s="662"/>
      <c r="Z927" s="662"/>
    </row>
    <row r="928">
      <c r="A928" s="662"/>
      <c r="B928" s="664"/>
      <c r="C928" s="795"/>
      <c r="D928" s="796"/>
      <c r="E928" s="681"/>
      <c r="F928" s="797"/>
      <c r="G928" s="797"/>
      <c r="H928" s="797"/>
      <c r="I928" s="797"/>
      <c r="J928" s="797"/>
      <c r="K928" s="797"/>
      <c r="L928" s="797"/>
      <c r="M928" s="797"/>
      <c r="N928" s="797"/>
      <c r="O928" s="797"/>
      <c r="P928" s="797"/>
      <c r="Q928" s="797"/>
      <c r="R928" s="662"/>
      <c r="S928" s="662"/>
      <c r="T928" s="662"/>
      <c r="U928" s="665"/>
      <c r="V928" s="666"/>
      <c r="W928" s="662"/>
      <c r="X928" s="662"/>
      <c r="Y928" s="662"/>
      <c r="Z928" s="662"/>
    </row>
    <row r="929">
      <c r="A929" s="662"/>
      <c r="B929" s="664"/>
      <c r="C929" s="795"/>
      <c r="D929" s="796"/>
      <c r="E929" s="681"/>
      <c r="F929" s="797"/>
      <c r="G929" s="797"/>
      <c r="H929" s="797"/>
      <c r="I929" s="797"/>
      <c r="J929" s="797"/>
      <c r="K929" s="797"/>
      <c r="L929" s="797"/>
      <c r="M929" s="797"/>
      <c r="N929" s="797"/>
      <c r="O929" s="797"/>
      <c r="P929" s="797"/>
      <c r="Q929" s="797"/>
      <c r="R929" s="662"/>
      <c r="S929" s="662"/>
      <c r="T929" s="662"/>
      <c r="U929" s="665"/>
      <c r="V929" s="666"/>
      <c r="W929" s="662"/>
      <c r="X929" s="662"/>
      <c r="Y929" s="662"/>
      <c r="Z929" s="662"/>
    </row>
    <row r="930">
      <c r="A930" s="662"/>
      <c r="B930" s="664"/>
      <c r="C930" s="795"/>
      <c r="D930" s="796"/>
      <c r="E930" s="681"/>
      <c r="F930" s="797"/>
      <c r="G930" s="797"/>
      <c r="H930" s="797"/>
      <c r="I930" s="797"/>
      <c r="J930" s="797"/>
      <c r="K930" s="797"/>
      <c r="L930" s="797"/>
      <c r="M930" s="797"/>
      <c r="N930" s="797"/>
      <c r="O930" s="797"/>
      <c r="P930" s="797"/>
      <c r="Q930" s="797"/>
      <c r="R930" s="662"/>
      <c r="S930" s="662"/>
      <c r="T930" s="662"/>
      <c r="U930" s="665"/>
      <c r="V930" s="666"/>
      <c r="W930" s="662"/>
      <c r="X930" s="662"/>
      <c r="Y930" s="662"/>
      <c r="Z930" s="662"/>
    </row>
    <row r="931">
      <c r="A931" s="662"/>
      <c r="B931" s="664"/>
      <c r="C931" s="795"/>
      <c r="D931" s="796"/>
      <c r="E931" s="681"/>
      <c r="F931" s="797"/>
      <c r="G931" s="797"/>
      <c r="H931" s="797"/>
      <c r="I931" s="797"/>
      <c r="J931" s="797"/>
      <c r="K931" s="797"/>
      <c r="L931" s="797"/>
      <c r="M931" s="797"/>
      <c r="N931" s="797"/>
      <c r="O931" s="797"/>
      <c r="P931" s="797"/>
      <c r="Q931" s="797"/>
      <c r="R931" s="662"/>
      <c r="S931" s="662"/>
      <c r="T931" s="662"/>
      <c r="U931" s="665"/>
      <c r="V931" s="666"/>
      <c r="W931" s="662"/>
      <c r="X931" s="662"/>
      <c r="Y931" s="662"/>
      <c r="Z931" s="662"/>
    </row>
    <row r="932">
      <c r="A932" s="662"/>
      <c r="B932" s="664"/>
      <c r="C932" s="795"/>
      <c r="D932" s="796"/>
      <c r="E932" s="681"/>
      <c r="F932" s="797"/>
      <c r="G932" s="797"/>
      <c r="H932" s="797"/>
      <c r="I932" s="797"/>
      <c r="J932" s="797"/>
      <c r="K932" s="797"/>
      <c r="L932" s="797"/>
      <c r="M932" s="797"/>
      <c r="N932" s="797"/>
      <c r="O932" s="797"/>
      <c r="P932" s="797"/>
      <c r="Q932" s="797"/>
      <c r="R932" s="662"/>
      <c r="S932" s="662"/>
      <c r="T932" s="662"/>
      <c r="U932" s="665"/>
      <c r="V932" s="666"/>
      <c r="W932" s="662"/>
      <c r="X932" s="662"/>
      <c r="Y932" s="662"/>
      <c r="Z932" s="662"/>
    </row>
    <row r="933">
      <c r="A933" s="662"/>
      <c r="B933" s="664"/>
      <c r="C933" s="795"/>
      <c r="D933" s="796"/>
      <c r="E933" s="681"/>
      <c r="F933" s="797"/>
      <c r="G933" s="797"/>
      <c r="H933" s="797"/>
      <c r="I933" s="797"/>
      <c r="J933" s="797"/>
      <c r="K933" s="797"/>
      <c r="L933" s="797"/>
      <c r="M933" s="797"/>
      <c r="N933" s="797"/>
      <c r="O933" s="797"/>
      <c r="P933" s="797"/>
      <c r="Q933" s="797"/>
      <c r="R933" s="662"/>
      <c r="S933" s="662"/>
      <c r="T933" s="662"/>
      <c r="U933" s="665"/>
      <c r="V933" s="666"/>
      <c r="W933" s="662"/>
      <c r="X933" s="662"/>
      <c r="Y933" s="662"/>
      <c r="Z933" s="662"/>
    </row>
    <row r="934">
      <c r="A934" s="662"/>
      <c r="B934" s="664"/>
      <c r="C934" s="795"/>
      <c r="D934" s="796"/>
      <c r="E934" s="681"/>
      <c r="F934" s="797"/>
      <c r="G934" s="797"/>
      <c r="H934" s="797"/>
      <c r="I934" s="797"/>
      <c r="J934" s="797"/>
      <c r="K934" s="797"/>
      <c r="L934" s="797"/>
      <c r="M934" s="797"/>
      <c r="N934" s="797"/>
      <c r="O934" s="797"/>
      <c r="P934" s="797"/>
      <c r="Q934" s="797"/>
      <c r="R934" s="662"/>
      <c r="S934" s="662"/>
      <c r="T934" s="662"/>
      <c r="U934" s="665"/>
      <c r="V934" s="666"/>
      <c r="W934" s="662"/>
      <c r="X934" s="662"/>
      <c r="Y934" s="662"/>
      <c r="Z934" s="662"/>
    </row>
    <row r="935">
      <c r="A935" s="662"/>
      <c r="B935" s="664"/>
      <c r="C935" s="795"/>
      <c r="D935" s="796"/>
      <c r="E935" s="681"/>
      <c r="F935" s="797"/>
      <c r="G935" s="797"/>
      <c r="H935" s="797"/>
      <c r="I935" s="797"/>
      <c r="J935" s="797"/>
      <c r="K935" s="797"/>
      <c r="L935" s="797"/>
      <c r="M935" s="797"/>
      <c r="N935" s="797"/>
      <c r="O935" s="797"/>
      <c r="P935" s="797"/>
      <c r="Q935" s="797"/>
      <c r="R935" s="662"/>
      <c r="S935" s="662"/>
      <c r="T935" s="662"/>
      <c r="U935" s="665"/>
      <c r="V935" s="666"/>
      <c r="W935" s="662"/>
      <c r="X935" s="662"/>
      <c r="Y935" s="662"/>
      <c r="Z935" s="662"/>
    </row>
    <row r="936">
      <c r="A936" s="662"/>
      <c r="B936" s="664"/>
      <c r="C936" s="795"/>
      <c r="D936" s="796"/>
      <c r="E936" s="681"/>
      <c r="F936" s="797"/>
      <c r="G936" s="797"/>
      <c r="H936" s="797"/>
      <c r="I936" s="797"/>
      <c r="J936" s="797"/>
      <c r="K936" s="797"/>
      <c r="L936" s="797"/>
      <c r="M936" s="797"/>
      <c r="N936" s="797"/>
      <c r="O936" s="797"/>
      <c r="P936" s="797"/>
      <c r="Q936" s="797"/>
      <c r="R936" s="662"/>
      <c r="S936" s="662"/>
      <c r="T936" s="662"/>
      <c r="U936" s="665"/>
      <c r="V936" s="666"/>
      <c r="W936" s="662"/>
      <c r="X936" s="662"/>
      <c r="Y936" s="662"/>
      <c r="Z936" s="662"/>
    </row>
    <row r="937">
      <c r="A937" s="662"/>
      <c r="B937" s="664"/>
      <c r="C937" s="795"/>
      <c r="D937" s="796"/>
      <c r="E937" s="681"/>
      <c r="F937" s="797"/>
      <c r="G937" s="797"/>
      <c r="H937" s="797"/>
      <c r="I937" s="797"/>
      <c r="J937" s="797"/>
      <c r="K937" s="797"/>
      <c r="L937" s="797"/>
      <c r="M937" s="797"/>
      <c r="N937" s="797"/>
      <c r="O937" s="797"/>
      <c r="P937" s="797"/>
      <c r="Q937" s="797"/>
      <c r="R937" s="662"/>
      <c r="S937" s="662"/>
      <c r="T937" s="662"/>
      <c r="U937" s="665"/>
      <c r="V937" s="666"/>
      <c r="W937" s="662"/>
      <c r="X937" s="662"/>
      <c r="Y937" s="662"/>
      <c r="Z937" s="662"/>
    </row>
    <row r="938">
      <c r="A938" s="662"/>
      <c r="B938" s="664"/>
      <c r="C938" s="795"/>
      <c r="D938" s="796"/>
      <c r="E938" s="681"/>
      <c r="F938" s="797"/>
      <c r="G938" s="797"/>
      <c r="H938" s="797"/>
      <c r="I938" s="797"/>
      <c r="J938" s="797"/>
      <c r="K938" s="797"/>
      <c r="L938" s="797"/>
      <c r="M938" s="797"/>
      <c r="N938" s="797"/>
      <c r="O938" s="797"/>
      <c r="P938" s="797"/>
      <c r="Q938" s="797"/>
      <c r="R938" s="662"/>
      <c r="S938" s="662"/>
      <c r="T938" s="662"/>
      <c r="U938" s="665"/>
      <c r="V938" s="666"/>
      <c r="W938" s="662"/>
      <c r="X938" s="662"/>
      <c r="Y938" s="662"/>
      <c r="Z938" s="662"/>
    </row>
    <row r="939">
      <c r="A939" s="662"/>
      <c r="B939" s="664"/>
      <c r="C939" s="795"/>
      <c r="D939" s="796"/>
      <c r="E939" s="681"/>
      <c r="F939" s="797"/>
      <c r="G939" s="797"/>
      <c r="H939" s="797"/>
      <c r="I939" s="797"/>
      <c r="J939" s="797"/>
      <c r="K939" s="797"/>
      <c r="L939" s="797"/>
      <c r="M939" s="797"/>
      <c r="N939" s="797"/>
      <c r="O939" s="797"/>
      <c r="P939" s="797"/>
      <c r="Q939" s="797"/>
      <c r="R939" s="662"/>
      <c r="S939" s="662"/>
      <c r="T939" s="662"/>
      <c r="U939" s="665"/>
      <c r="V939" s="666"/>
      <c r="W939" s="662"/>
      <c r="X939" s="662"/>
      <c r="Y939" s="662"/>
      <c r="Z939" s="662"/>
    </row>
    <row r="940">
      <c r="A940" s="662"/>
      <c r="B940" s="664"/>
      <c r="C940" s="795"/>
      <c r="D940" s="796"/>
      <c r="E940" s="681"/>
      <c r="F940" s="797"/>
      <c r="G940" s="797"/>
      <c r="H940" s="797"/>
      <c r="I940" s="797"/>
      <c r="J940" s="797"/>
      <c r="K940" s="797"/>
      <c r="L940" s="797"/>
      <c r="M940" s="797"/>
      <c r="N940" s="797"/>
      <c r="O940" s="797"/>
      <c r="P940" s="797"/>
      <c r="Q940" s="797"/>
      <c r="R940" s="662"/>
      <c r="S940" s="662"/>
      <c r="T940" s="662"/>
      <c r="U940" s="665"/>
      <c r="V940" s="666"/>
      <c r="W940" s="662"/>
      <c r="X940" s="662"/>
      <c r="Y940" s="662"/>
      <c r="Z940" s="662"/>
    </row>
    <row r="941">
      <c r="A941" s="662"/>
      <c r="B941" s="664"/>
      <c r="C941" s="795"/>
      <c r="D941" s="796"/>
      <c r="E941" s="681"/>
      <c r="F941" s="797"/>
      <c r="G941" s="797"/>
      <c r="H941" s="797"/>
      <c r="I941" s="797"/>
      <c r="J941" s="797"/>
      <c r="K941" s="797"/>
      <c r="L941" s="797"/>
      <c r="M941" s="797"/>
      <c r="N941" s="797"/>
      <c r="O941" s="797"/>
      <c r="P941" s="797"/>
      <c r="Q941" s="797"/>
      <c r="R941" s="662"/>
      <c r="S941" s="662"/>
      <c r="T941" s="662"/>
      <c r="U941" s="665"/>
      <c r="V941" s="666"/>
      <c r="W941" s="662"/>
      <c r="X941" s="662"/>
      <c r="Y941" s="662"/>
      <c r="Z941" s="662"/>
    </row>
    <row r="942">
      <c r="A942" s="662"/>
      <c r="B942" s="664"/>
      <c r="C942" s="795"/>
      <c r="D942" s="796"/>
      <c r="E942" s="681"/>
      <c r="F942" s="797"/>
      <c r="G942" s="797"/>
      <c r="H942" s="797"/>
      <c r="I942" s="797"/>
      <c r="J942" s="797"/>
      <c r="K942" s="797"/>
      <c r="L942" s="797"/>
      <c r="M942" s="797"/>
      <c r="N942" s="797"/>
      <c r="O942" s="797"/>
      <c r="P942" s="797"/>
      <c r="Q942" s="797"/>
      <c r="R942" s="662"/>
      <c r="S942" s="662"/>
      <c r="T942" s="662"/>
      <c r="U942" s="665"/>
      <c r="V942" s="666"/>
      <c r="W942" s="662"/>
      <c r="X942" s="662"/>
      <c r="Y942" s="662"/>
      <c r="Z942" s="662"/>
    </row>
    <row r="943">
      <c r="A943" s="662"/>
      <c r="B943" s="664"/>
      <c r="C943" s="795"/>
      <c r="D943" s="796"/>
      <c r="E943" s="681"/>
      <c r="F943" s="797"/>
      <c r="G943" s="797"/>
      <c r="H943" s="797"/>
      <c r="I943" s="797"/>
      <c r="J943" s="797"/>
      <c r="K943" s="797"/>
      <c r="L943" s="797"/>
      <c r="M943" s="797"/>
      <c r="N943" s="797"/>
      <c r="O943" s="797"/>
      <c r="P943" s="797"/>
      <c r="Q943" s="797"/>
      <c r="R943" s="662"/>
      <c r="S943" s="662"/>
      <c r="T943" s="662"/>
      <c r="U943" s="665"/>
      <c r="V943" s="666"/>
      <c r="W943" s="662"/>
      <c r="X943" s="662"/>
      <c r="Y943" s="662"/>
      <c r="Z943" s="662"/>
    </row>
    <row r="944">
      <c r="A944" s="662"/>
      <c r="B944" s="664"/>
      <c r="C944" s="795"/>
      <c r="D944" s="796"/>
      <c r="E944" s="681"/>
      <c r="F944" s="797"/>
      <c r="G944" s="797"/>
      <c r="H944" s="797"/>
      <c r="I944" s="797"/>
      <c r="J944" s="797"/>
      <c r="K944" s="797"/>
      <c r="L944" s="797"/>
      <c r="M944" s="797"/>
      <c r="N944" s="797"/>
      <c r="O944" s="797"/>
      <c r="P944" s="797"/>
      <c r="Q944" s="797"/>
      <c r="R944" s="662"/>
      <c r="S944" s="662"/>
      <c r="T944" s="662"/>
      <c r="U944" s="665"/>
      <c r="V944" s="666"/>
      <c r="W944" s="662"/>
      <c r="X944" s="662"/>
      <c r="Y944" s="662"/>
      <c r="Z944" s="662"/>
    </row>
    <row r="945">
      <c r="A945" s="662"/>
      <c r="B945" s="664"/>
      <c r="C945" s="795"/>
      <c r="D945" s="796"/>
      <c r="E945" s="681"/>
      <c r="F945" s="797"/>
      <c r="G945" s="797"/>
      <c r="H945" s="797"/>
      <c r="I945" s="797"/>
      <c r="J945" s="797"/>
      <c r="K945" s="797"/>
      <c r="L945" s="797"/>
      <c r="M945" s="797"/>
      <c r="N945" s="797"/>
      <c r="O945" s="797"/>
      <c r="P945" s="797"/>
      <c r="Q945" s="797"/>
      <c r="R945" s="662"/>
      <c r="S945" s="662"/>
      <c r="T945" s="662"/>
      <c r="U945" s="665"/>
      <c r="V945" s="666"/>
      <c r="W945" s="662"/>
      <c r="X945" s="662"/>
      <c r="Y945" s="662"/>
      <c r="Z945" s="662"/>
    </row>
    <row r="946">
      <c r="A946" s="662"/>
      <c r="B946" s="664"/>
      <c r="C946" s="795"/>
      <c r="D946" s="796"/>
      <c r="E946" s="681"/>
      <c r="F946" s="797"/>
      <c r="G946" s="797"/>
      <c r="H946" s="797"/>
      <c r="I946" s="797"/>
      <c r="J946" s="797"/>
      <c r="K946" s="797"/>
      <c r="L946" s="797"/>
      <c r="M946" s="797"/>
      <c r="N946" s="797"/>
      <c r="O946" s="797"/>
      <c r="P946" s="797"/>
      <c r="Q946" s="797"/>
      <c r="R946" s="662"/>
      <c r="S946" s="662"/>
      <c r="T946" s="662"/>
      <c r="U946" s="665"/>
      <c r="V946" s="666"/>
      <c r="W946" s="662"/>
      <c r="X946" s="662"/>
      <c r="Y946" s="662"/>
      <c r="Z946" s="662"/>
    </row>
    <row r="947">
      <c r="A947" s="662"/>
      <c r="B947" s="664"/>
      <c r="C947" s="795"/>
      <c r="D947" s="796"/>
      <c r="E947" s="681"/>
      <c r="F947" s="797"/>
      <c r="G947" s="797"/>
      <c r="H947" s="797"/>
      <c r="I947" s="797"/>
      <c r="J947" s="797"/>
      <c r="K947" s="797"/>
      <c r="L947" s="797"/>
      <c r="M947" s="797"/>
      <c r="N947" s="797"/>
      <c r="O947" s="797"/>
      <c r="P947" s="797"/>
      <c r="Q947" s="797"/>
      <c r="R947" s="662"/>
      <c r="S947" s="662"/>
      <c r="T947" s="662"/>
      <c r="U947" s="665"/>
      <c r="V947" s="666"/>
      <c r="W947" s="662"/>
      <c r="X947" s="662"/>
      <c r="Y947" s="662"/>
      <c r="Z947" s="662"/>
    </row>
    <row r="948">
      <c r="A948" s="662"/>
      <c r="B948" s="664"/>
      <c r="C948" s="795"/>
      <c r="D948" s="796"/>
      <c r="E948" s="681"/>
      <c r="F948" s="797"/>
      <c r="G948" s="797"/>
      <c r="H948" s="797"/>
      <c r="I948" s="797"/>
      <c r="J948" s="797"/>
      <c r="K948" s="797"/>
      <c r="L948" s="797"/>
      <c r="M948" s="797"/>
      <c r="N948" s="797"/>
      <c r="O948" s="797"/>
      <c r="P948" s="797"/>
      <c r="Q948" s="797"/>
      <c r="R948" s="662"/>
      <c r="S948" s="662"/>
      <c r="T948" s="662"/>
      <c r="U948" s="665"/>
      <c r="V948" s="666"/>
      <c r="W948" s="662"/>
      <c r="X948" s="662"/>
      <c r="Y948" s="662"/>
      <c r="Z948" s="662"/>
    </row>
    <row r="949">
      <c r="A949" s="662"/>
      <c r="B949" s="664"/>
      <c r="C949" s="795"/>
      <c r="D949" s="796"/>
      <c r="E949" s="681"/>
      <c r="F949" s="797"/>
      <c r="G949" s="797"/>
      <c r="H949" s="797"/>
      <c r="I949" s="797"/>
      <c r="J949" s="797"/>
      <c r="K949" s="797"/>
      <c r="L949" s="797"/>
      <c r="M949" s="797"/>
      <c r="N949" s="797"/>
      <c r="O949" s="797"/>
      <c r="P949" s="797"/>
      <c r="Q949" s="797"/>
      <c r="R949" s="662"/>
      <c r="S949" s="662"/>
      <c r="T949" s="662"/>
      <c r="U949" s="665"/>
      <c r="V949" s="666"/>
      <c r="W949" s="662"/>
      <c r="X949" s="662"/>
      <c r="Y949" s="662"/>
      <c r="Z949" s="662"/>
    </row>
    <row r="950">
      <c r="A950" s="662"/>
      <c r="B950" s="664"/>
      <c r="C950" s="795"/>
      <c r="D950" s="796"/>
      <c r="E950" s="681"/>
      <c r="F950" s="797"/>
      <c r="G950" s="797"/>
      <c r="H950" s="797"/>
      <c r="I950" s="797"/>
      <c r="J950" s="797"/>
      <c r="K950" s="797"/>
      <c r="L950" s="797"/>
      <c r="M950" s="797"/>
      <c r="N950" s="797"/>
      <c r="O950" s="797"/>
      <c r="P950" s="797"/>
      <c r="Q950" s="797"/>
      <c r="R950" s="662"/>
      <c r="S950" s="662"/>
      <c r="T950" s="662"/>
      <c r="U950" s="665"/>
      <c r="V950" s="666"/>
      <c r="W950" s="662"/>
      <c r="X950" s="662"/>
      <c r="Y950" s="662"/>
      <c r="Z950" s="662"/>
    </row>
    <row r="951">
      <c r="A951" s="662"/>
      <c r="B951" s="664"/>
      <c r="C951" s="795"/>
      <c r="D951" s="796"/>
      <c r="E951" s="681"/>
      <c r="F951" s="797"/>
      <c r="G951" s="797"/>
      <c r="H951" s="797"/>
      <c r="I951" s="797"/>
      <c r="J951" s="797"/>
      <c r="K951" s="797"/>
      <c r="L951" s="797"/>
      <c r="M951" s="797"/>
      <c r="N951" s="797"/>
      <c r="O951" s="797"/>
      <c r="P951" s="797"/>
      <c r="Q951" s="797"/>
      <c r="R951" s="662"/>
      <c r="S951" s="662"/>
      <c r="T951" s="662"/>
      <c r="U951" s="665"/>
      <c r="V951" s="666"/>
      <c r="W951" s="662"/>
      <c r="X951" s="662"/>
      <c r="Y951" s="662"/>
      <c r="Z951" s="662"/>
    </row>
    <row r="952">
      <c r="A952" s="662"/>
      <c r="B952" s="664"/>
      <c r="C952" s="795"/>
      <c r="D952" s="796"/>
      <c r="E952" s="681"/>
      <c r="F952" s="797"/>
      <c r="G952" s="797"/>
      <c r="H952" s="797"/>
      <c r="I952" s="797"/>
      <c r="J952" s="797"/>
      <c r="K952" s="797"/>
      <c r="L952" s="797"/>
      <c r="M952" s="797"/>
      <c r="N952" s="797"/>
      <c r="O952" s="797"/>
      <c r="P952" s="797"/>
      <c r="Q952" s="797"/>
      <c r="R952" s="662"/>
      <c r="S952" s="662"/>
      <c r="T952" s="662"/>
      <c r="U952" s="665"/>
      <c r="V952" s="666"/>
      <c r="W952" s="662"/>
      <c r="X952" s="662"/>
      <c r="Y952" s="662"/>
      <c r="Z952" s="662"/>
    </row>
    <row r="953">
      <c r="A953" s="662"/>
      <c r="B953" s="664"/>
      <c r="C953" s="795"/>
      <c r="D953" s="796"/>
      <c r="E953" s="681"/>
      <c r="F953" s="797"/>
      <c r="G953" s="797"/>
      <c r="H953" s="797"/>
      <c r="I953" s="797"/>
      <c r="J953" s="797"/>
      <c r="K953" s="797"/>
      <c r="L953" s="797"/>
      <c r="M953" s="797"/>
      <c r="N953" s="797"/>
      <c r="O953" s="797"/>
      <c r="P953" s="797"/>
      <c r="Q953" s="797"/>
      <c r="R953" s="662"/>
      <c r="S953" s="662"/>
      <c r="T953" s="662"/>
      <c r="U953" s="665"/>
      <c r="V953" s="666"/>
      <c r="W953" s="662"/>
      <c r="X953" s="662"/>
      <c r="Y953" s="662"/>
      <c r="Z953" s="662"/>
    </row>
    <row r="954">
      <c r="A954" s="662"/>
      <c r="B954" s="664"/>
      <c r="C954" s="795"/>
      <c r="D954" s="796"/>
      <c r="E954" s="681"/>
      <c r="F954" s="797"/>
      <c r="G954" s="797"/>
      <c r="H954" s="797"/>
      <c r="I954" s="797"/>
      <c r="J954" s="797"/>
      <c r="K954" s="797"/>
      <c r="L954" s="797"/>
      <c r="M954" s="797"/>
      <c r="N954" s="797"/>
      <c r="O954" s="797"/>
      <c r="P954" s="797"/>
      <c r="Q954" s="797"/>
      <c r="R954" s="662"/>
      <c r="S954" s="662"/>
      <c r="T954" s="662"/>
      <c r="U954" s="665"/>
      <c r="V954" s="666"/>
      <c r="W954" s="662"/>
      <c r="X954" s="662"/>
      <c r="Y954" s="662"/>
      <c r="Z954" s="662"/>
    </row>
    <row r="955">
      <c r="A955" s="662"/>
      <c r="B955" s="664"/>
      <c r="C955" s="795"/>
      <c r="D955" s="796"/>
      <c r="E955" s="681"/>
      <c r="F955" s="797"/>
      <c r="G955" s="797"/>
      <c r="H955" s="797"/>
      <c r="I955" s="797"/>
      <c r="J955" s="797"/>
      <c r="K955" s="797"/>
      <c r="L955" s="797"/>
      <c r="M955" s="797"/>
      <c r="N955" s="797"/>
      <c r="O955" s="797"/>
      <c r="P955" s="797"/>
      <c r="Q955" s="797"/>
      <c r="R955" s="662"/>
      <c r="S955" s="662"/>
      <c r="T955" s="662"/>
      <c r="U955" s="665"/>
      <c r="V955" s="666"/>
      <c r="W955" s="662"/>
      <c r="X955" s="662"/>
      <c r="Y955" s="662"/>
      <c r="Z955" s="662"/>
    </row>
    <row r="956">
      <c r="A956" s="662"/>
      <c r="B956" s="664"/>
      <c r="C956" s="795"/>
      <c r="D956" s="796"/>
      <c r="E956" s="681"/>
      <c r="F956" s="797"/>
      <c r="G956" s="797"/>
      <c r="H956" s="797"/>
      <c r="I956" s="797"/>
      <c r="J956" s="797"/>
      <c r="K956" s="797"/>
      <c r="L956" s="797"/>
      <c r="M956" s="797"/>
      <c r="N956" s="797"/>
      <c r="O956" s="797"/>
      <c r="P956" s="797"/>
      <c r="Q956" s="797"/>
      <c r="R956" s="662"/>
      <c r="S956" s="662"/>
      <c r="T956" s="662"/>
      <c r="U956" s="665"/>
      <c r="V956" s="666"/>
      <c r="W956" s="662"/>
      <c r="X956" s="662"/>
      <c r="Y956" s="662"/>
      <c r="Z956" s="662"/>
    </row>
    <row r="957">
      <c r="A957" s="662"/>
      <c r="B957" s="664"/>
      <c r="C957" s="795"/>
      <c r="D957" s="796"/>
      <c r="E957" s="681"/>
      <c r="F957" s="797"/>
      <c r="G957" s="797"/>
      <c r="H957" s="797"/>
      <c r="I957" s="797"/>
      <c r="J957" s="797"/>
      <c r="K957" s="797"/>
      <c r="L957" s="797"/>
      <c r="M957" s="797"/>
      <c r="N957" s="797"/>
      <c r="O957" s="797"/>
      <c r="P957" s="797"/>
      <c r="Q957" s="797"/>
      <c r="R957" s="662"/>
      <c r="S957" s="662"/>
      <c r="T957" s="662"/>
      <c r="U957" s="665"/>
      <c r="V957" s="666"/>
      <c r="W957" s="662"/>
      <c r="X957" s="662"/>
      <c r="Y957" s="662"/>
      <c r="Z957" s="662"/>
    </row>
    <row r="958">
      <c r="A958" s="662"/>
      <c r="B958" s="664"/>
      <c r="C958" s="795"/>
      <c r="D958" s="796"/>
      <c r="E958" s="681"/>
      <c r="F958" s="797"/>
      <c r="G958" s="797"/>
      <c r="H958" s="797"/>
      <c r="I958" s="797"/>
      <c r="J958" s="797"/>
      <c r="K958" s="797"/>
      <c r="L958" s="797"/>
      <c r="M958" s="797"/>
      <c r="N958" s="797"/>
      <c r="O958" s="797"/>
      <c r="P958" s="797"/>
      <c r="Q958" s="797"/>
      <c r="R958" s="662"/>
      <c r="S958" s="662"/>
      <c r="T958" s="662"/>
      <c r="U958" s="665"/>
      <c r="V958" s="666"/>
      <c r="W958" s="662"/>
      <c r="X958" s="662"/>
      <c r="Y958" s="662"/>
      <c r="Z958" s="662"/>
    </row>
    <row r="959">
      <c r="A959" s="662"/>
      <c r="B959" s="664"/>
      <c r="C959" s="795"/>
      <c r="D959" s="796"/>
      <c r="E959" s="681"/>
      <c r="F959" s="797"/>
      <c r="G959" s="797"/>
      <c r="H959" s="797"/>
      <c r="I959" s="797"/>
      <c r="J959" s="797"/>
      <c r="K959" s="797"/>
      <c r="L959" s="797"/>
      <c r="M959" s="797"/>
      <c r="N959" s="797"/>
      <c r="O959" s="797"/>
      <c r="P959" s="797"/>
      <c r="Q959" s="797"/>
      <c r="R959" s="662"/>
      <c r="S959" s="662"/>
      <c r="T959" s="662"/>
      <c r="U959" s="665"/>
      <c r="V959" s="666"/>
      <c r="W959" s="662"/>
      <c r="X959" s="662"/>
      <c r="Y959" s="662"/>
      <c r="Z959" s="662"/>
    </row>
    <row r="960">
      <c r="A960" s="662"/>
      <c r="B960" s="664"/>
      <c r="C960" s="795"/>
      <c r="D960" s="796"/>
      <c r="E960" s="681"/>
      <c r="F960" s="797"/>
      <c r="G960" s="797"/>
      <c r="H960" s="797"/>
      <c r="I960" s="797"/>
      <c r="J960" s="797"/>
      <c r="K960" s="797"/>
      <c r="L960" s="797"/>
      <c r="M960" s="797"/>
      <c r="N960" s="797"/>
      <c r="O960" s="797"/>
      <c r="P960" s="797"/>
      <c r="Q960" s="797"/>
      <c r="R960" s="662"/>
      <c r="S960" s="662"/>
      <c r="T960" s="662"/>
      <c r="U960" s="665"/>
      <c r="V960" s="666"/>
      <c r="W960" s="662"/>
      <c r="X960" s="662"/>
      <c r="Y960" s="662"/>
      <c r="Z960" s="662"/>
    </row>
    <row r="961">
      <c r="A961" s="662"/>
      <c r="B961" s="664"/>
      <c r="C961" s="795"/>
      <c r="D961" s="796"/>
      <c r="E961" s="681"/>
      <c r="F961" s="797"/>
      <c r="G961" s="797"/>
      <c r="H961" s="797"/>
      <c r="I961" s="797"/>
      <c r="J961" s="797"/>
      <c r="K961" s="797"/>
      <c r="L961" s="797"/>
      <c r="M961" s="797"/>
      <c r="N961" s="797"/>
      <c r="O961" s="797"/>
      <c r="P961" s="797"/>
      <c r="Q961" s="797"/>
      <c r="R961" s="662"/>
      <c r="S961" s="662"/>
      <c r="T961" s="662"/>
      <c r="U961" s="665"/>
      <c r="V961" s="666"/>
      <c r="W961" s="662"/>
      <c r="X961" s="662"/>
      <c r="Y961" s="662"/>
      <c r="Z961" s="662"/>
    </row>
    <row r="962">
      <c r="A962" s="662"/>
      <c r="B962" s="664"/>
      <c r="C962" s="795"/>
      <c r="D962" s="796"/>
      <c r="E962" s="681"/>
      <c r="F962" s="797"/>
      <c r="G962" s="797"/>
      <c r="H962" s="797"/>
      <c r="I962" s="797"/>
      <c r="J962" s="797"/>
      <c r="K962" s="797"/>
      <c r="L962" s="797"/>
      <c r="M962" s="797"/>
      <c r="N962" s="797"/>
      <c r="O962" s="797"/>
      <c r="P962" s="797"/>
      <c r="Q962" s="797"/>
      <c r="R962" s="662"/>
      <c r="S962" s="662"/>
      <c r="T962" s="662"/>
      <c r="U962" s="665"/>
      <c r="V962" s="666"/>
      <c r="W962" s="662"/>
      <c r="X962" s="662"/>
      <c r="Y962" s="662"/>
      <c r="Z962" s="662"/>
    </row>
    <row r="963">
      <c r="A963" s="662"/>
      <c r="B963" s="664"/>
      <c r="C963" s="795"/>
      <c r="D963" s="796"/>
      <c r="E963" s="681"/>
      <c r="F963" s="797"/>
      <c r="G963" s="797"/>
      <c r="H963" s="797"/>
      <c r="I963" s="797"/>
      <c r="J963" s="797"/>
      <c r="K963" s="797"/>
      <c r="L963" s="797"/>
      <c r="M963" s="797"/>
      <c r="N963" s="797"/>
      <c r="O963" s="797"/>
      <c r="P963" s="797"/>
      <c r="Q963" s="797"/>
      <c r="R963" s="662"/>
      <c r="S963" s="662"/>
      <c r="T963" s="662"/>
      <c r="U963" s="665"/>
      <c r="V963" s="666"/>
      <c r="W963" s="662"/>
      <c r="X963" s="662"/>
      <c r="Y963" s="662"/>
      <c r="Z963" s="662"/>
    </row>
    <row r="964">
      <c r="A964" s="662"/>
      <c r="B964" s="664"/>
      <c r="C964" s="795"/>
      <c r="D964" s="796"/>
      <c r="E964" s="681"/>
      <c r="F964" s="797"/>
      <c r="G964" s="797"/>
      <c r="H964" s="797"/>
      <c r="I964" s="797"/>
      <c r="J964" s="797"/>
      <c r="K964" s="797"/>
      <c r="L964" s="797"/>
      <c r="M964" s="797"/>
      <c r="N964" s="797"/>
      <c r="O964" s="797"/>
      <c r="P964" s="797"/>
      <c r="Q964" s="797"/>
      <c r="R964" s="662"/>
      <c r="S964" s="662"/>
      <c r="T964" s="662"/>
      <c r="U964" s="665"/>
      <c r="V964" s="666"/>
      <c r="W964" s="662"/>
      <c r="X964" s="662"/>
      <c r="Y964" s="662"/>
      <c r="Z964" s="662"/>
    </row>
    <row r="965">
      <c r="A965" s="662"/>
      <c r="B965" s="664"/>
      <c r="C965" s="795"/>
      <c r="D965" s="796"/>
      <c r="E965" s="681"/>
      <c r="F965" s="797"/>
      <c r="G965" s="797"/>
      <c r="H965" s="797"/>
      <c r="I965" s="797"/>
      <c r="J965" s="797"/>
      <c r="K965" s="797"/>
      <c r="L965" s="797"/>
      <c r="M965" s="797"/>
      <c r="N965" s="797"/>
      <c r="O965" s="797"/>
      <c r="P965" s="797"/>
      <c r="Q965" s="797"/>
      <c r="R965" s="662"/>
      <c r="S965" s="662"/>
      <c r="T965" s="662"/>
      <c r="U965" s="665"/>
      <c r="V965" s="666"/>
      <c r="W965" s="662"/>
      <c r="X965" s="662"/>
      <c r="Y965" s="662"/>
      <c r="Z965" s="662"/>
    </row>
    <row r="966">
      <c r="A966" s="662"/>
      <c r="B966" s="664"/>
      <c r="C966" s="795"/>
      <c r="D966" s="796"/>
      <c r="E966" s="681"/>
      <c r="F966" s="797"/>
      <c r="G966" s="797"/>
      <c r="H966" s="797"/>
      <c r="I966" s="797"/>
      <c r="J966" s="797"/>
      <c r="K966" s="797"/>
      <c r="L966" s="797"/>
      <c r="M966" s="797"/>
      <c r="N966" s="797"/>
      <c r="O966" s="797"/>
      <c r="P966" s="797"/>
      <c r="Q966" s="797"/>
      <c r="R966" s="662"/>
      <c r="S966" s="662"/>
      <c r="T966" s="662"/>
      <c r="U966" s="665"/>
      <c r="V966" s="666"/>
      <c r="W966" s="662"/>
      <c r="X966" s="662"/>
      <c r="Y966" s="662"/>
      <c r="Z966" s="662"/>
    </row>
    <row r="967">
      <c r="A967" s="662"/>
      <c r="B967" s="664"/>
      <c r="C967" s="795"/>
      <c r="D967" s="796"/>
      <c r="E967" s="681"/>
      <c r="F967" s="797"/>
      <c r="G967" s="797"/>
      <c r="H967" s="797"/>
      <c r="I967" s="797"/>
      <c r="J967" s="797"/>
      <c r="K967" s="797"/>
      <c r="L967" s="797"/>
      <c r="M967" s="797"/>
      <c r="N967" s="797"/>
      <c r="O967" s="797"/>
      <c r="P967" s="797"/>
      <c r="Q967" s="797"/>
      <c r="R967" s="662"/>
      <c r="S967" s="662"/>
      <c r="T967" s="662"/>
      <c r="U967" s="665"/>
      <c r="V967" s="666"/>
      <c r="W967" s="662"/>
      <c r="X967" s="662"/>
      <c r="Y967" s="662"/>
      <c r="Z967" s="662"/>
    </row>
    <row r="968">
      <c r="A968" s="662"/>
      <c r="B968" s="664"/>
      <c r="C968" s="795"/>
      <c r="D968" s="796"/>
      <c r="E968" s="681"/>
      <c r="F968" s="797"/>
      <c r="G968" s="797"/>
      <c r="H968" s="797"/>
      <c r="I968" s="797"/>
      <c r="J968" s="797"/>
      <c r="K968" s="797"/>
      <c r="L968" s="797"/>
      <c r="M968" s="797"/>
      <c r="N968" s="797"/>
      <c r="O968" s="797"/>
      <c r="P968" s="797"/>
      <c r="Q968" s="797"/>
      <c r="R968" s="662"/>
      <c r="S968" s="662"/>
      <c r="T968" s="662"/>
      <c r="U968" s="665"/>
      <c r="V968" s="666"/>
      <c r="W968" s="662"/>
      <c r="X968" s="662"/>
      <c r="Y968" s="662"/>
      <c r="Z968" s="662"/>
    </row>
    <row r="969">
      <c r="A969" s="662"/>
      <c r="B969" s="664"/>
      <c r="C969" s="795"/>
      <c r="D969" s="796"/>
      <c r="E969" s="681"/>
      <c r="F969" s="797"/>
      <c r="G969" s="797"/>
      <c r="H969" s="797"/>
      <c r="I969" s="797"/>
      <c r="J969" s="797"/>
      <c r="K969" s="797"/>
      <c r="L969" s="797"/>
      <c r="M969" s="797"/>
      <c r="N969" s="797"/>
      <c r="O969" s="797"/>
      <c r="P969" s="797"/>
      <c r="Q969" s="797"/>
      <c r="R969" s="662"/>
      <c r="S969" s="662"/>
      <c r="T969" s="662"/>
      <c r="U969" s="665"/>
      <c r="V969" s="666"/>
      <c r="W969" s="662"/>
      <c r="X969" s="662"/>
      <c r="Y969" s="662"/>
      <c r="Z969" s="662"/>
    </row>
    <row r="970">
      <c r="A970" s="662"/>
      <c r="B970" s="664"/>
      <c r="C970" s="795"/>
      <c r="D970" s="796"/>
      <c r="E970" s="681"/>
      <c r="F970" s="797"/>
      <c r="G970" s="797"/>
      <c r="H970" s="797"/>
      <c r="I970" s="797"/>
      <c r="J970" s="797"/>
      <c r="K970" s="797"/>
      <c r="L970" s="797"/>
      <c r="M970" s="797"/>
      <c r="N970" s="797"/>
      <c r="O970" s="797"/>
      <c r="P970" s="797"/>
      <c r="Q970" s="797"/>
      <c r="R970" s="662"/>
      <c r="S970" s="662"/>
      <c r="T970" s="662"/>
      <c r="U970" s="665"/>
      <c r="V970" s="666"/>
      <c r="W970" s="662"/>
      <c r="X970" s="662"/>
      <c r="Y970" s="662"/>
      <c r="Z970" s="662"/>
    </row>
    <row r="971">
      <c r="A971" s="662"/>
      <c r="B971" s="664"/>
      <c r="C971" s="795"/>
      <c r="D971" s="796"/>
      <c r="E971" s="681"/>
      <c r="F971" s="797"/>
      <c r="G971" s="797"/>
      <c r="H971" s="797"/>
      <c r="I971" s="797"/>
      <c r="J971" s="797"/>
      <c r="K971" s="797"/>
      <c r="L971" s="797"/>
      <c r="M971" s="797"/>
      <c r="N971" s="797"/>
      <c r="O971" s="797"/>
      <c r="P971" s="797"/>
      <c r="Q971" s="797"/>
      <c r="R971" s="662"/>
      <c r="S971" s="662"/>
      <c r="T971" s="662"/>
      <c r="U971" s="665"/>
      <c r="V971" s="666"/>
      <c r="W971" s="662"/>
      <c r="X971" s="662"/>
      <c r="Y971" s="662"/>
      <c r="Z971" s="662"/>
    </row>
    <row r="972">
      <c r="A972" s="662"/>
      <c r="B972" s="664"/>
      <c r="C972" s="795"/>
      <c r="D972" s="796"/>
      <c r="E972" s="681"/>
      <c r="F972" s="797"/>
      <c r="G972" s="797"/>
      <c r="H972" s="797"/>
      <c r="I972" s="797"/>
      <c r="J972" s="797"/>
      <c r="K972" s="797"/>
      <c r="L972" s="797"/>
      <c r="M972" s="797"/>
      <c r="N972" s="797"/>
      <c r="O972" s="797"/>
      <c r="P972" s="797"/>
      <c r="Q972" s="797"/>
      <c r="R972" s="662"/>
      <c r="S972" s="662"/>
      <c r="T972" s="662"/>
      <c r="U972" s="665"/>
      <c r="V972" s="666"/>
      <c r="W972" s="662"/>
      <c r="X972" s="662"/>
      <c r="Y972" s="662"/>
      <c r="Z972" s="662"/>
    </row>
    <row r="973">
      <c r="A973" s="662"/>
      <c r="B973" s="664"/>
      <c r="C973" s="795"/>
      <c r="D973" s="796"/>
      <c r="E973" s="681"/>
      <c r="F973" s="797"/>
      <c r="G973" s="797"/>
      <c r="H973" s="797"/>
      <c r="I973" s="797"/>
      <c r="J973" s="797"/>
      <c r="K973" s="797"/>
      <c r="L973" s="797"/>
      <c r="M973" s="797"/>
      <c r="N973" s="797"/>
      <c r="O973" s="797"/>
      <c r="P973" s="797"/>
      <c r="Q973" s="797"/>
      <c r="R973" s="662"/>
      <c r="S973" s="662"/>
      <c r="T973" s="662"/>
      <c r="U973" s="665"/>
      <c r="V973" s="666"/>
      <c r="W973" s="662"/>
      <c r="X973" s="662"/>
      <c r="Y973" s="662"/>
      <c r="Z973" s="662"/>
    </row>
    <row r="974">
      <c r="A974" s="662"/>
      <c r="B974" s="664"/>
      <c r="C974" s="795"/>
      <c r="D974" s="796"/>
      <c r="E974" s="681"/>
      <c r="F974" s="797"/>
      <c r="G974" s="797"/>
      <c r="H974" s="797"/>
      <c r="I974" s="797"/>
      <c r="J974" s="797"/>
      <c r="K974" s="797"/>
      <c r="L974" s="797"/>
      <c r="M974" s="797"/>
      <c r="N974" s="797"/>
      <c r="O974" s="797"/>
      <c r="P974" s="797"/>
      <c r="Q974" s="797"/>
      <c r="R974" s="662"/>
      <c r="S974" s="662"/>
      <c r="T974" s="662"/>
      <c r="U974" s="665"/>
      <c r="V974" s="666"/>
      <c r="W974" s="662"/>
      <c r="X974" s="662"/>
      <c r="Y974" s="662"/>
      <c r="Z974" s="662"/>
    </row>
    <row r="975">
      <c r="A975" s="662"/>
      <c r="B975" s="664"/>
      <c r="C975" s="795"/>
      <c r="D975" s="796"/>
      <c r="E975" s="681"/>
      <c r="F975" s="797"/>
      <c r="G975" s="797"/>
      <c r="H975" s="797"/>
      <c r="I975" s="797"/>
      <c r="J975" s="797"/>
      <c r="K975" s="797"/>
      <c r="L975" s="797"/>
      <c r="M975" s="797"/>
      <c r="N975" s="797"/>
      <c r="O975" s="797"/>
      <c r="P975" s="797"/>
      <c r="Q975" s="797"/>
      <c r="R975" s="662"/>
      <c r="S975" s="662"/>
      <c r="T975" s="662"/>
      <c r="U975" s="665"/>
      <c r="V975" s="666"/>
      <c r="W975" s="662"/>
      <c r="X975" s="662"/>
      <c r="Y975" s="662"/>
      <c r="Z975" s="662"/>
    </row>
    <row r="976">
      <c r="A976" s="662"/>
      <c r="B976" s="664"/>
      <c r="C976" s="795"/>
      <c r="D976" s="796"/>
      <c r="E976" s="681"/>
      <c r="F976" s="797"/>
      <c r="G976" s="797"/>
      <c r="H976" s="797"/>
      <c r="I976" s="797"/>
      <c r="J976" s="797"/>
      <c r="K976" s="797"/>
      <c r="L976" s="797"/>
      <c r="M976" s="797"/>
      <c r="N976" s="797"/>
      <c r="O976" s="797"/>
      <c r="P976" s="797"/>
      <c r="Q976" s="797"/>
      <c r="R976" s="662"/>
      <c r="S976" s="662"/>
      <c r="T976" s="662"/>
      <c r="U976" s="665"/>
      <c r="V976" s="666"/>
      <c r="W976" s="662"/>
      <c r="X976" s="662"/>
      <c r="Y976" s="662"/>
      <c r="Z976" s="662"/>
    </row>
    <row r="977">
      <c r="A977" s="662"/>
      <c r="B977" s="664"/>
      <c r="C977" s="795"/>
      <c r="D977" s="796"/>
      <c r="E977" s="681"/>
      <c r="F977" s="797"/>
      <c r="G977" s="797"/>
      <c r="H977" s="797"/>
      <c r="I977" s="797"/>
      <c r="J977" s="797"/>
      <c r="K977" s="797"/>
      <c r="L977" s="797"/>
      <c r="M977" s="797"/>
      <c r="N977" s="797"/>
      <c r="O977" s="797"/>
      <c r="P977" s="797"/>
      <c r="Q977" s="797"/>
      <c r="R977" s="662"/>
      <c r="S977" s="662"/>
      <c r="T977" s="662"/>
      <c r="U977" s="665"/>
      <c r="V977" s="666"/>
      <c r="W977" s="662"/>
      <c r="X977" s="662"/>
      <c r="Y977" s="662"/>
      <c r="Z977" s="662"/>
    </row>
    <row r="978">
      <c r="A978" s="662"/>
      <c r="B978" s="664"/>
      <c r="C978" s="795"/>
      <c r="D978" s="796"/>
      <c r="E978" s="681"/>
      <c r="F978" s="797"/>
      <c r="G978" s="797"/>
      <c r="H978" s="797"/>
      <c r="I978" s="797"/>
      <c r="J978" s="797"/>
      <c r="K978" s="797"/>
      <c r="L978" s="797"/>
      <c r="M978" s="797"/>
      <c r="N978" s="797"/>
      <c r="O978" s="797"/>
      <c r="P978" s="797"/>
      <c r="Q978" s="797"/>
      <c r="R978" s="662"/>
      <c r="S978" s="662"/>
      <c r="T978" s="662"/>
      <c r="U978" s="665"/>
      <c r="V978" s="666"/>
      <c r="W978" s="662"/>
      <c r="X978" s="662"/>
      <c r="Y978" s="662"/>
      <c r="Z978" s="662"/>
    </row>
    <row r="979">
      <c r="A979" s="662"/>
      <c r="B979" s="664"/>
      <c r="C979" s="795"/>
      <c r="D979" s="796"/>
      <c r="E979" s="681"/>
      <c r="F979" s="797"/>
      <c r="G979" s="797"/>
      <c r="H979" s="797"/>
      <c r="I979" s="797"/>
      <c r="J979" s="797"/>
      <c r="K979" s="797"/>
      <c r="L979" s="797"/>
      <c r="M979" s="797"/>
      <c r="N979" s="797"/>
      <c r="O979" s="797"/>
      <c r="P979" s="797"/>
      <c r="Q979" s="797"/>
      <c r="R979" s="662"/>
      <c r="S979" s="662"/>
      <c r="T979" s="662"/>
      <c r="U979" s="665"/>
      <c r="V979" s="666"/>
      <c r="W979" s="662"/>
      <c r="X979" s="662"/>
      <c r="Y979" s="662"/>
      <c r="Z979" s="662"/>
    </row>
    <row r="980">
      <c r="A980" s="662"/>
      <c r="B980" s="664"/>
      <c r="C980" s="795"/>
      <c r="D980" s="796"/>
      <c r="E980" s="681"/>
      <c r="F980" s="797"/>
      <c r="G980" s="797"/>
      <c r="H980" s="797"/>
      <c r="I980" s="797"/>
      <c r="J980" s="797"/>
      <c r="K980" s="797"/>
      <c r="L980" s="797"/>
      <c r="M980" s="797"/>
      <c r="N980" s="797"/>
      <c r="O980" s="797"/>
      <c r="P980" s="797"/>
      <c r="Q980" s="797"/>
      <c r="R980" s="662"/>
      <c r="S980" s="662"/>
      <c r="T980" s="662"/>
      <c r="U980" s="665"/>
      <c r="V980" s="666"/>
      <c r="W980" s="662"/>
      <c r="X980" s="662"/>
      <c r="Y980" s="662"/>
      <c r="Z980" s="662"/>
    </row>
    <row r="981">
      <c r="A981" s="662"/>
      <c r="B981" s="664"/>
      <c r="C981" s="795"/>
      <c r="D981" s="796"/>
      <c r="E981" s="681"/>
      <c r="F981" s="797"/>
      <c r="G981" s="797"/>
      <c r="H981" s="797"/>
      <c r="I981" s="797"/>
      <c r="J981" s="797"/>
      <c r="K981" s="797"/>
      <c r="L981" s="797"/>
      <c r="M981" s="797"/>
      <c r="N981" s="797"/>
      <c r="O981" s="797"/>
      <c r="P981" s="797"/>
      <c r="Q981" s="797"/>
      <c r="R981" s="662"/>
      <c r="S981" s="662"/>
      <c r="T981" s="662"/>
      <c r="U981" s="665"/>
      <c r="V981" s="666"/>
      <c r="W981" s="662"/>
      <c r="X981" s="662"/>
      <c r="Y981" s="662"/>
      <c r="Z981" s="662"/>
    </row>
    <row r="982">
      <c r="A982" s="662"/>
      <c r="B982" s="664"/>
      <c r="C982" s="795"/>
      <c r="D982" s="796"/>
      <c r="E982" s="681"/>
      <c r="F982" s="797"/>
      <c r="G982" s="797"/>
      <c r="H982" s="797"/>
      <c r="I982" s="797"/>
      <c r="J982" s="797"/>
      <c r="K982" s="797"/>
      <c r="L982" s="797"/>
      <c r="M982" s="797"/>
      <c r="N982" s="797"/>
      <c r="O982" s="797"/>
      <c r="P982" s="797"/>
      <c r="Q982" s="797"/>
      <c r="R982" s="662"/>
      <c r="S982" s="662"/>
      <c r="T982" s="662"/>
      <c r="U982" s="665"/>
      <c r="V982" s="666"/>
      <c r="W982" s="662"/>
      <c r="X982" s="662"/>
      <c r="Y982" s="662"/>
      <c r="Z982" s="662"/>
    </row>
    <row r="983">
      <c r="A983" s="662"/>
      <c r="B983" s="664"/>
      <c r="C983" s="795"/>
      <c r="D983" s="796"/>
      <c r="E983" s="681"/>
      <c r="F983" s="797"/>
      <c r="G983" s="797"/>
      <c r="H983" s="797"/>
      <c r="I983" s="797"/>
      <c r="J983" s="797"/>
      <c r="K983" s="797"/>
      <c r="L983" s="797"/>
      <c r="M983" s="797"/>
      <c r="N983" s="797"/>
      <c r="O983" s="797"/>
      <c r="P983" s="797"/>
      <c r="Q983" s="797"/>
      <c r="R983" s="662"/>
      <c r="S983" s="662"/>
      <c r="T983" s="662"/>
      <c r="U983" s="665"/>
      <c r="V983" s="666"/>
      <c r="W983" s="662"/>
      <c r="X983" s="662"/>
      <c r="Y983" s="662"/>
      <c r="Z983" s="662"/>
    </row>
    <row r="984">
      <c r="A984" s="662"/>
      <c r="B984" s="664"/>
      <c r="C984" s="795"/>
      <c r="D984" s="796"/>
      <c r="E984" s="681"/>
      <c r="F984" s="797"/>
      <c r="G984" s="797"/>
      <c r="H984" s="797"/>
      <c r="I984" s="797"/>
      <c r="J984" s="797"/>
      <c r="K984" s="797"/>
      <c r="L984" s="797"/>
      <c r="M984" s="797"/>
      <c r="N984" s="797"/>
      <c r="O984" s="797"/>
      <c r="P984" s="797"/>
      <c r="Q984" s="797"/>
      <c r="R984" s="662"/>
      <c r="S984" s="662"/>
      <c r="T984" s="662"/>
      <c r="U984" s="665"/>
      <c r="V984" s="666"/>
      <c r="W984" s="662"/>
      <c r="X984" s="662"/>
      <c r="Y984" s="662"/>
      <c r="Z984" s="662"/>
    </row>
    <row r="985">
      <c r="A985" s="662"/>
      <c r="B985" s="664"/>
      <c r="C985" s="795"/>
      <c r="D985" s="796"/>
      <c r="E985" s="681"/>
      <c r="F985" s="797"/>
      <c r="G985" s="797"/>
      <c r="H985" s="797"/>
      <c r="I985" s="797"/>
      <c r="J985" s="797"/>
      <c r="K985" s="797"/>
      <c r="L985" s="797"/>
      <c r="M985" s="797"/>
      <c r="N985" s="797"/>
      <c r="O985" s="797"/>
      <c r="P985" s="797"/>
      <c r="Q985" s="797"/>
      <c r="R985" s="662"/>
      <c r="S985" s="662"/>
      <c r="T985" s="662"/>
      <c r="U985" s="665"/>
      <c r="V985" s="666"/>
      <c r="W985" s="662"/>
      <c r="X985" s="662"/>
      <c r="Y985" s="662"/>
      <c r="Z985" s="662"/>
    </row>
    <row r="986">
      <c r="A986" s="662"/>
      <c r="B986" s="664"/>
      <c r="C986" s="795"/>
      <c r="D986" s="796"/>
      <c r="E986" s="681"/>
      <c r="F986" s="797"/>
      <c r="G986" s="797"/>
      <c r="H986" s="797"/>
      <c r="I986" s="797"/>
      <c r="J986" s="797"/>
      <c r="K986" s="797"/>
      <c r="L986" s="797"/>
      <c r="M986" s="797"/>
      <c r="N986" s="797"/>
      <c r="O986" s="797"/>
      <c r="P986" s="797"/>
      <c r="Q986" s="797"/>
      <c r="R986" s="662"/>
      <c r="S986" s="662"/>
      <c r="T986" s="662"/>
      <c r="U986" s="665"/>
      <c r="V986" s="666"/>
      <c r="W986" s="662"/>
      <c r="X986" s="662"/>
      <c r="Y986" s="662"/>
      <c r="Z986" s="662"/>
    </row>
    <row r="987">
      <c r="A987" s="662"/>
      <c r="B987" s="664"/>
      <c r="C987" s="795"/>
      <c r="D987" s="796"/>
      <c r="E987" s="681"/>
      <c r="F987" s="797"/>
      <c r="G987" s="797"/>
      <c r="H987" s="797"/>
      <c r="I987" s="797"/>
      <c r="J987" s="797"/>
      <c r="K987" s="797"/>
      <c r="L987" s="797"/>
      <c r="M987" s="797"/>
      <c r="N987" s="797"/>
      <c r="O987" s="797"/>
      <c r="P987" s="797"/>
      <c r="Q987" s="797"/>
      <c r="R987" s="662"/>
      <c r="S987" s="662"/>
      <c r="T987" s="662"/>
      <c r="U987" s="665"/>
      <c r="V987" s="666"/>
      <c r="W987" s="662"/>
      <c r="X987" s="662"/>
      <c r="Y987" s="662"/>
      <c r="Z987" s="662"/>
    </row>
    <row r="988">
      <c r="A988" s="662"/>
      <c r="B988" s="664"/>
      <c r="C988" s="795"/>
      <c r="D988" s="796"/>
      <c r="E988" s="681"/>
      <c r="F988" s="797"/>
      <c r="G988" s="797"/>
      <c r="H988" s="797"/>
      <c r="I988" s="797"/>
      <c r="J988" s="797"/>
      <c r="K988" s="797"/>
      <c r="L988" s="797"/>
      <c r="M988" s="797"/>
      <c r="N988" s="797"/>
      <c r="O988" s="797"/>
      <c r="P988" s="797"/>
      <c r="Q988" s="797"/>
      <c r="R988" s="662"/>
      <c r="S988" s="662"/>
      <c r="T988" s="662"/>
      <c r="U988" s="665"/>
      <c r="V988" s="666"/>
      <c r="W988" s="662"/>
      <c r="X988" s="662"/>
      <c r="Y988" s="662"/>
      <c r="Z988" s="662"/>
    </row>
    <row r="989">
      <c r="A989" s="662"/>
      <c r="B989" s="664"/>
      <c r="C989" s="795"/>
      <c r="D989" s="796"/>
      <c r="E989" s="681"/>
      <c r="F989" s="797"/>
      <c r="G989" s="797"/>
      <c r="H989" s="797"/>
      <c r="I989" s="797"/>
      <c r="J989" s="797"/>
      <c r="K989" s="797"/>
      <c r="L989" s="797"/>
      <c r="M989" s="797"/>
      <c r="N989" s="797"/>
      <c r="O989" s="797"/>
      <c r="P989" s="797"/>
      <c r="Q989" s="797"/>
      <c r="R989" s="662"/>
      <c r="S989" s="662"/>
      <c r="T989" s="662"/>
      <c r="U989" s="665"/>
      <c r="V989" s="666"/>
      <c r="W989" s="662"/>
      <c r="X989" s="662"/>
      <c r="Y989" s="662"/>
      <c r="Z989" s="662"/>
    </row>
    <row r="990">
      <c r="A990" s="662"/>
      <c r="B990" s="664"/>
      <c r="C990" s="795"/>
      <c r="D990" s="796"/>
      <c r="E990" s="681"/>
      <c r="F990" s="797"/>
      <c r="G990" s="797"/>
      <c r="H990" s="797"/>
      <c r="I990" s="797"/>
      <c r="J990" s="797"/>
      <c r="K990" s="797"/>
      <c r="L990" s="797"/>
      <c r="M990" s="797"/>
      <c r="N990" s="797"/>
      <c r="O990" s="797"/>
      <c r="P990" s="797"/>
      <c r="Q990" s="797"/>
      <c r="R990" s="662"/>
      <c r="S990" s="662"/>
      <c r="T990" s="662"/>
      <c r="U990" s="665"/>
      <c r="V990" s="666"/>
      <c r="W990" s="662"/>
      <c r="X990" s="662"/>
      <c r="Y990" s="662"/>
      <c r="Z990" s="662"/>
    </row>
    <row r="991">
      <c r="A991" s="662"/>
      <c r="B991" s="664"/>
      <c r="C991" s="795"/>
      <c r="D991" s="796"/>
      <c r="E991" s="681"/>
      <c r="F991" s="797"/>
      <c r="G991" s="797"/>
      <c r="H991" s="797"/>
      <c r="I991" s="797"/>
      <c r="J991" s="797"/>
      <c r="K991" s="797"/>
      <c r="L991" s="797"/>
      <c r="M991" s="797"/>
      <c r="N991" s="797"/>
      <c r="O991" s="797"/>
      <c r="P991" s="797"/>
      <c r="Q991" s="797"/>
      <c r="R991" s="662"/>
      <c r="S991" s="662"/>
      <c r="T991" s="662"/>
      <c r="U991" s="665"/>
      <c r="V991" s="666"/>
      <c r="W991" s="662"/>
      <c r="X991" s="662"/>
      <c r="Y991" s="662"/>
      <c r="Z991" s="662"/>
    </row>
    <row r="992">
      <c r="A992" s="662"/>
      <c r="B992" s="664"/>
      <c r="C992" s="795"/>
      <c r="D992" s="796"/>
      <c r="E992" s="681"/>
      <c r="F992" s="797"/>
      <c r="G992" s="797"/>
      <c r="H992" s="797"/>
      <c r="I992" s="797"/>
      <c r="J992" s="797"/>
      <c r="K992" s="797"/>
      <c r="L992" s="797"/>
      <c r="M992" s="797"/>
      <c r="N992" s="797"/>
      <c r="O992" s="797"/>
      <c r="P992" s="797"/>
      <c r="Q992" s="797"/>
      <c r="R992" s="662"/>
      <c r="S992" s="662"/>
      <c r="T992" s="662"/>
      <c r="U992" s="665"/>
      <c r="V992" s="666"/>
      <c r="W992" s="662"/>
      <c r="X992" s="662"/>
      <c r="Y992" s="662"/>
      <c r="Z992" s="662"/>
    </row>
    <row r="993">
      <c r="A993" s="662"/>
      <c r="B993" s="664"/>
      <c r="C993" s="795"/>
      <c r="D993" s="796"/>
      <c r="E993" s="681"/>
      <c r="F993" s="797"/>
      <c r="G993" s="797"/>
      <c r="H993" s="797"/>
      <c r="I993" s="797"/>
      <c r="J993" s="797"/>
      <c r="K993" s="797"/>
      <c r="L993" s="797"/>
      <c r="M993" s="797"/>
      <c r="N993" s="797"/>
      <c r="O993" s="797"/>
      <c r="P993" s="797"/>
      <c r="Q993" s="797"/>
      <c r="R993" s="662"/>
      <c r="S993" s="662"/>
      <c r="T993" s="662"/>
      <c r="U993" s="665"/>
      <c r="V993" s="666"/>
      <c r="W993" s="662"/>
      <c r="X993" s="662"/>
      <c r="Y993" s="662"/>
      <c r="Z993" s="662"/>
    </row>
    <row r="994">
      <c r="A994" s="662"/>
      <c r="B994" s="664"/>
      <c r="C994" s="795"/>
      <c r="D994" s="796"/>
      <c r="E994" s="681"/>
      <c r="F994" s="797"/>
      <c r="G994" s="797"/>
      <c r="H994" s="797"/>
      <c r="I994" s="797"/>
      <c r="J994" s="797"/>
      <c r="K994" s="797"/>
      <c r="L994" s="797"/>
      <c r="M994" s="797"/>
      <c r="N994" s="797"/>
      <c r="O994" s="797"/>
      <c r="P994" s="797"/>
      <c r="Q994" s="797"/>
      <c r="R994" s="662"/>
      <c r="S994" s="662"/>
      <c r="T994" s="662"/>
      <c r="U994" s="665"/>
      <c r="V994" s="666"/>
      <c r="W994" s="662"/>
      <c r="X994" s="662"/>
      <c r="Y994" s="662"/>
      <c r="Z994" s="662"/>
    </row>
    <row r="995">
      <c r="A995" s="662"/>
      <c r="B995" s="664"/>
      <c r="C995" s="795"/>
      <c r="D995" s="796"/>
      <c r="E995" s="681"/>
      <c r="F995" s="797"/>
      <c r="G995" s="797"/>
      <c r="H995" s="797"/>
      <c r="I995" s="797"/>
      <c r="J995" s="797"/>
      <c r="K995" s="797"/>
      <c r="L995" s="797"/>
      <c r="M995" s="797"/>
      <c r="N995" s="797"/>
      <c r="O995" s="797"/>
      <c r="P995" s="797"/>
      <c r="Q995" s="797"/>
      <c r="R995" s="662"/>
      <c r="S995" s="662"/>
      <c r="T995" s="662"/>
      <c r="U995" s="665"/>
      <c r="V995" s="666"/>
      <c r="W995" s="662"/>
      <c r="X995" s="662"/>
      <c r="Y995" s="662"/>
      <c r="Z995" s="662"/>
    </row>
    <row r="996">
      <c r="A996" s="662"/>
      <c r="B996" s="664"/>
      <c r="C996" s="795"/>
      <c r="D996" s="796"/>
      <c r="E996" s="681"/>
      <c r="F996" s="797"/>
      <c r="G996" s="797"/>
      <c r="H996" s="797"/>
      <c r="I996" s="797"/>
      <c r="J996" s="797"/>
      <c r="K996" s="797"/>
      <c r="L996" s="797"/>
      <c r="M996" s="797"/>
      <c r="N996" s="797"/>
      <c r="O996" s="797"/>
      <c r="P996" s="797"/>
      <c r="Q996" s="797"/>
      <c r="R996" s="662"/>
      <c r="S996" s="662"/>
      <c r="T996" s="662"/>
      <c r="U996" s="665"/>
      <c r="V996" s="666"/>
      <c r="W996" s="662"/>
      <c r="X996" s="662"/>
      <c r="Y996" s="662"/>
      <c r="Z996" s="662"/>
    </row>
    <row r="997">
      <c r="A997" s="662"/>
      <c r="B997" s="664"/>
      <c r="C997" s="795"/>
      <c r="D997" s="796"/>
      <c r="E997" s="681"/>
      <c r="F997" s="797"/>
      <c r="G997" s="797"/>
      <c r="H997" s="797"/>
      <c r="I997" s="797"/>
      <c r="J997" s="797"/>
      <c r="K997" s="797"/>
      <c r="L997" s="797"/>
      <c r="M997" s="797"/>
      <c r="N997" s="797"/>
      <c r="O997" s="797"/>
      <c r="P997" s="797"/>
      <c r="Q997" s="797"/>
      <c r="R997" s="662"/>
      <c r="S997" s="662"/>
      <c r="T997" s="662"/>
      <c r="U997" s="665"/>
      <c r="V997" s="666"/>
      <c r="W997" s="662"/>
      <c r="X997" s="662"/>
      <c r="Y997" s="662"/>
      <c r="Z997" s="662"/>
    </row>
    <row r="998">
      <c r="A998" s="662"/>
      <c r="B998" s="664"/>
      <c r="C998" s="795"/>
      <c r="D998" s="796"/>
      <c r="E998" s="681"/>
      <c r="F998" s="797"/>
      <c r="G998" s="797"/>
      <c r="H998" s="797"/>
      <c r="I998" s="797"/>
      <c r="J998" s="797"/>
      <c r="K998" s="797"/>
      <c r="L998" s="797"/>
      <c r="M998" s="797"/>
      <c r="N998" s="797"/>
      <c r="O998" s="797"/>
      <c r="P998" s="797"/>
      <c r="Q998" s="797"/>
      <c r="R998" s="662"/>
      <c r="S998" s="662"/>
      <c r="T998" s="662"/>
      <c r="U998" s="665"/>
      <c r="V998" s="666"/>
      <c r="W998" s="662"/>
      <c r="X998" s="662"/>
      <c r="Y998" s="662"/>
      <c r="Z998" s="662"/>
    </row>
    <row r="999">
      <c r="A999" s="662"/>
      <c r="B999" s="664"/>
      <c r="C999" s="795"/>
      <c r="D999" s="796"/>
      <c r="E999" s="681"/>
      <c r="F999" s="797"/>
      <c r="G999" s="797"/>
      <c r="H999" s="797"/>
      <c r="I999" s="797"/>
      <c r="J999" s="797"/>
      <c r="K999" s="797"/>
      <c r="L999" s="797"/>
      <c r="M999" s="797"/>
      <c r="N999" s="797"/>
      <c r="O999" s="797"/>
      <c r="P999" s="797"/>
      <c r="Q999" s="797"/>
      <c r="R999" s="662"/>
      <c r="S999" s="662"/>
      <c r="T999" s="662"/>
      <c r="U999" s="665"/>
      <c r="V999" s="666"/>
      <c r="W999" s="662"/>
      <c r="X999" s="662"/>
      <c r="Y999" s="662"/>
      <c r="Z999" s="662"/>
    </row>
    <row r="1000">
      <c r="A1000" s="662"/>
      <c r="B1000" s="664"/>
      <c r="C1000" s="795"/>
      <c r="D1000" s="796"/>
      <c r="E1000" s="681"/>
      <c r="F1000" s="797"/>
      <c r="G1000" s="797"/>
      <c r="H1000" s="797"/>
      <c r="I1000" s="797"/>
      <c r="J1000" s="797"/>
      <c r="K1000" s="797"/>
      <c r="L1000" s="797"/>
      <c r="M1000" s="797"/>
      <c r="N1000" s="797"/>
      <c r="O1000" s="797"/>
      <c r="P1000" s="797"/>
      <c r="Q1000" s="797"/>
      <c r="R1000" s="662"/>
      <c r="S1000" s="662"/>
      <c r="T1000" s="662"/>
      <c r="U1000" s="665"/>
      <c r="V1000" s="666"/>
      <c r="W1000" s="662"/>
      <c r="X1000" s="662"/>
      <c r="Y1000" s="662"/>
      <c r="Z1000" s="662"/>
    </row>
    <row r="1001">
      <c r="A1001" s="662"/>
      <c r="B1001" s="664"/>
      <c r="C1001" s="795"/>
      <c r="D1001" s="796"/>
      <c r="E1001" s="681"/>
      <c r="F1001" s="797"/>
      <c r="G1001" s="797"/>
      <c r="H1001" s="797"/>
      <c r="I1001" s="797"/>
      <c r="J1001" s="797"/>
      <c r="K1001" s="797"/>
      <c r="L1001" s="797"/>
      <c r="M1001" s="797"/>
      <c r="N1001" s="797"/>
      <c r="O1001" s="797"/>
      <c r="P1001" s="797"/>
      <c r="Q1001" s="797"/>
      <c r="R1001" s="662"/>
      <c r="S1001" s="662"/>
      <c r="T1001" s="662"/>
      <c r="U1001" s="665"/>
      <c r="V1001" s="666"/>
      <c r="W1001" s="662"/>
      <c r="X1001" s="662"/>
      <c r="Y1001" s="662"/>
      <c r="Z1001" s="6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8"/>
      <c r="B1" s="799"/>
      <c r="C1" s="799"/>
      <c r="D1" s="799"/>
      <c r="E1" s="799"/>
      <c r="F1" s="799"/>
      <c r="G1" s="799"/>
      <c r="H1" s="799"/>
      <c r="I1" s="799"/>
      <c r="J1" s="799"/>
      <c r="K1" s="798"/>
      <c r="L1" s="799"/>
      <c r="M1" s="799"/>
      <c r="N1" s="799"/>
      <c r="O1" s="799"/>
      <c r="P1" s="799"/>
      <c r="Q1" s="799"/>
      <c r="R1" s="799"/>
      <c r="S1" s="799"/>
      <c r="T1" s="799"/>
      <c r="U1" s="799"/>
      <c r="V1" s="799"/>
      <c r="W1" s="799"/>
      <c r="X1" s="799"/>
      <c r="Y1" s="799"/>
      <c r="Z1" s="799"/>
      <c r="AA1" s="799"/>
      <c r="AB1" s="799"/>
      <c r="AC1" s="799"/>
      <c r="AD1" s="799"/>
      <c r="AE1" s="799"/>
      <c r="AF1" s="799"/>
      <c r="AG1" s="799"/>
      <c r="AH1" s="799"/>
    </row>
    <row r="2" ht="30.0" customHeight="1">
      <c r="A2" s="798"/>
      <c r="B2" s="800" t="s">
        <v>598</v>
      </c>
      <c r="C2" s="799"/>
      <c r="D2" s="799"/>
      <c r="E2" s="799"/>
      <c r="F2" s="799"/>
      <c r="G2" s="799"/>
      <c r="H2" s="799"/>
      <c r="I2" s="801"/>
      <c r="J2" s="802"/>
      <c r="K2" s="803"/>
      <c r="L2" s="804"/>
      <c r="M2" s="804"/>
      <c r="N2" s="804"/>
      <c r="O2" s="804"/>
      <c r="P2" s="804"/>
      <c r="Q2" s="804"/>
      <c r="R2" s="804"/>
      <c r="S2" s="804"/>
      <c r="T2" s="799"/>
      <c r="U2" s="804"/>
      <c r="V2" s="799"/>
      <c r="W2" s="804"/>
      <c r="X2" s="799"/>
      <c r="Y2" s="804"/>
      <c r="Z2" s="799"/>
      <c r="AA2" s="804"/>
      <c r="AB2" s="799"/>
      <c r="AC2" s="804"/>
      <c r="AD2" s="799"/>
      <c r="AE2" s="799"/>
      <c r="AF2" s="799"/>
      <c r="AG2" s="799"/>
      <c r="AH2" s="799"/>
    </row>
    <row r="3" ht="10.5" customHeight="1">
      <c r="A3" s="798"/>
      <c r="B3" s="799"/>
      <c r="C3" s="799"/>
      <c r="D3" s="799"/>
      <c r="E3" s="799"/>
      <c r="F3" s="799"/>
      <c r="G3" s="799"/>
      <c r="H3" s="799"/>
      <c r="I3" s="801"/>
      <c r="J3" s="802"/>
      <c r="K3" s="798"/>
      <c r="L3" s="799"/>
      <c r="M3" s="799"/>
      <c r="N3" s="799"/>
      <c r="O3" s="799"/>
      <c r="P3" s="799"/>
      <c r="Q3" s="799"/>
      <c r="R3" s="799"/>
      <c r="S3" s="799"/>
      <c r="T3" s="799"/>
      <c r="U3" s="799"/>
      <c r="V3" s="799"/>
      <c r="W3" s="799"/>
      <c r="X3" s="799"/>
      <c r="Y3" s="799"/>
      <c r="Z3" s="799"/>
      <c r="AA3" s="799"/>
      <c r="AB3" s="799"/>
      <c r="AC3" s="799"/>
      <c r="AD3" s="799"/>
      <c r="AE3" s="799"/>
      <c r="AF3" s="799"/>
      <c r="AG3" s="799"/>
      <c r="AH3" s="799"/>
    </row>
    <row r="4" ht="15.75" customHeight="1">
      <c r="A4" s="798"/>
      <c r="B4" s="805" t="s">
        <v>599</v>
      </c>
      <c r="C4" s="806"/>
      <c r="D4" s="807" t="s">
        <v>600</v>
      </c>
      <c r="E4" s="799"/>
      <c r="F4" s="799"/>
      <c r="G4" s="799"/>
      <c r="H4" s="799"/>
      <c r="J4" s="802"/>
      <c r="K4" s="798"/>
      <c r="L4" s="799"/>
      <c r="M4" s="799"/>
      <c r="N4" s="799"/>
      <c r="O4" s="799"/>
      <c r="P4" s="799"/>
      <c r="Q4" s="799"/>
      <c r="R4" s="799"/>
      <c r="S4" s="799"/>
      <c r="T4" s="799"/>
      <c r="U4" s="799"/>
      <c r="V4" s="799"/>
      <c r="W4" s="799"/>
      <c r="X4" s="799"/>
      <c r="Y4" s="799"/>
      <c r="Z4" s="799"/>
      <c r="AA4" s="799"/>
      <c r="AB4" s="799"/>
      <c r="AC4" s="799"/>
      <c r="AD4" s="799"/>
      <c r="AE4" s="799"/>
      <c r="AF4" s="799"/>
      <c r="AG4" s="799"/>
      <c r="AH4" s="799"/>
    </row>
    <row r="5" ht="16.5" customHeight="1">
      <c r="A5" s="798"/>
      <c r="B5" s="808" t="s">
        <v>52</v>
      </c>
      <c r="C5" s="809" t="s">
        <v>84</v>
      </c>
      <c r="D5" s="810"/>
      <c r="E5" s="811" t="b">
        <v>0</v>
      </c>
      <c r="F5" s="809" t="s">
        <v>601</v>
      </c>
      <c r="G5" s="812"/>
      <c r="H5" s="813" t="b">
        <v>0</v>
      </c>
      <c r="J5" s="814"/>
      <c r="K5" s="798"/>
      <c r="L5" s="815" t="s">
        <v>602</v>
      </c>
      <c r="T5" s="814"/>
      <c r="U5" s="816" t="s">
        <v>603</v>
      </c>
      <c r="AC5" s="799"/>
      <c r="AD5" s="817" t="s">
        <v>96</v>
      </c>
      <c r="AE5" s="817" t="s">
        <v>604</v>
      </c>
      <c r="AF5" s="799"/>
      <c r="AG5" s="799"/>
      <c r="AH5" s="799"/>
    </row>
    <row r="6" ht="15.75" customHeight="1">
      <c r="A6" s="798"/>
      <c r="B6" s="44"/>
      <c r="C6" s="44"/>
      <c r="D6" s="44"/>
      <c r="E6" s="44"/>
      <c r="F6" s="44"/>
      <c r="G6" s="44"/>
      <c r="H6" s="44"/>
      <c r="J6" s="814"/>
      <c r="K6" s="798"/>
      <c r="L6" s="818"/>
      <c r="M6" s="818"/>
      <c r="N6" s="818"/>
      <c r="O6" s="818"/>
      <c r="P6" s="818"/>
      <c r="Q6" s="818"/>
      <c r="R6" s="818"/>
      <c r="S6" s="818"/>
      <c r="T6" s="814"/>
      <c r="U6" s="819"/>
      <c r="V6" s="819"/>
      <c r="W6" s="819"/>
      <c r="X6" s="819"/>
      <c r="Y6" s="819"/>
      <c r="Z6" s="819"/>
      <c r="AA6" s="819"/>
      <c r="AB6" s="819"/>
      <c r="AC6" s="799"/>
      <c r="AD6" s="228" t="str">
        <f t="array" ref="AD6">IFERROR(INDEX('💻シート作成'!$D$6:$D205, MATCH(AE6, '💻シート作成'!$E$6:$E205, 0)), "")</f>
        <v/>
      </c>
      <c r="AE6" s="171" t="str">
        <f>IFERROR(__xludf.DUMMYFUNCTION("filter('💻シート作成'!E6:E205,'💻シート作成'!E6:E205&lt;&gt;"""")"),"💭口コミ")</f>
        <v>💭口コミ</v>
      </c>
      <c r="AF6" s="799"/>
      <c r="AG6" s="799"/>
      <c r="AH6" s="799"/>
    </row>
    <row r="7" ht="15.75" customHeight="1">
      <c r="A7" s="798"/>
      <c r="J7" s="814"/>
      <c r="K7" s="798"/>
      <c r="L7" s="820" t="s">
        <v>605</v>
      </c>
      <c r="M7" s="236"/>
      <c r="N7" s="236"/>
      <c r="O7" s="236"/>
      <c r="P7" s="236"/>
      <c r="Q7" s="236"/>
      <c r="R7" s="236"/>
      <c r="S7" s="113"/>
      <c r="T7" s="821" t="s">
        <v>606</v>
      </c>
      <c r="U7" s="822" t="s">
        <v>607</v>
      </c>
      <c r="V7" s="232"/>
      <c r="W7" s="232"/>
      <c r="X7" s="232"/>
      <c r="Y7" s="232"/>
      <c r="Z7" s="232"/>
      <c r="AA7" s="232"/>
      <c r="AB7" s="3"/>
      <c r="AC7" s="799"/>
      <c r="AD7" s="228" t="str">
        <f t="array" ref="AD7">IFERROR(INDEX('💻シート作成'!$D$6:$D205, MATCH(AE7, '💻シート作成'!$E$6:$E205, 0)), "")</f>
        <v/>
      </c>
      <c r="AE7" s="171" t="str">
        <f>IFERROR(__xludf.DUMMYFUNCTION("""COMPUTED_VALUE"""),"🔵クレーム")</f>
        <v>🔵クレーム</v>
      </c>
      <c r="AF7" s="799"/>
      <c r="AG7" s="799"/>
      <c r="AH7" s="799"/>
    </row>
    <row r="8" ht="15.75" customHeight="1">
      <c r="A8" s="798"/>
      <c r="B8" s="823" t="s">
        <v>608</v>
      </c>
      <c r="C8" s="824"/>
      <c r="D8" s="825" t="s">
        <v>51</v>
      </c>
      <c r="E8" s="826" t="str">
        <f>IFERROR(__xludf.DUMMYFUNCTION("IFERROR(INDEX(FILTER($AE$6:$AE$200, $AD$6:$AD$200=$B$5, REGEXMATCH($AE$6:$AE$200, ""集計"")), 1), """")
"),"①R8_2集計")</f>
        <v>①R8_2集計</v>
      </c>
      <c r="F8" s="526"/>
      <c r="G8" s="223"/>
      <c r="H8" s="223"/>
      <c r="I8" s="200"/>
      <c r="J8" s="814"/>
      <c r="K8" s="798"/>
      <c r="L8" s="827"/>
      <c r="M8" s="247"/>
      <c r="N8" s="247"/>
      <c r="O8" s="247"/>
      <c r="P8" s="247"/>
      <c r="Q8" s="247"/>
      <c r="R8" s="247"/>
      <c r="S8" s="250"/>
      <c r="U8" s="827"/>
      <c r="V8" s="247"/>
      <c r="W8" s="247"/>
      <c r="X8" s="247"/>
      <c r="Y8" s="247"/>
      <c r="Z8" s="247"/>
      <c r="AA8" s="247"/>
      <c r="AB8" s="250"/>
      <c r="AC8" s="799"/>
      <c r="AD8" s="228" t="str">
        <f t="array" ref="AD8">IFERROR(INDEX('💻シート作成'!$D$6:$D205, MATCH(AE8, '💻シート作成'!$E$6:$E205, 0)), "")</f>
        <v/>
      </c>
      <c r="AE8" s="171" t="str">
        <f>IFERROR(__xludf.DUMMYFUNCTION("""COMPUTED_VALUE"""),"✅安全チェック")</f>
        <v>✅安全チェック</v>
      </c>
      <c r="AF8" s="799"/>
      <c r="AG8" s="799"/>
      <c r="AH8" s="799"/>
    </row>
    <row r="9" ht="15.75" customHeight="1">
      <c r="A9" s="798"/>
      <c r="B9" s="828" t="s">
        <v>300</v>
      </c>
      <c r="C9" s="829" t="s">
        <v>301</v>
      </c>
      <c r="D9" s="829" t="s">
        <v>302</v>
      </c>
      <c r="E9" s="830" t="s">
        <v>303</v>
      </c>
      <c r="F9" s="830" t="s">
        <v>304</v>
      </c>
      <c r="G9" s="829" t="s">
        <v>308</v>
      </c>
      <c r="H9" s="829" t="s">
        <v>309</v>
      </c>
      <c r="I9" s="830" t="s">
        <v>35</v>
      </c>
      <c r="J9" s="814"/>
      <c r="K9" s="798"/>
      <c r="L9" s="831"/>
      <c r="S9" s="218"/>
      <c r="U9" s="831"/>
      <c r="AB9" s="218"/>
      <c r="AC9" s="799"/>
      <c r="AD9" s="228" t="str">
        <f t="array" ref="AD9">IFERROR(INDEX('💻シート作成'!$D$6:$D205, MATCH(AE9, '💻シート作成'!$E$6:$E205, 0)), "")</f>
        <v/>
      </c>
      <c r="AE9" s="171" t="str">
        <f>IFERROR(__xludf.DUMMYFUNCTION("""COMPUTED_VALUE"""),"👭メイド人数計算")</f>
        <v>👭メイド人数計算</v>
      </c>
      <c r="AF9" s="799"/>
      <c r="AG9" s="799"/>
      <c r="AH9" s="799"/>
    </row>
    <row r="10" ht="15.75" customHeight="1">
      <c r="A10" s="798"/>
      <c r="B10" s="832" t="s">
        <v>314</v>
      </c>
      <c r="C10" s="833">
        <f t="array" ref="C10">INDIRECT($E$8 &amp; "!C8")</f>
        <v>0.1556509123</v>
      </c>
      <c r="D10" s="833">
        <f t="array" ref="D10">INDIRECT($E$8 &amp; "!E8")</f>
        <v>0.6397365986</v>
      </c>
      <c r="E10" s="833">
        <f t="array" ref="E10">INDIRECT($E$8 &amp; "!G8")</f>
        <v>0.8718105736</v>
      </c>
      <c r="F10" s="834">
        <f t="array" ref="F10">INDIRECT($E$8 &amp; "!H8")</f>
        <v>4791800</v>
      </c>
      <c r="G10" s="834">
        <f t="array" ref="G10">INDIRECT($E$8 &amp; "!K8")</f>
        <v>10328</v>
      </c>
      <c r="H10" s="834">
        <f t="array" ref="H10">INDIRECT($E$8 &amp; "!M8")</f>
        <v>745848.0417</v>
      </c>
      <c r="I10" s="833">
        <f t="array" ref="I10">INDIRECT($E$8 &amp; "!AT7")</f>
        <v>0.001428863033</v>
      </c>
      <c r="J10" s="814"/>
      <c r="K10" s="798"/>
      <c r="L10" s="831"/>
      <c r="S10" s="218"/>
      <c r="U10" s="831"/>
      <c r="AB10" s="218"/>
      <c r="AC10" s="799"/>
      <c r="AD10" s="228" t="str">
        <f t="array" ref="AD10">IFERROR(INDEX('💻シート作成'!$D$6:$D205, MATCH(AE10, '💻シート作成'!$E$6:$E205, 0)), "")</f>
        <v>1月</v>
      </c>
      <c r="AE10" s="172" t="str">
        <f>IFERROR(__xludf.DUMMYFUNCTION("""COMPUTED_VALUE"""),"①R9_1集計")</f>
        <v>①R9_1集計</v>
      </c>
      <c r="AF10" s="799"/>
      <c r="AG10" s="799"/>
      <c r="AH10" s="799"/>
    </row>
    <row r="11" ht="15.75" customHeight="1">
      <c r="A11" s="798"/>
      <c r="B11" s="835" t="s">
        <v>36</v>
      </c>
      <c r="C11" s="836">
        <f t="array" ref="C11">INDIRECT($E$8 &amp; "!C7")</f>
        <v>0.2560644624</v>
      </c>
      <c r="D11" s="837"/>
      <c r="E11" s="838"/>
      <c r="F11" s="839">
        <f t="array" ref="F11">INDIRECT($E$8 &amp; "!H7")</f>
        <v>4642325</v>
      </c>
      <c r="G11" s="837"/>
      <c r="H11" s="840">
        <f t="array" ref="H11">INDIRECT($E$8 &amp; "!M7")</f>
        <v>1188734.455</v>
      </c>
      <c r="I11" s="841">
        <v>0.0015</v>
      </c>
      <c r="J11" s="842"/>
      <c r="K11" s="798"/>
      <c r="L11" s="831"/>
      <c r="S11" s="218"/>
      <c r="U11" s="831"/>
      <c r="AB11" s="218"/>
      <c r="AC11" s="799"/>
      <c r="AD11" s="228" t="str">
        <f t="array" ref="AD11">IFERROR(INDEX('💻シート作成'!$D$6:$D205, MATCH(AE11, '💻シート作成'!$E$6:$E205, 0)), "")</f>
        <v>1月</v>
      </c>
      <c r="AE11" s="172" t="str">
        <f>IFERROR(__xludf.DUMMYFUNCTION("""COMPUTED_VALUE"""),"②R9_1シフト")</f>
        <v>②R9_1シフト</v>
      </c>
      <c r="AF11" s="799"/>
      <c r="AG11" s="799"/>
      <c r="AH11" s="799"/>
    </row>
    <row r="12" ht="15.75" customHeight="1">
      <c r="A12" s="798"/>
      <c r="B12" s="200"/>
      <c r="C12" s="200"/>
      <c r="D12" s="200"/>
      <c r="E12" s="200"/>
      <c r="F12" s="200"/>
      <c r="G12" s="200"/>
      <c r="H12" s="200"/>
      <c r="I12" s="799"/>
      <c r="J12" s="842"/>
      <c r="K12" s="798"/>
      <c r="L12" s="831"/>
      <c r="S12" s="218"/>
      <c r="U12" s="831"/>
      <c r="AB12" s="218"/>
      <c r="AC12" s="799"/>
      <c r="AD12" s="228" t="str">
        <f t="array" ref="AD12">IFERROR(INDEX('💻シート作成'!$D$6:$D205, MATCH(AE12, '💻シート作成'!$E$6:$E205, 0)), "")</f>
        <v>1月</v>
      </c>
      <c r="AE12" s="172" t="str">
        <f>IFERROR(__xludf.DUMMYFUNCTION("""COMPUTED_VALUE"""),"③R9_1日報")</f>
        <v>③R9_1日報</v>
      </c>
      <c r="AF12" s="799"/>
      <c r="AG12" s="799"/>
      <c r="AH12" s="799"/>
    </row>
    <row r="13" ht="15.75" customHeight="1">
      <c r="A13" s="798"/>
      <c r="B13" s="843" t="s">
        <v>609</v>
      </c>
      <c r="C13" s="844"/>
      <c r="D13" s="845" t="s">
        <v>51</v>
      </c>
      <c r="E13" s="846" t="s">
        <v>610</v>
      </c>
      <c r="F13" s="200"/>
      <c r="G13" s="200"/>
      <c r="H13" s="847" t="s">
        <v>35</v>
      </c>
      <c r="I13" s="848">
        <f t="array" ref="I13">xlookup($B$5,'🔵クレーム'!$C$10:$C$21,'🔵クレーム'!X$10:X$21)</f>
        <v>0.001588021779</v>
      </c>
      <c r="J13" s="842"/>
      <c r="K13" s="798"/>
      <c r="L13" s="831"/>
      <c r="S13" s="218"/>
      <c r="U13" s="831"/>
      <c r="AB13" s="218"/>
      <c r="AC13" s="799"/>
      <c r="AD13" s="228" t="str">
        <f t="array" ref="AD13">IFERROR(INDEX('💻シート作成'!$D$6:$D205, MATCH(AE13, '💻シート作成'!$E$6:$E205, 0)), "")</f>
        <v>1月</v>
      </c>
      <c r="AE13" s="172" t="str">
        <f>IFERROR(__xludf.DUMMYFUNCTION("""COMPUTED_VALUE"""),"④R9_1月報")</f>
        <v>④R9_1月報</v>
      </c>
      <c r="AF13" s="799"/>
      <c r="AG13" s="799"/>
      <c r="AH13" s="799"/>
    </row>
    <row r="14" ht="15.75" customHeight="1">
      <c r="A14" s="798"/>
      <c r="B14" s="830" t="s">
        <v>23</v>
      </c>
      <c r="C14" s="830" t="s">
        <v>24</v>
      </c>
      <c r="D14" s="849" t="s">
        <v>25</v>
      </c>
      <c r="E14" s="849" t="s">
        <v>38</v>
      </c>
      <c r="F14" s="830" t="s">
        <v>39</v>
      </c>
      <c r="G14" s="830" t="s">
        <v>40</v>
      </c>
      <c r="H14" s="830" t="s">
        <v>41</v>
      </c>
      <c r="I14" s="850" t="s">
        <v>611</v>
      </c>
      <c r="J14" s="842"/>
      <c r="K14" s="798"/>
      <c r="L14" s="831"/>
      <c r="S14" s="218"/>
      <c r="U14" s="831"/>
      <c r="AB14" s="218"/>
      <c r="AC14" s="799"/>
      <c r="AD14" s="228" t="str">
        <f t="array" ref="AD14">IFERROR(INDEX('💻シート作成'!$D$6:$D205, MATCH(AE14, '💻シート作成'!$E$6:$E205, 0)), "")</f>
        <v>12月</v>
      </c>
      <c r="AE14" s="172" t="str">
        <f>IFERROR(__xludf.DUMMYFUNCTION("""COMPUTED_VALUE"""),"①R8_12集計")</f>
        <v>①R8_12集計</v>
      </c>
      <c r="AF14" s="799"/>
      <c r="AG14" s="799"/>
      <c r="AH14" s="799"/>
    </row>
    <row r="15" ht="15.75" customHeight="1">
      <c r="A15" s="798"/>
      <c r="B15" s="851">
        <f t="array" ref="B15">xlookup($B$5,'🔵クレーム'!$C$10:$C$21,'🔵クレーム'!D$10:D$21)</f>
        <v>0</v>
      </c>
      <c r="C15" s="851">
        <f t="array" ref="C15">xlookup($B$5,'🔵クレーム'!$C$10:$C$21,'🔵クレーム'!E$10:E$21)</f>
        <v>0</v>
      </c>
      <c r="D15" s="851">
        <f t="array" ref="D15">xlookup($B$5,'🔵クレーム'!$C$10:$C$21,'🔵クレーム'!F$10:F$21)</f>
        <v>0</v>
      </c>
      <c r="E15" s="851">
        <f t="array" ref="E15">xlookup($B$5,'🔵クレーム'!$C$10:$C$21,'🔵クレーム'!G$10:G$21)</f>
        <v>1</v>
      </c>
      <c r="F15" s="851">
        <f t="array" ref="F15">xlookup($B$5,'🔵クレーム'!$C$10:$C$21,'🔵クレーム'!H$10:H$21)</f>
        <v>1</v>
      </c>
      <c r="G15" s="851">
        <f t="array" ref="G15">xlookup($B$5,'🔵クレーム'!$C$10:$C$21,'🔵クレーム'!I$10:I$21)</f>
        <v>2</v>
      </c>
      <c r="H15" s="851">
        <f t="array" ref="H15">xlookup($B$5,'🔵クレーム'!$C$10:$C$21,'🔵クレーム'!J$10:J$21)</f>
        <v>0</v>
      </c>
      <c r="I15" s="852"/>
      <c r="J15" s="842"/>
      <c r="K15" s="798"/>
      <c r="L15" s="831"/>
      <c r="S15" s="218"/>
      <c r="U15" s="831"/>
      <c r="AB15" s="218"/>
      <c r="AC15" s="799"/>
      <c r="AD15" s="228" t="str">
        <f t="array" ref="AD15">IFERROR(INDEX('💻シート作成'!$D$6:$D205, MATCH(AE15, '💻シート作成'!$E$6:$E205, 0)), "")</f>
        <v>12月</v>
      </c>
      <c r="AE15" s="172" t="str">
        <f>IFERROR(__xludf.DUMMYFUNCTION("""COMPUTED_VALUE"""),"②R8_12シフト")</f>
        <v>②R8_12シフト</v>
      </c>
      <c r="AF15" s="799"/>
      <c r="AG15" s="799"/>
      <c r="AH15" s="799"/>
    </row>
    <row r="16" ht="15.75" customHeight="1">
      <c r="A16" s="798"/>
      <c r="B16" s="830" t="s">
        <v>42</v>
      </c>
      <c r="C16" s="830" t="s">
        <v>43</v>
      </c>
      <c r="D16" s="849" t="s">
        <v>44</v>
      </c>
      <c r="E16" s="849" t="s">
        <v>45</v>
      </c>
      <c r="F16" s="830" t="s">
        <v>46</v>
      </c>
      <c r="G16" s="830" t="s">
        <v>30</v>
      </c>
      <c r="H16" s="853"/>
      <c r="I16" s="854">
        <f>sum(B15:H17)</f>
        <v>7</v>
      </c>
      <c r="J16" s="842"/>
      <c r="K16" s="798"/>
      <c r="L16" s="831"/>
      <c r="S16" s="218"/>
      <c r="U16" s="831"/>
      <c r="AB16" s="218"/>
      <c r="AC16" s="799"/>
      <c r="AD16" s="228" t="str">
        <f t="array" ref="AD16">IFERROR(INDEX('💻シート作成'!$D$6:$D205, MATCH(AE16, '💻シート作成'!$E$6:$E205, 0)), "")</f>
        <v>12月</v>
      </c>
      <c r="AE16" s="172" t="str">
        <f>IFERROR(__xludf.DUMMYFUNCTION("""COMPUTED_VALUE"""),"③R8_12日報")</f>
        <v>③R8_12日報</v>
      </c>
      <c r="AF16" s="799"/>
      <c r="AG16" s="799"/>
      <c r="AH16" s="799"/>
    </row>
    <row r="17" ht="15.75" customHeight="1">
      <c r="A17" s="798"/>
      <c r="B17" s="851">
        <f t="array" ref="B17">xlookup($B$5,'🔵クレーム'!$C$10:$C$21,'🔵クレーム'!K$10:K$21)</f>
        <v>0</v>
      </c>
      <c r="C17" s="851">
        <f t="array" ref="C17">xlookup($B$5,'🔵クレーム'!$C$10:$C$21,'🔵クレーム'!L$10:L$21)</f>
        <v>1</v>
      </c>
      <c r="D17" s="851">
        <f t="array" ref="D17">xlookup($B$5,'🔵クレーム'!$C$10:$C$21,'🔵クレーム'!M$10:M$21)</f>
        <v>0</v>
      </c>
      <c r="E17" s="851">
        <f t="array" ref="E17">xlookup($B$5,'🔵クレーム'!$C$10:$C$21,'🔵クレーム'!N$10:N$21)</f>
        <v>0</v>
      </c>
      <c r="F17" s="851">
        <f t="array" ref="F17">xlookup($B$5,'🔵クレーム'!$C$10:$C$21,'🔵クレーム'!P$10:P$21)</f>
        <v>0</v>
      </c>
      <c r="G17" s="851">
        <f t="array" ref="G17">xlookup($B$5,'🔵クレーム'!$C$10:$C$21,'🔵クレーム'!R$10:R$21)</f>
        <v>2</v>
      </c>
      <c r="H17" s="855"/>
      <c r="I17" s="856"/>
      <c r="J17" s="842"/>
      <c r="K17" s="798"/>
      <c r="L17" s="831"/>
      <c r="S17" s="218"/>
      <c r="U17" s="831"/>
      <c r="AB17" s="218"/>
      <c r="AC17" s="799"/>
      <c r="AD17" s="228" t="str">
        <f t="array" ref="AD17">IFERROR(INDEX('💻シート作成'!$D$6:$D205, MATCH(AE17, '💻シート作成'!$E$6:$E205, 0)), "")</f>
        <v>12月</v>
      </c>
      <c r="AE17" s="172" t="str">
        <f>IFERROR(__xludf.DUMMYFUNCTION("""COMPUTED_VALUE"""),"④R8_12月報")</f>
        <v>④R8_12月報</v>
      </c>
      <c r="AF17" s="799"/>
      <c r="AG17" s="799"/>
      <c r="AH17" s="799"/>
    </row>
    <row r="18" ht="15.75" customHeight="1">
      <c r="A18" s="798"/>
      <c r="B18" s="200"/>
      <c r="C18" s="200"/>
      <c r="D18" s="200"/>
      <c r="E18" s="200"/>
      <c r="F18" s="200"/>
      <c r="G18" s="200"/>
      <c r="H18" s="200"/>
      <c r="I18" s="200"/>
      <c r="J18" s="842"/>
      <c r="K18" s="798"/>
      <c r="L18" s="831"/>
      <c r="S18" s="218"/>
      <c r="U18" s="831"/>
      <c r="AB18" s="218"/>
      <c r="AC18" s="799"/>
      <c r="AD18" s="228" t="str">
        <f t="array" ref="AD18">IFERROR(INDEX('💻シート作成'!$D$6:$D205, MATCH(AE18, '💻シート作成'!$E$6:$E205, 0)), "")</f>
        <v>11月</v>
      </c>
      <c r="AE18" s="172" t="str">
        <f>IFERROR(__xludf.DUMMYFUNCTION("""COMPUTED_VALUE"""),"①R8_11集計")</f>
        <v>①R8_11集計</v>
      </c>
      <c r="AF18" s="799"/>
      <c r="AG18" s="799"/>
      <c r="AH18" s="799"/>
    </row>
    <row r="19" ht="15.75" customHeight="1">
      <c r="A19" s="798"/>
      <c r="B19" s="857" t="s">
        <v>612</v>
      </c>
      <c r="C19" s="858"/>
      <c r="D19" s="859"/>
      <c r="E19" s="860"/>
      <c r="F19" s="860"/>
      <c r="G19" s="860"/>
      <c r="H19" s="860"/>
      <c r="I19" s="200"/>
      <c r="J19" s="814"/>
      <c r="K19" s="798"/>
      <c r="L19" s="600"/>
      <c r="M19" s="236"/>
      <c r="N19" s="236"/>
      <c r="O19" s="236"/>
      <c r="P19" s="236"/>
      <c r="Q19" s="236"/>
      <c r="R19" s="236"/>
      <c r="S19" s="113"/>
      <c r="U19" s="600"/>
      <c r="V19" s="236"/>
      <c r="W19" s="236"/>
      <c r="X19" s="236"/>
      <c r="Y19" s="236"/>
      <c r="Z19" s="236"/>
      <c r="AA19" s="236"/>
      <c r="AB19" s="113"/>
      <c r="AC19" s="799"/>
      <c r="AD19" s="228" t="str">
        <f t="array" ref="AD19">IFERROR(INDEX('💻シート作成'!$D$6:$D205, MATCH(AE19, '💻シート作成'!$E$6:$E205, 0)), "")</f>
        <v>11月</v>
      </c>
      <c r="AE19" s="172" t="str">
        <f>IFERROR(__xludf.DUMMYFUNCTION("""COMPUTED_VALUE"""),"②R8_11シフト")</f>
        <v>②R8_11シフト</v>
      </c>
      <c r="AF19" s="799"/>
      <c r="AG19" s="799"/>
      <c r="AH19" s="799"/>
    </row>
    <row r="20" ht="15.75" customHeight="1">
      <c r="A20" s="798"/>
      <c r="B20" s="830" t="s">
        <v>613</v>
      </c>
      <c r="C20" s="830" t="s">
        <v>614</v>
      </c>
      <c r="D20" s="830" t="s">
        <v>89</v>
      </c>
      <c r="E20" s="830" t="s">
        <v>90</v>
      </c>
      <c r="F20" s="830" t="s">
        <v>615</v>
      </c>
      <c r="G20" s="830" t="s">
        <v>135</v>
      </c>
      <c r="H20" s="830" t="s">
        <v>135</v>
      </c>
      <c r="I20" s="830" t="s">
        <v>616</v>
      </c>
      <c r="J20" s="814"/>
      <c r="K20" s="798"/>
      <c r="L20" s="861"/>
      <c r="M20" s="861"/>
      <c r="N20" s="861"/>
      <c r="O20" s="861"/>
      <c r="P20" s="861"/>
      <c r="Q20" s="861"/>
      <c r="R20" s="861"/>
      <c r="S20" s="861"/>
      <c r="T20" s="814"/>
      <c r="U20" s="861"/>
      <c r="V20" s="861"/>
      <c r="W20" s="861"/>
      <c r="X20" s="861"/>
      <c r="Y20" s="861"/>
      <c r="Z20" s="861"/>
      <c r="AA20" s="861"/>
      <c r="AB20" s="861"/>
      <c r="AC20" s="799"/>
      <c r="AD20" s="228" t="str">
        <f t="array" ref="AD20">IFERROR(INDEX('💻シート作成'!$D$6:$D205, MATCH(AE20, '💻シート作成'!$E$6:$E205, 0)), "")</f>
        <v>11月</v>
      </c>
      <c r="AE20" s="172" t="str">
        <f>IFERROR(__xludf.DUMMYFUNCTION("""COMPUTED_VALUE"""),"③R8_11日報")</f>
        <v>③R8_11日報</v>
      </c>
      <c r="AF20" s="799"/>
      <c r="AG20" s="799"/>
      <c r="AH20" s="799"/>
    </row>
    <row r="21" ht="15.75" customHeight="1">
      <c r="A21" s="798"/>
      <c r="B21" s="862"/>
      <c r="C21" s="862"/>
      <c r="D21" s="862"/>
      <c r="E21" s="862"/>
      <c r="F21" s="863"/>
      <c r="G21" s="863"/>
      <c r="H21" s="863"/>
      <c r="I21" s="864">
        <f>sum(B21:G21)</f>
        <v>0</v>
      </c>
      <c r="J21" s="814"/>
      <c r="K21" s="798"/>
      <c r="L21" s="865" t="s">
        <v>617</v>
      </c>
      <c r="M21" s="232"/>
      <c r="N21" s="232"/>
      <c r="O21" s="232"/>
      <c r="P21" s="232"/>
      <c r="Q21" s="232"/>
      <c r="R21" s="232"/>
      <c r="S21" s="3"/>
      <c r="T21" s="821" t="s">
        <v>606</v>
      </c>
      <c r="U21" s="822" t="s">
        <v>618</v>
      </c>
      <c r="V21" s="232"/>
      <c r="W21" s="232"/>
      <c r="X21" s="232"/>
      <c r="Y21" s="232"/>
      <c r="Z21" s="232"/>
      <c r="AA21" s="232"/>
      <c r="AB21" s="3"/>
      <c r="AC21" s="799"/>
      <c r="AD21" s="228" t="str">
        <f t="array" ref="AD21">IFERROR(INDEX('💻シート作成'!$D$6:$D205, MATCH(AE21, '💻シート作成'!$E$6:$E205, 0)), "")</f>
        <v>11月</v>
      </c>
      <c r="AE21" s="172" t="str">
        <f>IFERROR(__xludf.DUMMYFUNCTION("""COMPUTED_VALUE"""),"④R8_11月報")</f>
        <v>④R8_11月報</v>
      </c>
      <c r="AF21" s="799"/>
      <c r="AG21" s="799"/>
      <c r="AH21" s="799"/>
    </row>
    <row r="22" ht="15.75" customHeight="1">
      <c r="A22" s="798"/>
      <c r="B22" s="857"/>
      <c r="C22" s="232"/>
      <c r="D22" s="232"/>
      <c r="E22" s="232"/>
      <c r="F22" s="232"/>
      <c r="G22" s="232"/>
      <c r="H22" s="232"/>
      <c r="I22" s="3"/>
      <c r="J22" s="814"/>
      <c r="K22" s="798"/>
      <c r="L22" s="827"/>
      <c r="M22" s="247"/>
      <c r="N22" s="247"/>
      <c r="O22" s="247"/>
      <c r="P22" s="247"/>
      <c r="Q22" s="247"/>
      <c r="R22" s="247"/>
      <c r="S22" s="250"/>
      <c r="U22" s="827"/>
      <c r="V22" s="247"/>
      <c r="W22" s="247"/>
      <c r="X22" s="247"/>
      <c r="Y22" s="247"/>
      <c r="Z22" s="247"/>
      <c r="AA22" s="247"/>
      <c r="AB22" s="250"/>
      <c r="AC22" s="799"/>
      <c r="AD22" s="228" t="str">
        <f t="array" ref="AD22">IFERROR(INDEX('💻シート作成'!$D$6:$D205, MATCH(AE22, '💻シート作成'!$E$6:$E205, 0)), "")</f>
        <v>10月</v>
      </c>
      <c r="AE22" s="172" t="str">
        <f>IFERROR(__xludf.DUMMYFUNCTION("""COMPUTED_VALUE"""),"①R8_10集計")</f>
        <v>①R8_10集計</v>
      </c>
      <c r="AF22" s="799"/>
      <c r="AG22" s="799"/>
      <c r="AH22" s="799"/>
    </row>
    <row r="23" ht="15.75" customHeight="1">
      <c r="A23" s="798"/>
      <c r="B23" s="200"/>
      <c r="C23" s="200"/>
      <c r="D23" s="200"/>
      <c r="E23" s="200"/>
      <c r="F23" s="200"/>
      <c r="G23" s="200"/>
      <c r="H23" s="200"/>
      <c r="I23" s="200"/>
      <c r="J23" s="814"/>
      <c r="K23" s="798"/>
      <c r="L23" s="831"/>
      <c r="S23" s="218"/>
      <c r="U23" s="831"/>
      <c r="AB23" s="218"/>
      <c r="AC23" s="799"/>
      <c r="AD23" s="228" t="str">
        <f t="array" ref="AD23">IFERROR(INDEX('💻シート作成'!$D$6:$D205, MATCH(AE23, '💻シート作成'!$E$6:$E205, 0)), "")</f>
        <v>10月</v>
      </c>
      <c r="AE23" s="172" t="str">
        <f>IFERROR(__xludf.DUMMYFUNCTION("""COMPUTED_VALUE"""),"②R8_10シフト")</f>
        <v>②R8_10シフト</v>
      </c>
      <c r="AF23" s="799"/>
      <c r="AG23" s="799"/>
      <c r="AH23" s="799"/>
    </row>
    <row r="24" ht="15.75" customHeight="1">
      <c r="A24" s="798"/>
      <c r="B24" s="866" t="s">
        <v>619</v>
      </c>
      <c r="C24" s="867"/>
      <c r="D24" s="868"/>
      <c r="E24" s="860"/>
      <c r="F24" s="860"/>
      <c r="G24" s="860"/>
      <c r="H24" s="860"/>
      <c r="I24" s="799"/>
      <c r="J24" s="814"/>
      <c r="K24" s="798"/>
      <c r="L24" s="831"/>
      <c r="S24" s="218"/>
      <c r="U24" s="831"/>
      <c r="AB24" s="218"/>
      <c r="AC24" s="799"/>
      <c r="AD24" s="228" t="str">
        <f t="array" ref="AD24">IFERROR(INDEX('💻シート作成'!$D$6:$D205, MATCH(AE24, '💻シート作成'!$E$6:$E205, 0)), "")</f>
        <v>10月</v>
      </c>
      <c r="AE24" s="172" t="str">
        <f>IFERROR(__xludf.DUMMYFUNCTION("""COMPUTED_VALUE"""),"③R8_10日報")</f>
        <v>③R8_10日報</v>
      </c>
      <c r="AF24" s="799"/>
      <c r="AG24" s="799"/>
      <c r="AH24" s="799"/>
    </row>
    <row r="25" ht="15.75" customHeight="1">
      <c r="A25" s="798"/>
      <c r="B25" s="869" t="s">
        <v>620</v>
      </c>
      <c r="C25" s="870" t="s">
        <v>621</v>
      </c>
      <c r="D25" s="3"/>
      <c r="E25" s="870" t="s">
        <v>622</v>
      </c>
      <c r="F25" s="232"/>
      <c r="G25" s="232"/>
      <c r="H25" s="870" t="s">
        <v>623</v>
      </c>
      <c r="I25" s="3"/>
      <c r="J25" s="814"/>
      <c r="K25" s="798"/>
      <c r="L25" s="831"/>
      <c r="S25" s="218"/>
      <c r="U25" s="831"/>
      <c r="AB25" s="218"/>
      <c r="AC25" s="799"/>
      <c r="AD25" s="228" t="str">
        <f t="array" ref="AD25">IFERROR(INDEX('💻シート作成'!$D$6:$D205, MATCH(AE25, '💻シート作成'!$E$6:$E205, 0)), "")</f>
        <v>10月</v>
      </c>
      <c r="AE25" s="172" t="str">
        <f>IFERROR(__xludf.DUMMYFUNCTION("""COMPUTED_VALUE"""),"④R8_10月報")</f>
        <v>④R8_10月報</v>
      </c>
      <c r="AF25" s="799"/>
      <c r="AG25" s="799"/>
      <c r="AH25" s="799"/>
    </row>
    <row r="26" ht="15.75" customHeight="1">
      <c r="A26" s="798"/>
      <c r="B26" s="871"/>
      <c r="C26" s="872"/>
      <c r="D26" s="3"/>
      <c r="E26" s="872"/>
      <c r="F26" s="232"/>
      <c r="G26" s="232"/>
      <c r="H26" s="873"/>
      <c r="I26" s="3"/>
      <c r="J26" s="814"/>
      <c r="K26" s="798"/>
      <c r="L26" s="831"/>
      <c r="S26" s="218"/>
      <c r="U26" s="831"/>
      <c r="AB26" s="218"/>
      <c r="AC26" s="799"/>
      <c r="AD26" s="228" t="str">
        <f t="array" ref="AD26">IFERROR(INDEX('💻シート作成'!$D$6:$D205, MATCH(AE26, '💻シート作成'!$E$6:$E205, 0)), "")</f>
        <v>9月</v>
      </c>
      <c r="AE26" s="172" t="str">
        <f>IFERROR(__xludf.DUMMYFUNCTION("""COMPUTED_VALUE"""),"①R8_9集計")</f>
        <v>①R8_9集計</v>
      </c>
      <c r="AF26" s="799"/>
      <c r="AG26" s="799"/>
      <c r="AH26" s="799"/>
    </row>
    <row r="27" ht="15.75" customHeight="1">
      <c r="A27" s="798"/>
      <c r="B27" s="871"/>
      <c r="C27" s="872"/>
      <c r="D27" s="3"/>
      <c r="E27" s="872"/>
      <c r="F27" s="232"/>
      <c r="G27" s="232"/>
      <c r="H27" s="873"/>
      <c r="I27" s="3"/>
      <c r="J27" s="814"/>
      <c r="K27" s="798"/>
      <c r="L27" s="831"/>
      <c r="S27" s="218"/>
      <c r="U27" s="831"/>
      <c r="AB27" s="218"/>
      <c r="AC27" s="799"/>
      <c r="AD27" s="228" t="str">
        <f t="array" ref="AD27">IFERROR(INDEX('💻シート作成'!$D$6:$D205, MATCH(AE27, '💻シート作成'!$E$6:$E205, 0)), "")</f>
        <v>9月</v>
      </c>
      <c r="AE27" s="172" t="str">
        <f>IFERROR(__xludf.DUMMYFUNCTION("""COMPUTED_VALUE"""),"②R8_9シフト")</f>
        <v>②R8_9シフト</v>
      </c>
      <c r="AF27" s="799"/>
      <c r="AG27" s="799"/>
      <c r="AH27" s="799"/>
    </row>
    <row r="28" ht="15.75" customHeight="1">
      <c r="A28" s="798"/>
      <c r="B28" s="871"/>
      <c r="C28" s="872"/>
      <c r="D28" s="3"/>
      <c r="E28" s="872"/>
      <c r="F28" s="232"/>
      <c r="G28" s="232"/>
      <c r="H28" s="873"/>
      <c r="I28" s="3"/>
      <c r="J28" s="814"/>
      <c r="K28" s="798"/>
      <c r="L28" s="831"/>
      <c r="S28" s="218"/>
      <c r="U28" s="831"/>
      <c r="AB28" s="218"/>
      <c r="AC28" s="799"/>
      <c r="AD28" s="228" t="str">
        <f t="array" ref="AD28">IFERROR(INDEX('💻シート作成'!$D$6:$D205, MATCH(AE28, '💻シート作成'!$E$6:$E205, 0)), "")</f>
        <v>9月</v>
      </c>
      <c r="AE28" s="172" t="str">
        <f>IFERROR(__xludf.DUMMYFUNCTION("""COMPUTED_VALUE"""),"③R8_9日報")</f>
        <v>③R8_9日報</v>
      </c>
      <c r="AF28" s="799"/>
      <c r="AG28" s="799"/>
      <c r="AH28" s="799"/>
    </row>
    <row r="29" ht="15.75" customHeight="1">
      <c r="A29" s="798"/>
      <c r="B29" s="871"/>
      <c r="C29" s="872"/>
      <c r="D29" s="3"/>
      <c r="E29" s="872"/>
      <c r="F29" s="232"/>
      <c r="G29" s="232"/>
      <c r="H29" s="873"/>
      <c r="I29" s="3"/>
      <c r="J29" s="842"/>
      <c r="K29" s="798"/>
      <c r="L29" s="831"/>
      <c r="S29" s="218"/>
      <c r="U29" s="831"/>
      <c r="AB29" s="218"/>
      <c r="AC29" s="799"/>
      <c r="AD29" s="228" t="str">
        <f t="array" ref="AD29">IFERROR(INDEX('💻シート作成'!$D$6:$D205, MATCH(AE29, '💻シート作成'!$E$6:$E205, 0)), "")</f>
        <v>9月</v>
      </c>
      <c r="AE29" s="172" t="str">
        <f>IFERROR(__xludf.DUMMYFUNCTION("""COMPUTED_VALUE"""),"④R8_9月報")</f>
        <v>④R8_9月報</v>
      </c>
      <c r="AF29" s="799"/>
      <c r="AG29" s="799"/>
      <c r="AH29" s="799"/>
    </row>
    <row r="30" ht="15.75" customHeight="1">
      <c r="A30" s="798"/>
      <c r="B30" s="871"/>
      <c r="C30" s="872"/>
      <c r="D30" s="3"/>
      <c r="E30" s="872"/>
      <c r="F30" s="232"/>
      <c r="G30" s="232"/>
      <c r="H30" s="873"/>
      <c r="I30" s="3"/>
      <c r="J30" s="842"/>
      <c r="K30" s="798"/>
      <c r="L30" s="831"/>
      <c r="S30" s="218"/>
      <c r="U30" s="831"/>
      <c r="AB30" s="218"/>
      <c r="AC30" s="799"/>
      <c r="AD30" s="228" t="str">
        <f t="array" ref="AD30">IFERROR(INDEX('💻シート作成'!$D$6:$D205, MATCH(AE30, '💻シート作成'!$E$6:$E205, 0)), "")</f>
        <v>8月</v>
      </c>
      <c r="AE30" s="172" t="str">
        <f>IFERROR(__xludf.DUMMYFUNCTION("""COMPUTED_VALUE"""),"①R8_8集計")</f>
        <v>①R8_8集計</v>
      </c>
      <c r="AF30" s="799"/>
      <c r="AG30" s="799"/>
      <c r="AH30" s="799"/>
    </row>
    <row r="31" ht="15.75" customHeight="1">
      <c r="A31" s="798"/>
      <c r="B31" s="871"/>
      <c r="C31" s="872"/>
      <c r="D31" s="3"/>
      <c r="E31" s="872"/>
      <c r="F31" s="232"/>
      <c r="G31" s="232"/>
      <c r="H31" s="873"/>
      <c r="I31" s="3"/>
      <c r="J31" s="842"/>
      <c r="K31" s="798"/>
      <c r="L31" s="831"/>
      <c r="S31" s="218"/>
      <c r="U31" s="831"/>
      <c r="AB31" s="218"/>
      <c r="AC31" s="799"/>
      <c r="AD31" s="228" t="str">
        <f t="array" ref="AD31">IFERROR(INDEX('💻シート作成'!$D$6:$D205, MATCH(AE31, '💻シート作成'!$E$6:$E205, 0)), "")</f>
        <v>8月</v>
      </c>
      <c r="AE31" s="172" t="str">
        <f>IFERROR(__xludf.DUMMYFUNCTION("""COMPUTED_VALUE"""),"②R8_8シフト")</f>
        <v>②R8_8シフト</v>
      </c>
      <c r="AF31" s="799"/>
      <c r="AG31" s="799"/>
      <c r="AH31" s="799"/>
    </row>
    <row r="32" ht="15.75" customHeight="1">
      <c r="A32" s="798"/>
      <c r="B32" s="871"/>
      <c r="C32" s="872"/>
      <c r="D32" s="3"/>
      <c r="E32" s="872"/>
      <c r="F32" s="232"/>
      <c r="G32" s="232"/>
      <c r="H32" s="873"/>
      <c r="I32" s="3"/>
      <c r="J32" s="814"/>
      <c r="K32" s="798"/>
      <c r="L32" s="831"/>
      <c r="S32" s="218"/>
      <c r="U32" s="831"/>
      <c r="AB32" s="218"/>
      <c r="AC32" s="799"/>
      <c r="AD32" s="228" t="str">
        <f t="array" ref="AD32">IFERROR(INDEX('💻シート作成'!$D$6:$D205, MATCH(AE32, '💻シート作成'!$E$6:$E205, 0)), "")</f>
        <v>8月</v>
      </c>
      <c r="AE32" s="172" t="str">
        <f>IFERROR(__xludf.DUMMYFUNCTION("""COMPUTED_VALUE"""),"③R8_8日報")</f>
        <v>③R8_8日報</v>
      </c>
      <c r="AF32" s="799"/>
      <c r="AG32" s="799"/>
      <c r="AH32" s="799"/>
    </row>
    <row r="33" ht="15.75" customHeight="1">
      <c r="A33" s="798"/>
      <c r="B33" s="871"/>
      <c r="C33" s="872"/>
      <c r="D33" s="3"/>
      <c r="E33" s="872"/>
      <c r="F33" s="232"/>
      <c r="G33" s="232"/>
      <c r="H33" s="873"/>
      <c r="I33" s="3"/>
      <c r="J33" s="814"/>
      <c r="K33" s="798"/>
      <c r="L33" s="600"/>
      <c r="M33" s="236"/>
      <c r="N33" s="236"/>
      <c r="O33" s="236"/>
      <c r="P33" s="236"/>
      <c r="Q33" s="236"/>
      <c r="R33" s="236"/>
      <c r="S33" s="113"/>
      <c r="U33" s="600"/>
      <c r="V33" s="236"/>
      <c r="W33" s="236"/>
      <c r="X33" s="236"/>
      <c r="Y33" s="236"/>
      <c r="Z33" s="236"/>
      <c r="AA33" s="236"/>
      <c r="AB33" s="113"/>
      <c r="AC33" s="799"/>
      <c r="AD33" s="228" t="str">
        <f t="array" ref="AD33">IFERROR(INDEX('💻シート作成'!$D$6:$D205, MATCH(AE33, '💻シート作成'!$E$6:$E205, 0)), "")</f>
        <v>8月</v>
      </c>
      <c r="AE33" s="172" t="str">
        <f>IFERROR(__xludf.DUMMYFUNCTION("""COMPUTED_VALUE"""),"④R8_8月報")</f>
        <v>④R8_8月報</v>
      </c>
      <c r="AF33" s="799"/>
      <c r="AG33" s="799"/>
      <c r="AH33" s="799"/>
    </row>
    <row r="34" ht="15.75" customHeight="1">
      <c r="A34" s="798"/>
      <c r="B34" s="871"/>
      <c r="C34" s="872"/>
      <c r="D34" s="3"/>
      <c r="E34" s="872"/>
      <c r="F34" s="232"/>
      <c r="G34" s="232"/>
      <c r="H34" s="873"/>
      <c r="I34" s="3"/>
      <c r="J34" s="814"/>
      <c r="K34" s="798"/>
      <c r="L34" s="874"/>
      <c r="M34" s="874"/>
      <c r="N34" s="874"/>
      <c r="O34" s="874"/>
      <c r="P34" s="874"/>
      <c r="Q34" s="874"/>
      <c r="R34" s="874"/>
      <c r="S34" s="874"/>
      <c r="T34" s="814"/>
      <c r="U34" s="875"/>
      <c r="V34" s="875"/>
      <c r="W34" s="875"/>
      <c r="X34" s="875"/>
      <c r="Y34" s="875"/>
      <c r="Z34" s="875"/>
      <c r="AA34" s="875"/>
      <c r="AB34" s="875"/>
      <c r="AC34" s="799"/>
      <c r="AD34" s="228" t="str">
        <f t="array" ref="AD34">IFERROR(INDEX('💻シート作成'!$D$6:$D205, MATCH(AE34, '💻シート作成'!$E$6:$E205, 0)), "")</f>
        <v>7月</v>
      </c>
      <c r="AE34" s="172" t="str">
        <f>IFERROR(__xludf.DUMMYFUNCTION("""COMPUTED_VALUE"""),"①R8_7集計")</f>
        <v>①R8_7集計</v>
      </c>
      <c r="AF34" s="799"/>
      <c r="AG34" s="799"/>
      <c r="AH34" s="799"/>
    </row>
    <row r="35" ht="15.75" customHeight="1">
      <c r="A35" s="798"/>
      <c r="B35" s="871"/>
      <c r="C35" s="872"/>
      <c r="D35" s="3"/>
      <c r="E35" s="872"/>
      <c r="F35" s="232"/>
      <c r="G35" s="232"/>
      <c r="H35" s="873"/>
      <c r="I35" s="3"/>
      <c r="J35" s="814"/>
      <c r="K35" s="798"/>
      <c r="L35" s="865" t="s">
        <v>624</v>
      </c>
      <c r="M35" s="232"/>
      <c r="N35" s="232"/>
      <c r="O35" s="232"/>
      <c r="P35" s="232"/>
      <c r="Q35" s="232"/>
      <c r="R35" s="232"/>
      <c r="S35" s="3"/>
      <c r="T35" s="821" t="s">
        <v>606</v>
      </c>
      <c r="U35" s="822" t="s">
        <v>624</v>
      </c>
      <c r="V35" s="232"/>
      <c r="W35" s="232"/>
      <c r="X35" s="232"/>
      <c r="Y35" s="232"/>
      <c r="Z35" s="232"/>
      <c r="AA35" s="232"/>
      <c r="AB35" s="3"/>
      <c r="AC35" s="799"/>
      <c r="AD35" s="228" t="str">
        <f t="array" ref="AD35">IFERROR(INDEX('💻シート作成'!$D$6:$D205, MATCH(AE35, '💻シート作成'!$E$6:$E205, 0)), "")</f>
        <v>7月</v>
      </c>
      <c r="AE35" s="172" t="str">
        <f>IFERROR(__xludf.DUMMYFUNCTION("""COMPUTED_VALUE"""),"②R8_7シフト")</f>
        <v>②R8_7シフト</v>
      </c>
      <c r="AF35" s="799"/>
      <c r="AG35" s="799"/>
      <c r="AH35" s="799"/>
    </row>
    <row r="36" ht="15.75" customHeight="1">
      <c r="A36" s="798"/>
      <c r="B36" s="200"/>
      <c r="C36" s="200"/>
      <c r="D36" s="200"/>
      <c r="E36" s="200"/>
      <c r="F36" s="200"/>
      <c r="G36" s="200"/>
      <c r="H36" s="200"/>
      <c r="I36" s="200"/>
      <c r="J36" s="814"/>
      <c r="K36" s="798"/>
      <c r="L36" s="827"/>
      <c r="M36" s="247"/>
      <c r="N36" s="247"/>
      <c r="O36" s="247"/>
      <c r="P36" s="247"/>
      <c r="Q36" s="247"/>
      <c r="R36" s="247"/>
      <c r="S36" s="250"/>
      <c r="U36" s="827"/>
      <c r="V36" s="247"/>
      <c r="W36" s="247"/>
      <c r="X36" s="247"/>
      <c r="Y36" s="247"/>
      <c r="Z36" s="247"/>
      <c r="AA36" s="247"/>
      <c r="AB36" s="250"/>
      <c r="AC36" s="799"/>
      <c r="AD36" s="228" t="str">
        <f t="array" ref="AD36">IFERROR(INDEX('💻シート作成'!$D$6:$D205, MATCH(AE36, '💻シート作成'!$E$6:$E205, 0)), "")</f>
        <v>7月</v>
      </c>
      <c r="AE36" s="172" t="str">
        <f>IFERROR(__xludf.DUMMYFUNCTION("""COMPUTED_VALUE"""),"③R8_7日報")</f>
        <v>③R8_7日報</v>
      </c>
      <c r="AF36" s="799"/>
      <c r="AG36" s="799"/>
      <c r="AH36" s="799"/>
    </row>
    <row r="37" ht="15.75" customHeight="1">
      <c r="A37" s="798"/>
      <c r="B37" s="876" t="s">
        <v>625</v>
      </c>
      <c r="C37" s="877"/>
      <c r="D37" s="878">
        <f>counta(C39:D48)</f>
        <v>0</v>
      </c>
      <c r="E37" s="879" t="s">
        <v>626</v>
      </c>
      <c r="F37" s="880"/>
      <c r="G37" s="878">
        <f>D37 - COUNTIF(E39:E48,"採用")</f>
        <v>0</v>
      </c>
      <c r="H37" s="860"/>
      <c r="I37" s="860"/>
      <c r="J37" s="814"/>
      <c r="K37" s="798"/>
      <c r="L37" s="831"/>
      <c r="S37" s="218"/>
      <c r="U37" s="831"/>
      <c r="AB37" s="218"/>
      <c r="AC37" s="799"/>
      <c r="AD37" s="228" t="str">
        <f t="array" ref="AD37">IFERROR(INDEX('💻シート作成'!$D$6:$D205, MATCH(AE37, '💻シート作成'!$E$6:$E205, 0)), "")</f>
        <v>7月</v>
      </c>
      <c r="AE37" s="172" t="str">
        <f>IFERROR(__xludf.DUMMYFUNCTION("""COMPUTED_VALUE"""),"④R8_7月報")</f>
        <v>④R8_7月報</v>
      </c>
      <c r="AF37" s="799"/>
      <c r="AG37" s="799"/>
      <c r="AH37" s="799"/>
    </row>
    <row r="38" ht="15.75" customHeight="1">
      <c r="A38" s="798"/>
      <c r="B38" s="881" t="s">
        <v>279</v>
      </c>
      <c r="C38" s="882" t="s">
        <v>465</v>
      </c>
      <c r="D38" s="883"/>
      <c r="E38" s="882" t="s">
        <v>622</v>
      </c>
      <c r="F38" s="883"/>
      <c r="G38" s="882" t="s">
        <v>627</v>
      </c>
      <c r="H38" s="884"/>
      <c r="I38" s="883"/>
      <c r="J38" s="814"/>
      <c r="K38" s="798"/>
      <c r="L38" s="831"/>
      <c r="S38" s="218"/>
      <c r="U38" s="831"/>
      <c r="AB38" s="218"/>
      <c r="AC38" s="799"/>
      <c r="AD38" s="228" t="str">
        <f t="array" ref="AD38">IFERROR(INDEX('💻シート作成'!$D$6:$D205, MATCH(AE38, '💻シート作成'!$E$6:$E205, 0)), "")</f>
        <v>6月</v>
      </c>
      <c r="AE38" s="172" t="str">
        <f>IFERROR(__xludf.DUMMYFUNCTION("""COMPUTED_VALUE"""),"①R8_6集計")</f>
        <v>①R8_6集計</v>
      </c>
      <c r="AF38" s="799"/>
      <c r="AG38" s="799"/>
      <c r="AH38" s="799"/>
    </row>
    <row r="39" ht="15.75" customHeight="1">
      <c r="A39" s="798"/>
      <c r="B39" s="885"/>
      <c r="C39" s="886"/>
      <c r="D39" s="883"/>
      <c r="E39" s="887"/>
      <c r="F39" s="883"/>
      <c r="G39" s="888"/>
      <c r="H39" s="884"/>
      <c r="I39" s="883"/>
      <c r="J39" s="814"/>
      <c r="K39" s="798"/>
      <c r="L39" s="831"/>
      <c r="S39" s="218"/>
      <c r="U39" s="831"/>
      <c r="AB39" s="218"/>
      <c r="AC39" s="799"/>
      <c r="AD39" s="228" t="str">
        <f t="array" ref="AD39">IFERROR(INDEX('💻シート作成'!$D$6:$D205, MATCH(AE39, '💻シート作成'!$E$6:$E205, 0)), "")</f>
        <v>6月</v>
      </c>
      <c r="AE39" s="172" t="str">
        <f>IFERROR(__xludf.DUMMYFUNCTION("""COMPUTED_VALUE"""),"②R8_6シフト")</f>
        <v>②R8_6シフト</v>
      </c>
      <c r="AF39" s="799"/>
      <c r="AG39" s="799"/>
      <c r="AH39" s="799"/>
    </row>
    <row r="40" ht="15.75" customHeight="1">
      <c r="A40" s="798"/>
      <c r="B40" s="885"/>
      <c r="C40" s="886"/>
      <c r="D40" s="883"/>
      <c r="E40" s="887"/>
      <c r="F40" s="883"/>
      <c r="G40" s="888"/>
      <c r="H40" s="884"/>
      <c r="I40" s="883"/>
      <c r="J40" s="814"/>
      <c r="K40" s="798"/>
      <c r="L40" s="831"/>
      <c r="S40" s="218"/>
      <c r="U40" s="831"/>
      <c r="AB40" s="218"/>
      <c r="AC40" s="799"/>
      <c r="AD40" s="228" t="str">
        <f t="array" ref="AD40">IFERROR(INDEX('💻シート作成'!$D$6:$D205, MATCH(AE40, '💻シート作成'!$E$6:$E205, 0)), "")</f>
        <v>6月</v>
      </c>
      <c r="AE40" s="172" t="str">
        <f>IFERROR(__xludf.DUMMYFUNCTION("""COMPUTED_VALUE"""),"③R8_6日報")</f>
        <v>③R8_6日報</v>
      </c>
      <c r="AF40" s="799"/>
      <c r="AG40" s="799"/>
      <c r="AH40" s="799"/>
    </row>
    <row r="41" ht="15.75" customHeight="1">
      <c r="A41" s="798"/>
      <c r="B41" s="885"/>
      <c r="C41" s="886"/>
      <c r="D41" s="883"/>
      <c r="E41" s="887"/>
      <c r="F41" s="883"/>
      <c r="G41" s="888"/>
      <c r="H41" s="884"/>
      <c r="I41" s="883"/>
      <c r="J41" s="814"/>
      <c r="K41" s="798"/>
      <c r="L41" s="831"/>
      <c r="S41" s="218"/>
      <c r="U41" s="831"/>
      <c r="AB41" s="218"/>
      <c r="AC41" s="799"/>
      <c r="AD41" s="228" t="str">
        <f t="array" ref="AD41">IFERROR(INDEX('💻シート作成'!$D$6:$D205, MATCH(AE41, '💻シート作成'!$E$6:$E205, 0)), "")</f>
        <v>6月</v>
      </c>
      <c r="AE41" s="172" t="str">
        <f>IFERROR(__xludf.DUMMYFUNCTION("""COMPUTED_VALUE"""),"④R8_6月報")</f>
        <v>④R8_6月報</v>
      </c>
      <c r="AF41" s="799"/>
      <c r="AG41" s="799"/>
      <c r="AH41" s="799"/>
    </row>
    <row r="42" ht="15.75" customHeight="1">
      <c r="A42" s="798"/>
      <c r="B42" s="885"/>
      <c r="C42" s="886"/>
      <c r="D42" s="883"/>
      <c r="E42" s="887"/>
      <c r="F42" s="883"/>
      <c r="G42" s="888"/>
      <c r="H42" s="884"/>
      <c r="I42" s="883"/>
      <c r="J42" s="814"/>
      <c r="K42" s="889"/>
      <c r="L42" s="831"/>
      <c r="S42" s="218"/>
      <c r="U42" s="831"/>
      <c r="AB42" s="218"/>
      <c r="AC42" s="890"/>
      <c r="AD42" s="228" t="str">
        <f t="array" ref="AD42">IFERROR(INDEX('💻シート作成'!$D$6:$D205, MATCH(AE42, '💻シート作成'!$E$6:$E205, 0)), "")</f>
        <v>5月</v>
      </c>
      <c r="AE42" s="172" t="str">
        <f>IFERROR(__xludf.DUMMYFUNCTION("""COMPUTED_VALUE"""),"①R8_5集計")</f>
        <v>①R8_5集計</v>
      </c>
      <c r="AF42" s="890"/>
      <c r="AG42" s="890"/>
      <c r="AH42" s="890"/>
    </row>
    <row r="43" ht="15.75" customHeight="1">
      <c r="A43" s="798"/>
      <c r="B43" s="885"/>
      <c r="C43" s="886"/>
      <c r="D43" s="883"/>
      <c r="E43" s="887"/>
      <c r="F43" s="883"/>
      <c r="G43" s="888"/>
      <c r="H43" s="884"/>
      <c r="I43" s="883"/>
      <c r="J43" s="799"/>
      <c r="K43" s="798"/>
      <c r="L43" s="831"/>
      <c r="S43" s="218"/>
      <c r="U43" s="831"/>
      <c r="AB43" s="218"/>
      <c r="AC43" s="799"/>
      <c r="AD43" s="228" t="str">
        <f t="array" ref="AD43">IFERROR(INDEX('💻シート作成'!$D$6:$D205, MATCH(AE43, '💻シート作成'!$E$6:$E205, 0)), "")</f>
        <v>5月</v>
      </c>
      <c r="AE43" s="172" t="str">
        <f>IFERROR(__xludf.DUMMYFUNCTION("""COMPUTED_VALUE"""),"②R8_5シフト")</f>
        <v>②R8_5シフト</v>
      </c>
      <c r="AF43" s="799"/>
      <c r="AG43" s="799"/>
      <c r="AH43" s="799"/>
    </row>
    <row r="44" ht="15.75" customHeight="1">
      <c r="A44" s="798"/>
      <c r="B44" s="885"/>
      <c r="C44" s="891"/>
      <c r="D44" s="883"/>
      <c r="E44" s="892"/>
      <c r="F44" s="883"/>
      <c r="G44" s="888"/>
      <c r="H44" s="884"/>
      <c r="I44" s="883"/>
      <c r="J44" s="799"/>
      <c r="K44" s="893"/>
      <c r="L44" s="831"/>
      <c r="S44" s="218"/>
      <c r="U44" s="831"/>
      <c r="AB44" s="218"/>
      <c r="AC44" s="894"/>
      <c r="AD44" s="228" t="str">
        <f t="array" ref="AD44">IFERROR(INDEX('💻シート作成'!$D$6:$D205, MATCH(AE44, '💻シート作成'!$E$6:$E205, 0)), "")</f>
        <v>5月</v>
      </c>
      <c r="AE44" s="172" t="str">
        <f>IFERROR(__xludf.DUMMYFUNCTION("""COMPUTED_VALUE"""),"③R8_5日報")</f>
        <v>③R8_5日報</v>
      </c>
      <c r="AF44" s="894"/>
      <c r="AG44" s="894"/>
      <c r="AH44" s="894"/>
    </row>
    <row r="45" ht="15.75" customHeight="1">
      <c r="A45" s="889"/>
      <c r="B45" s="885"/>
      <c r="C45" s="891"/>
      <c r="D45" s="883"/>
      <c r="E45" s="892"/>
      <c r="F45" s="883"/>
      <c r="G45" s="888"/>
      <c r="H45" s="884"/>
      <c r="I45" s="883"/>
      <c r="J45" s="890"/>
      <c r="K45" s="798"/>
      <c r="L45" s="831"/>
      <c r="S45" s="218"/>
      <c r="U45" s="831"/>
      <c r="AB45" s="218"/>
      <c r="AC45" s="799"/>
      <c r="AD45" s="228" t="str">
        <f t="array" ref="AD45">IFERROR(INDEX('💻シート作成'!$D$6:$D205, MATCH(AE45, '💻シート作成'!$E$6:$E205, 0)), "")</f>
        <v>5月</v>
      </c>
      <c r="AE45" s="172" t="str">
        <f>IFERROR(__xludf.DUMMYFUNCTION("""COMPUTED_VALUE"""),"④R8_5月報")</f>
        <v>④R8_5月報</v>
      </c>
      <c r="AF45" s="799"/>
      <c r="AG45" s="799"/>
      <c r="AH45" s="799"/>
    </row>
    <row r="46" ht="15.75" customHeight="1">
      <c r="A46" s="798"/>
      <c r="B46" s="885"/>
      <c r="C46" s="891"/>
      <c r="D46" s="883"/>
      <c r="E46" s="892"/>
      <c r="F46" s="883"/>
      <c r="G46" s="888"/>
      <c r="H46" s="884"/>
      <c r="I46" s="883"/>
      <c r="J46" s="799"/>
      <c r="K46" s="798"/>
      <c r="L46" s="831"/>
      <c r="S46" s="218"/>
      <c r="U46" s="831"/>
      <c r="AB46" s="218"/>
      <c r="AC46" s="799"/>
      <c r="AD46" s="228" t="str">
        <f t="array" ref="AD46">IFERROR(INDEX('💻シート作成'!$D$6:$D205, MATCH(AE46, '💻シート作成'!$E$6:$E205, 0)), "")</f>
        <v>4月</v>
      </c>
      <c r="AE46" s="171" t="str">
        <f>IFERROR(__xludf.DUMMYFUNCTION("""COMPUTED_VALUE"""),"①R8_4集計")</f>
        <v>①R8_4集計</v>
      </c>
      <c r="AF46" s="799"/>
      <c r="AG46" s="799"/>
      <c r="AH46" s="799"/>
    </row>
    <row r="47" ht="15.75" customHeight="1">
      <c r="A47" s="893"/>
      <c r="B47" s="885"/>
      <c r="C47" s="891"/>
      <c r="D47" s="883"/>
      <c r="E47" s="892"/>
      <c r="F47" s="883"/>
      <c r="G47" s="888"/>
      <c r="H47" s="884"/>
      <c r="I47" s="883"/>
      <c r="J47" s="894"/>
      <c r="K47" s="798"/>
      <c r="L47" s="600"/>
      <c r="M47" s="236"/>
      <c r="N47" s="236"/>
      <c r="O47" s="236"/>
      <c r="P47" s="236"/>
      <c r="Q47" s="236"/>
      <c r="R47" s="236"/>
      <c r="S47" s="113"/>
      <c r="U47" s="600"/>
      <c r="V47" s="236"/>
      <c r="W47" s="236"/>
      <c r="X47" s="236"/>
      <c r="Y47" s="236"/>
      <c r="Z47" s="236"/>
      <c r="AA47" s="236"/>
      <c r="AB47" s="113"/>
      <c r="AC47" s="799"/>
      <c r="AD47" s="228" t="str">
        <f t="array" ref="AD47">IFERROR(INDEX('💻シート作成'!$D$6:$D205, MATCH(AE47, '💻シート作成'!$E$6:$E205, 0)), "")</f>
        <v>4月</v>
      </c>
      <c r="AE47" s="171" t="str">
        <f>IFERROR(__xludf.DUMMYFUNCTION("""COMPUTED_VALUE"""),"②R8_4シフト")</f>
        <v>②R8_4シフト</v>
      </c>
      <c r="AF47" s="799"/>
      <c r="AG47" s="799"/>
      <c r="AH47" s="799"/>
    </row>
    <row r="48" ht="15.75" customHeight="1">
      <c r="A48" s="798"/>
      <c r="B48" s="885"/>
      <c r="C48" s="891"/>
      <c r="D48" s="883"/>
      <c r="E48" s="892"/>
      <c r="F48" s="883"/>
      <c r="G48" s="888"/>
      <c r="H48" s="884"/>
      <c r="I48" s="883"/>
      <c r="J48" s="799"/>
      <c r="K48" s="798"/>
      <c r="L48" s="861"/>
      <c r="M48" s="861"/>
      <c r="N48" s="861"/>
      <c r="O48" s="861"/>
      <c r="P48" s="861"/>
      <c r="Q48" s="861"/>
      <c r="R48" s="861"/>
      <c r="S48" s="861"/>
      <c r="T48" s="814"/>
      <c r="U48" s="861"/>
      <c r="V48" s="861"/>
      <c r="W48" s="861"/>
      <c r="X48" s="861"/>
      <c r="Y48" s="861"/>
      <c r="Z48" s="861"/>
      <c r="AA48" s="861"/>
      <c r="AB48" s="861"/>
      <c r="AC48" s="799"/>
      <c r="AD48" s="228" t="str">
        <f t="array" ref="AD48">IFERROR(INDEX('💻シート作成'!$D$6:$D205, MATCH(AE48, '💻シート作成'!$E$6:$E205, 0)), "")</f>
        <v>4月</v>
      </c>
      <c r="AE48" s="171" t="str">
        <f>IFERROR(__xludf.DUMMYFUNCTION("""COMPUTED_VALUE"""),"③R8_4日報")</f>
        <v>③R8_4日報</v>
      </c>
      <c r="AF48" s="799"/>
      <c r="AG48" s="799"/>
      <c r="AH48" s="799"/>
    </row>
    <row r="49" ht="15.75" customHeight="1">
      <c r="A49" s="798"/>
      <c r="B49" s="200"/>
      <c r="C49" s="200"/>
      <c r="D49" s="200"/>
      <c r="E49" s="200"/>
      <c r="F49" s="200"/>
      <c r="G49" s="200"/>
      <c r="H49" s="200"/>
      <c r="I49" s="200"/>
      <c r="J49" s="799"/>
      <c r="K49" s="798"/>
      <c r="L49" s="865" t="s">
        <v>628</v>
      </c>
      <c r="M49" s="232"/>
      <c r="N49" s="232"/>
      <c r="O49" s="232"/>
      <c r="P49" s="232"/>
      <c r="Q49" s="232"/>
      <c r="R49" s="232"/>
      <c r="S49" s="3"/>
      <c r="T49" s="821" t="s">
        <v>606</v>
      </c>
      <c r="U49" s="822" t="s">
        <v>629</v>
      </c>
      <c r="V49" s="232"/>
      <c r="W49" s="232"/>
      <c r="X49" s="232"/>
      <c r="Y49" s="232"/>
      <c r="Z49" s="232"/>
      <c r="AA49" s="232"/>
      <c r="AB49" s="3"/>
      <c r="AC49" s="799"/>
      <c r="AD49" s="228" t="str">
        <f t="array" ref="AD49">IFERROR(INDEX('💻シート作成'!$D$6:$D205, MATCH(AE49, '💻シート作成'!$E$6:$E205, 0)), "")</f>
        <v>4月</v>
      </c>
      <c r="AE49" s="171" t="str">
        <f>IFERROR(__xludf.DUMMYFUNCTION("""COMPUTED_VALUE"""),"④R8_4月報")</f>
        <v>④R8_4月報</v>
      </c>
      <c r="AF49" s="799"/>
      <c r="AG49" s="799"/>
      <c r="AH49" s="799"/>
    </row>
    <row r="50" ht="15.75" customHeight="1">
      <c r="A50" s="798"/>
      <c r="B50" s="895" t="s">
        <v>630</v>
      </c>
      <c r="C50" s="896"/>
      <c r="D50" s="897">
        <f>COUNTA(C52:D62)</f>
        <v>0</v>
      </c>
      <c r="E50" s="860"/>
      <c r="F50" s="860"/>
      <c r="G50" s="860"/>
      <c r="H50" s="860"/>
      <c r="I50" s="799"/>
      <c r="J50" s="799"/>
      <c r="K50" s="798"/>
      <c r="L50" s="827"/>
      <c r="M50" s="247"/>
      <c r="N50" s="247"/>
      <c r="O50" s="247"/>
      <c r="P50" s="247"/>
      <c r="Q50" s="247"/>
      <c r="R50" s="247"/>
      <c r="S50" s="250"/>
      <c r="U50" s="827"/>
      <c r="V50" s="247"/>
      <c r="W50" s="247"/>
      <c r="X50" s="247"/>
      <c r="Y50" s="247"/>
      <c r="Z50" s="247"/>
      <c r="AA50" s="247"/>
      <c r="AB50" s="250"/>
      <c r="AC50" s="799"/>
      <c r="AD50" s="228" t="str">
        <f t="array" ref="AD50">IFERROR(INDEX('💻シート作成'!$D$6:$D205, MATCH(AE50, '💻シート作成'!$E$6:$E205, 0)), "")</f>
        <v>3月</v>
      </c>
      <c r="AE50" s="171" t="str">
        <f>IFERROR(__xludf.DUMMYFUNCTION("""COMPUTED_VALUE"""),"①R8_3集計")</f>
        <v>①R8_3集計</v>
      </c>
      <c r="AF50" s="799"/>
      <c r="AG50" s="799"/>
      <c r="AH50" s="799"/>
    </row>
    <row r="51" ht="15.75" customHeight="1">
      <c r="A51" s="798"/>
      <c r="B51" s="881" t="s">
        <v>631</v>
      </c>
      <c r="C51" s="882" t="s">
        <v>465</v>
      </c>
      <c r="D51" s="883"/>
      <c r="E51" s="881" t="s">
        <v>632</v>
      </c>
      <c r="F51" s="881" t="s">
        <v>633</v>
      </c>
      <c r="G51" s="881" t="s">
        <v>634</v>
      </c>
      <c r="H51" s="882" t="s">
        <v>635</v>
      </c>
      <c r="I51" s="883"/>
      <c r="J51" s="799"/>
      <c r="K51" s="798"/>
      <c r="L51" s="831"/>
      <c r="S51" s="218"/>
      <c r="U51" s="831"/>
      <c r="AB51" s="218"/>
      <c r="AC51" s="799"/>
      <c r="AD51" s="228" t="str">
        <f t="array" ref="AD51">IFERROR(INDEX('💻シート作成'!$D$6:$D205, MATCH(AE51, '💻シート作成'!$E$6:$E205, 0)), "")</f>
        <v>3月</v>
      </c>
      <c r="AE51" s="171" t="str">
        <f>IFERROR(__xludf.DUMMYFUNCTION("""COMPUTED_VALUE"""),"②R8_3シフト")</f>
        <v>②R8_3シフト</v>
      </c>
      <c r="AF51" s="799"/>
      <c r="AG51" s="799"/>
      <c r="AH51" s="799"/>
    </row>
    <row r="52" ht="15.75" customHeight="1">
      <c r="A52" s="798"/>
      <c r="B52" s="898"/>
      <c r="C52" s="886"/>
      <c r="D52" s="883"/>
      <c r="E52" s="899"/>
      <c r="F52" s="899"/>
      <c r="G52" s="900"/>
      <c r="H52" s="901"/>
      <c r="I52" s="883"/>
      <c r="J52" s="799"/>
      <c r="K52" s="798"/>
      <c r="L52" s="831"/>
      <c r="S52" s="218"/>
      <c r="U52" s="831"/>
      <c r="AB52" s="218"/>
      <c r="AC52" s="799"/>
      <c r="AD52" s="228" t="str">
        <f t="array" ref="AD52">IFERROR(INDEX('💻シート作成'!$D$6:$D205, MATCH(AE52, '💻シート作成'!$E$6:$E205, 0)), "")</f>
        <v>3月</v>
      </c>
      <c r="AE52" s="171" t="str">
        <f>IFERROR(__xludf.DUMMYFUNCTION("""COMPUTED_VALUE"""),"③R8_3日報")</f>
        <v>③R8_3日報</v>
      </c>
      <c r="AF52" s="799"/>
      <c r="AG52" s="799"/>
      <c r="AH52" s="799"/>
    </row>
    <row r="53" ht="15.75" customHeight="1">
      <c r="A53" s="798"/>
      <c r="B53" s="898"/>
      <c r="C53" s="886"/>
      <c r="D53" s="883"/>
      <c r="E53" s="899"/>
      <c r="F53" s="899"/>
      <c r="G53" s="900"/>
      <c r="H53" s="901"/>
      <c r="I53" s="883"/>
      <c r="J53" s="799"/>
      <c r="K53" s="798"/>
      <c r="L53" s="831"/>
      <c r="S53" s="218"/>
      <c r="U53" s="831"/>
      <c r="AB53" s="218"/>
      <c r="AC53" s="799"/>
      <c r="AD53" s="228" t="str">
        <f t="array" ref="AD53">IFERROR(INDEX('💻シート作成'!$D$6:$D205, MATCH(AE53, '💻シート作成'!$E$6:$E205, 0)), "")</f>
        <v>3月</v>
      </c>
      <c r="AE53" s="171" t="str">
        <f>IFERROR(__xludf.DUMMYFUNCTION("""COMPUTED_VALUE"""),"④R8_3月報")</f>
        <v>④R8_3月報</v>
      </c>
      <c r="AF53" s="799"/>
      <c r="AG53" s="799"/>
      <c r="AH53" s="799"/>
    </row>
    <row r="54" ht="15.75" customHeight="1">
      <c r="A54" s="798"/>
      <c r="B54" s="898"/>
      <c r="C54" s="886"/>
      <c r="D54" s="883"/>
      <c r="E54" s="899"/>
      <c r="F54" s="899"/>
      <c r="G54" s="900"/>
      <c r="H54" s="901"/>
      <c r="I54" s="883"/>
      <c r="J54" s="799"/>
      <c r="K54" s="798"/>
      <c r="L54" s="831"/>
      <c r="S54" s="218"/>
      <c r="U54" s="831"/>
      <c r="AB54" s="218"/>
      <c r="AC54" s="799"/>
      <c r="AD54" s="228" t="str">
        <f t="array" ref="AD54">IFERROR(INDEX('💻シート作成'!$D$6:$D205, MATCH(AE54, '💻シート作成'!$E$6:$E205, 0)), "")</f>
        <v>2月</v>
      </c>
      <c r="AE54" s="171" t="str">
        <f>IFERROR(__xludf.DUMMYFUNCTION("""COMPUTED_VALUE"""),"①R8_2集計")</f>
        <v>①R8_2集計</v>
      </c>
      <c r="AF54" s="799"/>
      <c r="AG54" s="799"/>
      <c r="AH54" s="799"/>
    </row>
    <row r="55" ht="15.75" customHeight="1">
      <c r="A55" s="798"/>
      <c r="B55" s="898"/>
      <c r="C55" s="886"/>
      <c r="D55" s="883"/>
      <c r="E55" s="899"/>
      <c r="F55" s="899"/>
      <c r="G55" s="899"/>
      <c r="H55" s="901"/>
      <c r="I55" s="883"/>
      <c r="J55" s="799"/>
      <c r="K55" s="798"/>
      <c r="L55" s="831"/>
      <c r="S55" s="218"/>
      <c r="U55" s="831"/>
      <c r="AB55" s="218"/>
      <c r="AC55" s="799"/>
      <c r="AD55" s="228" t="str">
        <f t="array" ref="AD55">IFERROR(INDEX('💻シート作成'!$D$6:$D205, MATCH(AE55, '💻シート作成'!$E$6:$E205, 0)), "")</f>
        <v>2月</v>
      </c>
      <c r="AE55" s="171" t="str">
        <f>IFERROR(__xludf.DUMMYFUNCTION("""COMPUTED_VALUE"""),"②R8_2シフト")</f>
        <v>②R8_2シフト</v>
      </c>
      <c r="AF55" s="799"/>
      <c r="AG55" s="799"/>
      <c r="AH55" s="799"/>
    </row>
    <row r="56" ht="15.75" customHeight="1">
      <c r="A56" s="798"/>
      <c r="B56" s="898"/>
      <c r="C56" s="886"/>
      <c r="D56" s="883"/>
      <c r="E56" s="899"/>
      <c r="F56" s="899"/>
      <c r="G56" s="899"/>
      <c r="H56" s="901"/>
      <c r="I56" s="883"/>
      <c r="J56" s="799"/>
      <c r="K56" s="798"/>
      <c r="L56" s="831"/>
      <c r="S56" s="218"/>
      <c r="U56" s="831"/>
      <c r="AB56" s="218"/>
      <c r="AC56" s="799"/>
      <c r="AD56" s="228" t="str">
        <f t="array" ref="AD56">IFERROR(INDEX('💻シート作成'!$D$6:$D205, MATCH(AE56, '💻シート作成'!$E$6:$E205, 0)), "")</f>
        <v>2月</v>
      </c>
      <c r="AE56" s="171" t="str">
        <f>IFERROR(__xludf.DUMMYFUNCTION("""COMPUTED_VALUE"""),"③R8_2日報")</f>
        <v>③R8_2日報</v>
      </c>
      <c r="AF56" s="799"/>
      <c r="AG56" s="799"/>
      <c r="AH56" s="799"/>
    </row>
    <row r="57" ht="15.75" customHeight="1">
      <c r="A57" s="798"/>
      <c r="B57" s="898"/>
      <c r="C57" s="886"/>
      <c r="D57" s="883"/>
      <c r="E57" s="899"/>
      <c r="F57" s="899"/>
      <c r="G57" s="899"/>
      <c r="H57" s="901"/>
      <c r="I57" s="883"/>
      <c r="J57" s="799"/>
      <c r="K57" s="798"/>
      <c r="L57" s="831"/>
      <c r="S57" s="218"/>
      <c r="U57" s="831"/>
      <c r="AB57" s="218"/>
      <c r="AC57" s="799"/>
      <c r="AD57" s="228" t="str">
        <f t="array" ref="AD57">IFERROR(INDEX('💻シート作成'!$D$6:$D205, MATCH(AE57, '💻シート作成'!$E$6:$E205, 0)), "")</f>
        <v>2月</v>
      </c>
      <c r="AE57" s="171" t="str">
        <f>IFERROR(__xludf.DUMMYFUNCTION("""COMPUTED_VALUE"""),"④R8_2月報")</f>
        <v>④R8_2月報</v>
      </c>
      <c r="AF57" s="799"/>
      <c r="AG57" s="799"/>
      <c r="AH57" s="799"/>
    </row>
    <row r="58" ht="15.75" customHeight="1">
      <c r="A58" s="798"/>
      <c r="B58" s="898"/>
      <c r="C58" s="886"/>
      <c r="D58" s="883"/>
      <c r="E58" s="899"/>
      <c r="F58" s="899"/>
      <c r="G58" s="899"/>
      <c r="H58" s="901"/>
      <c r="I58" s="883"/>
      <c r="J58" s="799"/>
      <c r="K58" s="893"/>
      <c r="L58" s="831"/>
      <c r="S58" s="218"/>
      <c r="U58" s="831"/>
      <c r="AB58" s="218"/>
      <c r="AC58" s="894"/>
      <c r="AD58" s="228" t="str">
        <f t="array" ref="AD58">IFERROR(INDEX('💻シート作成'!$D$6:$D205, MATCH(AE58, '💻シート作成'!$E$6:$E205, 0)), "")</f>
        <v/>
      </c>
      <c r="AE58" s="171" t="str">
        <f>IFERROR(__xludf.DUMMYFUNCTION("""COMPUTED_VALUE"""),"💻シート作成")</f>
        <v>💻シート作成</v>
      </c>
      <c r="AF58" s="894"/>
      <c r="AG58" s="894"/>
      <c r="AH58" s="894"/>
    </row>
    <row r="59" ht="15.75" customHeight="1">
      <c r="A59" s="798"/>
      <c r="B59" s="898"/>
      <c r="C59" s="886"/>
      <c r="D59" s="883"/>
      <c r="E59" s="899"/>
      <c r="F59" s="899"/>
      <c r="G59" s="899"/>
      <c r="H59" s="901"/>
      <c r="I59" s="883"/>
      <c r="J59" s="799"/>
      <c r="K59" s="798"/>
      <c r="L59" s="831"/>
      <c r="S59" s="218"/>
      <c r="U59" s="831"/>
      <c r="AB59" s="218"/>
      <c r="AC59" s="799"/>
      <c r="AD59" s="228" t="str">
        <f t="array" ref="AD59">IFERROR(INDEX('💻シート作成'!$D$6:$D205, MATCH(AE59, '💻シート作成'!$E$6:$E205, 0)), "")</f>
        <v/>
      </c>
      <c r="AE59" s="171" t="str">
        <f>IFERROR(__xludf.DUMMYFUNCTION("""COMPUTED_VALUE"""),"🌟目標数値")</f>
        <v>🌟目標数値</v>
      </c>
      <c r="AF59" s="799"/>
      <c r="AG59" s="799"/>
      <c r="AH59" s="799"/>
    </row>
    <row r="60" ht="15.75" customHeight="1">
      <c r="A60" s="798"/>
      <c r="B60" s="898"/>
      <c r="C60" s="886"/>
      <c r="D60" s="883"/>
      <c r="E60" s="899"/>
      <c r="F60" s="899"/>
      <c r="G60" s="899"/>
      <c r="H60" s="901"/>
      <c r="I60" s="883"/>
      <c r="J60" s="799"/>
      <c r="K60" s="798"/>
      <c r="L60" s="831"/>
      <c r="S60" s="218"/>
      <c r="U60" s="831"/>
      <c r="AB60" s="218"/>
      <c r="AC60" s="799"/>
      <c r="AD60" s="228" t="str">
        <f t="array" ref="AD60">IFERROR(INDEX('💻シート作成'!$D$6:$D205, MATCH(AE60, '💻シート作成'!$E$6:$E205, 0)), "")</f>
        <v/>
      </c>
      <c r="AE60" s="171" t="str">
        <f>IFERROR(__xludf.DUMMYFUNCTION("""COMPUTED_VALUE"""),"🏆皆勤アワード")</f>
        <v>🏆皆勤アワード</v>
      </c>
      <c r="AF60" s="799"/>
      <c r="AG60" s="799"/>
      <c r="AH60" s="799"/>
    </row>
    <row r="61" ht="15.75" customHeight="1">
      <c r="A61" s="893"/>
      <c r="B61" s="898"/>
      <c r="C61" s="886"/>
      <c r="D61" s="883"/>
      <c r="E61" s="899"/>
      <c r="F61" s="899"/>
      <c r="G61" s="899"/>
      <c r="H61" s="901"/>
      <c r="I61" s="883"/>
      <c r="J61" s="894"/>
      <c r="K61" s="798"/>
      <c r="L61" s="600"/>
      <c r="M61" s="236"/>
      <c r="N61" s="236"/>
      <c r="O61" s="236"/>
      <c r="P61" s="236"/>
      <c r="Q61" s="236"/>
      <c r="R61" s="236"/>
      <c r="S61" s="113"/>
      <c r="U61" s="600"/>
      <c r="V61" s="236"/>
      <c r="W61" s="236"/>
      <c r="X61" s="236"/>
      <c r="Y61" s="236"/>
      <c r="Z61" s="236"/>
      <c r="AA61" s="236"/>
      <c r="AB61" s="113"/>
      <c r="AC61" s="799"/>
      <c r="AD61" s="228" t="str">
        <f t="array" ref="AD61">IFERROR(INDEX('💻シート作成'!$D$6:$D205, MATCH(AE61, '💻シート作成'!$E$6:$E205, 0)), "")</f>
        <v/>
      </c>
      <c r="AE61" s="171" t="str">
        <f>IFERROR(__xludf.DUMMYFUNCTION("""COMPUTED_VALUE"""),"⚙️抽出用")</f>
        <v>⚙️抽出用</v>
      </c>
      <c r="AF61" s="799"/>
      <c r="AG61" s="799"/>
      <c r="AH61" s="799"/>
    </row>
    <row r="62" ht="15.75" customHeight="1">
      <c r="A62" s="798"/>
      <c r="B62" s="898"/>
      <c r="C62" s="886"/>
      <c r="D62" s="883"/>
      <c r="E62" s="899"/>
      <c r="F62" s="899"/>
      <c r="G62" s="899"/>
      <c r="H62" s="901"/>
      <c r="I62" s="883"/>
      <c r="J62" s="799"/>
      <c r="K62" s="798"/>
      <c r="L62" s="861"/>
      <c r="M62" s="861"/>
      <c r="N62" s="861"/>
      <c r="O62" s="861"/>
      <c r="P62" s="861"/>
      <c r="Q62" s="861"/>
      <c r="R62" s="861"/>
      <c r="S62" s="861"/>
      <c r="T62" s="814"/>
      <c r="U62" s="861"/>
      <c r="V62" s="861"/>
      <c r="W62" s="861"/>
      <c r="X62" s="861"/>
      <c r="Y62" s="861"/>
      <c r="Z62" s="861"/>
      <c r="AA62" s="861"/>
      <c r="AB62" s="861"/>
      <c r="AC62" s="799"/>
      <c r="AD62" s="228" t="str">
        <f t="array" ref="AD62">IFERROR(INDEX('💻シート作成'!$D$6:$D205, MATCH(AE62, '💻シート作成'!$E$6:$E205, 0)), "")</f>
        <v/>
      </c>
      <c r="AE62" s="171" t="str">
        <f>IFERROR(__xludf.DUMMYFUNCTION("""COMPUTED_VALUE"""),"①集計_原本")</f>
        <v>①集計_原本</v>
      </c>
      <c r="AF62" s="799"/>
      <c r="AG62" s="799"/>
      <c r="AH62" s="799"/>
    </row>
    <row r="63" ht="15.75" customHeight="1">
      <c r="A63" s="798"/>
      <c r="B63" s="200"/>
      <c r="C63" s="200"/>
      <c r="D63" s="200"/>
      <c r="E63" s="200"/>
      <c r="F63" s="200"/>
      <c r="G63" s="200"/>
      <c r="H63" s="200"/>
      <c r="I63" s="200"/>
      <c r="J63" s="799"/>
      <c r="K63" s="798"/>
      <c r="L63" s="865" t="s">
        <v>636</v>
      </c>
      <c r="M63" s="232"/>
      <c r="N63" s="232"/>
      <c r="O63" s="232"/>
      <c r="P63" s="232"/>
      <c r="Q63" s="232"/>
      <c r="R63" s="232"/>
      <c r="S63" s="3"/>
      <c r="T63" s="821" t="s">
        <v>606</v>
      </c>
      <c r="U63" s="822" t="s">
        <v>637</v>
      </c>
      <c r="V63" s="232"/>
      <c r="W63" s="232"/>
      <c r="X63" s="232"/>
      <c r="Y63" s="232"/>
      <c r="Z63" s="232"/>
      <c r="AA63" s="232"/>
      <c r="AB63" s="3"/>
      <c r="AC63" s="799"/>
      <c r="AD63" s="228" t="str">
        <f t="array" ref="AD63">IFERROR(INDEX('💻シート作成'!$D$6:$D205, MATCH(AE63, '💻シート作成'!$E$6:$E205, 0)), "")</f>
        <v/>
      </c>
      <c r="AE63" s="171" t="str">
        <f>IFERROR(__xludf.DUMMYFUNCTION("""COMPUTED_VALUE"""),"②シフト_原本")</f>
        <v>②シフト_原本</v>
      </c>
      <c r="AF63" s="799"/>
      <c r="AG63" s="799"/>
      <c r="AH63" s="799"/>
    </row>
    <row r="64" ht="15.75" customHeight="1">
      <c r="A64" s="798"/>
      <c r="B64" s="902" t="s">
        <v>638</v>
      </c>
      <c r="C64" s="903"/>
      <c r="D64" s="897">
        <f>COUNTA(C66:D76)</f>
        <v>0</v>
      </c>
      <c r="E64" s="860"/>
      <c r="F64" s="860"/>
      <c r="G64" s="860"/>
      <c r="H64" s="860"/>
      <c r="I64" s="860"/>
      <c r="J64" s="799"/>
      <c r="K64" s="798"/>
      <c r="L64" s="827"/>
      <c r="M64" s="247"/>
      <c r="N64" s="247"/>
      <c r="O64" s="247"/>
      <c r="P64" s="247"/>
      <c r="Q64" s="247"/>
      <c r="R64" s="247"/>
      <c r="S64" s="250"/>
      <c r="U64" s="827"/>
      <c r="V64" s="247"/>
      <c r="W64" s="247"/>
      <c r="X64" s="247"/>
      <c r="Y64" s="247"/>
      <c r="Z64" s="247"/>
      <c r="AA64" s="247"/>
      <c r="AB64" s="250"/>
      <c r="AC64" s="799"/>
      <c r="AD64" s="228" t="str">
        <f t="array" ref="AD64">IFERROR(INDEX('💻シート作成'!$D$6:$D205, MATCH(AE64, '💻シート作成'!$E$6:$E205, 0)), "")</f>
        <v/>
      </c>
      <c r="AE64" s="171" t="str">
        <f>IFERROR(__xludf.DUMMYFUNCTION("""COMPUTED_VALUE"""),"③日報_原本")</f>
        <v>③日報_原本</v>
      </c>
      <c r="AF64" s="799"/>
      <c r="AG64" s="799"/>
      <c r="AH64" s="799"/>
    </row>
    <row r="65" ht="15.75" customHeight="1">
      <c r="A65" s="798"/>
      <c r="B65" s="881" t="s">
        <v>631</v>
      </c>
      <c r="C65" s="882" t="s">
        <v>465</v>
      </c>
      <c r="D65" s="883"/>
      <c r="E65" s="881" t="s">
        <v>639</v>
      </c>
      <c r="F65" s="882" t="s">
        <v>640</v>
      </c>
      <c r="G65" s="883"/>
      <c r="H65" s="882" t="s">
        <v>635</v>
      </c>
      <c r="I65" s="883"/>
      <c r="J65" s="799"/>
      <c r="K65" s="798"/>
      <c r="L65" s="831"/>
      <c r="S65" s="218"/>
      <c r="U65" s="831"/>
      <c r="AB65" s="218"/>
      <c r="AC65" s="799"/>
      <c r="AD65" s="228" t="str">
        <f t="array" ref="AD65">IFERROR(INDEX('💻シート作成'!$D$6:$D205, MATCH(AE65, '💻シート作成'!$E$6:$E205, 0)), "")</f>
        <v/>
      </c>
      <c r="AE65" s="171" t="str">
        <f>IFERROR(__xludf.DUMMYFUNCTION("""COMPUTED_VALUE"""),"④月報_原本")</f>
        <v>④月報_原本</v>
      </c>
      <c r="AF65" s="799"/>
      <c r="AG65" s="799"/>
      <c r="AH65" s="799"/>
    </row>
    <row r="66" ht="15.75" customHeight="1">
      <c r="A66" s="798"/>
      <c r="B66" s="885"/>
      <c r="C66" s="886"/>
      <c r="D66" s="883"/>
      <c r="E66" s="904"/>
      <c r="F66" s="888"/>
      <c r="G66" s="883"/>
      <c r="H66" s="905"/>
      <c r="I66" s="883"/>
      <c r="J66" s="799"/>
      <c r="K66" s="798"/>
      <c r="L66" s="831"/>
      <c r="S66" s="218"/>
      <c r="U66" s="831"/>
      <c r="AB66" s="218"/>
      <c r="AC66" s="799"/>
      <c r="AD66" s="228" t="str">
        <f t="array" ref="AD66">IFERROR(INDEX('💻シート作成'!$D$6:$D205, MATCH(AE66, '💻シート作成'!$E$6:$E205, 0)), "")</f>
        <v/>
      </c>
      <c r="AE66" s="172"/>
      <c r="AF66" s="799"/>
      <c r="AG66" s="799"/>
      <c r="AH66" s="799"/>
    </row>
    <row r="67" ht="15.75" customHeight="1">
      <c r="A67" s="798"/>
      <c r="B67" s="885"/>
      <c r="C67" s="891"/>
      <c r="D67" s="883"/>
      <c r="E67" s="904"/>
      <c r="F67" s="888"/>
      <c r="G67" s="883"/>
      <c r="H67" s="905"/>
      <c r="I67" s="883"/>
      <c r="J67" s="799"/>
      <c r="K67" s="798"/>
      <c r="L67" s="831"/>
      <c r="S67" s="218"/>
      <c r="U67" s="831"/>
      <c r="AB67" s="218"/>
      <c r="AC67" s="799"/>
      <c r="AD67" s="228" t="str">
        <f t="array" ref="AD67">IFERROR(INDEX('💻シート作成'!$D$6:$D205, MATCH(AE67, '💻シート作成'!$E$6:$E205, 0)), "")</f>
        <v/>
      </c>
      <c r="AE67" s="172"/>
      <c r="AF67" s="799"/>
      <c r="AG67" s="799"/>
      <c r="AH67" s="799"/>
    </row>
    <row r="68" ht="15.75" customHeight="1">
      <c r="A68" s="798"/>
      <c r="B68" s="885"/>
      <c r="C68" s="891"/>
      <c r="D68" s="883"/>
      <c r="E68" s="904"/>
      <c r="F68" s="888"/>
      <c r="G68" s="883"/>
      <c r="H68" s="905"/>
      <c r="I68" s="883"/>
      <c r="J68" s="799"/>
      <c r="K68" s="798"/>
      <c r="L68" s="831"/>
      <c r="S68" s="218"/>
      <c r="U68" s="831"/>
      <c r="AB68" s="218"/>
      <c r="AC68" s="799"/>
      <c r="AD68" s="228" t="str">
        <f t="array" ref="AD68">IFERROR(INDEX('💻シート作成'!$D$6:$D205, MATCH(AE68, '💻シート作成'!$E$6:$E205, 0)), "")</f>
        <v/>
      </c>
      <c r="AE68" s="172"/>
      <c r="AF68" s="799"/>
      <c r="AG68" s="799"/>
      <c r="AH68" s="799"/>
    </row>
    <row r="69" ht="15.75" customHeight="1">
      <c r="A69" s="798"/>
      <c r="B69" s="885"/>
      <c r="C69" s="891"/>
      <c r="D69" s="883"/>
      <c r="E69" s="904"/>
      <c r="F69" s="888"/>
      <c r="G69" s="883"/>
      <c r="H69" s="905"/>
      <c r="I69" s="883"/>
      <c r="J69" s="799"/>
      <c r="K69" s="798"/>
      <c r="L69" s="831"/>
      <c r="S69" s="218"/>
      <c r="U69" s="831"/>
      <c r="AB69" s="218"/>
      <c r="AC69" s="799"/>
      <c r="AD69" s="228" t="str">
        <f t="array" ref="AD69">IFERROR(INDEX('💻シート作成'!$D$6:$D205, MATCH(AE69, '💻シート作成'!$E$6:$E205, 0)), "")</f>
        <v/>
      </c>
      <c r="AE69" s="172"/>
      <c r="AF69" s="799"/>
      <c r="AG69" s="799"/>
      <c r="AH69" s="799"/>
    </row>
    <row r="70" ht="15.75" customHeight="1">
      <c r="A70" s="798"/>
      <c r="B70" s="885"/>
      <c r="C70" s="891"/>
      <c r="D70" s="883"/>
      <c r="E70" s="904"/>
      <c r="F70" s="888"/>
      <c r="G70" s="883"/>
      <c r="H70" s="905"/>
      <c r="I70" s="883"/>
      <c r="J70" s="799"/>
      <c r="K70" s="798"/>
      <c r="L70" s="831"/>
      <c r="S70" s="218"/>
      <c r="U70" s="831"/>
      <c r="AB70" s="218"/>
      <c r="AC70" s="799"/>
      <c r="AD70" s="228" t="str">
        <f t="array" ref="AD70">IFERROR(INDEX('💻シート作成'!$D$6:$D205, MATCH(AE70, '💻シート作成'!$E$6:$E205, 0)), "")</f>
        <v/>
      </c>
      <c r="AE70" s="172"/>
      <c r="AF70" s="799"/>
      <c r="AG70" s="799"/>
      <c r="AH70" s="799"/>
    </row>
    <row r="71" ht="15.75" customHeight="1">
      <c r="A71" s="798"/>
      <c r="B71" s="885"/>
      <c r="C71" s="891"/>
      <c r="D71" s="883"/>
      <c r="E71" s="904"/>
      <c r="F71" s="888"/>
      <c r="G71" s="883"/>
      <c r="H71" s="905"/>
      <c r="I71" s="883"/>
      <c r="J71" s="799"/>
      <c r="K71" s="798"/>
      <c r="L71" s="831"/>
      <c r="S71" s="218"/>
      <c r="U71" s="831"/>
      <c r="AB71" s="218"/>
      <c r="AC71" s="799"/>
      <c r="AD71" s="228" t="str">
        <f t="array" ref="AD71">IFERROR(INDEX('💻シート作成'!$D$6:$D205, MATCH(AE71, '💻シート作成'!$E$6:$E205, 0)), "")</f>
        <v/>
      </c>
      <c r="AE71" s="172"/>
      <c r="AF71" s="799"/>
      <c r="AG71" s="799"/>
      <c r="AH71" s="799"/>
    </row>
    <row r="72" ht="15.75" customHeight="1">
      <c r="A72" s="798"/>
      <c r="B72" s="885"/>
      <c r="C72" s="891"/>
      <c r="D72" s="883"/>
      <c r="E72" s="904"/>
      <c r="F72" s="888"/>
      <c r="G72" s="883"/>
      <c r="H72" s="905"/>
      <c r="I72" s="883"/>
      <c r="J72" s="799"/>
      <c r="K72" s="893"/>
      <c r="L72" s="831"/>
      <c r="S72" s="218"/>
      <c r="U72" s="831"/>
      <c r="AB72" s="218"/>
      <c r="AC72" s="894"/>
      <c r="AD72" s="228" t="str">
        <f t="array" ref="AD72">IFERROR(INDEX('💻シート作成'!$D$6:$D205, MATCH(AE72, '💻シート作成'!$E$6:$E205, 0)), "")</f>
        <v/>
      </c>
      <c r="AE72" s="172"/>
      <c r="AF72" s="894"/>
      <c r="AG72" s="894"/>
      <c r="AH72" s="894"/>
    </row>
    <row r="73" ht="15.75" customHeight="1">
      <c r="A73" s="798"/>
      <c r="B73" s="885"/>
      <c r="C73" s="891"/>
      <c r="D73" s="883"/>
      <c r="E73" s="904"/>
      <c r="F73" s="888"/>
      <c r="G73" s="883"/>
      <c r="H73" s="905"/>
      <c r="I73" s="883"/>
      <c r="J73" s="799"/>
      <c r="K73" s="798"/>
      <c r="L73" s="831"/>
      <c r="S73" s="218"/>
      <c r="U73" s="831"/>
      <c r="AB73" s="218"/>
      <c r="AC73" s="799"/>
      <c r="AD73" s="228" t="str">
        <f t="array" ref="AD73">IFERROR(INDEX('💻シート作成'!$D$6:$D205, MATCH(AE73, '💻シート作成'!$E$6:$E205, 0)), "")</f>
        <v/>
      </c>
      <c r="AE73" s="172"/>
      <c r="AF73" s="799"/>
      <c r="AG73" s="799"/>
      <c r="AH73" s="799"/>
    </row>
    <row r="74" ht="15.75" customHeight="1">
      <c r="A74" s="798"/>
      <c r="B74" s="885"/>
      <c r="C74" s="891"/>
      <c r="D74" s="883"/>
      <c r="E74" s="904"/>
      <c r="F74" s="888"/>
      <c r="G74" s="883"/>
      <c r="H74" s="905"/>
      <c r="I74" s="883"/>
      <c r="J74" s="799"/>
      <c r="K74" s="798"/>
      <c r="L74" s="831"/>
      <c r="S74" s="218"/>
      <c r="U74" s="831"/>
      <c r="AB74" s="218"/>
      <c r="AC74" s="799"/>
      <c r="AD74" s="228" t="str">
        <f t="array" ref="AD74">IFERROR(INDEX('💻シート作成'!$D$6:$D205, MATCH(AE74, '💻シート作成'!$E$6:$E205, 0)), "")</f>
        <v/>
      </c>
      <c r="AE74" s="172"/>
      <c r="AF74" s="799"/>
      <c r="AG74" s="799"/>
      <c r="AH74" s="799"/>
    </row>
    <row r="75" ht="15.75" customHeight="1">
      <c r="A75" s="893"/>
      <c r="B75" s="885"/>
      <c r="C75" s="891"/>
      <c r="D75" s="883"/>
      <c r="E75" s="904"/>
      <c r="F75" s="888"/>
      <c r="G75" s="883"/>
      <c r="H75" s="905"/>
      <c r="I75" s="883"/>
      <c r="J75" s="894"/>
      <c r="K75" s="798"/>
      <c r="L75" s="600"/>
      <c r="M75" s="236"/>
      <c r="N75" s="236"/>
      <c r="O75" s="236"/>
      <c r="P75" s="236"/>
      <c r="Q75" s="236"/>
      <c r="R75" s="236"/>
      <c r="S75" s="113"/>
      <c r="U75" s="600"/>
      <c r="V75" s="236"/>
      <c r="W75" s="236"/>
      <c r="X75" s="236"/>
      <c r="Y75" s="236"/>
      <c r="Z75" s="236"/>
      <c r="AA75" s="236"/>
      <c r="AB75" s="113"/>
      <c r="AC75" s="799"/>
      <c r="AD75" s="228" t="str">
        <f t="array" ref="AD75">IFERROR(INDEX('💻シート作成'!$D$6:$D205, MATCH(AE75, '💻シート作成'!$E$6:$E205, 0)), "")</f>
        <v/>
      </c>
      <c r="AE75" s="172"/>
      <c r="AF75" s="799"/>
      <c r="AG75" s="799"/>
      <c r="AH75" s="799"/>
    </row>
    <row r="76" ht="15.75" customHeight="1">
      <c r="A76" s="798"/>
      <c r="B76" s="885"/>
      <c r="C76" s="891"/>
      <c r="D76" s="883"/>
      <c r="E76" s="904"/>
      <c r="F76" s="888"/>
      <c r="G76" s="883"/>
      <c r="H76" s="905"/>
      <c r="I76" s="883"/>
      <c r="J76" s="799"/>
      <c r="K76" s="798"/>
      <c r="L76" s="861"/>
      <c r="M76" s="861"/>
      <c r="N76" s="861"/>
      <c r="O76" s="861"/>
      <c r="P76" s="861"/>
      <c r="Q76" s="861"/>
      <c r="R76" s="861"/>
      <c r="S76" s="861"/>
      <c r="T76" s="814"/>
      <c r="U76" s="861"/>
      <c r="V76" s="861"/>
      <c r="W76" s="861"/>
      <c r="X76" s="861"/>
      <c r="Y76" s="861"/>
      <c r="Z76" s="861"/>
      <c r="AA76" s="861"/>
      <c r="AB76" s="861"/>
      <c r="AC76" s="799"/>
      <c r="AD76" s="228" t="str">
        <f t="array" ref="AD76">IFERROR(INDEX('💻シート作成'!$D$6:$D205, MATCH(AE76, '💻シート作成'!$E$6:$E205, 0)), "")</f>
        <v/>
      </c>
      <c r="AE76" s="172"/>
      <c r="AF76" s="799"/>
      <c r="AG76" s="799"/>
      <c r="AH76" s="799"/>
    </row>
    <row r="77" ht="15.75" customHeight="1">
      <c r="A77" s="798"/>
      <c r="B77" s="799"/>
      <c r="C77" s="799"/>
      <c r="D77" s="799"/>
      <c r="E77" s="799"/>
      <c r="H77" s="799"/>
      <c r="I77" s="799"/>
      <c r="J77" s="799"/>
      <c r="K77" s="798"/>
      <c r="L77" s="865" t="s">
        <v>641</v>
      </c>
      <c r="M77" s="232"/>
      <c r="N77" s="232"/>
      <c r="O77" s="232"/>
      <c r="P77" s="232"/>
      <c r="Q77" s="232"/>
      <c r="R77" s="232"/>
      <c r="S77" s="3"/>
      <c r="T77" s="814"/>
      <c r="U77" s="906" t="s">
        <v>642</v>
      </c>
      <c r="V77" s="232"/>
      <c r="W77" s="232"/>
      <c r="X77" s="232"/>
      <c r="Y77" s="232"/>
      <c r="Z77" s="232"/>
      <c r="AA77" s="232"/>
      <c r="AB77" s="3"/>
      <c r="AC77" s="799"/>
      <c r="AD77" s="228" t="str">
        <f t="array" ref="AD77">IFERROR(INDEX('💻シート作成'!$D$6:$D205, MATCH(AE77, '💻シート作成'!$E$6:$E205, 0)), "")</f>
        <v/>
      </c>
      <c r="AE77" s="172"/>
      <c r="AF77" s="799"/>
      <c r="AG77" s="799"/>
      <c r="AH77" s="799"/>
    </row>
    <row r="78" ht="15.75" customHeight="1">
      <c r="A78" s="798"/>
      <c r="B78" s="799"/>
      <c r="C78" s="799"/>
      <c r="D78" s="799"/>
      <c r="E78" s="799"/>
      <c r="H78" s="799"/>
      <c r="I78" s="799"/>
      <c r="J78" s="799"/>
      <c r="K78" s="798"/>
      <c r="L78" s="827"/>
      <c r="M78" s="247"/>
      <c r="N78" s="247"/>
      <c r="O78" s="247"/>
      <c r="P78" s="247"/>
      <c r="Q78" s="247"/>
      <c r="R78" s="247"/>
      <c r="S78" s="250"/>
      <c r="U78" s="827"/>
      <c r="V78" s="247"/>
      <c r="W78" s="247"/>
      <c r="X78" s="247"/>
      <c r="Y78" s="247"/>
      <c r="Z78" s="247"/>
      <c r="AA78" s="247"/>
      <c r="AB78" s="250"/>
      <c r="AC78" s="799"/>
      <c r="AD78" s="228" t="str">
        <f t="array" ref="AD78">IFERROR(INDEX('💻シート作成'!$D$6:$D205, MATCH(AE78, '💻シート作成'!$E$6:$E205, 0)), "")</f>
        <v/>
      </c>
      <c r="AE78" s="172"/>
      <c r="AF78" s="799"/>
      <c r="AG78" s="799"/>
      <c r="AH78" s="799"/>
    </row>
    <row r="79" ht="15.75" customHeight="1">
      <c r="A79" s="798"/>
      <c r="B79" s="799"/>
      <c r="C79" s="799"/>
      <c r="D79" s="799"/>
      <c r="E79" s="799"/>
      <c r="H79" s="799"/>
      <c r="I79" s="799"/>
      <c r="J79" s="799"/>
      <c r="K79" s="798"/>
      <c r="L79" s="831"/>
      <c r="S79" s="218"/>
      <c r="U79" s="831"/>
      <c r="AB79" s="218"/>
      <c r="AC79" s="799"/>
      <c r="AD79" s="228" t="str">
        <f t="array" ref="AD79">IFERROR(INDEX('💻シート作成'!$D$6:$D205, MATCH(AE79, '💻シート作成'!$E$6:$E205, 0)), "")</f>
        <v/>
      </c>
      <c r="AE79" s="172"/>
      <c r="AF79" s="799"/>
      <c r="AG79" s="799"/>
      <c r="AH79" s="799"/>
    </row>
    <row r="80" ht="15.75" customHeight="1">
      <c r="A80" s="798"/>
      <c r="B80" s="799"/>
      <c r="C80" s="799"/>
      <c r="D80" s="799"/>
      <c r="E80" s="799"/>
      <c r="H80" s="799"/>
      <c r="I80" s="799"/>
      <c r="J80" s="799"/>
      <c r="K80" s="798"/>
      <c r="L80" s="831"/>
      <c r="S80" s="218"/>
      <c r="U80" s="831"/>
      <c r="AB80" s="218"/>
      <c r="AC80" s="799"/>
      <c r="AD80" s="228" t="str">
        <f t="array" ref="AD80">IFERROR(INDEX('💻シート作成'!$D$6:$D205, MATCH(AE80, '💻シート作成'!$E$6:$E205, 0)), "")</f>
        <v/>
      </c>
      <c r="AE80" s="172"/>
      <c r="AF80" s="799"/>
      <c r="AG80" s="799"/>
      <c r="AH80" s="799"/>
    </row>
    <row r="81" ht="15.75" customHeight="1">
      <c r="A81" s="798"/>
      <c r="B81" s="799"/>
      <c r="C81" s="799"/>
      <c r="D81" s="799"/>
      <c r="E81" s="799"/>
      <c r="H81" s="799"/>
      <c r="I81" s="799"/>
      <c r="J81" s="799"/>
      <c r="K81" s="798"/>
      <c r="L81" s="831"/>
      <c r="S81" s="218"/>
      <c r="U81" s="831"/>
      <c r="AB81" s="218"/>
      <c r="AC81" s="799"/>
      <c r="AD81" s="228" t="str">
        <f t="array" ref="AD81">IFERROR(INDEX('💻シート作成'!$D$6:$D205, MATCH(AE81, '💻シート作成'!$E$6:$E205, 0)), "")</f>
        <v/>
      </c>
      <c r="AE81" s="172"/>
      <c r="AF81" s="799"/>
      <c r="AG81" s="799"/>
      <c r="AH81" s="799"/>
    </row>
    <row r="82" ht="15.75" customHeight="1">
      <c r="A82" s="798"/>
      <c r="B82" s="799"/>
      <c r="C82" s="799"/>
      <c r="D82" s="799"/>
      <c r="E82" s="799"/>
      <c r="H82" s="799"/>
      <c r="I82" s="799"/>
      <c r="J82" s="799"/>
      <c r="K82" s="798"/>
      <c r="L82" s="831"/>
      <c r="S82" s="218"/>
      <c r="U82" s="831"/>
      <c r="AB82" s="218"/>
      <c r="AC82" s="799"/>
      <c r="AD82" s="228" t="str">
        <f t="array" ref="AD82">IFERROR(INDEX('💻シート作成'!$D$6:$D205, MATCH(AE82, '💻シート作成'!$E$6:$E205, 0)), "")</f>
        <v/>
      </c>
      <c r="AE82" s="172"/>
      <c r="AF82" s="799"/>
      <c r="AG82" s="799"/>
      <c r="AH82" s="799"/>
    </row>
    <row r="83" ht="15.75" customHeight="1">
      <c r="A83" s="798"/>
      <c r="B83" s="799"/>
      <c r="C83" s="799"/>
      <c r="D83" s="799"/>
      <c r="E83" s="799"/>
      <c r="H83" s="799"/>
      <c r="I83" s="799"/>
      <c r="J83" s="799"/>
      <c r="K83" s="798"/>
      <c r="L83" s="831"/>
      <c r="S83" s="218"/>
      <c r="U83" s="831"/>
      <c r="AB83" s="218"/>
      <c r="AC83" s="799"/>
      <c r="AD83" s="228" t="str">
        <f t="array" ref="AD83">IFERROR(INDEX('💻シート作成'!$D$6:$D205, MATCH(AE83, '💻シート作成'!$E$6:$E205, 0)), "")</f>
        <v/>
      </c>
      <c r="AE83" s="172"/>
      <c r="AF83" s="799"/>
      <c r="AG83" s="799"/>
      <c r="AH83" s="799"/>
    </row>
    <row r="84" ht="15.75" customHeight="1">
      <c r="A84" s="798"/>
      <c r="B84" s="799"/>
      <c r="C84" s="799"/>
      <c r="D84" s="799"/>
      <c r="E84" s="799"/>
      <c r="H84" s="799"/>
      <c r="I84" s="799"/>
      <c r="J84" s="799"/>
      <c r="K84" s="798"/>
      <c r="L84" s="831"/>
      <c r="S84" s="218"/>
      <c r="U84" s="831"/>
      <c r="AB84" s="218"/>
      <c r="AC84" s="799"/>
      <c r="AD84" s="228" t="str">
        <f t="array" ref="AD84">IFERROR(INDEX('💻シート作成'!$D$6:$D205, MATCH(AE84, '💻シート作成'!$E$6:$E205, 0)), "")</f>
        <v/>
      </c>
      <c r="AE84" s="172"/>
      <c r="AF84" s="799"/>
      <c r="AG84" s="799"/>
      <c r="AH84" s="799"/>
    </row>
    <row r="85" ht="15.75" customHeight="1">
      <c r="A85" s="798"/>
      <c r="B85" s="799"/>
      <c r="C85" s="799"/>
      <c r="D85" s="799"/>
      <c r="E85" s="799"/>
      <c r="H85" s="799"/>
      <c r="I85" s="799"/>
      <c r="J85" s="799"/>
      <c r="K85" s="798"/>
      <c r="L85" s="831"/>
      <c r="S85" s="218"/>
      <c r="U85" s="831"/>
      <c r="AB85" s="218"/>
      <c r="AC85" s="799"/>
      <c r="AD85" s="228" t="str">
        <f t="array" ref="AD85">IFERROR(INDEX('💻シート作成'!$D$6:$D205, MATCH(AE85, '💻シート作成'!$E$6:$E205, 0)), "")</f>
        <v/>
      </c>
      <c r="AE85" s="172"/>
      <c r="AF85" s="799"/>
      <c r="AG85" s="799"/>
      <c r="AH85" s="799"/>
    </row>
    <row r="86" ht="15.75" customHeight="1">
      <c r="A86" s="798"/>
      <c r="B86" s="799"/>
      <c r="C86" s="799"/>
      <c r="D86" s="799"/>
      <c r="E86" s="799"/>
      <c r="H86" s="799"/>
      <c r="I86" s="799"/>
      <c r="J86" s="799"/>
      <c r="K86" s="893"/>
      <c r="L86" s="831"/>
      <c r="S86" s="218"/>
      <c r="U86" s="831"/>
      <c r="AB86" s="218"/>
      <c r="AC86" s="894"/>
      <c r="AD86" s="228" t="str">
        <f t="array" ref="AD86">IFERROR(INDEX('💻シート作成'!$D$6:$D205, MATCH(AE86, '💻シート作成'!$E$6:$E205, 0)), "")</f>
        <v/>
      </c>
      <c r="AE86" s="172"/>
      <c r="AF86" s="894"/>
      <c r="AG86" s="894"/>
      <c r="AH86" s="894"/>
    </row>
    <row r="87" ht="15.75" customHeight="1">
      <c r="A87" s="798"/>
      <c r="B87" s="799"/>
      <c r="C87" s="799"/>
      <c r="D87" s="799"/>
      <c r="E87" s="799"/>
      <c r="H87" s="799"/>
      <c r="I87" s="799"/>
      <c r="J87" s="799"/>
      <c r="K87" s="798"/>
      <c r="L87" s="831"/>
      <c r="S87" s="218"/>
      <c r="U87" s="831"/>
      <c r="AB87" s="218"/>
      <c r="AC87" s="799"/>
      <c r="AD87" s="228" t="str">
        <f t="array" ref="AD87">IFERROR(INDEX('💻シート作成'!$D$6:$D205, MATCH(AE87, '💻シート作成'!$E$6:$E205, 0)), "")</f>
        <v/>
      </c>
      <c r="AE87" s="172"/>
      <c r="AF87" s="799"/>
      <c r="AG87" s="799"/>
      <c r="AH87" s="799"/>
    </row>
    <row r="88" ht="15.75" customHeight="1">
      <c r="A88" s="798"/>
      <c r="B88" s="799"/>
      <c r="C88" s="799"/>
      <c r="D88" s="799"/>
      <c r="E88" s="799"/>
      <c r="H88" s="799"/>
      <c r="I88" s="799"/>
      <c r="J88" s="799"/>
      <c r="K88" s="798"/>
      <c r="L88" s="831"/>
      <c r="S88" s="218"/>
      <c r="U88" s="831"/>
      <c r="AB88" s="218"/>
      <c r="AC88" s="799"/>
      <c r="AD88" s="228" t="str">
        <f t="array" ref="AD88">IFERROR(INDEX('💻シート作成'!$D$6:$D205, MATCH(AE88, '💻シート作成'!$E$6:$E205, 0)), "")</f>
        <v/>
      </c>
      <c r="AE88" s="172"/>
      <c r="AF88" s="799"/>
      <c r="AG88" s="799"/>
      <c r="AH88" s="799"/>
    </row>
    <row r="89" ht="15.75" customHeight="1">
      <c r="A89" s="893"/>
      <c r="B89" s="894"/>
      <c r="C89" s="894"/>
      <c r="D89" s="894"/>
      <c r="E89" s="894"/>
      <c r="F89" s="894"/>
      <c r="G89" s="894"/>
      <c r="H89" s="894"/>
      <c r="I89" s="894"/>
      <c r="J89" s="894"/>
      <c r="K89" s="798"/>
      <c r="L89" s="600"/>
      <c r="M89" s="236"/>
      <c r="N89" s="236"/>
      <c r="O89" s="236"/>
      <c r="P89" s="236"/>
      <c r="Q89" s="236"/>
      <c r="R89" s="236"/>
      <c r="S89" s="113"/>
      <c r="U89" s="600"/>
      <c r="V89" s="236"/>
      <c r="W89" s="236"/>
      <c r="X89" s="236"/>
      <c r="Y89" s="236"/>
      <c r="Z89" s="236"/>
      <c r="AA89" s="236"/>
      <c r="AB89" s="113"/>
      <c r="AC89" s="799"/>
      <c r="AD89" s="228" t="str">
        <f t="array" ref="AD89">IFERROR(INDEX('💻シート作成'!$D$6:$D205, MATCH(AE89, '💻シート作成'!$E$6:$E205, 0)), "")</f>
        <v/>
      </c>
      <c r="AE89" s="172"/>
      <c r="AF89" s="799"/>
      <c r="AG89" s="799"/>
      <c r="AH89" s="799"/>
    </row>
    <row r="90" ht="15.75" customHeight="1">
      <c r="A90" s="798"/>
      <c r="B90" s="799"/>
      <c r="C90" s="799"/>
      <c r="D90" s="799"/>
      <c r="E90" s="799"/>
      <c r="F90" s="799"/>
      <c r="G90" s="799"/>
      <c r="H90" s="799"/>
      <c r="I90" s="799"/>
      <c r="J90" s="799"/>
      <c r="K90" s="798"/>
      <c r="L90" s="907"/>
      <c r="M90" s="907"/>
      <c r="N90" s="907"/>
      <c r="O90" s="907"/>
      <c r="P90" s="907"/>
      <c r="Q90" s="907"/>
      <c r="R90" s="907"/>
      <c r="S90" s="907"/>
      <c r="T90" s="814"/>
      <c r="U90" s="907"/>
      <c r="V90" s="907"/>
      <c r="W90" s="907"/>
      <c r="X90" s="907"/>
      <c r="Y90" s="907"/>
      <c r="Z90" s="907"/>
      <c r="AA90" s="907"/>
      <c r="AB90" s="907"/>
      <c r="AC90" s="799"/>
      <c r="AD90" s="228" t="str">
        <f t="array" ref="AD90">IFERROR(INDEX('💻シート作成'!$D$6:$D205, MATCH(AE90, '💻シート作成'!$E$6:$E205, 0)), "")</f>
        <v/>
      </c>
      <c r="AE90" s="172"/>
      <c r="AF90" s="799"/>
      <c r="AG90" s="799"/>
      <c r="AH90" s="799"/>
    </row>
    <row r="91" ht="15.75" customHeight="1">
      <c r="A91" s="798"/>
      <c r="B91" s="799"/>
      <c r="C91" s="799"/>
      <c r="D91" s="799"/>
      <c r="E91" s="799"/>
      <c r="F91" s="799"/>
      <c r="G91" s="799"/>
      <c r="H91" s="799"/>
      <c r="I91" s="799"/>
      <c r="J91" s="799"/>
      <c r="K91" s="798"/>
      <c r="L91" s="908" t="s">
        <v>643</v>
      </c>
      <c r="M91" s="232"/>
      <c r="N91" s="232"/>
      <c r="O91" s="232"/>
      <c r="P91" s="232"/>
      <c r="Q91" s="232"/>
      <c r="R91" s="232"/>
      <c r="S91" s="232"/>
      <c r="T91" s="232"/>
      <c r="U91" s="232"/>
      <c r="V91" s="232"/>
      <c r="W91" s="232"/>
      <c r="X91" s="232"/>
      <c r="Y91" s="232"/>
      <c r="Z91" s="232"/>
      <c r="AA91" s="232"/>
      <c r="AB91" s="3"/>
      <c r="AC91" s="799"/>
      <c r="AD91" s="228" t="str">
        <f t="array" ref="AD91">IFERROR(INDEX('💻シート作成'!$D$6:$D205, MATCH(AE91, '💻シート作成'!$E$6:$E205, 0)), "")</f>
        <v/>
      </c>
      <c r="AE91" s="172"/>
      <c r="AF91" s="799"/>
      <c r="AG91" s="799"/>
      <c r="AH91" s="799"/>
    </row>
    <row r="92" ht="15.75" customHeight="1">
      <c r="A92" s="798"/>
      <c r="B92" s="799"/>
      <c r="C92" s="799"/>
      <c r="D92" s="799"/>
      <c r="E92" s="799"/>
      <c r="F92" s="799"/>
      <c r="G92" s="799"/>
      <c r="H92" s="799"/>
      <c r="I92" s="799"/>
      <c r="J92" s="799"/>
      <c r="K92" s="798"/>
      <c r="L92" s="827"/>
      <c r="M92" s="247"/>
      <c r="N92" s="247"/>
      <c r="O92" s="247"/>
      <c r="P92" s="247"/>
      <c r="Q92" s="247"/>
      <c r="R92" s="247"/>
      <c r="S92" s="247"/>
      <c r="T92" s="247"/>
      <c r="U92" s="247"/>
      <c r="V92" s="247"/>
      <c r="W92" s="247"/>
      <c r="X92" s="247"/>
      <c r="Y92" s="247"/>
      <c r="Z92" s="247"/>
      <c r="AA92" s="247"/>
      <c r="AB92" s="250"/>
      <c r="AC92" s="799"/>
      <c r="AD92" s="228" t="str">
        <f t="array" ref="AD92">IFERROR(INDEX('💻シート作成'!$D$6:$D205, MATCH(AE92, '💻シート作成'!$E$6:$E205, 0)), "")</f>
        <v/>
      </c>
      <c r="AE92" s="172"/>
      <c r="AF92" s="799"/>
      <c r="AG92" s="799"/>
      <c r="AH92" s="799"/>
    </row>
    <row r="93" ht="15.75" customHeight="1">
      <c r="A93" s="798"/>
      <c r="B93" s="799"/>
      <c r="C93" s="799"/>
      <c r="D93" s="799"/>
      <c r="E93" s="799"/>
      <c r="F93" s="799"/>
      <c r="G93" s="799"/>
      <c r="H93" s="799"/>
      <c r="I93" s="799"/>
      <c r="J93" s="799"/>
      <c r="K93" s="798"/>
      <c r="L93" s="831"/>
      <c r="AB93" s="218"/>
      <c r="AC93" s="799"/>
      <c r="AD93" s="228" t="str">
        <f t="array" ref="AD93">IFERROR(INDEX('💻シート作成'!$D$6:$D205, MATCH(AE93, '💻シート作成'!$E$6:$E205, 0)), "")</f>
        <v/>
      </c>
      <c r="AE93" s="172"/>
      <c r="AF93" s="799"/>
      <c r="AG93" s="799"/>
      <c r="AH93" s="799"/>
    </row>
    <row r="94" ht="15.75" customHeight="1">
      <c r="A94" s="798"/>
      <c r="B94" s="799"/>
      <c r="C94" s="799"/>
      <c r="D94" s="799"/>
      <c r="E94" s="799"/>
      <c r="F94" s="799"/>
      <c r="G94" s="799"/>
      <c r="H94" s="799"/>
      <c r="I94" s="799"/>
      <c r="J94" s="799"/>
      <c r="K94" s="798"/>
      <c r="L94" s="831"/>
      <c r="AB94" s="218"/>
      <c r="AC94" s="799"/>
      <c r="AD94" s="228" t="str">
        <f t="array" ref="AD94">IFERROR(INDEX('💻シート作成'!$D$6:$D205, MATCH(AE94, '💻シート作成'!$E$6:$E205, 0)), "")</f>
        <v/>
      </c>
      <c r="AE94" s="172"/>
      <c r="AF94" s="799"/>
      <c r="AG94" s="799"/>
      <c r="AH94" s="799"/>
    </row>
    <row r="95" ht="15.75" customHeight="1">
      <c r="A95" s="798"/>
      <c r="B95" s="799"/>
      <c r="C95" s="799"/>
      <c r="D95" s="799"/>
      <c r="E95" s="799"/>
      <c r="F95" s="799"/>
      <c r="G95" s="799"/>
      <c r="H95" s="799"/>
      <c r="I95" s="799"/>
      <c r="J95" s="799"/>
      <c r="K95" s="798"/>
      <c r="L95" s="831"/>
      <c r="AB95" s="218"/>
      <c r="AC95" s="799"/>
      <c r="AD95" s="228" t="str">
        <f t="array" ref="AD95">IFERROR(INDEX('💻シート作成'!$D$6:$D205, MATCH(AE95, '💻シート作成'!$E$6:$E205, 0)), "")</f>
        <v/>
      </c>
      <c r="AE95" s="172"/>
      <c r="AF95" s="799"/>
      <c r="AG95" s="799"/>
      <c r="AH95" s="799"/>
    </row>
    <row r="96" ht="15.75" customHeight="1">
      <c r="A96" s="798"/>
      <c r="B96" s="799"/>
      <c r="C96" s="799"/>
      <c r="D96" s="799"/>
      <c r="E96" s="799"/>
      <c r="F96" s="799"/>
      <c r="G96" s="799"/>
      <c r="H96" s="799"/>
      <c r="I96" s="799"/>
      <c r="J96" s="799"/>
      <c r="K96" s="798"/>
      <c r="L96" s="831"/>
      <c r="AB96" s="218"/>
      <c r="AC96" s="799"/>
      <c r="AD96" s="228" t="str">
        <f t="array" ref="AD96">IFERROR(INDEX('💻シート作成'!$D$6:$D205, MATCH(AE96, '💻シート作成'!$E$6:$E205, 0)), "")</f>
        <v/>
      </c>
      <c r="AE96" s="172"/>
      <c r="AF96" s="799"/>
      <c r="AG96" s="799"/>
      <c r="AH96" s="799"/>
    </row>
    <row r="97" ht="15.75" customHeight="1">
      <c r="A97" s="798"/>
      <c r="B97" s="799"/>
      <c r="C97" s="799"/>
      <c r="D97" s="799"/>
      <c r="E97" s="799"/>
      <c r="F97" s="799"/>
      <c r="G97" s="799"/>
      <c r="H97" s="799"/>
      <c r="I97" s="799"/>
      <c r="J97" s="799"/>
      <c r="K97" s="798"/>
      <c r="L97" s="831"/>
      <c r="AB97" s="218"/>
      <c r="AC97" s="799"/>
      <c r="AD97" s="228" t="str">
        <f t="array" ref="AD97">IFERROR(INDEX('💻シート作成'!$D$6:$D205, MATCH(AE97, '💻シート作成'!$E$6:$E205, 0)), "")</f>
        <v/>
      </c>
      <c r="AE97" s="172"/>
      <c r="AF97" s="799"/>
      <c r="AG97" s="799"/>
      <c r="AH97" s="799"/>
    </row>
    <row r="98" ht="15.75" customHeight="1">
      <c r="A98" s="798"/>
      <c r="B98" s="799"/>
      <c r="C98" s="799"/>
      <c r="D98" s="799"/>
      <c r="E98" s="799"/>
      <c r="F98" s="799"/>
      <c r="G98" s="799"/>
      <c r="H98" s="799"/>
      <c r="I98" s="799"/>
      <c r="J98" s="799"/>
      <c r="K98" s="798"/>
      <c r="L98" s="831"/>
      <c r="AB98" s="218"/>
      <c r="AC98" s="799"/>
      <c r="AD98" s="228" t="str">
        <f t="array" ref="AD98">IFERROR(INDEX('💻シート作成'!$D$6:$D205, MATCH(AE98, '💻シート作成'!$E$6:$E205, 0)), "")</f>
        <v/>
      </c>
      <c r="AE98" s="172"/>
      <c r="AF98" s="799"/>
      <c r="AG98" s="799"/>
      <c r="AH98" s="799"/>
    </row>
    <row r="99" ht="15.75" customHeight="1">
      <c r="A99" s="798"/>
      <c r="B99" s="799"/>
      <c r="C99" s="799"/>
      <c r="D99" s="799"/>
      <c r="E99" s="799"/>
      <c r="F99" s="799"/>
      <c r="G99" s="799"/>
      <c r="H99" s="799"/>
      <c r="I99" s="799"/>
      <c r="J99" s="799"/>
      <c r="K99" s="798"/>
      <c r="L99" s="600"/>
      <c r="M99" s="236"/>
      <c r="N99" s="236"/>
      <c r="O99" s="236"/>
      <c r="P99" s="236"/>
      <c r="Q99" s="236"/>
      <c r="R99" s="236"/>
      <c r="S99" s="236"/>
      <c r="T99" s="236"/>
      <c r="U99" s="236"/>
      <c r="V99" s="236"/>
      <c r="W99" s="236"/>
      <c r="X99" s="236"/>
      <c r="Y99" s="236"/>
      <c r="Z99" s="236"/>
      <c r="AA99" s="236"/>
      <c r="AB99" s="113"/>
      <c r="AC99" s="799"/>
      <c r="AD99" s="228" t="str">
        <f t="array" ref="AD99">IFERROR(INDEX('💻シート作成'!$D$6:$D205, MATCH(AE99, '💻シート作成'!$E$6:$E205, 0)), "")</f>
        <v/>
      </c>
      <c r="AE99" s="172"/>
      <c r="AF99" s="799"/>
      <c r="AG99" s="799"/>
      <c r="AH99" s="799"/>
    </row>
    <row r="100" ht="21.75" customHeight="1">
      <c r="A100" s="798"/>
      <c r="B100" s="799"/>
      <c r="C100" s="799"/>
      <c r="D100" s="799"/>
      <c r="E100" s="799"/>
      <c r="F100" s="799"/>
      <c r="G100" s="799"/>
      <c r="H100" s="799"/>
      <c r="I100" s="799"/>
      <c r="J100" s="799"/>
      <c r="K100" s="893"/>
      <c r="L100" s="894"/>
      <c r="M100" s="894"/>
      <c r="N100" s="894"/>
      <c r="O100" s="894"/>
      <c r="P100" s="894"/>
      <c r="Q100" s="894"/>
      <c r="R100" s="894"/>
      <c r="S100" s="894"/>
      <c r="T100" s="894"/>
      <c r="U100" s="894"/>
      <c r="V100" s="894"/>
      <c r="W100" s="894"/>
      <c r="X100" s="894"/>
      <c r="Y100" s="894"/>
      <c r="Z100" s="894"/>
      <c r="AA100" s="894"/>
      <c r="AB100" s="894"/>
      <c r="AC100" s="894"/>
      <c r="AD100" s="228" t="str">
        <f t="array" ref="AD100">IFERROR(INDEX('💻シート作成'!$D$6:$D205, MATCH(AE100, '💻シート作成'!$E$6:$E205, 0)), "")</f>
        <v/>
      </c>
      <c r="AE100" s="172"/>
      <c r="AF100" s="894"/>
      <c r="AG100" s="894"/>
      <c r="AH100" s="894"/>
    </row>
    <row r="101" ht="15.75" customHeight="1">
      <c r="A101" s="798"/>
      <c r="B101" s="799"/>
      <c r="C101" s="799"/>
      <c r="D101" s="799"/>
      <c r="E101" s="799"/>
      <c r="F101" s="799"/>
      <c r="G101" s="799"/>
      <c r="H101" s="799"/>
      <c r="I101" s="799"/>
      <c r="J101" s="799"/>
      <c r="K101" s="798"/>
      <c r="L101" s="799"/>
      <c r="M101" s="799"/>
      <c r="N101" s="799"/>
      <c r="O101" s="799"/>
      <c r="P101" s="799"/>
      <c r="Q101" s="799"/>
      <c r="R101" s="799"/>
      <c r="S101" s="799"/>
      <c r="T101" s="799"/>
      <c r="U101" s="799"/>
      <c r="V101" s="799"/>
      <c r="W101" s="799"/>
      <c r="X101" s="799"/>
      <c r="Y101" s="799"/>
      <c r="Z101" s="799"/>
      <c r="AA101" s="799"/>
      <c r="AB101" s="799"/>
      <c r="AC101" s="799"/>
      <c r="AD101" s="228" t="str">
        <f t="array" ref="AD101">IFERROR(INDEX('💻シート作成'!$D$6:$D205, MATCH(AE101, '💻シート作成'!$E$6:$E205, 0)), "")</f>
        <v/>
      </c>
      <c r="AE101" s="172"/>
      <c r="AF101" s="799"/>
      <c r="AG101" s="799"/>
      <c r="AH101" s="799"/>
    </row>
    <row r="102" ht="15.75" customHeight="1">
      <c r="A102" s="798"/>
      <c r="B102" s="799"/>
      <c r="C102" s="799"/>
      <c r="D102" s="799"/>
      <c r="E102" s="799"/>
      <c r="F102" s="799"/>
      <c r="G102" s="799"/>
      <c r="H102" s="799"/>
      <c r="I102" s="799"/>
      <c r="J102" s="799"/>
      <c r="K102" s="798"/>
      <c r="L102" s="799"/>
      <c r="M102" s="799"/>
      <c r="N102" s="799"/>
      <c r="O102" s="799"/>
      <c r="P102" s="799"/>
      <c r="Q102" s="799"/>
      <c r="R102" s="799"/>
      <c r="S102" s="799"/>
      <c r="T102" s="799"/>
      <c r="U102" s="799"/>
      <c r="V102" s="799"/>
      <c r="W102" s="799"/>
      <c r="X102" s="799"/>
      <c r="Y102" s="799"/>
      <c r="Z102" s="799"/>
      <c r="AA102" s="799"/>
      <c r="AB102" s="799"/>
      <c r="AC102" s="799"/>
      <c r="AD102" s="228" t="str">
        <f t="array" ref="AD102">IFERROR(INDEX('💻シート作成'!$D$6:$D205, MATCH(AE102, '💻シート作成'!$E$6:$E205, 0)), "")</f>
        <v/>
      </c>
      <c r="AE102" s="172"/>
      <c r="AF102" s="799"/>
      <c r="AG102" s="799"/>
      <c r="AH102" s="799"/>
    </row>
    <row r="103" ht="15.75" customHeight="1">
      <c r="A103" s="893"/>
      <c r="B103" s="894"/>
      <c r="C103" s="894"/>
      <c r="D103" s="894"/>
      <c r="E103" s="894"/>
      <c r="F103" s="894"/>
      <c r="G103" s="894"/>
      <c r="H103" s="894"/>
      <c r="I103" s="894"/>
      <c r="J103" s="894"/>
      <c r="K103" s="798"/>
      <c r="L103" s="799"/>
      <c r="M103" s="799"/>
      <c r="N103" s="799"/>
      <c r="O103" s="799"/>
      <c r="P103" s="799"/>
      <c r="Q103" s="799"/>
      <c r="R103" s="799"/>
      <c r="S103" s="799"/>
      <c r="T103" s="799"/>
      <c r="U103" s="799"/>
      <c r="V103" s="799"/>
      <c r="W103" s="799"/>
      <c r="X103" s="799"/>
      <c r="Y103" s="799"/>
      <c r="Z103" s="799"/>
      <c r="AA103" s="799"/>
      <c r="AB103" s="799"/>
      <c r="AC103" s="799"/>
      <c r="AD103" s="228" t="str">
        <f t="array" ref="AD103">IFERROR(INDEX('💻シート作成'!$D$6:$D205, MATCH(AE103, '💻シート作成'!$E$6:$E205, 0)), "")</f>
        <v/>
      </c>
      <c r="AE103" s="172"/>
      <c r="AF103" s="799"/>
      <c r="AG103" s="799"/>
      <c r="AH103" s="799"/>
    </row>
    <row r="104" ht="15.75" customHeight="1">
      <c r="A104" s="798"/>
      <c r="B104" s="799"/>
      <c r="C104" s="799"/>
      <c r="D104" s="799"/>
      <c r="E104" s="799"/>
      <c r="F104" s="799"/>
      <c r="G104" s="799"/>
      <c r="H104" s="799"/>
      <c r="I104" s="799"/>
      <c r="J104" s="799"/>
      <c r="K104" s="798"/>
      <c r="L104" s="799"/>
      <c r="M104" s="799"/>
      <c r="N104" s="799"/>
      <c r="O104" s="799"/>
      <c r="P104" s="799"/>
      <c r="Q104" s="799"/>
      <c r="R104" s="799"/>
      <c r="S104" s="799"/>
      <c r="T104" s="799"/>
      <c r="U104" s="799"/>
      <c r="V104" s="799"/>
      <c r="W104" s="799"/>
      <c r="X104" s="799"/>
      <c r="Y104" s="799"/>
      <c r="Z104" s="799"/>
      <c r="AA104" s="799"/>
      <c r="AB104" s="799"/>
      <c r="AC104" s="799"/>
      <c r="AD104" s="228" t="str">
        <f t="array" ref="AD104">IFERROR(INDEX('💻シート作成'!$D$6:$D205, MATCH(AE104, '💻シート作成'!$E$6:$E205, 0)), "")</f>
        <v/>
      </c>
      <c r="AE104" s="172"/>
      <c r="AF104" s="799"/>
      <c r="AG104" s="799"/>
      <c r="AH104" s="799"/>
    </row>
    <row r="105" ht="15.75" customHeight="1">
      <c r="A105" s="798"/>
      <c r="B105" s="799"/>
      <c r="C105" s="799"/>
      <c r="D105" s="799"/>
      <c r="E105" s="799"/>
      <c r="F105" s="799"/>
      <c r="G105" s="799"/>
      <c r="H105" s="799"/>
      <c r="I105" s="799"/>
      <c r="J105" s="799"/>
      <c r="K105" s="798"/>
      <c r="L105" s="799"/>
      <c r="M105" s="799"/>
      <c r="N105" s="799"/>
      <c r="O105" s="799"/>
      <c r="P105" s="799"/>
      <c r="Q105" s="799"/>
      <c r="R105" s="799"/>
      <c r="S105" s="799"/>
      <c r="T105" s="799"/>
      <c r="U105" s="799"/>
      <c r="V105" s="799"/>
      <c r="W105" s="799"/>
      <c r="X105" s="799"/>
      <c r="Y105" s="799"/>
      <c r="Z105" s="799"/>
      <c r="AA105" s="799"/>
      <c r="AB105" s="799"/>
      <c r="AC105" s="799"/>
      <c r="AD105" s="228" t="str">
        <f t="array" ref="AD105">IFERROR(INDEX('💻シート作成'!$D$6:$D205, MATCH(AE105, '💻シート作成'!$E$6:$E205, 0)), "")</f>
        <v/>
      </c>
      <c r="AE105" s="172"/>
      <c r="AF105" s="799"/>
      <c r="AG105" s="799"/>
      <c r="AH105" s="799"/>
    </row>
    <row r="106" ht="15.75" customHeight="1">
      <c r="A106" s="798"/>
      <c r="B106" s="799"/>
      <c r="C106" s="799"/>
      <c r="D106" s="799"/>
      <c r="E106" s="799"/>
      <c r="F106" s="799"/>
      <c r="G106" s="799"/>
      <c r="H106" s="799"/>
      <c r="I106" s="799"/>
      <c r="J106" s="799"/>
      <c r="K106" s="798"/>
      <c r="L106" s="799"/>
      <c r="M106" s="799"/>
      <c r="N106" s="799"/>
      <c r="O106" s="799"/>
      <c r="P106" s="799"/>
      <c r="Q106" s="799"/>
      <c r="R106" s="799"/>
      <c r="S106" s="799"/>
      <c r="T106" s="799"/>
      <c r="U106" s="799"/>
      <c r="V106" s="799"/>
      <c r="W106" s="799"/>
      <c r="X106" s="799"/>
      <c r="Y106" s="799"/>
      <c r="Z106" s="799"/>
      <c r="AA106" s="799"/>
      <c r="AB106" s="799"/>
      <c r="AC106" s="799"/>
      <c r="AD106" s="228" t="str">
        <f t="array" ref="AD106">IFERROR(INDEX('💻シート作成'!$D$6:$D205, MATCH(AE106, '💻シート作成'!$E$6:$E205, 0)), "")</f>
        <v/>
      </c>
      <c r="AE106" s="184"/>
      <c r="AF106" s="799"/>
      <c r="AG106" s="799"/>
      <c r="AH106" s="799"/>
    </row>
    <row r="107" ht="15.75" customHeight="1">
      <c r="A107" s="798"/>
      <c r="B107" s="799"/>
      <c r="C107" s="799"/>
      <c r="D107" s="799"/>
      <c r="E107" s="799"/>
      <c r="F107" s="799"/>
      <c r="G107" s="799"/>
      <c r="H107" s="799"/>
      <c r="I107" s="799"/>
      <c r="J107" s="799"/>
      <c r="K107" s="798"/>
      <c r="L107" s="799"/>
      <c r="M107" s="799"/>
      <c r="N107" s="799"/>
      <c r="O107" s="799"/>
      <c r="P107" s="799"/>
      <c r="Q107" s="799"/>
      <c r="R107" s="799"/>
      <c r="S107" s="799"/>
      <c r="T107" s="799"/>
      <c r="U107" s="799"/>
      <c r="V107" s="799"/>
      <c r="W107" s="799"/>
      <c r="X107" s="799"/>
      <c r="Y107" s="799"/>
      <c r="Z107" s="799"/>
      <c r="AA107" s="799"/>
      <c r="AB107" s="799"/>
      <c r="AC107" s="799"/>
      <c r="AD107" s="228" t="str">
        <f t="array" ref="AD107">IFERROR(INDEX('💻シート作成'!$D$6:$D205, MATCH(AE107, '💻シート作成'!$E$6:$E205, 0)), "")</f>
        <v/>
      </c>
      <c r="AE107" s="172"/>
      <c r="AF107" s="799"/>
      <c r="AG107" s="799"/>
      <c r="AH107" s="799"/>
    </row>
    <row r="108" ht="15.75" customHeight="1">
      <c r="A108" s="798"/>
      <c r="B108" s="799"/>
      <c r="C108" s="799"/>
      <c r="D108" s="799"/>
      <c r="E108" s="799"/>
      <c r="F108" s="799"/>
      <c r="G108" s="799"/>
      <c r="H108" s="799"/>
      <c r="I108" s="799"/>
      <c r="J108" s="799"/>
      <c r="K108" s="798"/>
      <c r="L108" s="799"/>
      <c r="M108" s="799"/>
      <c r="N108" s="799"/>
      <c r="O108" s="799"/>
      <c r="P108" s="799"/>
      <c r="Q108" s="799"/>
      <c r="R108" s="799"/>
      <c r="S108" s="799"/>
      <c r="T108" s="799"/>
      <c r="U108" s="799"/>
      <c r="V108" s="799"/>
      <c r="W108" s="799"/>
      <c r="X108" s="799"/>
      <c r="Y108" s="799"/>
      <c r="Z108" s="799"/>
      <c r="AA108" s="799"/>
      <c r="AB108" s="799"/>
      <c r="AC108" s="799"/>
      <c r="AD108" s="228" t="str">
        <f t="array" ref="AD108">IFERROR(INDEX('💻シート作成'!$D$6:$D205, MATCH(AE108, '💻シート作成'!$E$6:$E205, 0)), "")</f>
        <v/>
      </c>
      <c r="AE108" s="184"/>
      <c r="AF108" s="799"/>
      <c r="AG108" s="799"/>
      <c r="AH108" s="799"/>
    </row>
    <row r="109" ht="15.75" customHeight="1">
      <c r="A109" s="798"/>
      <c r="B109" s="799"/>
      <c r="C109" s="799"/>
      <c r="D109" s="799"/>
      <c r="E109" s="799"/>
      <c r="F109" s="799"/>
      <c r="G109" s="799"/>
      <c r="H109" s="799"/>
      <c r="I109" s="799"/>
      <c r="J109" s="799"/>
      <c r="K109" s="798"/>
      <c r="L109" s="799"/>
      <c r="M109" s="799"/>
      <c r="N109" s="799"/>
      <c r="O109" s="799"/>
      <c r="P109" s="799"/>
      <c r="Q109" s="799"/>
      <c r="R109" s="799"/>
      <c r="S109" s="799"/>
      <c r="T109" s="799"/>
      <c r="U109" s="799"/>
      <c r="V109" s="799"/>
      <c r="W109" s="799"/>
      <c r="X109" s="799"/>
      <c r="Y109" s="799"/>
      <c r="Z109" s="799"/>
      <c r="AA109" s="799"/>
      <c r="AB109" s="799"/>
      <c r="AC109" s="799"/>
      <c r="AD109" s="228" t="str">
        <f t="array" ref="AD109">IFERROR(INDEX('💻シート作成'!$D$6:$D205, MATCH(AE109, '💻シート作成'!$E$6:$E205, 0)), "")</f>
        <v/>
      </c>
      <c r="AE109" s="184"/>
      <c r="AF109" s="799"/>
      <c r="AG109" s="799"/>
      <c r="AH109" s="799"/>
    </row>
    <row r="110" ht="15.75" customHeight="1">
      <c r="A110" s="798"/>
      <c r="B110" s="799"/>
      <c r="C110" s="799"/>
      <c r="D110" s="799"/>
      <c r="E110" s="799"/>
      <c r="F110" s="799"/>
      <c r="G110" s="799"/>
      <c r="H110" s="799"/>
      <c r="I110" s="799"/>
      <c r="J110" s="799"/>
      <c r="K110" s="798"/>
      <c r="L110" s="799"/>
      <c r="M110" s="799"/>
      <c r="N110" s="799"/>
      <c r="O110" s="799"/>
      <c r="P110" s="799"/>
      <c r="Q110" s="799"/>
      <c r="R110" s="799"/>
      <c r="S110" s="799"/>
      <c r="T110" s="799"/>
      <c r="U110" s="799"/>
      <c r="V110" s="799"/>
      <c r="W110" s="799"/>
      <c r="X110" s="799"/>
      <c r="Y110" s="799"/>
      <c r="Z110" s="799"/>
      <c r="AA110" s="799"/>
      <c r="AB110" s="799"/>
      <c r="AC110" s="799"/>
      <c r="AD110" s="228" t="str">
        <f t="array" ref="AD110">IFERROR(INDEX('💻シート作成'!$D$6:$D205, MATCH(AE110, '💻シート作成'!$E$6:$E205, 0)), "")</f>
        <v/>
      </c>
      <c r="AE110" s="184"/>
      <c r="AF110" s="799"/>
      <c r="AG110" s="799"/>
      <c r="AH110" s="799"/>
    </row>
    <row r="111" ht="15.75" customHeight="1">
      <c r="A111" s="798"/>
      <c r="B111" s="799"/>
      <c r="C111" s="799"/>
      <c r="D111" s="799"/>
      <c r="E111" s="799"/>
      <c r="F111" s="799"/>
      <c r="G111" s="799"/>
      <c r="H111" s="799"/>
      <c r="I111" s="799"/>
      <c r="J111" s="799"/>
      <c r="K111" s="798"/>
      <c r="L111" s="799"/>
      <c r="M111" s="799"/>
      <c r="N111" s="799"/>
      <c r="O111" s="799"/>
      <c r="P111" s="799"/>
      <c r="Q111" s="799"/>
      <c r="R111" s="799"/>
      <c r="S111" s="799"/>
      <c r="T111" s="799"/>
      <c r="U111" s="799"/>
      <c r="V111" s="799"/>
      <c r="W111" s="799"/>
      <c r="X111" s="799"/>
      <c r="Y111" s="799"/>
      <c r="Z111" s="799"/>
      <c r="AA111" s="799"/>
      <c r="AB111" s="799"/>
      <c r="AC111" s="799"/>
      <c r="AD111" s="228" t="str">
        <f t="array" ref="AD111">IFERROR(INDEX('💻シート作成'!$D$6:$D205, MATCH(AE111, '💻シート作成'!$E$6:$E205, 0)), "")</f>
        <v/>
      </c>
      <c r="AE111" s="184"/>
      <c r="AF111" s="799"/>
      <c r="AG111" s="799"/>
      <c r="AH111" s="799"/>
    </row>
    <row r="112" ht="15.75" customHeight="1">
      <c r="A112" s="798"/>
      <c r="B112" s="799"/>
      <c r="C112" s="799"/>
      <c r="D112" s="799"/>
      <c r="E112" s="799"/>
      <c r="F112" s="799"/>
      <c r="G112" s="799"/>
      <c r="H112" s="799"/>
      <c r="I112" s="799"/>
      <c r="J112" s="799"/>
      <c r="K112" s="798"/>
      <c r="L112" s="799"/>
      <c r="M112" s="799"/>
      <c r="N112" s="799"/>
      <c r="O112" s="799"/>
      <c r="P112" s="799"/>
      <c r="Q112" s="799"/>
      <c r="R112" s="799"/>
      <c r="S112" s="799"/>
      <c r="T112" s="799"/>
      <c r="U112" s="799"/>
      <c r="V112" s="799"/>
      <c r="W112" s="799"/>
      <c r="X112" s="799"/>
      <c r="Y112" s="799"/>
      <c r="Z112" s="799"/>
      <c r="AA112" s="799"/>
      <c r="AB112" s="799"/>
      <c r="AC112" s="799"/>
      <c r="AD112" s="228" t="str">
        <f t="array" ref="AD112">IFERROR(INDEX('💻シート作成'!$D$6:$D205, MATCH(AE112, '💻シート作成'!$E$6:$E205, 0)), "")</f>
        <v/>
      </c>
      <c r="AE112" s="184"/>
      <c r="AF112" s="799"/>
      <c r="AG112" s="799"/>
      <c r="AH112" s="799"/>
    </row>
    <row r="113" ht="15.75" customHeight="1">
      <c r="A113" s="798"/>
      <c r="B113" s="799"/>
      <c r="C113" s="799"/>
      <c r="D113" s="799"/>
      <c r="E113" s="799"/>
      <c r="F113" s="799"/>
      <c r="G113" s="799"/>
      <c r="H113" s="799"/>
      <c r="I113" s="799"/>
      <c r="J113" s="799"/>
      <c r="K113" s="798"/>
      <c r="L113" s="799"/>
      <c r="M113" s="799"/>
      <c r="N113" s="799"/>
      <c r="O113" s="799"/>
      <c r="P113" s="799"/>
      <c r="Q113" s="799"/>
      <c r="R113" s="799"/>
      <c r="S113" s="799"/>
      <c r="T113" s="799"/>
      <c r="U113" s="799"/>
      <c r="V113" s="799"/>
      <c r="W113" s="799"/>
      <c r="X113" s="799"/>
      <c r="Y113" s="799"/>
      <c r="Z113" s="799"/>
      <c r="AA113" s="799"/>
      <c r="AB113" s="799"/>
      <c r="AC113" s="799"/>
      <c r="AD113" s="228" t="str">
        <f t="array" ref="AD113">IFERROR(INDEX('💻シート作成'!$D$6:$D205, MATCH(AE113, '💻シート作成'!$E$6:$E205, 0)), "")</f>
        <v/>
      </c>
      <c r="AE113" s="184"/>
      <c r="AF113" s="799"/>
      <c r="AG113" s="799"/>
      <c r="AH113" s="799"/>
    </row>
    <row r="114" ht="21.75" customHeight="1">
      <c r="A114" s="798"/>
      <c r="B114" s="799"/>
      <c r="C114" s="799"/>
      <c r="D114" s="799"/>
      <c r="E114" s="799"/>
      <c r="F114" s="799"/>
      <c r="G114" s="799"/>
      <c r="H114" s="799"/>
      <c r="I114" s="799"/>
      <c r="J114" s="799"/>
      <c r="K114" s="893"/>
      <c r="L114" s="894"/>
      <c r="M114" s="894"/>
      <c r="N114" s="894"/>
      <c r="O114" s="894"/>
      <c r="P114" s="894"/>
      <c r="Q114" s="894"/>
      <c r="R114" s="894"/>
      <c r="S114" s="894"/>
      <c r="T114" s="894"/>
      <c r="U114" s="894"/>
      <c r="V114" s="894"/>
      <c r="W114" s="894"/>
      <c r="X114" s="894"/>
      <c r="Y114" s="894"/>
      <c r="Z114" s="894"/>
      <c r="AA114" s="894"/>
      <c r="AB114" s="894"/>
      <c r="AC114" s="894"/>
      <c r="AD114" s="228" t="str">
        <f t="array" ref="AD114">IFERROR(INDEX('💻シート作成'!$D$6:$D205, MATCH(AE114, '💻シート作成'!$E$6:$E205, 0)), "")</f>
        <v/>
      </c>
      <c r="AE114" s="184"/>
      <c r="AF114" s="894"/>
      <c r="AG114" s="894"/>
      <c r="AH114" s="894"/>
    </row>
    <row r="115" ht="15.75" customHeight="1">
      <c r="A115" s="798"/>
      <c r="B115" s="799"/>
      <c r="C115" s="799"/>
      <c r="D115" s="799"/>
      <c r="E115" s="799"/>
      <c r="F115" s="799"/>
      <c r="G115" s="799"/>
      <c r="H115" s="799"/>
      <c r="I115" s="799"/>
      <c r="J115" s="799"/>
      <c r="K115" s="798"/>
      <c r="L115" s="799"/>
      <c r="M115" s="799"/>
      <c r="N115" s="799"/>
      <c r="O115" s="799"/>
      <c r="P115" s="799"/>
      <c r="Q115" s="799"/>
      <c r="R115" s="799"/>
      <c r="S115" s="799"/>
      <c r="T115" s="799"/>
      <c r="U115" s="799"/>
      <c r="V115" s="799"/>
      <c r="W115" s="799"/>
      <c r="X115" s="799"/>
      <c r="Y115" s="799"/>
      <c r="Z115" s="799"/>
      <c r="AA115" s="799"/>
      <c r="AB115" s="799"/>
      <c r="AC115" s="799"/>
      <c r="AD115" s="228" t="str">
        <f t="array" ref="AD115">IFERROR(INDEX('💻シート作成'!$D$6:$D205, MATCH(AE115, '💻シート作成'!$E$6:$E205, 0)), "")</f>
        <v/>
      </c>
      <c r="AE115" s="184"/>
      <c r="AF115" s="799"/>
      <c r="AG115" s="799"/>
      <c r="AH115" s="799"/>
    </row>
    <row r="116" ht="15.75" customHeight="1">
      <c r="A116" s="798"/>
      <c r="B116" s="799"/>
      <c r="C116" s="799"/>
      <c r="D116" s="799"/>
      <c r="E116" s="799"/>
      <c r="F116" s="799"/>
      <c r="G116" s="799"/>
      <c r="H116" s="799"/>
      <c r="I116" s="799"/>
      <c r="J116" s="799"/>
      <c r="K116" s="798"/>
      <c r="L116" s="799"/>
      <c r="M116" s="799"/>
      <c r="N116" s="799"/>
      <c r="O116" s="799"/>
      <c r="P116" s="799"/>
      <c r="Q116" s="799"/>
      <c r="R116" s="799"/>
      <c r="S116" s="799"/>
      <c r="T116" s="799"/>
      <c r="U116" s="799"/>
      <c r="V116" s="799"/>
      <c r="W116" s="799"/>
      <c r="X116" s="799"/>
      <c r="Y116" s="799"/>
      <c r="Z116" s="799"/>
      <c r="AA116" s="799"/>
      <c r="AB116" s="799"/>
      <c r="AC116" s="799"/>
      <c r="AD116" s="228" t="str">
        <f t="array" ref="AD116">IFERROR(INDEX('💻シート作成'!$D$6:$D205, MATCH(AE116, '💻シート作成'!$E$6:$E205, 0)), "")</f>
        <v/>
      </c>
      <c r="AE116" s="184"/>
      <c r="AF116" s="799"/>
      <c r="AG116" s="799"/>
      <c r="AH116" s="799"/>
    </row>
    <row r="117" ht="15.75" customHeight="1">
      <c r="A117" s="893"/>
      <c r="B117" s="894"/>
      <c r="C117" s="894"/>
      <c r="D117" s="894"/>
      <c r="E117" s="894"/>
      <c r="F117" s="894"/>
      <c r="G117" s="894"/>
      <c r="H117" s="894"/>
      <c r="I117" s="894"/>
      <c r="J117" s="894"/>
      <c r="K117" s="798"/>
      <c r="L117" s="799"/>
      <c r="M117" s="799"/>
      <c r="N117" s="799"/>
      <c r="O117" s="799"/>
      <c r="P117" s="799"/>
      <c r="Q117" s="799"/>
      <c r="R117" s="799"/>
      <c r="S117" s="799"/>
      <c r="T117" s="799"/>
      <c r="U117" s="799"/>
      <c r="V117" s="799"/>
      <c r="W117" s="799"/>
      <c r="X117" s="799"/>
      <c r="Y117" s="799"/>
      <c r="Z117" s="799"/>
      <c r="AA117" s="799"/>
      <c r="AB117" s="799"/>
      <c r="AC117" s="799"/>
      <c r="AD117" s="228" t="str">
        <f t="array" ref="AD117">IFERROR(INDEX('💻シート作成'!$D$6:$D205, MATCH(AE117, '💻シート作成'!$E$6:$E205, 0)), "")</f>
        <v/>
      </c>
      <c r="AE117" s="184"/>
      <c r="AF117" s="799"/>
      <c r="AG117" s="799"/>
      <c r="AH117" s="799"/>
    </row>
    <row r="118" ht="15.75" customHeight="1">
      <c r="A118" s="798"/>
      <c r="B118" s="799"/>
      <c r="C118" s="799"/>
      <c r="D118" s="799"/>
      <c r="E118" s="799"/>
      <c r="F118" s="799"/>
      <c r="G118" s="799"/>
      <c r="H118" s="799"/>
      <c r="I118" s="799"/>
      <c r="J118" s="799"/>
      <c r="K118" s="798"/>
      <c r="L118" s="799"/>
      <c r="M118" s="799"/>
      <c r="N118" s="799"/>
      <c r="O118" s="799"/>
      <c r="P118" s="799"/>
      <c r="Q118" s="799"/>
      <c r="R118" s="799"/>
      <c r="S118" s="799"/>
      <c r="T118" s="799"/>
      <c r="U118" s="799"/>
      <c r="V118" s="799"/>
      <c r="W118" s="799"/>
      <c r="X118" s="799"/>
      <c r="Y118" s="799"/>
      <c r="Z118" s="799"/>
      <c r="AA118" s="799"/>
      <c r="AB118" s="799"/>
      <c r="AC118" s="799"/>
      <c r="AD118" s="228" t="str">
        <f t="array" ref="AD118">IFERROR(INDEX('💻シート作成'!$D$6:$D205, MATCH(AE118, '💻シート作成'!$E$6:$E205, 0)), "")</f>
        <v/>
      </c>
      <c r="AE118" s="184"/>
      <c r="AF118" s="799"/>
      <c r="AG118" s="799"/>
      <c r="AH118" s="799"/>
    </row>
    <row r="119" ht="15.75" customHeight="1">
      <c r="A119" s="798"/>
      <c r="B119" s="799"/>
      <c r="C119" s="799"/>
      <c r="D119" s="799"/>
      <c r="E119" s="799"/>
      <c r="F119" s="799"/>
      <c r="G119" s="799"/>
      <c r="H119" s="799"/>
      <c r="I119" s="799"/>
      <c r="J119" s="799"/>
      <c r="K119" s="798"/>
      <c r="L119" s="799"/>
      <c r="M119" s="799"/>
      <c r="N119" s="799"/>
      <c r="O119" s="799"/>
      <c r="P119" s="799"/>
      <c r="Q119" s="799"/>
      <c r="R119" s="799"/>
      <c r="S119" s="799"/>
      <c r="T119" s="799"/>
      <c r="U119" s="799"/>
      <c r="V119" s="799"/>
      <c r="W119" s="799"/>
      <c r="X119" s="799"/>
      <c r="Y119" s="799"/>
      <c r="Z119" s="799"/>
      <c r="AA119" s="799"/>
      <c r="AB119" s="799"/>
      <c r="AC119" s="799"/>
      <c r="AD119" s="228" t="str">
        <f t="array" ref="AD119">IFERROR(INDEX('💻シート作成'!$D$6:$D205, MATCH(AE119, '💻シート作成'!$E$6:$E205, 0)), "")</f>
        <v/>
      </c>
      <c r="AE119" s="184"/>
      <c r="AF119" s="799"/>
      <c r="AG119" s="799"/>
      <c r="AH119" s="799"/>
    </row>
    <row r="120" ht="15.75" customHeight="1">
      <c r="A120" s="798"/>
      <c r="B120" s="799"/>
      <c r="C120" s="799"/>
      <c r="D120" s="799"/>
      <c r="E120" s="799"/>
      <c r="F120" s="799"/>
      <c r="G120" s="799"/>
      <c r="H120" s="799"/>
      <c r="I120" s="799"/>
      <c r="J120" s="799"/>
      <c r="K120" s="798"/>
      <c r="L120" s="799"/>
      <c r="M120" s="799"/>
      <c r="N120" s="799"/>
      <c r="O120" s="799"/>
      <c r="P120" s="799"/>
      <c r="Q120" s="799"/>
      <c r="R120" s="799"/>
      <c r="S120" s="799"/>
      <c r="T120" s="799"/>
      <c r="U120" s="799"/>
      <c r="V120" s="799"/>
      <c r="W120" s="799"/>
      <c r="X120" s="799"/>
      <c r="Y120" s="799"/>
      <c r="Z120" s="799"/>
      <c r="AA120" s="799"/>
      <c r="AB120" s="799"/>
      <c r="AC120" s="799"/>
      <c r="AD120" s="228" t="str">
        <f t="array" ref="AD120">IFERROR(INDEX('💻シート作成'!$D$6:$D205, MATCH(AE120, '💻シート作成'!$E$6:$E205, 0)), "")</f>
        <v/>
      </c>
      <c r="AE120" s="184"/>
      <c r="AF120" s="799"/>
      <c r="AG120" s="799"/>
      <c r="AH120" s="799"/>
    </row>
    <row r="121" ht="15.75" customHeight="1">
      <c r="A121" s="798"/>
      <c r="B121" s="799"/>
      <c r="C121" s="799"/>
      <c r="D121" s="799"/>
      <c r="E121" s="799"/>
      <c r="F121" s="799"/>
      <c r="G121" s="799"/>
      <c r="H121" s="799"/>
      <c r="I121" s="799"/>
      <c r="J121" s="799"/>
      <c r="K121" s="798"/>
      <c r="L121" s="799"/>
      <c r="M121" s="799"/>
      <c r="N121" s="799"/>
      <c r="O121" s="799"/>
      <c r="P121" s="799"/>
      <c r="Q121" s="799"/>
      <c r="R121" s="799"/>
      <c r="S121" s="799"/>
      <c r="T121" s="799"/>
      <c r="U121" s="799"/>
      <c r="V121" s="799"/>
      <c r="W121" s="799"/>
      <c r="X121" s="799"/>
      <c r="Y121" s="799"/>
      <c r="Z121" s="799"/>
      <c r="AA121" s="799"/>
      <c r="AB121" s="799"/>
      <c r="AC121" s="799"/>
      <c r="AD121" s="228" t="str">
        <f t="array" ref="AD121">IFERROR(INDEX('💻シート作成'!$D$6:$D205, MATCH(AE121, '💻シート作成'!$E$6:$E205, 0)), "")</f>
        <v/>
      </c>
      <c r="AE121" s="184"/>
      <c r="AF121" s="799"/>
      <c r="AG121" s="799"/>
      <c r="AH121" s="799"/>
    </row>
    <row r="122" ht="15.75" customHeight="1">
      <c r="A122" s="798"/>
      <c r="B122" s="799"/>
      <c r="C122" s="799"/>
      <c r="D122" s="799"/>
      <c r="E122" s="799"/>
      <c r="F122" s="799"/>
      <c r="G122" s="799"/>
      <c r="H122" s="799"/>
      <c r="I122" s="799"/>
      <c r="J122" s="799"/>
      <c r="K122" s="798"/>
      <c r="L122" s="799"/>
      <c r="M122" s="799"/>
      <c r="N122" s="799"/>
      <c r="O122" s="799"/>
      <c r="P122" s="799"/>
      <c r="Q122" s="799"/>
      <c r="R122" s="799"/>
      <c r="S122" s="799"/>
      <c r="T122" s="799"/>
      <c r="U122" s="799"/>
      <c r="V122" s="799"/>
      <c r="W122" s="799"/>
      <c r="X122" s="799"/>
      <c r="Y122" s="799"/>
      <c r="Z122" s="799"/>
      <c r="AA122" s="799"/>
      <c r="AB122" s="799"/>
      <c r="AC122" s="799"/>
      <c r="AD122" s="228" t="str">
        <f t="array" ref="AD122">IFERROR(INDEX('💻シート作成'!$D$6:$D205, MATCH(AE122, '💻シート作成'!$E$6:$E205, 0)), "")</f>
        <v/>
      </c>
      <c r="AE122" s="184"/>
      <c r="AF122" s="799"/>
      <c r="AG122" s="799"/>
      <c r="AH122" s="799"/>
    </row>
    <row r="123" ht="15.75" customHeight="1">
      <c r="A123" s="798"/>
      <c r="B123" s="799"/>
      <c r="C123" s="799"/>
      <c r="D123" s="799"/>
      <c r="E123" s="799"/>
      <c r="F123" s="799"/>
      <c r="G123" s="799"/>
      <c r="H123" s="799"/>
      <c r="I123" s="799"/>
      <c r="J123" s="799"/>
      <c r="K123" s="798"/>
      <c r="L123" s="799"/>
      <c r="M123" s="799"/>
      <c r="N123" s="799"/>
      <c r="O123" s="799"/>
      <c r="P123" s="799"/>
      <c r="Q123" s="799"/>
      <c r="R123" s="799"/>
      <c r="S123" s="799"/>
      <c r="T123" s="799"/>
      <c r="U123" s="799"/>
      <c r="V123" s="799"/>
      <c r="W123" s="799"/>
      <c r="X123" s="799"/>
      <c r="Y123" s="799"/>
      <c r="Z123" s="799"/>
      <c r="AA123" s="799"/>
      <c r="AB123" s="799"/>
      <c r="AC123" s="799"/>
      <c r="AD123" s="228" t="str">
        <f t="array" ref="AD123">IFERROR(INDEX('💻シート作成'!$D$6:$D205, MATCH(AE123, '💻シート作成'!$E$6:$E205, 0)), "")</f>
        <v/>
      </c>
      <c r="AE123" s="184"/>
      <c r="AF123" s="799"/>
      <c r="AG123" s="799"/>
      <c r="AH123" s="799"/>
    </row>
    <row r="124" ht="15.75" customHeight="1">
      <c r="A124" s="798"/>
      <c r="B124" s="799"/>
      <c r="C124" s="799"/>
      <c r="D124" s="799"/>
      <c r="E124" s="799"/>
      <c r="F124" s="799"/>
      <c r="G124" s="799"/>
      <c r="H124" s="799"/>
      <c r="I124" s="799"/>
      <c r="J124" s="799"/>
      <c r="K124" s="798"/>
      <c r="L124" s="799"/>
      <c r="M124" s="799"/>
      <c r="N124" s="799"/>
      <c r="O124" s="799"/>
      <c r="P124" s="799"/>
      <c r="Q124" s="799"/>
      <c r="R124" s="799"/>
      <c r="S124" s="799"/>
      <c r="T124" s="799"/>
      <c r="U124" s="799"/>
      <c r="V124" s="799"/>
      <c r="W124" s="799"/>
      <c r="X124" s="799"/>
      <c r="Y124" s="799"/>
      <c r="Z124" s="799"/>
      <c r="AA124" s="799"/>
      <c r="AB124" s="799"/>
      <c r="AC124" s="799"/>
      <c r="AD124" s="228" t="str">
        <f t="array" ref="AD124">IFERROR(INDEX('💻シート作成'!$D$6:$D205, MATCH(AE124, '💻シート作成'!$E$6:$E205, 0)), "")</f>
        <v/>
      </c>
      <c r="AE124" s="184"/>
      <c r="AF124" s="799"/>
      <c r="AG124" s="799"/>
      <c r="AH124" s="799"/>
    </row>
    <row r="125" ht="15.75" customHeight="1">
      <c r="A125" s="798"/>
      <c r="B125" s="799"/>
      <c r="C125" s="799"/>
      <c r="D125" s="799"/>
      <c r="E125" s="799"/>
      <c r="F125" s="799"/>
      <c r="G125" s="799"/>
      <c r="H125" s="799"/>
      <c r="I125" s="799"/>
      <c r="J125" s="799"/>
      <c r="K125" s="798"/>
      <c r="L125" s="799"/>
      <c r="M125" s="799"/>
      <c r="N125" s="799"/>
      <c r="O125" s="799"/>
      <c r="P125" s="799"/>
      <c r="Q125" s="799"/>
      <c r="R125" s="799"/>
      <c r="S125" s="799"/>
      <c r="T125" s="799"/>
      <c r="U125" s="799"/>
      <c r="V125" s="799"/>
      <c r="W125" s="799"/>
      <c r="X125" s="799"/>
      <c r="Y125" s="799"/>
      <c r="Z125" s="799"/>
      <c r="AA125" s="799"/>
      <c r="AB125" s="799"/>
      <c r="AC125" s="799"/>
      <c r="AD125" s="228" t="str">
        <f t="array" ref="AD125">IFERROR(INDEX('💻シート作成'!$D$6:$D205, MATCH(AE125, '💻シート作成'!$E$6:$E205, 0)), "")</f>
        <v/>
      </c>
      <c r="AE125" s="184"/>
      <c r="AF125" s="799"/>
      <c r="AG125" s="799"/>
      <c r="AH125" s="799"/>
    </row>
    <row r="126" ht="15.75" customHeight="1">
      <c r="A126" s="798"/>
      <c r="B126" s="799"/>
      <c r="C126" s="799"/>
      <c r="D126" s="799"/>
      <c r="E126" s="799"/>
      <c r="F126" s="799"/>
      <c r="G126" s="799"/>
      <c r="H126" s="799"/>
      <c r="I126" s="799"/>
      <c r="J126" s="799"/>
      <c r="K126" s="798"/>
      <c r="L126" s="799"/>
      <c r="M126" s="799"/>
      <c r="N126" s="799"/>
      <c r="O126" s="799"/>
      <c r="P126" s="799"/>
      <c r="Q126" s="799"/>
      <c r="R126" s="799"/>
      <c r="S126" s="799"/>
      <c r="T126" s="799"/>
      <c r="U126" s="799"/>
      <c r="V126" s="799"/>
      <c r="W126" s="799"/>
      <c r="X126" s="799"/>
      <c r="Y126" s="799"/>
      <c r="Z126" s="799"/>
      <c r="AA126" s="799"/>
      <c r="AB126" s="799"/>
      <c r="AC126" s="799"/>
      <c r="AD126" s="228" t="str">
        <f t="array" ref="AD126">IFERROR(INDEX('💻シート作成'!$D$6:$D205, MATCH(AE126, '💻シート作成'!$E$6:$E205, 0)), "")</f>
        <v/>
      </c>
      <c r="AE126" s="184"/>
      <c r="AF126" s="799"/>
      <c r="AG126" s="799"/>
      <c r="AH126" s="799"/>
    </row>
    <row r="127" ht="15.75" customHeight="1">
      <c r="A127" s="798"/>
      <c r="B127" s="799"/>
      <c r="C127" s="799"/>
      <c r="D127" s="799"/>
      <c r="E127" s="799"/>
      <c r="F127" s="799"/>
      <c r="G127" s="799"/>
      <c r="H127" s="799"/>
      <c r="I127" s="799"/>
      <c r="J127" s="799"/>
      <c r="K127" s="798"/>
      <c r="L127" s="799"/>
      <c r="M127" s="799"/>
      <c r="N127" s="799"/>
      <c r="O127" s="799"/>
      <c r="P127" s="799"/>
      <c r="Q127" s="799"/>
      <c r="R127" s="799"/>
      <c r="S127" s="799"/>
      <c r="T127" s="799"/>
      <c r="U127" s="799"/>
      <c r="V127" s="799"/>
      <c r="W127" s="799"/>
      <c r="X127" s="799"/>
      <c r="Y127" s="799"/>
      <c r="Z127" s="799"/>
      <c r="AA127" s="799"/>
      <c r="AB127" s="799"/>
      <c r="AC127" s="799"/>
      <c r="AD127" s="228" t="str">
        <f t="array" ref="AD127">IFERROR(INDEX('💻シート作成'!$D$6:$D205, MATCH(AE127, '💻シート作成'!$E$6:$E205, 0)), "")</f>
        <v/>
      </c>
      <c r="AE127" s="184"/>
      <c r="AF127" s="799"/>
      <c r="AG127" s="799"/>
      <c r="AH127" s="799"/>
    </row>
    <row r="128" ht="21.75" customHeight="1">
      <c r="A128" s="798"/>
      <c r="B128" s="799"/>
      <c r="C128" s="799"/>
      <c r="D128" s="799"/>
      <c r="E128" s="799"/>
      <c r="F128" s="799"/>
      <c r="G128" s="799"/>
      <c r="H128" s="799"/>
      <c r="I128" s="799"/>
      <c r="J128" s="799"/>
      <c r="K128" s="893"/>
      <c r="L128" s="894"/>
      <c r="M128" s="894"/>
      <c r="N128" s="894"/>
      <c r="O128" s="894"/>
      <c r="P128" s="894"/>
      <c r="Q128" s="894"/>
      <c r="R128" s="894"/>
      <c r="S128" s="894"/>
      <c r="T128" s="894"/>
      <c r="U128" s="894"/>
      <c r="V128" s="894"/>
      <c r="W128" s="894"/>
      <c r="X128" s="894"/>
      <c r="Y128" s="894"/>
      <c r="Z128" s="894"/>
      <c r="AA128" s="894"/>
      <c r="AB128" s="894"/>
      <c r="AC128" s="894"/>
      <c r="AD128" s="228" t="str">
        <f t="array" ref="AD128">IFERROR(INDEX('💻シート作成'!$D$6:$D205, MATCH(AE128, '💻シート作成'!$E$6:$E205, 0)), "")</f>
        <v/>
      </c>
      <c r="AE128" s="184"/>
      <c r="AF128" s="894"/>
      <c r="AG128" s="894"/>
      <c r="AH128" s="894"/>
    </row>
    <row r="129" ht="15.75" customHeight="1">
      <c r="A129" s="798"/>
      <c r="B129" s="799"/>
      <c r="C129" s="799"/>
      <c r="D129" s="799"/>
      <c r="E129" s="799"/>
      <c r="F129" s="799"/>
      <c r="G129" s="799"/>
      <c r="H129" s="799"/>
      <c r="I129" s="799"/>
      <c r="J129" s="799"/>
      <c r="K129" s="798"/>
      <c r="L129" s="799"/>
      <c r="M129" s="799"/>
      <c r="N129" s="799"/>
      <c r="O129" s="799"/>
      <c r="P129" s="799"/>
      <c r="Q129" s="799"/>
      <c r="R129" s="799"/>
      <c r="S129" s="799"/>
      <c r="T129" s="799"/>
      <c r="U129" s="799"/>
      <c r="V129" s="799"/>
      <c r="W129" s="799"/>
      <c r="X129" s="799"/>
      <c r="Y129" s="799"/>
      <c r="Z129" s="799"/>
      <c r="AA129" s="799"/>
      <c r="AB129" s="799"/>
      <c r="AC129" s="799"/>
      <c r="AD129" s="228" t="str">
        <f t="array" ref="AD129">IFERROR(INDEX('💻シート作成'!$D$6:$D205, MATCH(AE129, '💻シート作成'!$E$6:$E205, 0)), "")</f>
        <v/>
      </c>
      <c r="AE129" s="184"/>
      <c r="AF129" s="799"/>
      <c r="AG129" s="799"/>
      <c r="AH129" s="799"/>
    </row>
    <row r="130" ht="15.75" customHeight="1">
      <c r="A130" s="798"/>
      <c r="B130" s="799"/>
      <c r="C130" s="799"/>
      <c r="D130" s="799"/>
      <c r="E130" s="799"/>
      <c r="F130" s="799"/>
      <c r="G130" s="799"/>
      <c r="H130" s="799"/>
      <c r="I130" s="799"/>
      <c r="J130" s="799"/>
      <c r="K130" s="798"/>
      <c r="L130" s="799"/>
      <c r="M130" s="799"/>
      <c r="N130" s="799"/>
      <c r="O130" s="799"/>
      <c r="P130" s="799"/>
      <c r="Q130" s="799"/>
      <c r="R130" s="799"/>
      <c r="S130" s="799"/>
      <c r="T130" s="799"/>
      <c r="U130" s="799"/>
      <c r="V130" s="799"/>
      <c r="W130" s="799"/>
      <c r="X130" s="799"/>
      <c r="Y130" s="799"/>
      <c r="Z130" s="799"/>
      <c r="AA130" s="799"/>
      <c r="AB130" s="799"/>
      <c r="AC130" s="799"/>
      <c r="AD130" s="228" t="str">
        <f t="array" ref="AD130">IFERROR(INDEX('💻シート作成'!$D$6:$D205, MATCH(AE130, '💻シート作成'!$E$6:$E205, 0)), "")</f>
        <v/>
      </c>
      <c r="AE130" s="184"/>
      <c r="AF130" s="799"/>
      <c r="AG130" s="799"/>
      <c r="AH130" s="799"/>
    </row>
    <row r="131" ht="15.75" customHeight="1">
      <c r="A131" s="893"/>
      <c r="B131" s="894"/>
      <c r="C131" s="894"/>
      <c r="D131" s="894"/>
      <c r="E131" s="894"/>
      <c r="F131" s="894"/>
      <c r="G131" s="894"/>
      <c r="H131" s="894"/>
      <c r="I131" s="894"/>
      <c r="J131" s="894"/>
      <c r="K131" s="798"/>
      <c r="L131" s="799"/>
      <c r="M131" s="799"/>
      <c r="N131" s="799"/>
      <c r="O131" s="799"/>
      <c r="P131" s="799"/>
      <c r="Q131" s="799"/>
      <c r="R131" s="799"/>
      <c r="S131" s="799"/>
      <c r="T131" s="799"/>
      <c r="U131" s="799"/>
      <c r="V131" s="799"/>
      <c r="W131" s="799"/>
      <c r="X131" s="799"/>
      <c r="Y131" s="799"/>
      <c r="Z131" s="799"/>
      <c r="AA131" s="799"/>
      <c r="AB131" s="799"/>
      <c r="AC131" s="799"/>
      <c r="AD131" s="228" t="str">
        <f t="array" ref="AD131">IFERROR(INDEX('💻シート作成'!$D$6:$D205, MATCH(AE131, '💻シート作成'!$E$6:$E205, 0)), "")</f>
        <v/>
      </c>
      <c r="AE131" s="184"/>
      <c r="AF131" s="799"/>
      <c r="AG131" s="799"/>
      <c r="AH131" s="799"/>
    </row>
    <row r="132" ht="15.75" customHeight="1">
      <c r="A132" s="798"/>
      <c r="B132" s="799"/>
      <c r="C132" s="799"/>
      <c r="D132" s="799"/>
      <c r="E132" s="799"/>
      <c r="F132" s="799"/>
      <c r="G132" s="799"/>
      <c r="H132" s="799"/>
      <c r="I132" s="799"/>
      <c r="J132" s="799"/>
      <c r="K132" s="798"/>
      <c r="L132" s="799"/>
      <c r="M132" s="799"/>
      <c r="N132" s="799"/>
      <c r="O132" s="799"/>
      <c r="P132" s="799"/>
      <c r="Q132" s="799"/>
      <c r="R132" s="799"/>
      <c r="S132" s="799"/>
      <c r="T132" s="799"/>
      <c r="U132" s="799"/>
      <c r="V132" s="799"/>
      <c r="W132" s="799"/>
      <c r="X132" s="799"/>
      <c r="Y132" s="799"/>
      <c r="Z132" s="799"/>
      <c r="AA132" s="799"/>
      <c r="AB132" s="799"/>
      <c r="AC132" s="799"/>
      <c r="AD132" s="228" t="str">
        <f t="array" ref="AD132">IFERROR(INDEX('💻シート作成'!$D$6:$D205, MATCH(AE132, '💻シート作成'!$E$6:$E205, 0)), "")</f>
        <v/>
      </c>
      <c r="AE132" s="184"/>
      <c r="AF132" s="799"/>
      <c r="AG132" s="799"/>
      <c r="AH132" s="799"/>
    </row>
    <row r="133" ht="15.75" customHeight="1">
      <c r="A133" s="798"/>
      <c r="B133" s="799"/>
      <c r="C133" s="799"/>
      <c r="D133" s="799"/>
      <c r="E133" s="799"/>
      <c r="F133" s="799"/>
      <c r="G133" s="799"/>
      <c r="H133" s="799"/>
      <c r="I133" s="799"/>
      <c r="J133" s="799"/>
      <c r="K133" s="798"/>
      <c r="L133" s="799"/>
      <c r="M133" s="799"/>
      <c r="N133" s="799"/>
      <c r="O133" s="799"/>
      <c r="P133" s="799"/>
      <c r="Q133" s="799"/>
      <c r="R133" s="799"/>
      <c r="S133" s="799"/>
      <c r="T133" s="799"/>
      <c r="U133" s="799"/>
      <c r="V133" s="799"/>
      <c r="W133" s="799"/>
      <c r="X133" s="799"/>
      <c r="Y133" s="799"/>
      <c r="Z133" s="799"/>
      <c r="AA133" s="799"/>
      <c r="AB133" s="799"/>
      <c r="AC133" s="799"/>
      <c r="AD133" s="228" t="str">
        <f t="array" ref="AD133">IFERROR(INDEX('💻シート作成'!$D$6:$D205, MATCH(AE133, '💻シート作成'!$E$6:$E205, 0)), "")</f>
        <v/>
      </c>
      <c r="AE133" s="184"/>
      <c r="AF133" s="799"/>
      <c r="AG133" s="799"/>
      <c r="AH133" s="799"/>
    </row>
    <row r="134" ht="15.75" customHeight="1">
      <c r="A134" s="798"/>
      <c r="B134" s="799"/>
      <c r="C134" s="799"/>
      <c r="D134" s="799"/>
      <c r="E134" s="799"/>
      <c r="F134" s="799"/>
      <c r="G134" s="799"/>
      <c r="H134" s="799"/>
      <c r="I134" s="799"/>
      <c r="J134" s="799"/>
      <c r="K134" s="798"/>
      <c r="L134" s="799"/>
      <c r="M134" s="799"/>
      <c r="N134" s="799"/>
      <c r="O134" s="799"/>
      <c r="P134" s="799"/>
      <c r="Q134" s="799"/>
      <c r="R134" s="799"/>
      <c r="S134" s="799"/>
      <c r="T134" s="799"/>
      <c r="U134" s="799"/>
      <c r="V134" s="799"/>
      <c r="W134" s="799"/>
      <c r="X134" s="799"/>
      <c r="Y134" s="799"/>
      <c r="Z134" s="799"/>
      <c r="AA134" s="799"/>
      <c r="AB134" s="799"/>
      <c r="AC134" s="799"/>
      <c r="AD134" s="228" t="str">
        <f t="array" ref="AD134">IFERROR(INDEX('💻シート作成'!$D$6:$D205, MATCH(AE134, '💻シート作成'!$E$6:$E205, 0)), "")</f>
        <v/>
      </c>
      <c r="AE134" s="184"/>
      <c r="AF134" s="799"/>
      <c r="AG134" s="799"/>
      <c r="AH134" s="799"/>
    </row>
    <row r="135" ht="15.75" customHeight="1">
      <c r="A135" s="798"/>
      <c r="B135" s="799"/>
      <c r="C135" s="799"/>
      <c r="D135" s="799"/>
      <c r="E135" s="799"/>
      <c r="F135" s="799"/>
      <c r="G135" s="799"/>
      <c r="H135" s="799"/>
      <c r="I135" s="799"/>
      <c r="J135" s="799"/>
      <c r="K135" s="798"/>
      <c r="L135" s="799"/>
      <c r="M135" s="799"/>
      <c r="N135" s="799"/>
      <c r="O135" s="799"/>
      <c r="P135" s="799"/>
      <c r="Q135" s="799"/>
      <c r="R135" s="799"/>
      <c r="S135" s="799"/>
      <c r="T135" s="799"/>
      <c r="U135" s="799"/>
      <c r="V135" s="799"/>
      <c r="W135" s="799"/>
      <c r="X135" s="799"/>
      <c r="Y135" s="799"/>
      <c r="Z135" s="799"/>
      <c r="AA135" s="799"/>
      <c r="AB135" s="799"/>
      <c r="AC135" s="799"/>
      <c r="AD135" s="228" t="str">
        <f t="array" ref="AD135">IFERROR(INDEX('💻シート作成'!$D$6:$D205, MATCH(AE135, '💻シート作成'!$E$6:$E205, 0)), "")</f>
        <v/>
      </c>
      <c r="AE135" s="184"/>
      <c r="AF135" s="799"/>
      <c r="AG135" s="799"/>
      <c r="AH135" s="799"/>
    </row>
    <row r="136" ht="15.75" customHeight="1">
      <c r="A136" s="798"/>
      <c r="B136" s="799"/>
      <c r="C136" s="799"/>
      <c r="D136" s="799"/>
      <c r="E136" s="799"/>
      <c r="F136" s="799"/>
      <c r="G136" s="799"/>
      <c r="H136" s="799"/>
      <c r="I136" s="799"/>
      <c r="J136" s="799"/>
      <c r="K136" s="798"/>
      <c r="L136" s="799"/>
      <c r="M136" s="799"/>
      <c r="N136" s="799"/>
      <c r="O136" s="799"/>
      <c r="P136" s="799"/>
      <c r="Q136" s="799"/>
      <c r="R136" s="799"/>
      <c r="S136" s="799"/>
      <c r="T136" s="799"/>
      <c r="U136" s="799"/>
      <c r="V136" s="799"/>
      <c r="W136" s="799"/>
      <c r="X136" s="799"/>
      <c r="Y136" s="799"/>
      <c r="Z136" s="799"/>
      <c r="AA136" s="799"/>
      <c r="AB136" s="799"/>
      <c r="AC136" s="799"/>
      <c r="AD136" s="228" t="str">
        <f t="array" ref="AD136">IFERROR(INDEX('💻シート作成'!$D$6:$D205, MATCH(AE136, '💻シート作成'!$E$6:$E205, 0)), "")</f>
        <v/>
      </c>
      <c r="AE136" s="184"/>
      <c r="AF136" s="799"/>
      <c r="AG136" s="799"/>
      <c r="AH136" s="799"/>
    </row>
    <row r="137" ht="15.75" customHeight="1">
      <c r="A137" s="798"/>
      <c r="B137" s="799"/>
      <c r="C137" s="799"/>
      <c r="D137" s="799"/>
      <c r="E137" s="799"/>
      <c r="F137" s="799"/>
      <c r="G137" s="799"/>
      <c r="H137" s="799"/>
      <c r="I137" s="799"/>
      <c r="J137" s="799"/>
      <c r="K137" s="798"/>
      <c r="L137" s="799"/>
      <c r="M137" s="799"/>
      <c r="N137" s="799"/>
      <c r="O137" s="799"/>
      <c r="P137" s="799"/>
      <c r="Q137" s="799"/>
      <c r="R137" s="799"/>
      <c r="S137" s="799"/>
      <c r="T137" s="799"/>
      <c r="U137" s="799"/>
      <c r="V137" s="799"/>
      <c r="W137" s="799"/>
      <c r="X137" s="799"/>
      <c r="Y137" s="799"/>
      <c r="Z137" s="799"/>
      <c r="AA137" s="799"/>
      <c r="AB137" s="799"/>
      <c r="AC137" s="799"/>
      <c r="AD137" s="228" t="str">
        <f t="array" ref="AD137">IFERROR(INDEX('💻シート作成'!$D$6:$D205, MATCH(AE137, '💻シート作成'!$E$6:$E205, 0)), "")</f>
        <v/>
      </c>
      <c r="AE137" s="184"/>
      <c r="AF137" s="799"/>
      <c r="AG137" s="799"/>
      <c r="AH137" s="799"/>
    </row>
    <row r="138" ht="15.75" customHeight="1">
      <c r="A138" s="798"/>
      <c r="B138" s="799"/>
      <c r="C138" s="799"/>
      <c r="D138" s="799"/>
      <c r="E138" s="799"/>
      <c r="F138" s="799"/>
      <c r="G138" s="799"/>
      <c r="H138" s="799"/>
      <c r="I138" s="799"/>
      <c r="J138" s="799"/>
      <c r="K138" s="798"/>
      <c r="L138" s="799"/>
      <c r="M138" s="799"/>
      <c r="N138" s="799"/>
      <c r="O138" s="799"/>
      <c r="P138" s="799"/>
      <c r="Q138" s="799"/>
      <c r="R138" s="799"/>
      <c r="S138" s="799"/>
      <c r="T138" s="799"/>
      <c r="U138" s="799"/>
      <c r="V138" s="799"/>
      <c r="W138" s="799"/>
      <c r="X138" s="799"/>
      <c r="Y138" s="799"/>
      <c r="Z138" s="799"/>
      <c r="AA138" s="799"/>
      <c r="AB138" s="799"/>
      <c r="AC138" s="799"/>
      <c r="AD138" s="228" t="str">
        <f t="array" ref="AD138">IFERROR(INDEX('💻シート作成'!$D$6:$D205, MATCH(AE138, '💻シート作成'!$E$6:$E205, 0)), "")</f>
        <v/>
      </c>
      <c r="AE138" s="184"/>
      <c r="AF138" s="799"/>
      <c r="AG138" s="799"/>
      <c r="AH138" s="799"/>
    </row>
    <row r="139" ht="15.75" customHeight="1">
      <c r="A139" s="798"/>
      <c r="B139" s="799"/>
      <c r="C139" s="799"/>
      <c r="D139" s="799"/>
      <c r="E139" s="799"/>
      <c r="F139" s="799"/>
      <c r="G139" s="799"/>
      <c r="H139" s="799"/>
      <c r="I139" s="799"/>
      <c r="J139" s="799"/>
      <c r="K139" s="798"/>
      <c r="L139" s="799"/>
      <c r="M139" s="799"/>
      <c r="N139" s="799"/>
      <c r="O139" s="799"/>
      <c r="P139" s="799"/>
      <c r="Q139" s="799"/>
      <c r="R139" s="799"/>
      <c r="S139" s="799"/>
      <c r="T139" s="799"/>
      <c r="U139" s="799"/>
      <c r="V139" s="799"/>
      <c r="W139" s="799"/>
      <c r="X139" s="799"/>
      <c r="Y139" s="799"/>
      <c r="Z139" s="799"/>
      <c r="AA139" s="799"/>
      <c r="AB139" s="799"/>
      <c r="AC139" s="799"/>
      <c r="AD139" s="228" t="str">
        <f t="array" ref="AD139">IFERROR(INDEX('💻シート作成'!$D$6:$D205, MATCH(AE139, '💻シート作成'!$E$6:$E205, 0)), "")</f>
        <v/>
      </c>
      <c r="AE139" s="184"/>
      <c r="AF139" s="799"/>
      <c r="AG139" s="799"/>
      <c r="AH139" s="799"/>
    </row>
    <row r="140" ht="15.75" customHeight="1">
      <c r="A140" s="798"/>
      <c r="B140" s="799"/>
      <c r="C140" s="799"/>
      <c r="D140" s="799"/>
      <c r="E140" s="799"/>
      <c r="F140" s="799"/>
      <c r="G140" s="799"/>
      <c r="H140" s="799"/>
      <c r="I140" s="799"/>
      <c r="J140" s="799"/>
      <c r="K140" s="798"/>
      <c r="L140" s="799"/>
      <c r="M140" s="799"/>
      <c r="N140" s="799"/>
      <c r="O140" s="799"/>
      <c r="P140" s="799"/>
      <c r="Q140" s="799"/>
      <c r="R140" s="799"/>
      <c r="S140" s="799"/>
      <c r="T140" s="799"/>
      <c r="U140" s="799"/>
      <c r="V140" s="799"/>
      <c r="W140" s="799"/>
      <c r="X140" s="799"/>
      <c r="Y140" s="799"/>
      <c r="Z140" s="799"/>
      <c r="AA140" s="799"/>
      <c r="AB140" s="799"/>
      <c r="AC140" s="799"/>
      <c r="AD140" s="228" t="str">
        <f t="array" ref="AD140">IFERROR(INDEX('💻シート作成'!$D$6:$D205, MATCH(AE140, '💻シート作成'!$E$6:$E205, 0)), "")</f>
        <v/>
      </c>
      <c r="AE140" s="184"/>
      <c r="AF140" s="799"/>
      <c r="AG140" s="799"/>
      <c r="AH140" s="799"/>
    </row>
    <row r="141" ht="15.75" customHeight="1">
      <c r="A141" s="798"/>
      <c r="B141" s="799"/>
      <c r="C141" s="799"/>
      <c r="D141" s="799"/>
      <c r="E141" s="799"/>
      <c r="F141" s="799"/>
      <c r="G141" s="799"/>
      <c r="H141" s="799"/>
      <c r="I141" s="799"/>
      <c r="J141" s="799"/>
      <c r="K141" s="798"/>
      <c r="L141" s="799"/>
      <c r="M141" s="799"/>
      <c r="N141" s="799"/>
      <c r="O141" s="799"/>
      <c r="P141" s="799"/>
      <c r="Q141" s="799"/>
      <c r="R141" s="799"/>
      <c r="S141" s="799"/>
      <c r="T141" s="799"/>
      <c r="U141" s="799"/>
      <c r="V141" s="799"/>
      <c r="W141" s="799"/>
      <c r="X141" s="799"/>
      <c r="Y141" s="799"/>
      <c r="Z141" s="799"/>
      <c r="AA141" s="799"/>
      <c r="AB141" s="799"/>
      <c r="AC141" s="799"/>
      <c r="AD141" s="228" t="str">
        <f t="array" ref="AD141">IFERROR(INDEX('💻シート作成'!$D$6:$D205, MATCH(AE141, '💻シート作成'!$E$6:$E205, 0)), "")</f>
        <v/>
      </c>
      <c r="AE141" s="184"/>
      <c r="AF141" s="799"/>
      <c r="AG141" s="799"/>
      <c r="AH141" s="799"/>
    </row>
    <row r="142" ht="15.75" customHeight="1">
      <c r="A142" s="798"/>
      <c r="B142" s="799"/>
      <c r="C142" s="799"/>
      <c r="D142" s="799"/>
      <c r="E142" s="799"/>
      <c r="F142" s="799"/>
      <c r="G142" s="799"/>
      <c r="H142" s="799"/>
      <c r="I142" s="799"/>
      <c r="J142" s="799"/>
      <c r="K142" s="798"/>
      <c r="L142" s="799"/>
      <c r="M142" s="799"/>
      <c r="N142" s="799"/>
      <c r="O142" s="799"/>
      <c r="P142" s="799"/>
      <c r="Q142" s="799"/>
      <c r="R142" s="799"/>
      <c r="S142" s="799"/>
      <c r="T142" s="799"/>
      <c r="U142" s="799"/>
      <c r="V142" s="799"/>
      <c r="W142" s="799"/>
      <c r="X142" s="799"/>
      <c r="Y142" s="799"/>
      <c r="Z142" s="799"/>
      <c r="AA142" s="799"/>
      <c r="AB142" s="799"/>
      <c r="AC142" s="799"/>
      <c r="AD142" s="228" t="str">
        <f t="array" ref="AD142">IFERROR(INDEX('💻シート作成'!$D$6:$D205, MATCH(AE142, '💻シート作成'!$E$6:$E205, 0)), "")</f>
        <v/>
      </c>
      <c r="AE142" s="184"/>
      <c r="AF142" s="799"/>
      <c r="AG142" s="799"/>
      <c r="AH142" s="799"/>
    </row>
    <row r="143" ht="15.75" customHeight="1">
      <c r="A143" s="798"/>
      <c r="B143" s="799"/>
      <c r="C143" s="799"/>
      <c r="D143" s="799"/>
      <c r="E143" s="799"/>
      <c r="F143" s="799"/>
      <c r="G143" s="799"/>
      <c r="H143" s="799"/>
      <c r="I143" s="799"/>
      <c r="J143" s="799"/>
      <c r="K143" s="798"/>
      <c r="L143" s="799"/>
      <c r="M143" s="799"/>
      <c r="N143" s="799"/>
      <c r="O143" s="799"/>
      <c r="P143" s="799"/>
      <c r="Q143" s="799"/>
      <c r="R143" s="799"/>
      <c r="S143" s="799"/>
      <c r="T143" s="799"/>
      <c r="U143" s="799"/>
      <c r="V143" s="799"/>
      <c r="W143" s="799"/>
      <c r="X143" s="799"/>
      <c r="Y143" s="799"/>
      <c r="Z143" s="799"/>
      <c r="AA143" s="799"/>
      <c r="AB143" s="799"/>
      <c r="AC143" s="799"/>
      <c r="AD143" s="228" t="str">
        <f t="array" ref="AD143">IFERROR(INDEX('💻シート作成'!$D$6:$D205, MATCH(AE143, '💻シート作成'!$E$6:$E205, 0)), "")</f>
        <v/>
      </c>
      <c r="AE143" s="184"/>
      <c r="AF143" s="799"/>
      <c r="AG143" s="799"/>
      <c r="AH143" s="799"/>
    </row>
    <row r="144" ht="15.75" customHeight="1">
      <c r="A144" s="798"/>
      <c r="B144" s="799"/>
      <c r="C144" s="799"/>
      <c r="D144" s="799"/>
      <c r="E144" s="799"/>
      <c r="F144" s="799"/>
      <c r="G144" s="799"/>
      <c r="H144" s="799"/>
      <c r="I144" s="799"/>
      <c r="J144" s="799"/>
      <c r="K144" s="798"/>
      <c r="L144" s="799"/>
      <c r="M144" s="799"/>
      <c r="N144" s="799"/>
      <c r="O144" s="799"/>
      <c r="P144" s="799"/>
      <c r="Q144" s="799"/>
      <c r="R144" s="799"/>
      <c r="S144" s="799"/>
      <c r="T144" s="799"/>
      <c r="U144" s="799"/>
      <c r="V144" s="799"/>
      <c r="W144" s="799"/>
      <c r="X144" s="799"/>
      <c r="Y144" s="799"/>
      <c r="Z144" s="799"/>
      <c r="AA144" s="799"/>
      <c r="AB144" s="799"/>
      <c r="AC144" s="799"/>
      <c r="AD144" s="228" t="str">
        <f t="array" ref="AD144">IFERROR(INDEX('💻シート作成'!$D$6:$D205, MATCH(AE144, '💻シート作成'!$E$6:$E205, 0)), "")</f>
        <v/>
      </c>
      <c r="AE144" s="184"/>
      <c r="AF144" s="799"/>
      <c r="AG144" s="799"/>
      <c r="AH144" s="799"/>
    </row>
    <row r="145" ht="15.75" customHeight="1">
      <c r="A145" s="798"/>
      <c r="B145" s="799"/>
      <c r="C145" s="799"/>
      <c r="D145" s="799"/>
      <c r="E145" s="799"/>
      <c r="F145" s="799"/>
      <c r="G145" s="799"/>
      <c r="H145" s="799"/>
      <c r="I145" s="799"/>
      <c r="J145" s="799"/>
      <c r="K145" s="798"/>
      <c r="L145" s="799"/>
      <c r="M145" s="799"/>
      <c r="N145" s="799"/>
      <c r="O145" s="799"/>
      <c r="P145" s="799"/>
      <c r="Q145" s="799"/>
      <c r="R145" s="799"/>
      <c r="S145" s="799"/>
      <c r="T145" s="799"/>
      <c r="U145" s="799"/>
      <c r="V145" s="799"/>
      <c r="W145" s="799"/>
      <c r="X145" s="799"/>
      <c r="Y145" s="799"/>
      <c r="Z145" s="799"/>
      <c r="AA145" s="799"/>
      <c r="AB145" s="799"/>
      <c r="AC145" s="799"/>
      <c r="AD145" s="228" t="str">
        <f t="array" ref="AD145">IFERROR(INDEX('💻シート作成'!$D$6:$D205, MATCH(AE145, '💻シート作成'!$E$6:$E205, 0)), "")</f>
        <v/>
      </c>
      <c r="AE145" s="184"/>
      <c r="AF145" s="799"/>
      <c r="AG145" s="799"/>
      <c r="AH145" s="799"/>
    </row>
    <row r="146" ht="15.75" customHeight="1">
      <c r="A146" s="798"/>
      <c r="B146" s="799"/>
      <c r="C146" s="799"/>
      <c r="D146" s="799"/>
      <c r="E146" s="799"/>
      <c r="F146" s="799"/>
      <c r="G146" s="799"/>
      <c r="H146" s="799"/>
      <c r="I146" s="799"/>
      <c r="J146" s="799"/>
      <c r="K146" s="798"/>
      <c r="L146" s="799"/>
      <c r="M146" s="799"/>
      <c r="N146" s="799"/>
      <c r="O146" s="799"/>
      <c r="P146" s="799"/>
      <c r="Q146" s="799"/>
      <c r="R146" s="799"/>
      <c r="S146" s="799"/>
      <c r="T146" s="799"/>
      <c r="U146" s="799"/>
      <c r="V146" s="799"/>
      <c r="W146" s="799"/>
      <c r="X146" s="799"/>
      <c r="Y146" s="799"/>
      <c r="Z146" s="799"/>
      <c r="AA146" s="799"/>
      <c r="AB146" s="799"/>
      <c r="AC146" s="799"/>
      <c r="AD146" s="228" t="str">
        <f t="array" ref="AD146">IFERROR(INDEX('💻シート作成'!$D$6:$D205, MATCH(AE146, '💻シート作成'!$E$6:$E205, 0)), "")</f>
        <v/>
      </c>
      <c r="AE146" s="184"/>
      <c r="AF146" s="799"/>
      <c r="AG146" s="799"/>
      <c r="AH146" s="799"/>
    </row>
    <row r="147" ht="15.75" customHeight="1">
      <c r="A147" s="798"/>
      <c r="B147" s="799"/>
      <c r="C147" s="799"/>
      <c r="D147" s="799"/>
      <c r="E147" s="799"/>
      <c r="F147" s="799"/>
      <c r="G147" s="799"/>
      <c r="H147" s="799"/>
      <c r="I147" s="799"/>
      <c r="J147" s="799"/>
      <c r="K147" s="798"/>
      <c r="L147" s="799"/>
      <c r="M147" s="799"/>
      <c r="N147" s="799"/>
      <c r="O147" s="799"/>
      <c r="P147" s="799"/>
      <c r="Q147" s="799"/>
      <c r="R147" s="799"/>
      <c r="S147" s="799"/>
      <c r="T147" s="799"/>
      <c r="U147" s="799"/>
      <c r="V147" s="799"/>
      <c r="W147" s="799"/>
      <c r="X147" s="799"/>
      <c r="Y147" s="799"/>
      <c r="Z147" s="799"/>
      <c r="AA147" s="799"/>
      <c r="AB147" s="799"/>
      <c r="AC147" s="799"/>
      <c r="AD147" s="228" t="str">
        <f t="array" ref="AD147">IFERROR(INDEX('💻シート作成'!$D$6:$D205, MATCH(AE147, '💻シート作成'!$E$6:$E205, 0)), "")</f>
        <v/>
      </c>
      <c r="AE147" s="184"/>
      <c r="AF147" s="799"/>
      <c r="AG147" s="799"/>
      <c r="AH147" s="799"/>
    </row>
    <row r="148" ht="15.75" customHeight="1">
      <c r="A148" s="798"/>
      <c r="B148" s="799"/>
      <c r="C148" s="799"/>
      <c r="D148" s="799"/>
      <c r="E148" s="799"/>
      <c r="F148" s="799"/>
      <c r="G148" s="799"/>
      <c r="H148" s="799"/>
      <c r="I148" s="799"/>
      <c r="J148" s="799"/>
      <c r="K148" s="798"/>
      <c r="L148" s="799"/>
      <c r="M148" s="799"/>
      <c r="N148" s="799"/>
      <c r="O148" s="799"/>
      <c r="P148" s="799"/>
      <c r="Q148" s="799"/>
      <c r="R148" s="799"/>
      <c r="S148" s="799"/>
      <c r="T148" s="799"/>
      <c r="U148" s="799"/>
      <c r="V148" s="799"/>
      <c r="W148" s="799"/>
      <c r="X148" s="799"/>
      <c r="Y148" s="799"/>
      <c r="Z148" s="799"/>
      <c r="AA148" s="799"/>
      <c r="AB148" s="799"/>
      <c r="AC148" s="799"/>
      <c r="AD148" s="228" t="str">
        <f t="array" ref="AD148">IFERROR(INDEX('💻シート作成'!$D$6:$D205, MATCH(AE148, '💻シート作成'!$E$6:$E205, 0)), "")</f>
        <v/>
      </c>
      <c r="AE148" s="184"/>
      <c r="AF148" s="799"/>
      <c r="AG148" s="799"/>
      <c r="AH148" s="799"/>
    </row>
    <row r="149" ht="15.75" customHeight="1">
      <c r="A149" s="798"/>
      <c r="B149" s="799"/>
      <c r="C149" s="799"/>
      <c r="D149" s="799"/>
      <c r="E149" s="799"/>
      <c r="F149" s="799"/>
      <c r="G149" s="799"/>
      <c r="H149" s="799"/>
      <c r="I149" s="799"/>
      <c r="J149" s="799"/>
      <c r="K149" s="798"/>
      <c r="L149" s="799"/>
      <c r="M149" s="799"/>
      <c r="N149" s="799"/>
      <c r="O149" s="799"/>
      <c r="P149" s="799"/>
      <c r="Q149" s="799"/>
      <c r="R149" s="799"/>
      <c r="S149" s="799"/>
      <c r="T149" s="799"/>
      <c r="U149" s="799"/>
      <c r="V149" s="799"/>
      <c r="W149" s="799"/>
      <c r="X149" s="799"/>
      <c r="Y149" s="799"/>
      <c r="Z149" s="799"/>
      <c r="AA149" s="799"/>
      <c r="AB149" s="799"/>
      <c r="AC149" s="799"/>
      <c r="AD149" s="228" t="str">
        <f t="array" ref="AD149">IFERROR(INDEX('💻シート作成'!$D$6:$D205, MATCH(AE149, '💻シート作成'!$E$6:$E205, 0)), "")</f>
        <v/>
      </c>
      <c r="AE149" s="184"/>
      <c r="AF149" s="799"/>
      <c r="AG149" s="799"/>
      <c r="AH149" s="799"/>
    </row>
    <row r="150" ht="15.75" customHeight="1">
      <c r="A150" s="798"/>
      <c r="B150" s="799"/>
      <c r="C150" s="799"/>
      <c r="D150" s="799"/>
      <c r="E150" s="799"/>
      <c r="F150" s="799"/>
      <c r="G150" s="799"/>
      <c r="H150" s="799"/>
      <c r="I150" s="799"/>
      <c r="J150" s="799"/>
      <c r="K150" s="798"/>
      <c r="L150" s="799"/>
      <c r="M150" s="799"/>
      <c r="N150" s="799"/>
      <c r="O150" s="799"/>
      <c r="P150" s="799"/>
      <c r="Q150" s="799"/>
      <c r="R150" s="799"/>
      <c r="S150" s="799"/>
      <c r="T150" s="799"/>
      <c r="U150" s="799"/>
      <c r="V150" s="799"/>
      <c r="W150" s="799"/>
      <c r="X150" s="799"/>
      <c r="Y150" s="799"/>
      <c r="Z150" s="799"/>
      <c r="AA150" s="799"/>
      <c r="AB150" s="799"/>
      <c r="AC150" s="799"/>
      <c r="AD150" s="228" t="str">
        <f t="array" ref="AD150">IFERROR(INDEX('💻シート作成'!$D$6:$D205, MATCH(AE150, '💻シート作成'!$E$6:$E205, 0)), "")</f>
        <v/>
      </c>
      <c r="AE150" s="184"/>
      <c r="AF150" s="799"/>
      <c r="AG150" s="799"/>
      <c r="AH150" s="799"/>
    </row>
    <row r="151" ht="15.75" customHeight="1">
      <c r="A151" s="798"/>
      <c r="B151" s="799"/>
      <c r="C151" s="799"/>
      <c r="D151" s="799"/>
      <c r="E151" s="799"/>
      <c r="F151" s="799"/>
      <c r="G151" s="799"/>
      <c r="H151" s="799"/>
      <c r="I151" s="799"/>
      <c r="J151" s="799"/>
      <c r="K151" s="798"/>
      <c r="L151" s="799"/>
      <c r="M151" s="799"/>
      <c r="N151" s="799"/>
      <c r="O151" s="799"/>
      <c r="P151" s="799"/>
      <c r="Q151" s="799"/>
      <c r="R151" s="799"/>
      <c r="S151" s="799"/>
      <c r="T151" s="799"/>
      <c r="U151" s="799"/>
      <c r="V151" s="799"/>
      <c r="W151" s="799"/>
      <c r="X151" s="799"/>
      <c r="Y151" s="799"/>
      <c r="Z151" s="799"/>
      <c r="AA151" s="799"/>
      <c r="AB151" s="799"/>
      <c r="AC151" s="799"/>
      <c r="AD151" s="228" t="str">
        <f t="array" ref="AD151">IFERROR(INDEX('💻シート作成'!$D$6:$D205, MATCH(AE151, '💻シート作成'!$E$6:$E205, 0)), "")</f>
        <v/>
      </c>
      <c r="AE151" s="184"/>
      <c r="AF151" s="799"/>
      <c r="AG151" s="799"/>
      <c r="AH151" s="799"/>
    </row>
    <row r="152" ht="15.75" customHeight="1">
      <c r="A152" s="798"/>
      <c r="B152" s="799"/>
      <c r="C152" s="799"/>
      <c r="D152" s="799"/>
      <c r="E152" s="799"/>
      <c r="F152" s="799"/>
      <c r="G152" s="799"/>
      <c r="H152" s="799"/>
      <c r="I152" s="799"/>
      <c r="J152" s="799"/>
      <c r="K152" s="798"/>
      <c r="L152" s="799"/>
      <c r="M152" s="799"/>
      <c r="N152" s="799"/>
      <c r="O152" s="799"/>
      <c r="P152" s="799"/>
      <c r="Q152" s="799"/>
      <c r="R152" s="799"/>
      <c r="S152" s="799"/>
      <c r="T152" s="799"/>
      <c r="U152" s="799"/>
      <c r="V152" s="799"/>
      <c r="W152" s="799"/>
      <c r="X152" s="799"/>
      <c r="Y152" s="799"/>
      <c r="Z152" s="799"/>
      <c r="AA152" s="799"/>
      <c r="AB152" s="799"/>
      <c r="AC152" s="799"/>
      <c r="AD152" s="228" t="str">
        <f t="array" ref="AD152">IFERROR(INDEX('💻シート作成'!$D$6:$D205, MATCH(AE152, '💻シート作成'!$E$6:$E205, 0)), "")</f>
        <v/>
      </c>
      <c r="AE152" s="184"/>
      <c r="AF152" s="799"/>
      <c r="AG152" s="799"/>
      <c r="AH152" s="799"/>
    </row>
    <row r="153" ht="15.75" customHeight="1">
      <c r="A153" s="798"/>
      <c r="B153" s="799"/>
      <c r="C153" s="799"/>
      <c r="D153" s="799"/>
      <c r="E153" s="799"/>
      <c r="F153" s="799"/>
      <c r="G153" s="799"/>
      <c r="H153" s="799"/>
      <c r="I153" s="799"/>
      <c r="J153" s="799"/>
      <c r="K153" s="798"/>
      <c r="L153" s="799"/>
      <c r="M153" s="799"/>
      <c r="N153" s="799"/>
      <c r="O153" s="799"/>
      <c r="P153" s="799"/>
      <c r="Q153" s="799"/>
      <c r="R153" s="799"/>
      <c r="S153" s="799"/>
      <c r="T153" s="799"/>
      <c r="U153" s="799"/>
      <c r="V153" s="799"/>
      <c r="W153" s="799"/>
      <c r="X153" s="799"/>
      <c r="Y153" s="799"/>
      <c r="Z153" s="799"/>
      <c r="AA153" s="799"/>
      <c r="AB153" s="799"/>
      <c r="AC153" s="799"/>
      <c r="AD153" s="228" t="str">
        <f t="array" ref="AD153">IFERROR(INDEX('💻シート作成'!$D$6:$D205, MATCH(AE153, '💻シート作成'!$E$6:$E205, 0)), "")</f>
        <v/>
      </c>
      <c r="AE153" s="184"/>
      <c r="AF153" s="799"/>
      <c r="AG153" s="799"/>
      <c r="AH153" s="799"/>
    </row>
    <row r="154" ht="15.75" customHeight="1">
      <c r="A154" s="798"/>
      <c r="B154" s="799"/>
      <c r="C154" s="799"/>
      <c r="D154" s="799"/>
      <c r="E154" s="799"/>
      <c r="F154" s="799"/>
      <c r="G154" s="799"/>
      <c r="H154" s="799"/>
      <c r="I154" s="799"/>
      <c r="J154" s="799"/>
      <c r="K154" s="798"/>
      <c r="L154" s="799"/>
      <c r="M154" s="799"/>
      <c r="N154" s="799"/>
      <c r="O154" s="799"/>
      <c r="P154" s="799"/>
      <c r="Q154" s="799"/>
      <c r="R154" s="799"/>
      <c r="S154" s="799"/>
      <c r="T154" s="799"/>
      <c r="U154" s="799"/>
      <c r="V154" s="799"/>
      <c r="W154" s="799"/>
      <c r="X154" s="799"/>
      <c r="Y154" s="799"/>
      <c r="Z154" s="799"/>
      <c r="AA154" s="799"/>
      <c r="AB154" s="799"/>
      <c r="AC154" s="799"/>
      <c r="AD154" s="228" t="str">
        <f t="array" ref="AD154">IFERROR(INDEX('💻シート作成'!$D$6:$D205, MATCH(AE154, '💻シート作成'!$E$6:$E205, 0)), "")</f>
        <v/>
      </c>
      <c r="AE154" s="184"/>
      <c r="AF154" s="799"/>
      <c r="AG154" s="799"/>
      <c r="AH154" s="799"/>
    </row>
    <row r="155" ht="15.75" customHeight="1">
      <c r="A155" s="798"/>
      <c r="B155" s="799"/>
      <c r="C155" s="799"/>
      <c r="D155" s="799"/>
      <c r="E155" s="799"/>
      <c r="F155" s="799"/>
      <c r="G155" s="799"/>
      <c r="H155" s="799"/>
      <c r="I155" s="799"/>
      <c r="J155" s="799"/>
      <c r="K155" s="798"/>
      <c r="L155" s="799"/>
      <c r="M155" s="799"/>
      <c r="N155" s="799"/>
      <c r="O155" s="799"/>
      <c r="P155" s="799"/>
      <c r="Q155" s="799"/>
      <c r="R155" s="799"/>
      <c r="S155" s="799"/>
      <c r="T155" s="799"/>
      <c r="U155" s="799"/>
      <c r="V155" s="799"/>
      <c r="W155" s="799"/>
      <c r="X155" s="799"/>
      <c r="Y155" s="799"/>
      <c r="Z155" s="799"/>
      <c r="AA155" s="799"/>
      <c r="AB155" s="799"/>
      <c r="AC155" s="799"/>
      <c r="AD155" s="228" t="str">
        <f t="array" ref="AD155">IFERROR(INDEX('💻シート作成'!$D$6:$D205, MATCH(AE155, '💻シート作成'!$E$6:$E205, 0)), "")</f>
        <v/>
      </c>
      <c r="AE155" s="184"/>
      <c r="AF155" s="799"/>
      <c r="AG155" s="799"/>
      <c r="AH155" s="799"/>
    </row>
    <row r="156" ht="15.75" customHeight="1">
      <c r="A156" s="798"/>
      <c r="B156" s="799"/>
      <c r="C156" s="799"/>
      <c r="D156" s="799"/>
      <c r="E156" s="799"/>
      <c r="F156" s="799"/>
      <c r="G156" s="799"/>
      <c r="H156" s="799"/>
      <c r="I156" s="799"/>
      <c r="J156" s="799"/>
      <c r="K156" s="798"/>
      <c r="L156" s="799"/>
      <c r="M156" s="799"/>
      <c r="N156" s="799"/>
      <c r="O156" s="799"/>
      <c r="P156" s="799"/>
      <c r="Q156" s="799"/>
      <c r="R156" s="799"/>
      <c r="S156" s="799"/>
      <c r="T156" s="799"/>
      <c r="U156" s="799"/>
      <c r="V156" s="799"/>
      <c r="W156" s="799"/>
      <c r="X156" s="799"/>
      <c r="Y156" s="799"/>
      <c r="Z156" s="799"/>
      <c r="AA156" s="799"/>
      <c r="AB156" s="799"/>
      <c r="AC156" s="799"/>
      <c r="AD156" s="228" t="str">
        <f t="array" ref="AD156">IFERROR(INDEX('💻シート作成'!$D$6:$D205, MATCH(AE156, '💻シート作成'!$E$6:$E205, 0)), "")</f>
        <v/>
      </c>
      <c r="AE156" s="184"/>
      <c r="AF156" s="799"/>
      <c r="AG156" s="799"/>
      <c r="AH156" s="799"/>
    </row>
    <row r="157" ht="15.75" customHeight="1">
      <c r="A157" s="798"/>
      <c r="B157" s="799"/>
      <c r="C157" s="799"/>
      <c r="D157" s="799"/>
      <c r="E157" s="799"/>
      <c r="F157" s="799"/>
      <c r="G157" s="799"/>
      <c r="H157" s="799"/>
      <c r="I157" s="799"/>
      <c r="J157" s="799"/>
      <c r="K157" s="798"/>
      <c r="L157" s="799"/>
      <c r="M157" s="799"/>
      <c r="N157" s="799"/>
      <c r="O157" s="799"/>
      <c r="P157" s="799"/>
      <c r="Q157" s="799"/>
      <c r="R157" s="799"/>
      <c r="S157" s="799"/>
      <c r="T157" s="799"/>
      <c r="U157" s="799"/>
      <c r="V157" s="799"/>
      <c r="W157" s="799"/>
      <c r="X157" s="799"/>
      <c r="Y157" s="799"/>
      <c r="Z157" s="799"/>
      <c r="AA157" s="799"/>
      <c r="AB157" s="799"/>
      <c r="AC157" s="799"/>
      <c r="AD157" s="228" t="str">
        <f t="array" ref="AD157">IFERROR(INDEX('💻シート作成'!$D$6:$D205, MATCH(AE157, '💻シート作成'!$E$6:$E205, 0)), "")</f>
        <v/>
      </c>
      <c r="AE157" s="184"/>
      <c r="AF157" s="799"/>
      <c r="AG157" s="799"/>
      <c r="AH157" s="799"/>
    </row>
    <row r="158" ht="15.75" customHeight="1">
      <c r="A158" s="798"/>
      <c r="B158" s="799"/>
      <c r="C158" s="799"/>
      <c r="D158" s="799"/>
      <c r="E158" s="799"/>
      <c r="F158" s="799"/>
      <c r="G158" s="799"/>
      <c r="H158" s="799"/>
      <c r="I158" s="799"/>
      <c r="J158" s="799"/>
      <c r="K158" s="798"/>
      <c r="L158" s="799"/>
      <c r="M158" s="799"/>
      <c r="N158" s="799"/>
      <c r="O158" s="799"/>
      <c r="P158" s="799"/>
      <c r="Q158" s="799"/>
      <c r="R158" s="799"/>
      <c r="S158" s="799"/>
      <c r="T158" s="799"/>
      <c r="U158" s="799"/>
      <c r="V158" s="799"/>
      <c r="W158" s="799"/>
      <c r="X158" s="799"/>
      <c r="Y158" s="799"/>
      <c r="Z158" s="799"/>
      <c r="AA158" s="799"/>
      <c r="AB158" s="799"/>
      <c r="AC158" s="799"/>
      <c r="AD158" s="228" t="str">
        <f t="array" ref="AD158">IFERROR(INDEX('💻シート作成'!$D$6:$D205, MATCH(AE158, '💻シート作成'!$E$6:$E205, 0)), "")</f>
        <v/>
      </c>
      <c r="AE158" s="184"/>
      <c r="AF158" s="799"/>
      <c r="AG158" s="799"/>
      <c r="AH158" s="799"/>
    </row>
    <row r="159" ht="15.75" customHeight="1">
      <c r="A159" s="798"/>
      <c r="B159" s="799"/>
      <c r="C159" s="799"/>
      <c r="D159" s="799"/>
      <c r="E159" s="799"/>
      <c r="F159" s="799"/>
      <c r="G159" s="799"/>
      <c r="H159" s="799"/>
      <c r="I159" s="799"/>
      <c r="J159" s="799"/>
      <c r="K159" s="798"/>
      <c r="L159" s="799"/>
      <c r="M159" s="799"/>
      <c r="N159" s="799"/>
      <c r="O159" s="799"/>
      <c r="P159" s="799"/>
      <c r="Q159" s="799"/>
      <c r="R159" s="799"/>
      <c r="S159" s="799"/>
      <c r="T159" s="799"/>
      <c r="U159" s="799"/>
      <c r="V159" s="799"/>
      <c r="W159" s="799"/>
      <c r="X159" s="799"/>
      <c r="Y159" s="799"/>
      <c r="Z159" s="799"/>
      <c r="AA159" s="799"/>
      <c r="AB159" s="799"/>
      <c r="AC159" s="799"/>
      <c r="AD159" s="228" t="str">
        <f t="array" ref="AD159">IFERROR(INDEX('💻シート作成'!$D$6:$D205, MATCH(AE159, '💻シート作成'!$E$6:$E205, 0)), "")</f>
        <v/>
      </c>
      <c r="AE159" s="184"/>
      <c r="AF159" s="799"/>
      <c r="AG159" s="799"/>
      <c r="AH159" s="799"/>
    </row>
    <row r="160" ht="15.75" customHeight="1">
      <c r="A160" s="798"/>
      <c r="B160" s="799"/>
      <c r="C160" s="799"/>
      <c r="D160" s="799"/>
      <c r="E160" s="799"/>
      <c r="F160" s="799"/>
      <c r="G160" s="799"/>
      <c r="H160" s="799"/>
      <c r="I160" s="799"/>
      <c r="J160" s="799"/>
      <c r="K160" s="798"/>
      <c r="L160" s="799"/>
      <c r="M160" s="799"/>
      <c r="N160" s="799"/>
      <c r="O160" s="799"/>
      <c r="P160" s="799"/>
      <c r="Q160" s="799"/>
      <c r="R160" s="799"/>
      <c r="S160" s="799"/>
      <c r="T160" s="799"/>
      <c r="U160" s="799"/>
      <c r="V160" s="799"/>
      <c r="W160" s="799"/>
      <c r="X160" s="799"/>
      <c r="Y160" s="799"/>
      <c r="Z160" s="799"/>
      <c r="AA160" s="799"/>
      <c r="AB160" s="799"/>
      <c r="AC160" s="799"/>
      <c r="AD160" s="228" t="str">
        <f t="array" ref="AD160">IFERROR(INDEX('💻シート作成'!$D$6:$D205, MATCH(AE160, '💻シート作成'!$E$6:$E205, 0)), "")</f>
        <v/>
      </c>
      <c r="AE160" s="184"/>
      <c r="AF160" s="799"/>
      <c r="AG160" s="799"/>
      <c r="AH160" s="799"/>
    </row>
    <row r="161" ht="15.75" customHeight="1">
      <c r="A161" s="798"/>
      <c r="B161" s="799"/>
      <c r="C161" s="799"/>
      <c r="D161" s="799"/>
      <c r="E161" s="799"/>
      <c r="F161" s="799"/>
      <c r="G161" s="799"/>
      <c r="H161" s="799"/>
      <c r="I161" s="799"/>
      <c r="J161" s="799"/>
      <c r="K161" s="798"/>
      <c r="L161" s="799"/>
      <c r="M161" s="799"/>
      <c r="N161" s="799"/>
      <c r="O161" s="799"/>
      <c r="P161" s="799"/>
      <c r="Q161" s="799"/>
      <c r="R161" s="799"/>
      <c r="S161" s="799"/>
      <c r="T161" s="799"/>
      <c r="U161" s="799"/>
      <c r="V161" s="799"/>
      <c r="W161" s="799"/>
      <c r="X161" s="799"/>
      <c r="Y161" s="799"/>
      <c r="Z161" s="799"/>
      <c r="AA161" s="799"/>
      <c r="AB161" s="799"/>
      <c r="AC161" s="799"/>
      <c r="AD161" s="228" t="str">
        <f t="array" ref="AD161">IFERROR(INDEX('💻シート作成'!$D$6:$D205, MATCH(AE161, '💻シート作成'!$E$6:$E205, 0)), "")</f>
        <v/>
      </c>
      <c r="AE161" s="184"/>
      <c r="AF161" s="799"/>
      <c r="AG161" s="799"/>
      <c r="AH161" s="799"/>
    </row>
    <row r="162" ht="15.75" customHeight="1">
      <c r="A162" s="798"/>
      <c r="B162" s="799"/>
      <c r="C162" s="799"/>
      <c r="D162" s="799"/>
      <c r="E162" s="799"/>
      <c r="F162" s="799"/>
      <c r="G162" s="799"/>
      <c r="H162" s="799"/>
      <c r="I162" s="799"/>
      <c r="J162" s="799"/>
      <c r="K162" s="798"/>
      <c r="L162" s="799"/>
      <c r="M162" s="799"/>
      <c r="N162" s="799"/>
      <c r="O162" s="799"/>
      <c r="P162" s="799"/>
      <c r="Q162" s="799"/>
      <c r="R162" s="799"/>
      <c r="S162" s="799"/>
      <c r="T162" s="799"/>
      <c r="U162" s="799"/>
      <c r="V162" s="799"/>
      <c r="W162" s="799"/>
      <c r="X162" s="799"/>
      <c r="Y162" s="799"/>
      <c r="Z162" s="799"/>
      <c r="AA162" s="799"/>
      <c r="AB162" s="799"/>
      <c r="AC162" s="799"/>
      <c r="AD162" s="228" t="str">
        <f t="array" ref="AD162">IFERROR(INDEX('💻シート作成'!$D$6:$D205, MATCH(AE162, '💻シート作成'!$E$6:$E205, 0)), "")</f>
        <v/>
      </c>
      <c r="AE162" s="184"/>
      <c r="AF162" s="799"/>
      <c r="AG162" s="799"/>
      <c r="AH162" s="799"/>
    </row>
    <row r="163" ht="15.75" customHeight="1">
      <c r="A163" s="798"/>
      <c r="B163" s="799"/>
      <c r="C163" s="799"/>
      <c r="D163" s="799"/>
      <c r="E163" s="799"/>
      <c r="F163" s="799"/>
      <c r="G163" s="799"/>
      <c r="H163" s="799"/>
      <c r="I163" s="799"/>
      <c r="J163" s="799"/>
      <c r="K163" s="798"/>
      <c r="L163" s="799"/>
      <c r="M163" s="799"/>
      <c r="N163" s="799"/>
      <c r="O163" s="799"/>
      <c r="P163" s="799"/>
      <c r="Q163" s="799"/>
      <c r="R163" s="799"/>
      <c r="S163" s="799"/>
      <c r="T163" s="799"/>
      <c r="U163" s="799"/>
      <c r="V163" s="799"/>
      <c r="W163" s="799"/>
      <c r="X163" s="799"/>
      <c r="Y163" s="799"/>
      <c r="Z163" s="799"/>
      <c r="AA163" s="799"/>
      <c r="AB163" s="799"/>
      <c r="AC163" s="799"/>
      <c r="AD163" s="228" t="str">
        <f t="array" ref="AD163">IFERROR(INDEX('💻シート作成'!$D$6:$D205, MATCH(AE163, '💻シート作成'!$E$6:$E205, 0)), "")</f>
        <v/>
      </c>
      <c r="AE163" s="184"/>
      <c r="AF163" s="799"/>
      <c r="AG163" s="799"/>
      <c r="AH163" s="799"/>
    </row>
    <row r="164" ht="15.75" customHeight="1">
      <c r="A164" s="798"/>
      <c r="B164" s="799"/>
      <c r="C164" s="799"/>
      <c r="D164" s="799"/>
      <c r="E164" s="799"/>
      <c r="F164" s="799"/>
      <c r="G164" s="799"/>
      <c r="H164" s="799"/>
      <c r="I164" s="799"/>
      <c r="J164" s="799"/>
      <c r="K164" s="798"/>
      <c r="L164" s="799"/>
      <c r="M164" s="799"/>
      <c r="N164" s="799"/>
      <c r="O164" s="799"/>
      <c r="P164" s="799"/>
      <c r="Q164" s="799"/>
      <c r="R164" s="799"/>
      <c r="S164" s="799"/>
      <c r="T164" s="799"/>
      <c r="U164" s="799"/>
      <c r="V164" s="799"/>
      <c r="W164" s="799"/>
      <c r="X164" s="799"/>
      <c r="Y164" s="799"/>
      <c r="Z164" s="799"/>
      <c r="AA164" s="799"/>
      <c r="AB164" s="799"/>
      <c r="AC164" s="799"/>
      <c r="AD164" s="228" t="str">
        <f t="array" ref="AD164">IFERROR(INDEX('💻シート作成'!$D$6:$D205, MATCH(AE164, '💻シート作成'!$E$6:$E205, 0)), "")</f>
        <v/>
      </c>
      <c r="AE164" s="184"/>
      <c r="AF164" s="799"/>
      <c r="AG164" s="799"/>
      <c r="AH164" s="799"/>
    </row>
    <row r="165" ht="15.75" customHeight="1">
      <c r="A165" s="798"/>
      <c r="B165" s="799"/>
      <c r="C165" s="799"/>
      <c r="D165" s="799"/>
      <c r="E165" s="799"/>
      <c r="F165" s="799"/>
      <c r="G165" s="799"/>
      <c r="H165" s="799"/>
      <c r="I165" s="799"/>
      <c r="J165" s="799"/>
      <c r="K165" s="798"/>
      <c r="L165" s="799"/>
      <c r="M165" s="799"/>
      <c r="N165" s="799"/>
      <c r="O165" s="799"/>
      <c r="P165" s="799"/>
      <c r="Q165" s="799"/>
      <c r="R165" s="799"/>
      <c r="S165" s="799"/>
      <c r="T165" s="799"/>
      <c r="U165" s="799"/>
      <c r="V165" s="799"/>
      <c r="W165" s="799"/>
      <c r="X165" s="799"/>
      <c r="Y165" s="799"/>
      <c r="Z165" s="799"/>
      <c r="AA165" s="799"/>
      <c r="AB165" s="799"/>
      <c r="AC165" s="799"/>
      <c r="AD165" s="228" t="str">
        <f t="array" ref="AD165">IFERROR(INDEX('💻シート作成'!$D$6:$D205, MATCH(AE165, '💻シート作成'!$E$6:$E205, 0)), "")</f>
        <v/>
      </c>
      <c r="AE165" s="184"/>
      <c r="AF165" s="799"/>
      <c r="AG165" s="799"/>
      <c r="AH165" s="799"/>
    </row>
    <row r="166" ht="15.75" customHeight="1">
      <c r="A166" s="798"/>
      <c r="B166" s="799"/>
      <c r="C166" s="799"/>
      <c r="D166" s="799"/>
      <c r="E166" s="799"/>
      <c r="F166" s="799"/>
      <c r="G166" s="799"/>
      <c r="H166" s="799"/>
      <c r="I166" s="799"/>
      <c r="J166" s="799"/>
      <c r="K166" s="798"/>
      <c r="L166" s="799"/>
      <c r="M166" s="799"/>
      <c r="N166" s="799"/>
      <c r="O166" s="799"/>
      <c r="P166" s="799"/>
      <c r="Q166" s="799"/>
      <c r="R166" s="799"/>
      <c r="S166" s="799"/>
      <c r="T166" s="799"/>
      <c r="U166" s="799"/>
      <c r="V166" s="799"/>
      <c r="W166" s="799"/>
      <c r="X166" s="799"/>
      <c r="Y166" s="799"/>
      <c r="Z166" s="799"/>
      <c r="AA166" s="799"/>
      <c r="AB166" s="799"/>
      <c r="AC166" s="799"/>
      <c r="AD166" s="228" t="str">
        <f t="array" ref="AD166">IFERROR(INDEX('💻シート作成'!$D$6:$D205, MATCH(AE166, '💻シート作成'!$E$6:$E205, 0)), "")</f>
        <v/>
      </c>
      <c r="AE166" s="184"/>
      <c r="AF166" s="799"/>
      <c r="AG166" s="799"/>
      <c r="AH166" s="799"/>
    </row>
    <row r="167" ht="15.75" customHeight="1">
      <c r="A167" s="798"/>
      <c r="B167" s="799"/>
      <c r="C167" s="799"/>
      <c r="D167" s="799"/>
      <c r="E167" s="799"/>
      <c r="F167" s="799"/>
      <c r="G167" s="799"/>
      <c r="H167" s="799"/>
      <c r="I167" s="799"/>
      <c r="J167" s="799"/>
      <c r="K167" s="798"/>
      <c r="L167" s="799"/>
      <c r="M167" s="799"/>
      <c r="N167" s="799"/>
      <c r="O167" s="799"/>
      <c r="P167" s="799"/>
      <c r="Q167" s="799"/>
      <c r="R167" s="799"/>
      <c r="S167" s="799"/>
      <c r="T167" s="799"/>
      <c r="U167" s="799"/>
      <c r="V167" s="799"/>
      <c r="W167" s="799"/>
      <c r="X167" s="799"/>
      <c r="Y167" s="799"/>
      <c r="Z167" s="799"/>
      <c r="AA167" s="799"/>
      <c r="AB167" s="799"/>
      <c r="AC167" s="799"/>
      <c r="AD167" s="228" t="str">
        <f t="array" ref="AD167">IFERROR(INDEX('💻シート作成'!$D$6:$D205, MATCH(AE167, '💻シート作成'!$E$6:$E205, 0)), "")</f>
        <v/>
      </c>
      <c r="AE167" s="184"/>
      <c r="AF167" s="799"/>
      <c r="AG167" s="799"/>
      <c r="AH167" s="799"/>
    </row>
    <row r="168" ht="15.75" customHeight="1">
      <c r="A168" s="798"/>
      <c r="B168" s="799"/>
      <c r="C168" s="799"/>
      <c r="D168" s="799"/>
      <c r="E168" s="799"/>
      <c r="F168" s="799"/>
      <c r="G168" s="799"/>
      <c r="H168" s="799"/>
      <c r="I168" s="799"/>
      <c r="J168" s="799"/>
      <c r="K168" s="798"/>
      <c r="L168" s="799"/>
      <c r="M168" s="799"/>
      <c r="N168" s="799"/>
      <c r="O168" s="799"/>
      <c r="P168" s="799"/>
      <c r="Q168" s="799"/>
      <c r="R168" s="799"/>
      <c r="S168" s="799"/>
      <c r="T168" s="799"/>
      <c r="U168" s="799"/>
      <c r="V168" s="799"/>
      <c r="W168" s="799"/>
      <c r="X168" s="799"/>
      <c r="Y168" s="799"/>
      <c r="Z168" s="799"/>
      <c r="AA168" s="799"/>
      <c r="AB168" s="799"/>
      <c r="AC168" s="799"/>
      <c r="AD168" s="228" t="str">
        <f t="array" ref="AD168">IFERROR(INDEX('💻シート作成'!$D$6:$D205, MATCH(AE168, '💻シート作成'!$E$6:$E205, 0)), "")</f>
        <v/>
      </c>
      <c r="AE168" s="184"/>
      <c r="AF168" s="799"/>
      <c r="AG168" s="799"/>
      <c r="AH168" s="799"/>
    </row>
    <row r="169" ht="15.75" customHeight="1">
      <c r="A169" s="798"/>
      <c r="B169" s="799"/>
      <c r="C169" s="799"/>
      <c r="D169" s="799"/>
      <c r="E169" s="799"/>
      <c r="F169" s="799"/>
      <c r="G169" s="799"/>
      <c r="H169" s="799"/>
      <c r="I169" s="799"/>
      <c r="J169" s="799"/>
      <c r="K169" s="798"/>
      <c r="L169" s="799"/>
      <c r="M169" s="799"/>
      <c r="N169" s="799"/>
      <c r="O169" s="799"/>
      <c r="P169" s="799"/>
      <c r="Q169" s="799"/>
      <c r="R169" s="799"/>
      <c r="S169" s="799"/>
      <c r="T169" s="799"/>
      <c r="U169" s="799"/>
      <c r="V169" s="799"/>
      <c r="W169" s="799"/>
      <c r="X169" s="799"/>
      <c r="Y169" s="799"/>
      <c r="Z169" s="799"/>
      <c r="AA169" s="799"/>
      <c r="AB169" s="799"/>
      <c r="AC169" s="799"/>
      <c r="AD169" s="228" t="str">
        <f t="array" ref="AD169">IFERROR(INDEX('💻シート作成'!$D$6:$D205, MATCH(AE169, '💻シート作成'!$E$6:$E205, 0)), "")</f>
        <v/>
      </c>
      <c r="AE169" s="184"/>
      <c r="AF169" s="799"/>
      <c r="AG169" s="799"/>
      <c r="AH169" s="799"/>
    </row>
    <row r="170" ht="15.75" customHeight="1">
      <c r="A170" s="798"/>
      <c r="B170" s="799"/>
      <c r="C170" s="799"/>
      <c r="D170" s="799"/>
      <c r="E170" s="799"/>
      <c r="F170" s="799"/>
      <c r="G170" s="799"/>
      <c r="H170" s="799"/>
      <c r="I170" s="799"/>
      <c r="J170" s="799"/>
      <c r="K170" s="798"/>
      <c r="L170" s="799"/>
      <c r="M170" s="799"/>
      <c r="N170" s="799"/>
      <c r="O170" s="799"/>
      <c r="P170" s="799"/>
      <c r="Q170" s="799"/>
      <c r="R170" s="799"/>
      <c r="S170" s="799"/>
      <c r="T170" s="799"/>
      <c r="U170" s="799"/>
      <c r="V170" s="799"/>
      <c r="W170" s="799"/>
      <c r="X170" s="799"/>
      <c r="Y170" s="799"/>
      <c r="Z170" s="799"/>
      <c r="AA170" s="799"/>
      <c r="AB170" s="799"/>
      <c r="AC170" s="799"/>
      <c r="AD170" s="228" t="str">
        <f t="array" ref="AD170">IFERROR(INDEX('💻シート作成'!$D$6:$D205, MATCH(AE170, '💻シート作成'!$E$6:$E205, 0)), "")</f>
        <v/>
      </c>
      <c r="AE170" s="184"/>
      <c r="AF170" s="799"/>
      <c r="AG170" s="799"/>
      <c r="AH170" s="799"/>
    </row>
    <row r="171" ht="15.75" customHeight="1">
      <c r="A171" s="798"/>
      <c r="B171" s="799"/>
      <c r="C171" s="799"/>
      <c r="D171" s="799"/>
      <c r="E171" s="799"/>
      <c r="F171" s="799"/>
      <c r="G171" s="799"/>
      <c r="H171" s="799"/>
      <c r="I171" s="799"/>
      <c r="J171" s="799"/>
      <c r="K171" s="798"/>
      <c r="L171" s="799"/>
      <c r="M171" s="799"/>
      <c r="N171" s="799"/>
      <c r="O171" s="799"/>
      <c r="P171" s="799"/>
      <c r="Q171" s="799"/>
      <c r="R171" s="799"/>
      <c r="S171" s="799"/>
      <c r="T171" s="799"/>
      <c r="U171" s="799"/>
      <c r="V171" s="799"/>
      <c r="W171" s="799"/>
      <c r="X171" s="799"/>
      <c r="Y171" s="799"/>
      <c r="Z171" s="799"/>
      <c r="AA171" s="799"/>
      <c r="AB171" s="799"/>
      <c r="AC171" s="799"/>
      <c r="AD171" s="228" t="str">
        <f t="array" ref="AD171">IFERROR(INDEX('💻シート作成'!$D$6:$D205, MATCH(AE171, '💻シート作成'!$E$6:$E205, 0)), "")</f>
        <v/>
      </c>
      <c r="AE171" s="184"/>
      <c r="AF171" s="799"/>
      <c r="AG171" s="799"/>
      <c r="AH171" s="799"/>
    </row>
    <row r="172" ht="15.75" customHeight="1">
      <c r="A172" s="799"/>
      <c r="B172" s="799"/>
      <c r="C172" s="799"/>
      <c r="D172" s="799"/>
      <c r="E172" s="799"/>
      <c r="F172" s="799"/>
      <c r="G172" s="799"/>
      <c r="H172" s="799"/>
      <c r="I172" s="799"/>
      <c r="J172" s="799"/>
      <c r="K172" s="799"/>
      <c r="L172" s="799"/>
      <c r="M172" s="799"/>
      <c r="N172" s="799"/>
      <c r="O172" s="799"/>
      <c r="P172" s="799"/>
      <c r="Q172" s="799"/>
      <c r="R172" s="799"/>
      <c r="S172" s="799"/>
      <c r="T172" s="799"/>
      <c r="U172" s="799"/>
      <c r="V172" s="799"/>
      <c r="W172" s="799"/>
      <c r="X172" s="799"/>
      <c r="Y172" s="799"/>
      <c r="Z172" s="799"/>
      <c r="AA172" s="799"/>
      <c r="AB172" s="799"/>
      <c r="AC172" s="799"/>
      <c r="AD172" s="228" t="str">
        <f t="array" ref="AD172">IFERROR(INDEX('💻シート作成'!$D$6:$D205, MATCH(AE172, '💻シート作成'!$E$6:$E205, 0)), "")</f>
        <v/>
      </c>
      <c r="AE172" s="184"/>
      <c r="AF172" s="799"/>
      <c r="AG172" s="799"/>
      <c r="AH172" s="799"/>
    </row>
    <row r="173" ht="15.75" customHeight="1">
      <c r="A173" s="799"/>
      <c r="B173" s="799"/>
      <c r="C173" s="799"/>
      <c r="D173" s="799"/>
      <c r="E173" s="799"/>
      <c r="F173" s="799"/>
      <c r="G173" s="799"/>
      <c r="H173" s="799"/>
      <c r="I173" s="799"/>
      <c r="J173" s="799"/>
      <c r="K173" s="799"/>
      <c r="L173" s="799"/>
      <c r="M173" s="799"/>
      <c r="N173" s="799"/>
      <c r="O173" s="799"/>
      <c r="P173" s="799"/>
      <c r="Q173" s="799"/>
      <c r="R173" s="799"/>
      <c r="S173" s="799"/>
      <c r="T173" s="799"/>
      <c r="U173" s="799"/>
      <c r="V173" s="799"/>
      <c r="W173" s="799"/>
      <c r="X173" s="799"/>
      <c r="Y173" s="799"/>
      <c r="Z173" s="799"/>
      <c r="AA173" s="799"/>
      <c r="AB173" s="799"/>
      <c r="AC173" s="799"/>
      <c r="AD173" s="228" t="str">
        <f t="array" ref="AD173">IFERROR(INDEX('💻シート作成'!$D$6:$D205, MATCH(AE173, '💻シート作成'!$E$6:$E205, 0)), "")</f>
        <v/>
      </c>
      <c r="AE173" s="184"/>
      <c r="AF173" s="799"/>
      <c r="AG173" s="799"/>
      <c r="AH173" s="799"/>
    </row>
    <row r="174" ht="15.75" customHeight="1">
      <c r="A174" s="799"/>
      <c r="B174" s="799"/>
      <c r="C174" s="799"/>
      <c r="D174" s="799"/>
      <c r="E174" s="799"/>
      <c r="F174" s="799"/>
      <c r="G174" s="799"/>
      <c r="H174" s="799"/>
      <c r="I174" s="799"/>
      <c r="J174" s="799"/>
      <c r="K174" s="799"/>
      <c r="L174" s="799"/>
      <c r="M174" s="799"/>
      <c r="N174" s="799"/>
      <c r="O174" s="799"/>
      <c r="P174" s="799"/>
      <c r="Q174" s="799"/>
      <c r="R174" s="799"/>
      <c r="S174" s="799"/>
      <c r="T174" s="799"/>
      <c r="U174" s="799"/>
      <c r="V174" s="799"/>
      <c r="W174" s="799"/>
      <c r="X174" s="799"/>
      <c r="Y174" s="799"/>
      <c r="Z174" s="799"/>
      <c r="AA174" s="799"/>
      <c r="AB174" s="799"/>
      <c r="AC174" s="799"/>
      <c r="AD174" s="228" t="str">
        <f t="array" ref="AD174">IFERROR(INDEX('💻シート作成'!$D$6:$D205, MATCH(AE174, '💻シート作成'!$E$6:$E205, 0)), "")</f>
        <v/>
      </c>
      <c r="AE174" s="184"/>
      <c r="AF174" s="799"/>
      <c r="AG174" s="799"/>
      <c r="AH174" s="799"/>
    </row>
    <row r="175" ht="15.75" customHeight="1">
      <c r="A175" s="799"/>
      <c r="B175" s="799"/>
      <c r="C175" s="799"/>
      <c r="D175" s="799"/>
      <c r="E175" s="799"/>
      <c r="F175" s="799"/>
      <c r="G175" s="799"/>
      <c r="H175" s="799"/>
      <c r="I175" s="799"/>
      <c r="J175" s="799"/>
      <c r="K175" s="799"/>
      <c r="L175" s="799"/>
      <c r="M175" s="799"/>
      <c r="N175" s="799"/>
      <c r="O175" s="799"/>
      <c r="P175" s="799"/>
      <c r="Q175" s="799"/>
      <c r="R175" s="799"/>
      <c r="S175" s="799"/>
      <c r="T175" s="799"/>
      <c r="U175" s="799"/>
      <c r="V175" s="799"/>
      <c r="W175" s="799"/>
      <c r="X175" s="799"/>
      <c r="Y175" s="799"/>
      <c r="Z175" s="799"/>
      <c r="AA175" s="799"/>
      <c r="AB175" s="799"/>
      <c r="AC175" s="799"/>
      <c r="AD175" s="228" t="str">
        <f t="array" ref="AD175">IFERROR(INDEX('💻シート作成'!$D$6:$D205, MATCH(AE175, '💻シート作成'!$E$6:$E205, 0)), "")</f>
        <v/>
      </c>
      <c r="AE175" s="184"/>
      <c r="AF175" s="799"/>
      <c r="AG175" s="799"/>
      <c r="AH175" s="799"/>
    </row>
    <row r="176" ht="15.75" customHeight="1">
      <c r="A176" s="799"/>
      <c r="B176" s="799"/>
      <c r="C176" s="799"/>
      <c r="D176" s="799"/>
      <c r="E176" s="799"/>
      <c r="F176" s="799"/>
      <c r="G176" s="799"/>
      <c r="H176" s="799"/>
      <c r="I176" s="799"/>
      <c r="J176" s="799"/>
      <c r="K176" s="799"/>
      <c r="L176" s="799"/>
      <c r="M176" s="799"/>
      <c r="N176" s="799"/>
      <c r="O176" s="799"/>
      <c r="P176" s="799"/>
      <c r="Q176" s="799"/>
      <c r="R176" s="799"/>
      <c r="S176" s="799"/>
      <c r="T176" s="799"/>
      <c r="U176" s="799"/>
      <c r="V176" s="799"/>
      <c r="W176" s="799"/>
      <c r="X176" s="799"/>
      <c r="Y176" s="799"/>
      <c r="Z176" s="799"/>
      <c r="AA176" s="799"/>
      <c r="AB176" s="799"/>
      <c r="AC176" s="799"/>
      <c r="AD176" s="228" t="str">
        <f t="array" ref="AD176">IFERROR(INDEX('💻シート作成'!$D$6:$D205, MATCH(AE176, '💻シート作成'!$E$6:$E205, 0)), "")</f>
        <v/>
      </c>
      <c r="AE176" s="184"/>
      <c r="AF176" s="799"/>
      <c r="AG176" s="799"/>
      <c r="AH176" s="799"/>
    </row>
    <row r="177" ht="15.75" customHeight="1">
      <c r="A177" s="799"/>
      <c r="B177" s="799"/>
      <c r="C177" s="799"/>
      <c r="D177" s="799"/>
      <c r="E177" s="799"/>
      <c r="F177" s="799"/>
      <c r="G177" s="799"/>
      <c r="H177" s="799"/>
      <c r="I177" s="799"/>
      <c r="J177" s="799"/>
      <c r="K177" s="799"/>
      <c r="L177" s="799"/>
      <c r="M177" s="799"/>
      <c r="N177" s="799"/>
      <c r="O177" s="799"/>
      <c r="P177" s="799"/>
      <c r="Q177" s="799"/>
      <c r="R177" s="799"/>
      <c r="S177" s="799"/>
      <c r="T177" s="799"/>
      <c r="U177" s="799"/>
      <c r="V177" s="799"/>
      <c r="W177" s="799"/>
      <c r="X177" s="799"/>
      <c r="Y177" s="799"/>
      <c r="Z177" s="799"/>
      <c r="AA177" s="799"/>
      <c r="AB177" s="799"/>
      <c r="AC177" s="799"/>
      <c r="AD177" s="228" t="str">
        <f t="array" ref="AD177">IFERROR(INDEX('💻シート作成'!$D$6:$D205, MATCH(AE177, '💻シート作成'!$E$6:$E205, 0)), "")</f>
        <v/>
      </c>
      <c r="AE177" s="184"/>
      <c r="AF177" s="799"/>
      <c r="AG177" s="799"/>
      <c r="AH177" s="799"/>
    </row>
    <row r="178" ht="15.75" customHeight="1">
      <c r="A178" s="799"/>
      <c r="B178" s="799"/>
      <c r="C178" s="799"/>
      <c r="D178" s="799"/>
      <c r="E178" s="799"/>
      <c r="F178" s="799"/>
      <c r="G178" s="799"/>
      <c r="H178" s="799"/>
      <c r="I178" s="799"/>
      <c r="J178" s="799"/>
      <c r="K178" s="799"/>
      <c r="L178" s="799"/>
      <c r="M178" s="799"/>
      <c r="N178" s="799"/>
      <c r="O178" s="799"/>
      <c r="P178" s="799"/>
      <c r="Q178" s="799"/>
      <c r="R178" s="799"/>
      <c r="S178" s="799"/>
      <c r="T178" s="799"/>
      <c r="U178" s="799"/>
      <c r="V178" s="799"/>
      <c r="W178" s="799"/>
      <c r="X178" s="799"/>
      <c r="Y178" s="799"/>
      <c r="Z178" s="799"/>
      <c r="AA178" s="799"/>
      <c r="AB178" s="799"/>
      <c r="AC178" s="799"/>
      <c r="AD178" s="228" t="str">
        <f t="array" ref="AD178">IFERROR(INDEX('💻シート作成'!$D$6:$D205, MATCH(AE178, '💻シート作成'!$E$6:$E205, 0)), "")</f>
        <v/>
      </c>
      <c r="AE178" s="184"/>
      <c r="AF178" s="799"/>
      <c r="AG178" s="799"/>
      <c r="AH178" s="799"/>
    </row>
    <row r="179" ht="15.75" customHeight="1">
      <c r="A179" s="799"/>
      <c r="B179" s="799"/>
      <c r="C179" s="799"/>
      <c r="D179" s="799"/>
      <c r="E179" s="799"/>
      <c r="F179" s="799"/>
      <c r="G179" s="799"/>
      <c r="H179" s="799"/>
      <c r="I179" s="799"/>
      <c r="J179" s="799"/>
      <c r="K179" s="799"/>
      <c r="L179" s="799"/>
      <c r="M179" s="799"/>
      <c r="N179" s="799"/>
      <c r="O179" s="799"/>
      <c r="P179" s="799"/>
      <c r="Q179" s="799"/>
      <c r="R179" s="799"/>
      <c r="S179" s="799"/>
      <c r="T179" s="799"/>
      <c r="U179" s="799"/>
      <c r="V179" s="799"/>
      <c r="W179" s="799"/>
      <c r="X179" s="799"/>
      <c r="Y179" s="799"/>
      <c r="Z179" s="799"/>
      <c r="AA179" s="799"/>
      <c r="AB179" s="799"/>
      <c r="AC179" s="799"/>
      <c r="AD179" s="228" t="str">
        <f t="array" ref="AD179">IFERROR(INDEX('💻シート作成'!$D$6:$D205, MATCH(AE179, '💻シート作成'!$E$6:$E205, 0)), "")</f>
        <v/>
      </c>
      <c r="AE179" s="184"/>
      <c r="AF179" s="799"/>
      <c r="AG179" s="799"/>
      <c r="AH179" s="799"/>
    </row>
    <row r="180" ht="15.75" customHeight="1">
      <c r="A180" s="799"/>
      <c r="B180" s="799"/>
      <c r="C180" s="799"/>
      <c r="D180" s="799"/>
      <c r="E180" s="799"/>
      <c r="F180" s="799"/>
      <c r="G180" s="799"/>
      <c r="H180" s="799"/>
      <c r="I180" s="799"/>
      <c r="J180" s="799"/>
      <c r="K180" s="799"/>
      <c r="L180" s="799"/>
      <c r="M180" s="799"/>
      <c r="N180" s="799"/>
      <c r="O180" s="799"/>
      <c r="P180" s="799"/>
      <c r="Q180" s="799"/>
      <c r="R180" s="799"/>
      <c r="S180" s="799"/>
      <c r="T180" s="799"/>
      <c r="U180" s="799"/>
      <c r="V180" s="799"/>
      <c r="W180" s="799"/>
      <c r="X180" s="799"/>
      <c r="Y180" s="799"/>
      <c r="Z180" s="799"/>
      <c r="AA180" s="799"/>
      <c r="AB180" s="799"/>
      <c r="AC180" s="799"/>
      <c r="AD180" s="228" t="str">
        <f t="array" ref="AD180">IFERROR(INDEX('💻シート作成'!$D$6:$D205, MATCH(AE180, '💻シート作成'!$E$6:$E205, 0)), "")</f>
        <v/>
      </c>
      <c r="AE180" s="184"/>
      <c r="AF180" s="799"/>
      <c r="AG180" s="799"/>
      <c r="AH180" s="799"/>
    </row>
    <row r="181" ht="15.75" customHeight="1">
      <c r="A181" s="799"/>
      <c r="B181" s="799"/>
      <c r="C181" s="799"/>
      <c r="D181" s="799"/>
      <c r="E181" s="799"/>
      <c r="F181" s="799"/>
      <c r="G181" s="799"/>
      <c r="H181" s="799"/>
      <c r="I181" s="799"/>
      <c r="J181" s="799"/>
      <c r="K181" s="799"/>
      <c r="L181" s="799"/>
      <c r="M181" s="799"/>
      <c r="N181" s="799"/>
      <c r="O181" s="799"/>
      <c r="P181" s="799"/>
      <c r="Q181" s="799"/>
      <c r="R181" s="799"/>
      <c r="S181" s="799"/>
      <c r="T181" s="799"/>
      <c r="U181" s="799"/>
      <c r="V181" s="799"/>
      <c r="W181" s="799"/>
      <c r="X181" s="799"/>
      <c r="Y181" s="799"/>
      <c r="Z181" s="799"/>
      <c r="AA181" s="799"/>
      <c r="AB181" s="799"/>
      <c r="AC181" s="799"/>
      <c r="AD181" s="228" t="str">
        <f t="array" ref="AD181">IFERROR(INDEX('💻シート作成'!$D$6:$D205, MATCH(AE181, '💻シート作成'!$E$6:$E205, 0)), "")</f>
        <v/>
      </c>
      <c r="AE181" s="184"/>
      <c r="AF181" s="799"/>
      <c r="AG181" s="799"/>
      <c r="AH181" s="799"/>
    </row>
    <row r="182" ht="15.75" customHeight="1">
      <c r="A182" s="799"/>
      <c r="B182" s="799"/>
      <c r="C182" s="799"/>
      <c r="D182" s="799"/>
      <c r="E182" s="799"/>
      <c r="F182" s="799"/>
      <c r="G182" s="799"/>
      <c r="H182" s="799"/>
      <c r="I182" s="799"/>
      <c r="J182" s="799"/>
      <c r="K182" s="799"/>
      <c r="L182" s="799"/>
      <c r="M182" s="799"/>
      <c r="N182" s="799"/>
      <c r="O182" s="799"/>
      <c r="P182" s="799"/>
      <c r="Q182" s="799"/>
      <c r="R182" s="799"/>
      <c r="S182" s="799"/>
      <c r="T182" s="799"/>
      <c r="U182" s="799"/>
      <c r="V182" s="799"/>
      <c r="W182" s="799"/>
      <c r="X182" s="799"/>
      <c r="Y182" s="799"/>
      <c r="Z182" s="799"/>
      <c r="AA182" s="799"/>
      <c r="AB182" s="799"/>
      <c r="AC182" s="799"/>
      <c r="AD182" s="228" t="str">
        <f t="array" ref="AD182">IFERROR(INDEX('💻シート作成'!$D$6:$D205, MATCH(AE182, '💻シート作成'!$E$6:$E205, 0)), "")</f>
        <v/>
      </c>
      <c r="AE182" s="184"/>
      <c r="AF182" s="799"/>
      <c r="AG182" s="799"/>
      <c r="AH182" s="799"/>
    </row>
    <row r="183" ht="15.75" customHeight="1">
      <c r="A183" s="799"/>
      <c r="B183" s="799"/>
      <c r="C183" s="799"/>
      <c r="D183" s="799"/>
      <c r="E183" s="799"/>
      <c r="F183" s="799"/>
      <c r="G183" s="799"/>
      <c r="H183" s="799"/>
      <c r="I183" s="799"/>
      <c r="J183" s="799"/>
      <c r="K183" s="799"/>
      <c r="L183" s="799"/>
      <c r="M183" s="799"/>
      <c r="N183" s="799"/>
      <c r="O183" s="799"/>
      <c r="P183" s="799"/>
      <c r="Q183" s="799"/>
      <c r="R183" s="799"/>
      <c r="S183" s="799"/>
      <c r="T183" s="799"/>
      <c r="U183" s="799"/>
      <c r="V183" s="799"/>
      <c r="W183" s="799"/>
      <c r="X183" s="799"/>
      <c r="Y183" s="799"/>
      <c r="Z183" s="799"/>
      <c r="AA183" s="799"/>
      <c r="AB183" s="799"/>
      <c r="AC183" s="799"/>
      <c r="AD183" s="228" t="str">
        <f t="array" ref="AD183">IFERROR(INDEX('💻シート作成'!$D$6:$D205, MATCH(AE183, '💻シート作成'!$E$6:$E205, 0)), "")</f>
        <v/>
      </c>
      <c r="AE183" s="184"/>
      <c r="AF183" s="799"/>
      <c r="AG183" s="799"/>
      <c r="AH183" s="799"/>
    </row>
    <row r="184" ht="15.75" customHeight="1">
      <c r="A184" s="799"/>
      <c r="B184" s="799"/>
      <c r="C184" s="799"/>
      <c r="D184" s="799"/>
      <c r="E184" s="799"/>
      <c r="F184" s="799"/>
      <c r="G184" s="799"/>
      <c r="H184" s="799"/>
      <c r="I184" s="799"/>
      <c r="J184" s="799"/>
      <c r="K184" s="799"/>
      <c r="L184" s="799"/>
      <c r="M184" s="799"/>
      <c r="N184" s="799"/>
      <c r="O184" s="799"/>
      <c r="P184" s="799"/>
      <c r="Q184" s="799"/>
      <c r="R184" s="799"/>
      <c r="S184" s="799"/>
      <c r="T184" s="799"/>
      <c r="U184" s="799"/>
      <c r="V184" s="799"/>
      <c r="W184" s="799"/>
      <c r="X184" s="799"/>
      <c r="Y184" s="799"/>
      <c r="Z184" s="799"/>
      <c r="AA184" s="799"/>
      <c r="AB184" s="799"/>
      <c r="AC184" s="799"/>
      <c r="AD184" s="228" t="str">
        <f t="array" ref="AD184">IFERROR(INDEX('💻シート作成'!$D$6:$D205, MATCH(AE184, '💻シート作成'!$E$6:$E205, 0)), "")</f>
        <v/>
      </c>
      <c r="AE184" s="184"/>
      <c r="AF184" s="799"/>
      <c r="AG184" s="799"/>
      <c r="AH184" s="799"/>
    </row>
    <row r="185" ht="15.75" customHeight="1">
      <c r="A185" s="799"/>
      <c r="B185" s="799"/>
      <c r="C185" s="799"/>
      <c r="D185" s="799"/>
      <c r="E185" s="799"/>
      <c r="F185" s="799"/>
      <c r="G185" s="799"/>
      <c r="H185" s="799"/>
      <c r="I185" s="799"/>
      <c r="J185" s="799"/>
      <c r="K185" s="799"/>
      <c r="L185" s="799"/>
      <c r="M185" s="799"/>
      <c r="N185" s="799"/>
      <c r="O185" s="799"/>
      <c r="P185" s="799"/>
      <c r="Q185" s="799"/>
      <c r="R185" s="799"/>
      <c r="S185" s="799"/>
      <c r="T185" s="799"/>
      <c r="U185" s="799"/>
      <c r="V185" s="799"/>
      <c r="W185" s="799"/>
      <c r="X185" s="799"/>
      <c r="Y185" s="799"/>
      <c r="Z185" s="799"/>
      <c r="AA185" s="799"/>
      <c r="AB185" s="799"/>
      <c r="AC185" s="799"/>
      <c r="AD185" s="228" t="str">
        <f t="array" ref="AD185">IFERROR(INDEX('💻シート作成'!$D$6:$D205, MATCH(AE185, '💻シート作成'!$E$6:$E205, 0)), "")</f>
        <v/>
      </c>
      <c r="AE185" s="184"/>
      <c r="AF185" s="799"/>
      <c r="AG185" s="799"/>
      <c r="AH185" s="799"/>
    </row>
    <row r="186" ht="15.75" customHeight="1">
      <c r="A186" s="799"/>
      <c r="B186" s="799"/>
      <c r="C186" s="799"/>
      <c r="D186" s="799"/>
      <c r="E186" s="799"/>
      <c r="F186" s="799"/>
      <c r="G186" s="799"/>
      <c r="H186" s="799"/>
      <c r="I186" s="799"/>
      <c r="J186" s="799"/>
      <c r="K186" s="799"/>
      <c r="L186" s="799"/>
      <c r="M186" s="799"/>
      <c r="N186" s="799"/>
      <c r="O186" s="799"/>
      <c r="P186" s="799"/>
      <c r="Q186" s="799"/>
      <c r="R186" s="799"/>
      <c r="S186" s="799"/>
      <c r="T186" s="799"/>
      <c r="U186" s="799"/>
      <c r="V186" s="799"/>
      <c r="W186" s="799"/>
      <c r="X186" s="799"/>
      <c r="Y186" s="799"/>
      <c r="Z186" s="799"/>
      <c r="AA186" s="799"/>
      <c r="AB186" s="799"/>
      <c r="AC186" s="799"/>
      <c r="AD186" s="228" t="str">
        <f t="array" ref="AD186">IFERROR(INDEX('💻シート作成'!$D$6:$D205, MATCH(AE186, '💻シート作成'!$E$6:$E205, 0)), "")</f>
        <v/>
      </c>
      <c r="AE186" s="184"/>
      <c r="AF186" s="799"/>
      <c r="AG186" s="799"/>
      <c r="AH186" s="799"/>
    </row>
    <row r="187" ht="15.75" customHeight="1">
      <c r="A187" s="799"/>
      <c r="B187" s="799"/>
      <c r="C187" s="799"/>
      <c r="D187" s="799"/>
      <c r="E187" s="799"/>
      <c r="F187" s="799"/>
      <c r="G187" s="799"/>
      <c r="H187" s="799"/>
      <c r="I187" s="799"/>
      <c r="J187" s="799"/>
      <c r="K187" s="799"/>
      <c r="L187" s="799"/>
      <c r="M187" s="799"/>
      <c r="N187" s="799"/>
      <c r="O187" s="799"/>
      <c r="P187" s="799"/>
      <c r="Q187" s="799"/>
      <c r="R187" s="799"/>
      <c r="S187" s="799"/>
      <c r="T187" s="799"/>
      <c r="U187" s="799"/>
      <c r="V187" s="799"/>
      <c r="W187" s="799"/>
      <c r="X187" s="799"/>
      <c r="Y187" s="799"/>
      <c r="Z187" s="799"/>
      <c r="AA187" s="799"/>
      <c r="AB187" s="799"/>
      <c r="AC187" s="799"/>
      <c r="AD187" s="228" t="str">
        <f t="array" ref="AD187">IFERROR(INDEX('💻シート作成'!$D$6:$D205, MATCH(AE187, '💻シート作成'!$E$6:$E205, 0)), "")</f>
        <v/>
      </c>
      <c r="AE187" s="184"/>
      <c r="AF187" s="799"/>
      <c r="AG187" s="799"/>
      <c r="AH187" s="799"/>
    </row>
    <row r="188" ht="15.75" customHeight="1">
      <c r="A188" s="799"/>
      <c r="B188" s="799"/>
      <c r="C188" s="799"/>
      <c r="D188" s="799"/>
      <c r="E188" s="799"/>
      <c r="F188" s="799"/>
      <c r="G188" s="799"/>
      <c r="H188" s="799"/>
      <c r="I188" s="799"/>
      <c r="J188" s="799"/>
      <c r="K188" s="799"/>
      <c r="L188" s="799"/>
      <c r="M188" s="799"/>
      <c r="N188" s="799"/>
      <c r="O188" s="799"/>
      <c r="P188" s="799"/>
      <c r="Q188" s="799"/>
      <c r="R188" s="799"/>
      <c r="S188" s="799"/>
      <c r="T188" s="799"/>
      <c r="U188" s="799"/>
      <c r="V188" s="799"/>
      <c r="W188" s="799"/>
      <c r="X188" s="799"/>
      <c r="Y188" s="799"/>
      <c r="Z188" s="799"/>
      <c r="AA188" s="799"/>
      <c r="AB188" s="799"/>
      <c r="AC188" s="799"/>
      <c r="AD188" s="228" t="str">
        <f t="array" ref="AD188">IFERROR(INDEX('💻シート作成'!$D$6:$D205, MATCH(AE188, '💻シート作成'!$E$6:$E205, 0)), "")</f>
        <v/>
      </c>
      <c r="AE188" s="184"/>
      <c r="AF188" s="799"/>
      <c r="AG188" s="799"/>
      <c r="AH188" s="799"/>
    </row>
    <row r="189" ht="15.75" customHeight="1">
      <c r="A189" s="799"/>
      <c r="B189" s="799"/>
      <c r="C189" s="799"/>
      <c r="D189" s="799"/>
      <c r="E189" s="799"/>
      <c r="F189" s="799"/>
      <c r="G189" s="799"/>
      <c r="H189" s="799"/>
      <c r="I189" s="799"/>
      <c r="J189" s="799"/>
      <c r="K189" s="799"/>
      <c r="L189" s="799"/>
      <c r="M189" s="799"/>
      <c r="N189" s="799"/>
      <c r="O189" s="799"/>
      <c r="P189" s="799"/>
      <c r="Q189" s="799"/>
      <c r="R189" s="799"/>
      <c r="S189" s="799"/>
      <c r="T189" s="799"/>
      <c r="U189" s="799"/>
      <c r="V189" s="799"/>
      <c r="W189" s="799"/>
      <c r="X189" s="799"/>
      <c r="Y189" s="799"/>
      <c r="Z189" s="799"/>
      <c r="AA189" s="799"/>
      <c r="AB189" s="799"/>
      <c r="AC189" s="799"/>
      <c r="AD189" s="228" t="str">
        <f t="array" ref="AD189">IFERROR(INDEX('💻シート作成'!$D$6:$D205, MATCH(AE189, '💻シート作成'!$E$6:$E205, 0)), "")</f>
        <v/>
      </c>
      <c r="AE189" s="184"/>
      <c r="AF189" s="799"/>
      <c r="AG189" s="799"/>
      <c r="AH189" s="799"/>
    </row>
    <row r="190" ht="15.75" customHeight="1">
      <c r="A190" s="799"/>
      <c r="B190" s="799"/>
      <c r="C190" s="799"/>
      <c r="D190" s="799"/>
      <c r="E190" s="799"/>
      <c r="F190" s="799"/>
      <c r="G190" s="799"/>
      <c r="H190" s="799"/>
      <c r="I190" s="799"/>
      <c r="J190" s="799"/>
      <c r="K190" s="799"/>
      <c r="L190" s="799"/>
      <c r="M190" s="799"/>
      <c r="N190" s="799"/>
      <c r="O190" s="799"/>
      <c r="P190" s="799"/>
      <c r="Q190" s="799"/>
      <c r="R190" s="799"/>
      <c r="S190" s="799"/>
      <c r="T190" s="799"/>
      <c r="U190" s="799"/>
      <c r="V190" s="799"/>
      <c r="W190" s="799"/>
      <c r="X190" s="799"/>
      <c r="Y190" s="799"/>
      <c r="Z190" s="799"/>
      <c r="AA190" s="799"/>
      <c r="AB190" s="799"/>
      <c r="AC190" s="799"/>
      <c r="AD190" s="228" t="str">
        <f t="array" ref="AD190">IFERROR(INDEX('💻シート作成'!$D$6:$D205, MATCH(AE190, '💻シート作成'!$E$6:$E205, 0)), "")</f>
        <v/>
      </c>
      <c r="AE190" s="184"/>
      <c r="AF190" s="799"/>
      <c r="AG190" s="799"/>
      <c r="AH190" s="799"/>
    </row>
    <row r="191" ht="15.75" customHeight="1">
      <c r="A191" s="799"/>
      <c r="B191" s="799"/>
      <c r="C191" s="799"/>
      <c r="D191" s="799"/>
      <c r="E191" s="799"/>
      <c r="F191" s="799"/>
      <c r="G191" s="799"/>
      <c r="H191" s="799"/>
      <c r="I191" s="799"/>
      <c r="J191" s="799"/>
      <c r="K191" s="799"/>
      <c r="L191" s="799"/>
      <c r="M191" s="799"/>
      <c r="N191" s="799"/>
      <c r="O191" s="799"/>
      <c r="P191" s="799"/>
      <c r="Q191" s="799"/>
      <c r="R191" s="799"/>
      <c r="S191" s="799"/>
      <c r="T191" s="799"/>
      <c r="U191" s="799"/>
      <c r="V191" s="799"/>
      <c r="W191" s="799"/>
      <c r="X191" s="799"/>
      <c r="Y191" s="799"/>
      <c r="Z191" s="799"/>
      <c r="AA191" s="799"/>
      <c r="AB191" s="799"/>
      <c r="AC191" s="799"/>
      <c r="AD191" s="228" t="str">
        <f t="array" ref="AD191">IFERROR(INDEX('💻シート作成'!$D$6:$D205, MATCH(AE191, '💻シート作成'!$E$6:$E205, 0)), "")</f>
        <v/>
      </c>
      <c r="AE191" s="184"/>
      <c r="AF191" s="799"/>
      <c r="AG191" s="799"/>
      <c r="AH191" s="799"/>
    </row>
    <row r="192" ht="15.75" customHeight="1">
      <c r="A192" s="799"/>
      <c r="B192" s="799"/>
      <c r="C192" s="799"/>
      <c r="D192" s="799"/>
      <c r="E192" s="799"/>
      <c r="F192" s="799"/>
      <c r="G192" s="799"/>
      <c r="H192" s="799"/>
      <c r="I192" s="799"/>
      <c r="J192" s="799"/>
      <c r="K192" s="799"/>
      <c r="L192" s="799"/>
      <c r="M192" s="799"/>
      <c r="N192" s="799"/>
      <c r="O192" s="799"/>
      <c r="P192" s="799"/>
      <c r="Q192" s="799"/>
      <c r="R192" s="799"/>
      <c r="S192" s="799"/>
      <c r="T192" s="799"/>
      <c r="U192" s="799"/>
      <c r="V192" s="799"/>
      <c r="W192" s="799"/>
      <c r="X192" s="799"/>
      <c r="Y192" s="799"/>
      <c r="Z192" s="799"/>
      <c r="AA192" s="799"/>
      <c r="AB192" s="799"/>
      <c r="AC192" s="799"/>
      <c r="AD192" s="228" t="str">
        <f t="array" ref="AD192">IFERROR(INDEX('💻シート作成'!$D$6:$D205, MATCH(AE192, '💻シート作成'!$E$6:$E205, 0)), "")</f>
        <v/>
      </c>
      <c r="AE192" s="184"/>
      <c r="AF192" s="799"/>
      <c r="AG192" s="799"/>
      <c r="AH192" s="799"/>
    </row>
    <row r="193" ht="15.75" customHeight="1">
      <c r="A193" s="799"/>
      <c r="B193" s="799"/>
      <c r="C193" s="799"/>
      <c r="D193" s="799"/>
      <c r="E193" s="799"/>
      <c r="F193" s="799"/>
      <c r="G193" s="799"/>
      <c r="H193" s="799"/>
      <c r="I193" s="799"/>
      <c r="J193" s="799"/>
      <c r="K193" s="799"/>
      <c r="L193" s="799"/>
      <c r="M193" s="799"/>
      <c r="N193" s="799"/>
      <c r="O193" s="799"/>
      <c r="P193" s="799"/>
      <c r="Q193" s="799"/>
      <c r="R193" s="799"/>
      <c r="S193" s="799"/>
      <c r="T193" s="799"/>
      <c r="U193" s="799"/>
      <c r="V193" s="799"/>
      <c r="W193" s="799"/>
      <c r="X193" s="799"/>
      <c r="Y193" s="799"/>
      <c r="Z193" s="799"/>
      <c r="AA193" s="799"/>
      <c r="AB193" s="799"/>
      <c r="AC193" s="799"/>
      <c r="AD193" s="228" t="str">
        <f t="array" ref="AD193">IFERROR(INDEX('💻シート作成'!$D$6:$D205, MATCH(AE193, '💻シート作成'!$E$6:$E205, 0)), "")</f>
        <v/>
      </c>
      <c r="AE193" s="184"/>
      <c r="AF193" s="799"/>
      <c r="AG193" s="799"/>
      <c r="AH193" s="799"/>
    </row>
    <row r="194" ht="15.75" customHeight="1">
      <c r="A194" s="799"/>
      <c r="B194" s="799"/>
      <c r="C194" s="799"/>
      <c r="D194" s="799"/>
      <c r="E194" s="799"/>
      <c r="F194" s="799"/>
      <c r="G194" s="799"/>
      <c r="H194" s="799"/>
      <c r="I194" s="799"/>
      <c r="J194" s="799"/>
      <c r="K194" s="799"/>
      <c r="L194" s="799"/>
      <c r="M194" s="799"/>
      <c r="N194" s="799"/>
      <c r="O194" s="799"/>
      <c r="P194" s="799"/>
      <c r="Q194" s="799"/>
      <c r="R194" s="799"/>
      <c r="S194" s="799"/>
      <c r="T194" s="799"/>
      <c r="U194" s="799"/>
      <c r="V194" s="799"/>
      <c r="W194" s="799"/>
      <c r="X194" s="799"/>
      <c r="Y194" s="799"/>
      <c r="Z194" s="799"/>
      <c r="AA194" s="799"/>
      <c r="AB194" s="799"/>
      <c r="AC194" s="799"/>
      <c r="AD194" s="228" t="str">
        <f t="array" ref="AD194">IFERROR(INDEX('💻シート作成'!$D$6:$D205, MATCH(AE194, '💻シート作成'!$E$6:$E205, 0)), "")</f>
        <v/>
      </c>
      <c r="AE194" s="184"/>
      <c r="AF194" s="799"/>
      <c r="AG194" s="799"/>
      <c r="AH194" s="799"/>
    </row>
    <row r="195" ht="15.75" customHeight="1">
      <c r="A195" s="799"/>
      <c r="B195" s="799"/>
      <c r="C195" s="799"/>
      <c r="D195" s="799"/>
      <c r="E195" s="799"/>
      <c r="F195" s="799"/>
      <c r="G195" s="799"/>
      <c r="H195" s="799"/>
      <c r="I195" s="799"/>
      <c r="J195" s="799"/>
      <c r="K195" s="799"/>
      <c r="L195" s="799"/>
      <c r="M195" s="799"/>
      <c r="N195" s="799"/>
      <c r="O195" s="799"/>
      <c r="P195" s="799"/>
      <c r="Q195" s="799"/>
      <c r="R195" s="799"/>
      <c r="S195" s="799"/>
      <c r="T195" s="799"/>
      <c r="U195" s="799"/>
      <c r="V195" s="799"/>
      <c r="W195" s="799"/>
      <c r="X195" s="799"/>
      <c r="Y195" s="799"/>
      <c r="Z195" s="799"/>
      <c r="AA195" s="799"/>
      <c r="AB195" s="799"/>
      <c r="AC195" s="799"/>
      <c r="AD195" s="228" t="str">
        <f t="array" ref="AD195">IFERROR(INDEX('💻シート作成'!$D$6:$D205, MATCH(AE195, '💻シート作成'!$E$6:$E205, 0)), "")</f>
        <v/>
      </c>
      <c r="AE195" s="184"/>
      <c r="AF195" s="799"/>
      <c r="AG195" s="799"/>
      <c r="AH195" s="799"/>
    </row>
    <row r="196" ht="15.75" customHeight="1">
      <c r="A196" s="799"/>
      <c r="B196" s="799"/>
      <c r="C196" s="799"/>
      <c r="D196" s="799"/>
      <c r="E196" s="799"/>
      <c r="F196" s="799"/>
      <c r="G196" s="799"/>
      <c r="H196" s="799"/>
      <c r="I196" s="799"/>
      <c r="J196" s="799"/>
      <c r="K196" s="799"/>
      <c r="L196" s="799"/>
      <c r="M196" s="799"/>
      <c r="N196" s="799"/>
      <c r="O196" s="799"/>
      <c r="P196" s="799"/>
      <c r="Q196" s="799"/>
      <c r="R196" s="799"/>
      <c r="S196" s="799"/>
      <c r="T196" s="799"/>
      <c r="U196" s="799"/>
      <c r="V196" s="799"/>
      <c r="W196" s="799"/>
      <c r="X196" s="799"/>
      <c r="Y196" s="799"/>
      <c r="Z196" s="799"/>
      <c r="AA196" s="799"/>
      <c r="AB196" s="799"/>
      <c r="AC196" s="799"/>
      <c r="AD196" s="228" t="str">
        <f t="array" ref="AD196">IFERROR(INDEX('💻シート作成'!$D$6:$D205, MATCH(AE196, '💻シート作成'!$E$6:$E205, 0)), "")</f>
        <v/>
      </c>
      <c r="AE196" s="184"/>
      <c r="AF196" s="799"/>
      <c r="AG196" s="799"/>
      <c r="AH196" s="799"/>
    </row>
    <row r="197" ht="15.75" customHeight="1">
      <c r="A197" s="799"/>
      <c r="B197" s="799"/>
      <c r="C197" s="799"/>
      <c r="D197" s="799"/>
      <c r="E197" s="799"/>
      <c r="F197" s="799"/>
      <c r="G197" s="799"/>
      <c r="H197" s="799"/>
      <c r="I197" s="799"/>
      <c r="J197" s="799"/>
      <c r="K197" s="799"/>
      <c r="L197" s="799"/>
      <c r="M197" s="799"/>
      <c r="N197" s="799"/>
      <c r="O197" s="799"/>
      <c r="P197" s="799"/>
      <c r="Q197" s="799"/>
      <c r="R197" s="799"/>
      <c r="S197" s="799"/>
      <c r="T197" s="799"/>
      <c r="U197" s="799"/>
      <c r="V197" s="799"/>
      <c r="W197" s="799"/>
      <c r="X197" s="799"/>
      <c r="Y197" s="799"/>
      <c r="Z197" s="799"/>
      <c r="AA197" s="799"/>
      <c r="AB197" s="799"/>
      <c r="AC197" s="799"/>
      <c r="AD197" s="228" t="str">
        <f t="array" ref="AD197">IFERROR(INDEX('💻シート作成'!$D$6:$D205, MATCH(AE197, '💻シート作成'!$E$6:$E205, 0)), "")</f>
        <v/>
      </c>
      <c r="AE197" s="184"/>
      <c r="AF197" s="799"/>
      <c r="AG197" s="799"/>
      <c r="AH197" s="799"/>
    </row>
    <row r="198" ht="15.75" customHeight="1">
      <c r="A198" s="799"/>
      <c r="B198" s="799"/>
      <c r="C198" s="799"/>
      <c r="D198" s="799"/>
      <c r="E198" s="799"/>
      <c r="F198" s="799"/>
      <c r="G198" s="799"/>
      <c r="H198" s="799"/>
      <c r="I198" s="799"/>
      <c r="J198" s="799"/>
      <c r="K198" s="799"/>
      <c r="L198" s="799"/>
      <c r="M198" s="799"/>
      <c r="N198" s="799"/>
      <c r="O198" s="799"/>
      <c r="P198" s="799"/>
      <c r="Q198" s="799"/>
      <c r="R198" s="799"/>
      <c r="S198" s="799"/>
      <c r="T198" s="799"/>
      <c r="U198" s="799"/>
      <c r="V198" s="799"/>
      <c r="W198" s="799"/>
      <c r="X198" s="799"/>
      <c r="Y198" s="799"/>
      <c r="Z198" s="799"/>
      <c r="AA198" s="799"/>
      <c r="AB198" s="799"/>
      <c r="AC198" s="799"/>
      <c r="AD198" s="228" t="str">
        <f t="array" ref="AD198">IFERROR(INDEX('💻シート作成'!$D$6:$D205, MATCH(AE198, '💻シート作成'!$E$6:$E205, 0)), "")</f>
        <v/>
      </c>
      <c r="AE198" s="184"/>
      <c r="AF198" s="799"/>
      <c r="AG198" s="799"/>
      <c r="AH198" s="799"/>
    </row>
    <row r="199" ht="15.75" customHeight="1">
      <c r="A199" s="799"/>
      <c r="B199" s="799"/>
      <c r="C199" s="799"/>
      <c r="D199" s="799"/>
      <c r="E199" s="799"/>
      <c r="F199" s="799"/>
      <c r="G199" s="799"/>
      <c r="H199" s="799"/>
      <c r="I199" s="799"/>
      <c r="J199" s="799"/>
      <c r="K199" s="799"/>
      <c r="L199" s="799"/>
      <c r="M199" s="799"/>
      <c r="N199" s="799"/>
      <c r="O199" s="799"/>
      <c r="P199" s="799"/>
      <c r="Q199" s="799"/>
      <c r="R199" s="799"/>
      <c r="S199" s="799"/>
      <c r="T199" s="799"/>
      <c r="U199" s="799"/>
      <c r="V199" s="799"/>
      <c r="W199" s="799"/>
      <c r="X199" s="799"/>
      <c r="Y199" s="799"/>
      <c r="Z199" s="799"/>
      <c r="AA199" s="799"/>
      <c r="AB199" s="799"/>
      <c r="AC199" s="799"/>
      <c r="AD199" s="228" t="str">
        <f t="array" ref="AD199">IFERROR(INDEX('💻シート作成'!$D$6:$D205, MATCH(AE199, '💻シート作成'!$E$6:$E205, 0)), "")</f>
        <v/>
      </c>
      <c r="AE199" s="184"/>
      <c r="AF199" s="799"/>
      <c r="AG199" s="799"/>
      <c r="AH199" s="799"/>
    </row>
    <row r="200" ht="15.75" customHeight="1">
      <c r="A200" s="799"/>
      <c r="B200" s="799"/>
      <c r="C200" s="799"/>
      <c r="D200" s="799"/>
      <c r="E200" s="799"/>
      <c r="F200" s="799"/>
      <c r="G200" s="799"/>
      <c r="H200" s="799"/>
      <c r="I200" s="799"/>
      <c r="J200" s="799"/>
      <c r="K200" s="799"/>
      <c r="L200" s="799"/>
      <c r="M200" s="799"/>
      <c r="N200" s="799"/>
      <c r="O200" s="799"/>
      <c r="P200" s="799"/>
      <c r="Q200" s="799"/>
      <c r="R200" s="799"/>
      <c r="S200" s="799"/>
      <c r="T200" s="799"/>
      <c r="U200" s="799"/>
      <c r="V200" s="799"/>
      <c r="W200" s="799"/>
      <c r="X200" s="799"/>
      <c r="Y200" s="799"/>
      <c r="Z200" s="799"/>
      <c r="AA200" s="799"/>
      <c r="AB200" s="799"/>
      <c r="AC200" s="799"/>
      <c r="AD200" s="228" t="str">
        <f t="array" ref="AD200">IFERROR(INDEX('💻シート作成'!$D$6:$D205, MATCH(AE200, '💻シート作成'!$E$6:$E205, 0)), "")</f>
        <v/>
      </c>
      <c r="AE200" s="184"/>
      <c r="AF200" s="799"/>
      <c r="AG200" s="799"/>
      <c r="AH200" s="799"/>
    </row>
    <row r="201" ht="15.75" customHeight="1">
      <c r="A201" s="799"/>
      <c r="B201" s="799"/>
      <c r="C201" s="799"/>
      <c r="D201" s="799"/>
      <c r="E201" s="799"/>
      <c r="F201" s="799"/>
      <c r="G201" s="799"/>
      <c r="H201" s="799"/>
      <c r="I201" s="799"/>
      <c r="J201" s="799"/>
      <c r="K201" s="799"/>
      <c r="L201" s="799"/>
      <c r="M201" s="799"/>
      <c r="N201" s="799"/>
      <c r="O201" s="799"/>
      <c r="P201" s="799"/>
      <c r="Q201" s="799"/>
      <c r="R201" s="799"/>
      <c r="S201" s="799"/>
      <c r="T201" s="799"/>
      <c r="U201" s="799"/>
      <c r="V201" s="799"/>
      <c r="W201" s="799"/>
      <c r="X201" s="799"/>
      <c r="Y201" s="799"/>
      <c r="Z201" s="799"/>
      <c r="AA201" s="799"/>
      <c r="AB201" s="799"/>
      <c r="AC201" s="799"/>
      <c r="AD201" s="228" t="str">
        <f t="array" ref="AD201">IFERROR(INDEX('💻シート作成'!$D$6:$D205, MATCH(AE201, '💻シート作成'!$E$6:$E205, 0)), "")</f>
        <v/>
      </c>
      <c r="AE201" s="184"/>
      <c r="AF201" s="799"/>
      <c r="AG201" s="799"/>
      <c r="AH201" s="799"/>
    </row>
    <row r="202" ht="15.75" customHeight="1">
      <c r="A202" s="799"/>
      <c r="B202" s="799"/>
      <c r="C202" s="799"/>
      <c r="D202" s="799"/>
      <c r="E202" s="799"/>
      <c r="F202" s="799"/>
      <c r="G202" s="799"/>
      <c r="H202" s="799"/>
      <c r="I202" s="799"/>
      <c r="J202" s="799"/>
      <c r="K202" s="799"/>
      <c r="L202" s="799"/>
      <c r="M202" s="799"/>
      <c r="N202" s="799"/>
      <c r="O202" s="799"/>
      <c r="P202" s="799"/>
      <c r="Q202" s="799"/>
      <c r="R202" s="799"/>
      <c r="S202" s="799"/>
      <c r="T202" s="799"/>
      <c r="U202" s="799"/>
      <c r="V202" s="799"/>
      <c r="W202" s="799"/>
      <c r="X202" s="799"/>
      <c r="Y202" s="799"/>
      <c r="Z202" s="799"/>
      <c r="AA202" s="799"/>
      <c r="AB202" s="799"/>
      <c r="AC202" s="799"/>
      <c r="AD202" s="228" t="str">
        <f t="array" ref="AD202">IFERROR(INDEX('💻シート作成'!$D$6:$D205, MATCH(AE202, '💻シート作成'!$E$6:$E205, 0)), "")</f>
        <v/>
      </c>
      <c r="AE202" s="184"/>
      <c r="AF202" s="799"/>
      <c r="AG202" s="799"/>
      <c r="AH202" s="799"/>
    </row>
    <row r="203" ht="15.75" customHeight="1">
      <c r="A203" s="799"/>
      <c r="B203" s="799"/>
      <c r="C203" s="799"/>
      <c r="D203" s="799"/>
      <c r="E203" s="799"/>
      <c r="F203" s="799"/>
      <c r="G203" s="799"/>
      <c r="H203" s="799"/>
      <c r="I203" s="799"/>
      <c r="J203" s="799"/>
      <c r="K203" s="799"/>
      <c r="L203" s="799"/>
      <c r="M203" s="799"/>
      <c r="N203" s="799"/>
      <c r="O203" s="799"/>
      <c r="P203" s="799"/>
      <c r="Q203" s="799"/>
      <c r="R203" s="799"/>
      <c r="S203" s="799"/>
      <c r="T203" s="799"/>
      <c r="U203" s="799"/>
      <c r="V203" s="799"/>
      <c r="W203" s="799"/>
      <c r="X203" s="799"/>
      <c r="Y203" s="799"/>
      <c r="Z203" s="799"/>
      <c r="AA203" s="799"/>
      <c r="AB203" s="799"/>
      <c r="AC203" s="799"/>
      <c r="AD203" s="228" t="str">
        <f t="array" ref="AD203">IFERROR(INDEX('💻シート作成'!$D$6:$D205, MATCH(AE203, '💻シート作成'!$E$6:$E205, 0)), "")</f>
        <v/>
      </c>
      <c r="AE203" s="184"/>
      <c r="AF203" s="799"/>
      <c r="AG203" s="799"/>
      <c r="AH203" s="799"/>
    </row>
    <row r="204" ht="15.75" customHeight="1">
      <c r="A204" s="799"/>
      <c r="B204" s="799"/>
      <c r="C204" s="799"/>
      <c r="D204" s="799"/>
      <c r="E204" s="799"/>
      <c r="F204" s="799"/>
      <c r="G204" s="799"/>
      <c r="H204" s="799"/>
      <c r="I204" s="799"/>
      <c r="J204" s="799"/>
      <c r="K204" s="799"/>
      <c r="L204" s="799"/>
      <c r="M204" s="799"/>
      <c r="N204" s="799"/>
      <c r="O204" s="799"/>
      <c r="P204" s="799"/>
      <c r="Q204" s="799"/>
      <c r="R204" s="799"/>
      <c r="S204" s="799"/>
      <c r="T204" s="799"/>
      <c r="U204" s="799"/>
      <c r="V204" s="799"/>
      <c r="W204" s="799"/>
      <c r="X204" s="799"/>
      <c r="Y204" s="799"/>
      <c r="Z204" s="799"/>
      <c r="AA204" s="799"/>
      <c r="AB204" s="799"/>
      <c r="AC204" s="799"/>
      <c r="AD204" s="228" t="str">
        <f t="array" ref="AD204">IFERROR(INDEX('💻シート作成'!$D$6:$D205, MATCH(AE204, '💻シート作成'!$E$6:$E205, 0)), "")</f>
        <v/>
      </c>
      <c r="AE204" s="184"/>
      <c r="AF204" s="799"/>
      <c r="AG204" s="799"/>
      <c r="AH204" s="799"/>
    </row>
    <row r="205" ht="15.75" customHeight="1">
      <c r="A205" s="799"/>
      <c r="B205" s="799"/>
      <c r="C205" s="799"/>
      <c r="D205" s="799"/>
      <c r="E205" s="799"/>
      <c r="F205" s="799"/>
      <c r="G205" s="799"/>
      <c r="H205" s="799"/>
      <c r="I205" s="799"/>
      <c r="J205" s="799"/>
      <c r="K205" s="799"/>
      <c r="L205" s="799"/>
      <c r="M205" s="799"/>
      <c r="N205" s="799"/>
      <c r="O205" s="799"/>
      <c r="P205" s="799"/>
      <c r="Q205" s="799"/>
      <c r="R205" s="799"/>
      <c r="S205" s="799"/>
      <c r="T205" s="799"/>
      <c r="U205" s="799"/>
      <c r="V205" s="799"/>
      <c r="W205" s="799"/>
      <c r="X205" s="799"/>
      <c r="Y205" s="799"/>
      <c r="Z205" s="799"/>
      <c r="AA205" s="799"/>
      <c r="AB205" s="799"/>
      <c r="AC205" s="799"/>
      <c r="AD205" s="228" t="str">
        <f t="array" ref="AD205">IFERROR(INDEX('💻シート作成'!$D$6:$D205, MATCH(AE205, '💻シート作成'!$E$6:$E205, 0)), "")</f>
        <v/>
      </c>
      <c r="AE205" s="184"/>
      <c r="AF205" s="799"/>
      <c r="AG205" s="799"/>
      <c r="AH205" s="79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55</v>
      </c>
      <c r="E3" s="1141" t="s">
        <v>56</v>
      </c>
      <c r="F3" s="1141" t="s">
        <v>58</v>
      </c>
      <c r="G3" s="1141" t="s">
        <v>60</v>
      </c>
      <c r="H3" s="1141" t="s">
        <v>62</v>
      </c>
      <c r="I3" s="1141" t="s">
        <v>64</v>
      </c>
      <c r="J3" s="1141" t="s">
        <v>66</v>
      </c>
      <c r="K3" s="1141" t="s">
        <v>68</v>
      </c>
      <c r="L3" s="1141" t="s">
        <v>70</v>
      </c>
      <c r="M3" s="1141" t="s">
        <v>72</v>
      </c>
      <c r="N3" s="1141" t="s">
        <v>74</v>
      </c>
      <c r="O3" s="1142" t="s">
        <v>371</v>
      </c>
      <c r="P3" s="1134"/>
      <c r="Q3" s="1134"/>
      <c r="R3" s="1134"/>
      <c r="S3" s="1134"/>
      <c r="T3" s="1134"/>
      <c r="U3" s="1134"/>
      <c r="V3" s="1143" t="s">
        <v>1076</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1077</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303</v>
      </c>
      <c r="C6" s="1151">
        <f t="shared" ref="C6:N6" si="1">iferror(indirect(C3&amp;"!G8"),"")</f>
        <v>0.8718105736</v>
      </c>
      <c r="D6" s="1151">
        <f t="shared" si="1"/>
        <v>0.8882949309</v>
      </c>
      <c r="E6" s="1151">
        <f t="shared" si="1"/>
        <v>0.8843697479</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0.8814917508</v>
      </c>
      <c r="P6" s="1134"/>
      <c r="Q6" s="1134"/>
      <c r="R6" s="1134"/>
      <c r="S6" s="1134"/>
      <c r="T6" s="1134"/>
      <c r="U6" s="1134"/>
      <c r="V6" s="1143">
        <v>13.0</v>
      </c>
      <c r="W6" s="1136"/>
    </row>
    <row r="7">
      <c r="A7" s="1144"/>
      <c r="B7" s="1150" t="s">
        <v>304</v>
      </c>
      <c r="C7" s="1152">
        <f t="shared" ref="C7:N7" si="2">iferror(indirect(C3&amp;"!H8"),"")</f>
        <v>4791800</v>
      </c>
      <c r="D7" s="1152">
        <f t="shared" si="2"/>
        <v>5290320</v>
      </c>
      <c r="E7" s="1152">
        <f t="shared" si="2"/>
        <v>2891880</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12974000</v>
      </c>
      <c r="P7" s="1135"/>
      <c r="Q7" s="1134"/>
      <c r="R7" s="1134"/>
      <c r="S7" s="1134"/>
      <c r="T7" s="1134"/>
      <c r="U7" s="1134"/>
      <c r="V7" s="1143">
        <v>4.0</v>
      </c>
      <c r="W7" s="1136"/>
    </row>
    <row r="8">
      <c r="A8" s="1144"/>
      <c r="B8" s="1150" t="s">
        <v>1078</v>
      </c>
      <c r="C8" s="1153">
        <f t="shared" ref="C8:N8" si="3">iferror(indirect(C3&amp;"!AZ20"),"")</f>
        <v>853150</v>
      </c>
      <c r="D8" s="1153">
        <f t="shared" si="3"/>
        <v>758195.4545</v>
      </c>
      <c r="E8" s="1153">
        <f t="shared" si="3"/>
        <v>426159.0909</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2037504.545</v>
      </c>
      <c r="P8" s="1135"/>
      <c r="Q8" s="1134"/>
      <c r="R8" s="1134"/>
      <c r="S8" s="1134"/>
      <c r="T8" s="1134"/>
      <c r="U8" s="1134"/>
      <c r="V8" s="1143">
        <v>5.0</v>
      </c>
      <c r="W8" s="1136"/>
    </row>
    <row r="9">
      <c r="A9" s="1144"/>
      <c r="B9" s="1150" t="s">
        <v>992</v>
      </c>
      <c r="C9" s="1153">
        <f t="shared" ref="C9:N9" si="5">iferror(indirect(C3&amp;"!BG23")-indirect(C3&amp;"!BE24"),"")</f>
        <v>3065489.833</v>
      </c>
      <c r="D9" s="1153">
        <f t="shared" si="5"/>
        <v>3180262.5</v>
      </c>
      <c r="E9" s="1153">
        <f t="shared" si="5"/>
        <v>1771436</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8017188.333</v>
      </c>
      <c r="P9" s="1134"/>
      <c r="Q9" s="1135"/>
      <c r="R9" s="1134"/>
      <c r="S9" s="1134"/>
      <c r="T9" s="1134"/>
      <c r="U9" s="1134"/>
      <c r="V9" s="1143">
        <v>6.0</v>
      </c>
      <c r="W9" s="1136"/>
    </row>
    <row r="10">
      <c r="A10" s="1144"/>
      <c r="B10" s="1150" t="s">
        <v>1079</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305</v>
      </c>
      <c r="C11" s="1152">
        <f t="shared" ref="C11:N11" si="7">iferror(indirect(C3&amp;"!I8"),"")</f>
        <v>127312.125</v>
      </c>
      <c r="D11" s="1152">
        <f t="shared" si="7"/>
        <v>113868.0682</v>
      </c>
      <c r="E11" s="1152">
        <f t="shared" si="7"/>
        <v>64525.23864</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305705.4318</v>
      </c>
      <c r="P11" s="1134"/>
      <c r="Q11" s="1134"/>
      <c r="R11" s="1134"/>
      <c r="S11" s="1134"/>
      <c r="T11" s="1134"/>
      <c r="U11" s="1134"/>
      <c r="V11" s="1143">
        <v>8.0</v>
      </c>
      <c r="W11" s="1136"/>
    </row>
    <row r="12">
      <c r="A12" s="1144"/>
      <c r="B12" s="1150" t="s">
        <v>306</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309</v>
      </c>
      <c r="C13" s="1152">
        <f t="shared" ref="C13:N13" si="9">iferror(indirect(C3&amp;"!M8"),"")</f>
        <v>745848.0417</v>
      </c>
      <c r="D13" s="1152">
        <f t="shared" si="9"/>
        <v>1237993.977</v>
      </c>
      <c r="E13" s="1152">
        <f t="shared" si="9"/>
        <v>629759.6705</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2613601.689</v>
      </c>
      <c r="P13" s="1134"/>
      <c r="Q13" s="1134"/>
      <c r="R13" s="1134"/>
      <c r="S13" s="1134"/>
      <c r="T13" s="1134"/>
      <c r="U13" s="1134"/>
      <c r="V13" s="1143">
        <v>10.0</v>
      </c>
      <c r="W13" s="1136"/>
    </row>
    <row r="14">
      <c r="A14" s="1144"/>
      <c r="B14" s="1150" t="s">
        <v>983</v>
      </c>
      <c r="C14" s="1151">
        <f t="shared" ref="C14:N14" si="10">iferror(indirect(C3&amp;"!E8"),"")</f>
        <v>0.6397365986</v>
      </c>
      <c r="D14" s="1151">
        <f t="shared" si="10"/>
        <v>0.6011474731</v>
      </c>
      <c r="E14" s="1151">
        <f t="shared" si="10"/>
        <v>0.6125551544</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0.6318165819</v>
      </c>
      <c r="P14" s="1134"/>
      <c r="Q14" s="1134"/>
      <c r="R14" s="1134"/>
      <c r="S14" s="1134"/>
      <c r="T14" s="1134"/>
      <c r="U14" s="1134"/>
      <c r="V14" s="1143">
        <v>11.0</v>
      </c>
      <c r="W14" s="1136"/>
    </row>
    <row r="15">
      <c r="A15" s="1144"/>
      <c r="B15" s="1150" t="s">
        <v>301</v>
      </c>
      <c r="C15" s="1151">
        <f t="shared" ref="C15:N15" si="11">iferror(indirect(C3&amp;"!C8"),"")</f>
        <v>0.1556509123</v>
      </c>
      <c r="D15" s="1151">
        <f t="shared" si="11"/>
        <v>0.2340111708</v>
      </c>
      <c r="E15" s="1151">
        <f t="shared" si="11"/>
        <v>0.2177682582</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0.2014491822</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1080</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1080</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304</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1078</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992</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1079</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1081</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306</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309</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983</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301</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1082</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1083</v>
      </c>
      <c r="C3" s="1168"/>
      <c r="D3" s="1168"/>
      <c r="E3" s="1168"/>
      <c r="F3" s="1168"/>
      <c r="G3" s="616"/>
      <c r="H3" s="1169" t="s">
        <v>1084</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464</v>
      </c>
      <c r="D4" s="1172" t="s">
        <v>609</v>
      </c>
      <c r="E4" s="1173" t="s">
        <v>35</v>
      </c>
      <c r="F4" s="1172" t="s">
        <v>1085</v>
      </c>
      <c r="G4" s="1172" t="s">
        <v>1086</v>
      </c>
      <c r="H4" s="1174"/>
      <c r="I4" s="1175" t="s">
        <v>464</v>
      </c>
      <c r="J4" s="1175" t="s">
        <v>609</v>
      </c>
      <c r="K4" s="1176" t="s">
        <v>35</v>
      </c>
      <c r="L4" s="1175" t="s">
        <v>1085</v>
      </c>
      <c r="M4" s="1177" t="s">
        <v>1086</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54</v>
      </c>
      <c r="C6" s="1179">
        <v>4855.0</v>
      </c>
      <c r="D6" s="1179">
        <v>11.0</v>
      </c>
      <c r="E6" s="1180">
        <v>0.0023</v>
      </c>
      <c r="F6" s="1181"/>
      <c r="G6" s="1182"/>
      <c r="H6" s="1189" t="s">
        <v>54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34</v>
      </c>
      <c r="C7" s="1179">
        <v>4833.0</v>
      </c>
      <c r="D7" s="1179">
        <v>2.0</v>
      </c>
      <c r="E7" s="1180">
        <v>4.0E-4</v>
      </c>
      <c r="F7" s="1181"/>
      <c r="G7" s="1182"/>
      <c r="H7" s="1189" t="s">
        <v>34</v>
      </c>
      <c r="I7" s="1184">
        <f>'🔵クレーム'!V12</f>
        <v>2724</v>
      </c>
      <c r="J7" s="1184">
        <f>'🔵クレーム'!T12</f>
        <v>5</v>
      </c>
      <c r="K7" s="1185">
        <f>'🔵クレーム'!X12</f>
        <v>0.001835535977</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1087</v>
      </c>
      <c r="C17" s="1204">
        <f t="shared" ref="C17:D17" si="3">SUM(C4:C16)</f>
        <v>57138</v>
      </c>
      <c r="D17" s="1204">
        <f t="shared" si="3"/>
        <v>75</v>
      </c>
      <c r="E17" s="1205">
        <f>D17/C17</f>
        <v>0.001312611572</v>
      </c>
      <c r="F17" s="1204">
        <f>SUM(F5:F16)</f>
        <v>21</v>
      </c>
      <c r="G17" s="1206">
        <f>F17/C17</f>
        <v>0.0003675312402</v>
      </c>
      <c r="H17" s="1207" t="s">
        <v>1087</v>
      </c>
      <c r="I17" s="1208">
        <f t="shared" ref="I17:J17" si="4">SUM(I5:I16)</f>
        <v>12108</v>
      </c>
      <c r="J17" s="1208">
        <f t="shared" si="4"/>
        <v>17</v>
      </c>
      <c r="K17" s="1209">
        <f>J17/I17</f>
        <v>0.001404030393</v>
      </c>
      <c r="L17" s="1208">
        <f>SUM(L5:L16)</f>
        <v>3</v>
      </c>
      <c r="M17" s="1210">
        <f>L17/I17</f>
        <v>0.0002477700694</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1067</v>
      </c>
      <c r="K33" s="17"/>
      <c r="L33" s="17"/>
    </row>
    <row r="34">
      <c r="B34" s="1230" t="s">
        <v>1088</v>
      </c>
      <c r="C34" s="1162"/>
      <c r="D34" s="1162"/>
      <c r="E34" s="1162"/>
      <c r="F34" s="1162"/>
      <c r="G34" s="1162"/>
      <c r="H34" s="1162"/>
      <c r="I34" s="1162"/>
      <c r="J34" s="1162"/>
      <c r="K34" s="1162"/>
      <c r="L34" s="1162"/>
      <c r="M34" s="1163"/>
      <c r="O34" s="1123"/>
      <c r="P34" s="1123"/>
      <c r="Q34" s="1123"/>
      <c r="S34" s="1123"/>
      <c r="T34" s="1123"/>
      <c r="U34" s="1123"/>
    </row>
    <row r="35">
      <c r="B35" s="1231" t="s">
        <v>1089</v>
      </c>
      <c r="D35" s="1232"/>
      <c r="M35" s="1233"/>
      <c r="O35" s="1123"/>
      <c r="P35" s="1123"/>
      <c r="Q35" s="1123"/>
      <c r="S35" s="1123"/>
      <c r="T35" s="1123"/>
      <c r="U35" s="1123"/>
    </row>
    <row r="36">
      <c r="B36" s="1234" t="s">
        <v>1090</v>
      </c>
      <c r="C36" s="1163"/>
      <c r="D36" s="1234" t="s">
        <v>1091</v>
      </c>
      <c r="E36" s="1163"/>
      <c r="F36" s="1234" t="s">
        <v>1092</v>
      </c>
      <c r="G36" s="1162"/>
      <c r="H36" s="1234" t="s">
        <v>1093</v>
      </c>
      <c r="I36" s="1162"/>
      <c r="J36" s="1163"/>
      <c r="K36" s="1234" t="s">
        <v>1094</v>
      </c>
      <c r="L36" s="1162"/>
      <c r="M36" s="1163"/>
      <c r="O36" s="1123" t="s">
        <v>81</v>
      </c>
      <c r="P36" s="1123" t="s">
        <v>82</v>
      </c>
      <c r="Q36" s="1123" t="s">
        <v>1095</v>
      </c>
      <c r="S36" s="1123" t="s">
        <v>89</v>
      </c>
      <c r="T36" s="1123" t="s">
        <v>90</v>
      </c>
      <c r="U36" s="1123" t="s">
        <v>92</v>
      </c>
      <c r="W36" s="1123" t="s">
        <v>81</v>
      </c>
      <c r="X36" s="1123" t="s">
        <v>82</v>
      </c>
      <c r="Y36" s="1123" t="s">
        <v>1095</v>
      </c>
      <c r="AA36" s="1123" t="s">
        <v>89</v>
      </c>
      <c r="AB36" s="1123" t="s">
        <v>90</v>
      </c>
      <c r="AC36" s="1123" t="s">
        <v>92</v>
      </c>
    </row>
    <row r="37">
      <c r="B37" s="1235"/>
      <c r="C37" s="1236"/>
      <c r="D37" s="1235"/>
      <c r="E37" s="1236"/>
      <c r="F37" s="1235"/>
      <c r="G37" s="1237"/>
      <c r="H37" s="1235"/>
      <c r="I37" s="1237"/>
      <c r="J37" s="1236"/>
      <c r="K37" s="1235"/>
      <c r="L37" s="1237"/>
      <c r="M37" s="1236"/>
      <c r="N37" s="1123" t="s">
        <v>1089</v>
      </c>
      <c r="O37" s="286" t="s">
        <v>52</v>
      </c>
      <c r="P37" s="286" t="s">
        <v>1096</v>
      </c>
      <c r="Q37" s="286" t="s">
        <v>40</v>
      </c>
      <c r="R37" s="1238"/>
      <c r="S37" s="286" t="s">
        <v>1097</v>
      </c>
      <c r="T37" s="286" t="s">
        <v>113</v>
      </c>
      <c r="U37" s="1239" t="s">
        <v>1098</v>
      </c>
      <c r="V37" s="1123" t="s">
        <v>1099</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1100</v>
      </c>
      <c r="D38" s="1242" t="s">
        <v>89</v>
      </c>
      <c r="E38" s="1242" t="s">
        <v>1100</v>
      </c>
      <c r="F38" s="1243" t="s">
        <v>1095</v>
      </c>
      <c r="G38" s="1243" t="s">
        <v>1100</v>
      </c>
      <c r="H38" s="1242" t="s">
        <v>1095</v>
      </c>
      <c r="I38" s="1244" t="s">
        <v>1100</v>
      </c>
      <c r="J38" s="1245" t="s">
        <v>1101</v>
      </c>
      <c r="K38" s="1246"/>
      <c r="L38" s="1247" t="s">
        <v>1100</v>
      </c>
      <c r="M38" s="1248" t="s">
        <v>1101</v>
      </c>
      <c r="O38" s="286" t="s">
        <v>52</v>
      </c>
      <c r="P38" s="286" t="s">
        <v>1102</v>
      </c>
      <c r="Q38" s="286" t="s">
        <v>39</v>
      </c>
      <c r="R38" s="1238"/>
      <c r="S38" s="286" t="s">
        <v>171</v>
      </c>
      <c r="T38" s="286" t="s">
        <v>1103</v>
      </c>
      <c r="U38" s="1239" t="s">
        <v>1104</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)"),"大沼")</f>
        <v>大沼</v>
      </c>
      <c r="C39" s="1250">
        <f>IFERROR(__xludf.DUMMYFUNCTION("""COMPUTED_VALUE"""),11.0)</f>
        <v>11</v>
      </c>
      <c r="D39" s="1251" t="str">
        <f>IFERROR(__xludf.DUMMYFUNCTION("IFERROR(
  QUERY(
    {
      IF($B$35=""R7"",$S$37:$S1038,$AA$37:$AA1038),
      IF($B$35=""R7"",$S$37:$S1038,$AA$37:$AA1038)
    },
    ""select Col1, count(Col2)
     where Col1 is not null and Col1 &lt;&gt; ''
     group by Col1
     order by count(Col2) de"&amp;"sc, Col1 asc
     label Col1 '', count(Col2) ''"",
    0
  ),
  """"
)"),"カン")</f>
        <v>カン</v>
      </c>
      <c r="E39" s="1252">
        <f>IFERROR(__xludf.DUMMYFUNCTION("""COMPUTED_VALUE"""),17.0)</f>
        <v>17</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IFERROR(__xludf.DUMMYFUNCTION("""COMPUTED_VALUE"""),21.0)</f>
        <v>21</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IFERROR(__xludf.DUMMYFUNCTION("""COMPUTED_VALUE"""),21.0)</f>
        <v>21</v>
      </c>
      <c r="J39" s="1257">
        <f t="array" ref="J39:J1038">IF(H39:H1038="","", I39:I1038 / SUM(I39:I1038))</f>
        <v>0.28</v>
      </c>
      <c r="K39" s="1258" t="s">
        <v>40</v>
      </c>
      <c r="L39" s="1259">
        <f t="shared" ref="L39:L50" si="5">AB17</f>
        <v>0</v>
      </c>
      <c r="M39" s="1260">
        <f t="shared" ref="M39:M50" si="6">iferror(L39/$L$50,"")</f>
        <v>0</v>
      </c>
      <c r="O39" s="286" t="s">
        <v>52</v>
      </c>
      <c r="P39" s="286" t="s">
        <v>1102</v>
      </c>
      <c r="Q39" s="286" t="s">
        <v>40</v>
      </c>
      <c r="R39" s="1238"/>
      <c r="S39" s="286" t="s">
        <v>171</v>
      </c>
      <c r="T39" s="286" t="s">
        <v>497</v>
      </c>
      <c r="U39" s="1239" t="s">
        <v>1105</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f>
        <v>―</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IFERROR(__xludf.DUMMYFUNCTION("""COMPUTED_VALUE"""),7.0)</f>
        <v>7</v>
      </c>
      <c r="AH39" s="24">
        <f>IFERROR(__xludf.DUMMYFUNCTION("""COMPUTED_VALUE"""),0.4117647058823529)</f>
        <v>0.4117647059</v>
      </c>
    </row>
    <row r="40">
      <c r="B40" s="1258" t="str">
        <f>IFERROR(__xludf.DUMMYFUNCTION("""COMPUTED_VALUE"""),"プラミラ")</f>
        <v>プラミラ</v>
      </c>
      <c r="C40" s="1261">
        <f>IFERROR(__xludf.DUMMYFUNCTION("""COMPUTED_VALUE"""),8.0)</f>
        <v>8</v>
      </c>
      <c r="D40" s="1262" t="str">
        <f>IFERROR(__xludf.DUMMYFUNCTION("""COMPUTED_VALUE"""),"エリ")</f>
        <v>エリ</v>
      </c>
      <c r="E40" s="1263">
        <f>IFERROR(__xludf.DUMMYFUNCTION("""COMPUTED_VALUE"""),14.0)</f>
        <v>14</v>
      </c>
      <c r="F40" s="1262" t="str">
        <f>IFERROR(__xludf.DUMMYFUNCTION("""COMPUTED_VALUE"""),"その他")</f>
        <v>その他</v>
      </c>
      <c r="G40" s="1261">
        <f>IFERROR(__xludf.DUMMYFUNCTION("""COMPUTED_VALUE"""),14.0)</f>
        <v>14</v>
      </c>
      <c r="H40" s="1264" t="str">
        <f>IFERROR(__xludf.DUMMYFUNCTION("""COMPUTED_VALUE"""),"その他")</f>
        <v>その他</v>
      </c>
      <c r="I40" s="1259">
        <f>IFERROR(__xludf.DUMMYFUNCTION("""COMPUTED_VALUE"""),14.0)</f>
        <v>14</v>
      </c>
      <c r="J40" s="1265">
        <v>0.18666666666666668</v>
      </c>
      <c r="K40" s="1258" t="s">
        <v>39</v>
      </c>
      <c r="L40" s="1259">
        <f t="shared" si="5"/>
        <v>0</v>
      </c>
      <c r="M40" s="1260">
        <f t="shared" si="6"/>
        <v>0</v>
      </c>
      <c r="O40" s="286" t="s">
        <v>52</v>
      </c>
      <c r="P40" s="286" t="s">
        <v>170</v>
      </c>
      <c r="Q40" s="286" t="s">
        <v>41</v>
      </c>
      <c r="R40" s="1238"/>
      <c r="S40" s="286" t="s">
        <v>188</v>
      </c>
      <c r="T40" s="286" t="s">
        <v>1106</v>
      </c>
      <c r="U40" s="1239" t="s">
        <v>1107</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IFERROR(__xludf.DUMMYFUNCTION("""COMPUTED_VALUE"""),"`大沼")</f>
        <v>`大沼</v>
      </c>
      <c r="AF40" s="24" t="str">
        <f>IFERROR(__xludf.DUMMYFUNCTION("""COMPUTED_VALUE"""),"残置")</f>
        <v>残置</v>
      </c>
      <c r="AG40" s="24">
        <f>IFERROR(__xludf.DUMMYFUNCTION("""COMPUTED_VALUE"""),4.0)</f>
        <v>4</v>
      </c>
      <c r="AH40" s="24">
        <f>IFERROR(__xludf.DUMMYFUNCTION("""COMPUTED_VALUE"""),0.23529411764705882)</f>
        <v>0.2352941176</v>
      </c>
      <c r="AK40" s="1266"/>
      <c r="AL40" s="1266"/>
      <c r="AM40" s="1267"/>
    </row>
    <row r="41">
      <c r="B41" s="1258" t="str">
        <f>IFERROR(__xludf.DUMMYFUNCTION("""COMPUTED_VALUE"""),"早川")</f>
        <v>早川</v>
      </c>
      <c r="C41" s="1261">
        <f>IFERROR(__xludf.DUMMYFUNCTION("""COMPUTED_VALUE"""),7.0)</f>
        <v>7</v>
      </c>
      <c r="D41" s="1262" t="str">
        <f>IFERROR(__xludf.DUMMYFUNCTION("""COMPUTED_VALUE"""),"佐藤")</f>
        <v>佐藤</v>
      </c>
      <c r="E41" s="1263">
        <f>IFERROR(__xludf.DUMMYFUNCTION("""COMPUTED_VALUE"""),8.0)</f>
        <v>8</v>
      </c>
      <c r="F41" s="1262" t="str">
        <f>IFERROR(__xludf.DUMMYFUNCTION("""COMPUTED_VALUE"""),"清掃不備")</f>
        <v>清掃不備</v>
      </c>
      <c r="G41" s="1261">
        <f>IFERROR(__xludf.DUMMYFUNCTION("""COMPUTED_VALUE"""),12.0)</f>
        <v>12</v>
      </c>
      <c r="H41" s="1264" t="str">
        <f>IFERROR(__xludf.DUMMYFUNCTION("""COMPUTED_VALUE"""),"清掃不備")</f>
        <v>清掃不備</v>
      </c>
      <c r="I41" s="1259">
        <f>IFERROR(__xludf.DUMMYFUNCTION("""COMPUTED_VALUE"""),12.0)</f>
        <v>12</v>
      </c>
      <c r="J41" s="1265">
        <v>0.16</v>
      </c>
      <c r="K41" s="1258" t="s">
        <v>38</v>
      </c>
      <c r="L41" s="1259">
        <f t="shared" si="5"/>
        <v>0</v>
      </c>
      <c r="M41" s="1260">
        <f t="shared" si="6"/>
        <v>0</v>
      </c>
      <c r="O41" s="286" t="s">
        <v>52</v>
      </c>
      <c r="P41" s="286" t="s">
        <v>1108</v>
      </c>
      <c r="Q41" s="286" t="s">
        <v>40</v>
      </c>
      <c r="R41" s="1238"/>
      <c r="S41" s="286" t="s">
        <v>1097</v>
      </c>
      <c r="T41" s="286" t="s">
        <v>1109</v>
      </c>
      <c r="U41" s="1239" t="s">
        <v>1110</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IFERROR(__xludf.DUMMYFUNCTION("""COMPUTED_VALUE"""),"ー")</f>
        <v>ー</v>
      </c>
      <c r="AF41" s="24" t="str">
        <f>IFERROR(__xludf.DUMMYFUNCTION("""COMPUTED_VALUE"""),"その他")</f>
        <v>その他</v>
      </c>
      <c r="AG41" s="24">
        <f>IFERROR(__xludf.DUMMYFUNCTION("""COMPUTED_VALUE"""),3.0)</f>
        <v>3</v>
      </c>
      <c r="AH41" s="24">
        <f>IFERROR(__xludf.DUMMYFUNCTION("""COMPUTED_VALUE"""),0.17647058823529413)</f>
        <v>0.1764705882</v>
      </c>
      <c r="AK41" s="1266"/>
      <c r="AL41" s="1266"/>
      <c r="AM41" s="1267"/>
    </row>
    <row r="42">
      <c r="B42" s="1258" t="str">
        <f>IFERROR(__xludf.DUMMYFUNCTION("""COMPUTED_VALUE"""),"－")</f>
        <v>－</v>
      </c>
      <c r="C42" s="1261">
        <f>IFERROR(__xludf.DUMMYFUNCTION("""COMPUTED_VALUE"""),6.0)</f>
        <v>6</v>
      </c>
      <c r="D42" s="1262" t="str">
        <f>IFERROR(__xludf.DUMMYFUNCTION("""COMPUTED_VALUE"""),"ティラク")</f>
        <v>ティラク</v>
      </c>
      <c r="E42" s="1263">
        <f>IFERROR(__xludf.DUMMYFUNCTION("""COMPUTED_VALUE"""),6.0)</f>
        <v>6</v>
      </c>
      <c r="F42" s="1262" t="str">
        <f>IFERROR(__xludf.DUMMYFUNCTION("""COMPUTED_VALUE"""),"口コミ")</f>
        <v>口コミ</v>
      </c>
      <c r="G42" s="1261">
        <f>IFERROR(__xludf.DUMMYFUNCTION("""COMPUTED_VALUE"""),11.0)</f>
        <v>11</v>
      </c>
      <c r="H42" s="1264" t="str">
        <f>IFERROR(__xludf.DUMMYFUNCTION("""COMPUTED_VALUE"""),"手配ミス")</f>
        <v>手配ミス</v>
      </c>
      <c r="I42" s="1259">
        <f>IFERROR(__xludf.DUMMYFUNCTION("""COMPUTED_VALUE"""),10.0)</f>
        <v>10</v>
      </c>
      <c r="J42" s="1265">
        <v>0.13333333333333333</v>
      </c>
      <c r="K42" s="1258" t="s">
        <v>41</v>
      </c>
      <c r="L42" s="1259">
        <f t="shared" si="5"/>
        <v>1</v>
      </c>
      <c r="M42" s="1260">
        <f t="shared" si="6"/>
        <v>0.3333333333</v>
      </c>
      <c r="O42" s="286" t="s">
        <v>54</v>
      </c>
      <c r="P42" s="286" t="s">
        <v>1111</v>
      </c>
      <c r="Q42" s="286" t="s">
        <v>42</v>
      </c>
      <c r="R42" s="1238"/>
      <c r="S42" s="286" t="s">
        <v>1112</v>
      </c>
      <c r="T42" s="286" t="s">
        <v>135</v>
      </c>
      <c r="U42" s="1239" t="s">
        <v>1113</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IFERROR(__xludf.DUMMYFUNCTION("""COMPUTED_VALUE"""),"アラム")</f>
        <v>アラム</v>
      </c>
      <c r="AF42" s="24" t="str">
        <f>IFERROR(__xludf.DUMMYFUNCTION("""COMPUTED_VALUE"""),"清掃不備")</f>
        <v>清掃不備</v>
      </c>
      <c r="AG42" s="24">
        <f>IFERROR(__xludf.DUMMYFUNCTION("""COMPUTED_VALUE"""),2.0)</f>
        <v>2</v>
      </c>
      <c r="AH42" s="24">
        <f>IFERROR(__xludf.DUMMYFUNCTION("""COMPUTED_VALUE"""),0.11764705882352941)</f>
        <v>0.1176470588</v>
      </c>
      <c r="AK42" s="1266"/>
      <c r="AL42" s="1266"/>
      <c r="AM42" s="1267"/>
    </row>
    <row r="43">
      <c r="B43" s="1258" t="str">
        <f>IFERROR(__xludf.DUMMYFUNCTION("""COMPUTED_VALUE"""),"サンタ")</f>
        <v>サンタ</v>
      </c>
      <c r="C43" s="1261">
        <f>IFERROR(__xludf.DUMMYFUNCTION("""COMPUTED_VALUE"""),5.0)</f>
        <v>5</v>
      </c>
      <c r="D43" s="1262" t="str">
        <f>IFERROR(__xludf.DUMMYFUNCTION("""COMPUTED_VALUE"""),"－")</f>
        <v>－</v>
      </c>
      <c r="E43" s="1263">
        <f>IFERROR(__xludf.DUMMYFUNCTION("""COMPUTED_VALUE"""),6.0)</f>
        <v>6</v>
      </c>
      <c r="F43" s="1262" t="str">
        <f>IFERROR(__xludf.DUMMYFUNCTION("""COMPUTED_VALUE"""),"手配ミス")</f>
        <v>手配ミス</v>
      </c>
      <c r="G43" s="1261">
        <f>IFERROR(__xludf.DUMMYFUNCTION("""COMPUTED_VALUE"""),10.0)</f>
        <v>10</v>
      </c>
      <c r="H43" s="1264" t="str">
        <f>IFERROR(__xludf.DUMMYFUNCTION("""COMPUTED_VALUE"""),"残置")</f>
        <v>残置</v>
      </c>
      <c r="I43" s="1259">
        <f>IFERROR(__xludf.DUMMYFUNCTION("""COMPUTED_VALUE"""),10.0)</f>
        <v>10</v>
      </c>
      <c r="J43" s="1265">
        <v>0.13333333333333333</v>
      </c>
      <c r="K43" s="1258" t="s">
        <v>43</v>
      </c>
      <c r="L43" s="1259">
        <f t="shared" si="5"/>
        <v>0</v>
      </c>
      <c r="M43" s="1260">
        <f t="shared" si="6"/>
        <v>0</v>
      </c>
      <c r="O43" s="286" t="s">
        <v>54</v>
      </c>
      <c r="P43" s="286" t="s">
        <v>1114</v>
      </c>
      <c r="Q43" s="286" t="s">
        <v>30</v>
      </c>
      <c r="R43" s="1238"/>
      <c r="S43" s="286" t="s">
        <v>481</v>
      </c>
      <c r="T43" s="286" t="s">
        <v>497</v>
      </c>
      <c r="U43" s="1239" t="s">
        <v>1115</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IFERROR(__xludf.DUMMYFUNCTION("""COMPUTED_VALUE"""),"エリ")</f>
        <v>エリ</v>
      </c>
      <c r="AF43" s="24" t="str">
        <f>IFERROR(__xludf.DUMMYFUNCTION("""COMPUTED_VALUE"""),"髪の毛")</f>
        <v>髪の毛</v>
      </c>
      <c r="AG43" s="24">
        <f>IFERROR(__xludf.DUMMYFUNCTION("""COMPUTED_VALUE"""),1.0)</f>
        <v>1</v>
      </c>
      <c r="AH43" s="24">
        <f>IFERROR(__xludf.DUMMYFUNCTION("""COMPUTED_VALUE"""),0.058823529411764705)</f>
        <v>0.05882352941</v>
      </c>
      <c r="AK43" s="1266"/>
      <c r="AL43" s="1266"/>
      <c r="AM43" s="1267"/>
    </row>
    <row r="44">
      <c r="B44" s="1258" t="str">
        <f>IFERROR(__xludf.DUMMYFUNCTION("""COMPUTED_VALUE"""),"―")</f>
        <v>―</v>
      </c>
      <c r="C44" s="1261">
        <f>IFERROR(__xludf.DUMMYFUNCTION("""COMPUTED_VALUE"""),3.0)</f>
        <v>3</v>
      </c>
      <c r="D44" s="1262" t="str">
        <f>IFERROR(__xludf.DUMMYFUNCTION("""COMPUTED_VALUE"""),"笹田")</f>
        <v>笹田</v>
      </c>
      <c r="E44" s="1263">
        <f>IFERROR(__xludf.DUMMYFUNCTION("""COMPUTED_VALUE"""),5.0)</f>
        <v>5</v>
      </c>
      <c r="F44" s="1262" t="str">
        <f>IFERROR(__xludf.DUMMYFUNCTION("""COMPUTED_VALUE"""),"残置")</f>
        <v>残置</v>
      </c>
      <c r="G44" s="1261">
        <f>IFERROR(__xludf.DUMMYFUNCTION("""COMPUTED_VALUE"""),10.0)</f>
        <v>10</v>
      </c>
      <c r="H44" s="1264" t="str">
        <f>IFERROR(__xludf.DUMMYFUNCTION("""COMPUTED_VALUE"""),"髪の毛")</f>
        <v>髪の毛</v>
      </c>
      <c r="I44" s="1259">
        <f>IFERROR(__xludf.DUMMYFUNCTION("""COMPUTED_VALUE"""),5.0)</f>
        <v>5</v>
      </c>
      <c r="J44" s="1265">
        <v>0.06666666666666667</v>
      </c>
      <c r="K44" s="1258" t="s">
        <v>42</v>
      </c>
      <c r="L44" s="1259">
        <f t="shared" si="5"/>
        <v>0</v>
      </c>
      <c r="M44" s="1260">
        <f t="shared" si="6"/>
        <v>0</v>
      </c>
      <c r="O44" s="286" t="s">
        <v>54</v>
      </c>
      <c r="P44" s="286" t="s">
        <v>1096</v>
      </c>
      <c r="Q44" s="286" t="s">
        <v>39</v>
      </c>
      <c r="R44" s="1238"/>
      <c r="S44" s="286" t="s">
        <v>188</v>
      </c>
      <c r="T44" s="286" t="s">
        <v>1116</v>
      </c>
      <c r="U44" s="1239" t="s">
        <v>1117</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IFERROR(__xludf.DUMMYFUNCTION("""COMPUTED_VALUE"""),"オウ")</f>
        <v>オウ</v>
      </c>
      <c r="AK44" s="1266"/>
      <c r="AL44" s="1266"/>
      <c r="AM44" s="1267"/>
    </row>
    <row r="45">
      <c r="B45" s="1258" t="str">
        <f>IFERROR(__xludf.DUMMYFUNCTION("""COMPUTED_VALUE"""),"ブラトキ")</f>
        <v>ブラトキ</v>
      </c>
      <c r="C45" s="1261">
        <f>IFERROR(__xludf.DUMMYFUNCTION("""COMPUTED_VALUE"""),3.0)</f>
        <v>3</v>
      </c>
      <c r="D45" s="1262" t="str">
        <f>IFERROR(__xludf.DUMMYFUNCTION("""COMPUTED_VALUE"""),"バニヤ")</f>
        <v>バニヤ</v>
      </c>
      <c r="E45" s="1263">
        <f>IFERROR(__xludf.DUMMYFUNCTION("""COMPUTED_VALUE"""),4.0)</f>
        <v>4</v>
      </c>
      <c r="F45" s="1262" t="str">
        <f>IFERROR(__xludf.DUMMYFUNCTION("""COMPUTED_VALUE"""),"髪の毛")</f>
        <v>髪の毛</v>
      </c>
      <c r="G45" s="1261">
        <f>IFERROR(__xludf.DUMMYFUNCTION("""COMPUTED_VALUE"""),5.0)</f>
        <v>5</v>
      </c>
      <c r="H45" s="1264" t="str">
        <f>IFERROR(__xludf.DUMMYFUNCTION("""COMPUTED_VALUE"""),"汚れ")</f>
        <v>汚れ</v>
      </c>
      <c r="I45" s="1259">
        <f>IFERROR(__xludf.DUMMYFUNCTION("""COMPUTED_VALUE"""),3.0)</f>
        <v>3</v>
      </c>
      <c r="J45" s="1265">
        <v>0.04</v>
      </c>
      <c r="K45" s="1258" t="s">
        <v>1118</v>
      </c>
      <c r="L45" s="1259">
        <f t="shared" si="5"/>
        <v>1</v>
      </c>
      <c r="M45" s="1260">
        <f t="shared" si="6"/>
        <v>0.3333333333</v>
      </c>
      <c r="O45" s="286" t="s">
        <v>54</v>
      </c>
      <c r="P45" s="286" t="s">
        <v>1096</v>
      </c>
      <c r="Q45" s="286" t="s">
        <v>40</v>
      </c>
      <c r="R45" s="1238"/>
      <c r="S45" s="286" t="s">
        <v>188</v>
      </c>
      <c r="T45" s="286" t="s">
        <v>1119</v>
      </c>
      <c r="U45" s="1239" t="s">
        <v>1120</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IFERROR(__xludf.DUMMYFUNCTION("""COMPUTED_VALUE"""),"カブィンダ")</f>
        <v>カブィンダ</v>
      </c>
      <c r="AK45" s="1266"/>
      <c r="AL45" s="1266"/>
      <c r="AM45" s="1267"/>
    </row>
    <row r="46">
      <c r="B46" s="1258" t="str">
        <f>IFERROR(__xludf.DUMMYFUNCTION("""COMPUTED_VALUE"""),"ルパ")</f>
        <v>ルパ</v>
      </c>
      <c r="C46" s="1261">
        <f>IFERROR(__xludf.DUMMYFUNCTION("""COMPUTED_VALUE"""),3.0)</f>
        <v>3</v>
      </c>
      <c r="D46" s="1262" t="str">
        <f>IFERROR(__xludf.DUMMYFUNCTION("""COMPUTED_VALUE"""),"メイ")</f>
        <v>メイ</v>
      </c>
      <c r="E46" s="1263">
        <f>IFERROR(__xludf.DUMMYFUNCTION("""COMPUTED_VALUE"""),4.0)</f>
        <v>4</v>
      </c>
      <c r="F46" s="1262" t="str">
        <f>IFERROR(__xludf.DUMMYFUNCTION("""COMPUTED_VALUE"""),"汚れ")</f>
        <v>汚れ</v>
      </c>
      <c r="G46" s="1261">
        <f>IFERROR(__xludf.DUMMYFUNCTION("""COMPUTED_VALUE"""),3.0)</f>
        <v>3</v>
      </c>
      <c r="H46" s="1264"/>
      <c r="I46" s="1259"/>
      <c r="J46" s="1265" t="s">
        <v>1067</v>
      </c>
      <c r="K46" s="1258" t="s">
        <v>1121</v>
      </c>
      <c r="L46" s="1259">
        <f t="shared" si="5"/>
        <v>1</v>
      </c>
      <c r="M46" s="1260">
        <f t="shared" si="6"/>
        <v>0.3333333333</v>
      </c>
      <c r="O46" s="286" t="s">
        <v>54</v>
      </c>
      <c r="P46" s="286" t="s">
        <v>1096</v>
      </c>
      <c r="Q46" s="286" t="s">
        <v>40</v>
      </c>
      <c r="R46" s="1238"/>
      <c r="S46" s="286" t="s">
        <v>1112</v>
      </c>
      <c r="T46" s="286" t="s">
        <v>1122</v>
      </c>
      <c r="U46" s="1239" t="s">
        <v>1123</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IFERROR(__xludf.DUMMYFUNCTION("""COMPUTED_VALUE"""),"カマラ")</f>
        <v>カマラ</v>
      </c>
      <c r="AK46" s="1266"/>
      <c r="AL46" s="1266"/>
      <c r="AM46" s="1267"/>
    </row>
    <row r="47">
      <c r="B47" s="1258" t="str">
        <f>IFERROR(__xludf.DUMMYFUNCTION("""COMPUTED_VALUE"""),"ー")</f>
        <v>ー</v>
      </c>
      <c r="C47" s="1261">
        <f>IFERROR(__xludf.DUMMYFUNCTION("""COMPUTED_VALUE"""),3.0)</f>
        <v>3</v>
      </c>
      <c r="D47" s="1262" t="str">
        <f>IFERROR(__xludf.DUMMYFUNCTION("""COMPUTED_VALUE"""),"小沼")</f>
        <v>小沼</v>
      </c>
      <c r="E47" s="1263">
        <f>IFERROR(__xludf.DUMMYFUNCTION("""COMPUTED_VALUE"""),4.0)</f>
        <v>4</v>
      </c>
      <c r="F47" s="1268"/>
      <c r="G47" s="1269"/>
      <c r="H47" s="1264"/>
      <c r="I47" s="1259"/>
      <c r="J47" s="1265" t="s">
        <v>1067</v>
      </c>
      <c r="K47" s="1258" t="s">
        <v>1124</v>
      </c>
      <c r="L47" s="1259">
        <f t="shared" si="5"/>
        <v>0</v>
      </c>
      <c r="M47" s="1260">
        <f t="shared" si="6"/>
        <v>0</v>
      </c>
      <c r="O47" s="286" t="s">
        <v>54</v>
      </c>
      <c r="P47" s="286" t="s">
        <v>1096</v>
      </c>
      <c r="Q47" s="286" t="s">
        <v>39</v>
      </c>
      <c r="R47" s="1238"/>
      <c r="S47" s="286" t="s">
        <v>1112</v>
      </c>
      <c r="T47" s="286" t="s">
        <v>1122</v>
      </c>
      <c r="U47" s="1239" t="s">
        <v>1125</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IFERROR(__xludf.DUMMYFUNCTION("""COMPUTED_VALUE"""),"ガヤン")</f>
        <v>ガヤン</v>
      </c>
      <c r="AK47" s="1266"/>
      <c r="AL47" s="1266"/>
      <c r="AM47" s="1267"/>
    </row>
    <row r="48">
      <c r="B48" s="1258" t="str">
        <f>IFERROR(__xludf.DUMMYFUNCTION("""COMPUTED_VALUE"""),"オウ")</f>
        <v>オウ</v>
      </c>
      <c r="C48" s="1261">
        <f>IFERROR(__xludf.DUMMYFUNCTION("""COMPUTED_VALUE"""),2.0)</f>
        <v>2</v>
      </c>
      <c r="D48" s="1262" t="str">
        <f>IFERROR(__xludf.DUMMYFUNCTION("""COMPUTED_VALUE"""),"宇佐見")</f>
        <v>宇佐見</v>
      </c>
      <c r="E48" s="1263">
        <f>IFERROR(__xludf.DUMMYFUNCTION("""COMPUTED_VALUE"""),3.0)</f>
        <v>3</v>
      </c>
      <c r="F48" s="1268"/>
      <c r="G48" s="1269"/>
      <c r="H48" s="1264"/>
      <c r="I48" s="1259"/>
      <c r="J48" s="1265" t="s">
        <v>1067</v>
      </c>
      <c r="K48" s="1258" t="s">
        <v>1126</v>
      </c>
      <c r="L48" s="1259">
        <f t="shared" si="5"/>
        <v>0</v>
      </c>
      <c r="M48" s="1260">
        <f t="shared" si="6"/>
        <v>0</v>
      </c>
      <c r="O48" s="286" t="s">
        <v>54</v>
      </c>
      <c r="P48" s="286" t="s">
        <v>176</v>
      </c>
      <c r="Q48" s="286" t="s">
        <v>42</v>
      </c>
      <c r="R48" s="1238"/>
      <c r="S48" s="286" t="s">
        <v>171</v>
      </c>
      <c r="T48" s="286" t="s">
        <v>1127</v>
      </c>
      <c r="U48" s="1239" t="s">
        <v>1128</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IFERROR(__xludf.DUMMYFUNCTION("""COMPUTED_VALUE"""),"ガルセス")</f>
        <v>ガルセス</v>
      </c>
      <c r="AK48" s="1266"/>
      <c r="AL48" s="1266"/>
      <c r="AM48" s="1267"/>
    </row>
    <row r="49">
      <c r="B49" s="1258" t="str">
        <f>IFERROR(__xludf.DUMMYFUNCTION("""COMPUTED_VALUE"""),"ゴマ")</f>
        <v>ゴマ</v>
      </c>
      <c r="C49" s="1261">
        <f>IFERROR(__xludf.DUMMYFUNCTION("""COMPUTED_VALUE"""),2.0)</f>
        <v>2</v>
      </c>
      <c r="D49" s="1262" t="str">
        <f>IFERROR(__xludf.DUMMYFUNCTION("""COMPUTED_VALUE"""),"小田原")</f>
        <v>小田原</v>
      </c>
      <c r="E49" s="1263">
        <f>IFERROR(__xludf.DUMMYFUNCTION("""COMPUTED_VALUE"""),3.0)</f>
        <v>3</v>
      </c>
      <c r="F49" s="1268"/>
      <c r="G49" s="1269"/>
      <c r="H49" s="1264"/>
      <c r="I49" s="1259"/>
      <c r="J49" s="1265" t="s">
        <v>1067</v>
      </c>
      <c r="K49" s="1258" t="s">
        <v>30</v>
      </c>
      <c r="L49" s="1259">
        <f t="shared" si="5"/>
        <v>0</v>
      </c>
      <c r="M49" s="1260">
        <f t="shared" si="6"/>
        <v>0</v>
      </c>
      <c r="O49" s="286" t="s">
        <v>54</v>
      </c>
      <c r="P49" s="286" t="s">
        <v>140</v>
      </c>
      <c r="Q49" s="286" t="s">
        <v>42</v>
      </c>
      <c r="R49" s="1238"/>
      <c r="S49" s="286" t="s">
        <v>1129</v>
      </c>
      <c r="T49" s="286" t="s">
        <v>103</v>
      </c>
      <c r="U49" s="1239" t="s">
        <v>1130</v>
      </c>
      <c r="W49" s="1238" t="str">
        <f>'🔵クレーム'!C40</f>
        <v>4月</v>
      </c>
      <c r="X49" s="1238" t="str">
        <f>'🔵クレーム'!D40</f>
        <v>3日</v>
      </c>
      <c r="Y49" s="286" t="str">
        <f>'🔵クレーム'!I40</f>
        <v>残置</v>
      </c>
      <c r="Z49" s="1238" t="str">
        <f>'🔵クレーム'!J40</f>
        <v/>
      </c>
      <c r="AA49" s="1238" t="str">
        <f>'🔵クレーム'!K40</f>
        <v>梅川</v>
      </c>
      <c r="AB49" s="1238" t="str">
        <f>'🔵クレーム'!L40</f>
        <v>タラ</v>
      </c>
      <c r="AC49" s="1240" t="str">
        <f>'🔵クレーム'!N40</f>
        <v>通常清掃時にゴミ箱外のペットボトル未回収</v>
      </c>
      <c r="AE49" s="24" t="str">
        <f>IFERROR(__xludf.DUMMYFUNCTION("""COMPUTED_VALUE"""),"カン")</f>
        <v>カン</v>
      </c>
      <c r="AK49" s="1266"/>
      <c r="AL49" s="1266"/>
      <c r="AM49" s="1267"/>
    </row>
    <row r="50" collapsed="1">
      <c r="B50" s="1258" t="str">
        <f>IFERROR(__xludf.DUMMYFUNCTION("""COMPUTED_VALUE"""),"サビタ")</f>
        <v>サビタ</v>
      </c>
      <c r="C50" s="1261">
        <f>IFERROR(__xludf.DUMMYFUNCTION("""COMPUTED_VALUE"""),2.0)</f>
        <v>2</v>
      </c>
      <c r="D50" s="1262" t="str">
        <f>IFERROR(__xludf.DUMMYFUNCTION("""COMPUTED_VALUE"""),"―")</f>
        <v>―</v>
      </c>
      <c r="E50" s="1263">
        <f>IFERROR(__xludf.DUMMYFUNCTION("""COMPUTED_VALUE"""),2.0)</f>
        <v>2</v>
      </c>
      <c r="F50" s="1268"/>
      <c r="G50" s="1269"/>
      <c r="H50" s="1264"/>
      <c r="I50" s="1259"/>
      <c r="J50" s="1265" t="s">
        <v>1067</v>
      </c>
      <c r="K50" s="1270" t="s">
        <v>371</v>
      </c>
      <c r="L50" s="1271">
        <f t="shared" si="5"/>
        <v>3</v>
      </c>
      <c r="M50" s="1272">
        <f t="shared" si="6"/>
        <v>1</v>
      </c>
      <c r="O50" s="286" t="s">
        <v>54</v>
      </c>
      <c r="P50" s="286" t="s">
        <v>1131</v>
      </c>
      <c r="Q50" s="286" t="s">
        <v>30</v>
      </c>
      <c r="R50" s="1238"/>
      <c r="S50" s="286" t="s">
        <v>103</v>
      </c>
      <c r="T50" s="286" t="s">
        <v>499</v>
      </c>
      <c r="U50" s="1239" t="s">
        <v>1132</v>
      </c>
      <c r="W50" s="1238" t="str">
        <f>'🔵クレーム'!C41</f>
        <v>4月</v>
      </c>
      <c r="X50" s="1238" t="str">
        <f>'🔵クレーム'!D41</f>
        <v>4日</v>
      </c>
      <c r="Y50" s="286" t="str">
        <f>'🔵クレーム'!I41</f>
        <v>残置</v>
      </c>
      <c r="Z50" s="1238" t="str">
        <f>'🔵クレーム'!J41</f>
        <v/>
      </c>
      <c r="AA50" s="1238" t="str">
        <f>'🔵クレーム'!K41</f>
        <v>カン</v>
      </c>
      <c r="AB50" s="1238" t="str">
        <f>'🔵クレーム'!L41</f>
        <v>タン</v>
      </c>
      <c r="AC50" s="1240" t="str">
        <f>'🔵クレーム'!N41</f>
        <v>サニタリーBOXに前泊者のゴミが入っていた</v>
      </c>
      <c r="AE50" s="24" t="str">
        <f>IFERROR(__xludf.DUMMYFUNCTION("""COMPUTED_VALUE"""),"ゴマ")</f>
        <v>ゴマ</v>
      </c>
      <c r="AK50" s="1266"/>
      <c r="AL50" s="1266"/>
      <c r="AM50" s="1267"/>
    </row>
    <row r="51" hidden="1" outlineLevel="1">
      <c r="B51" s="1258" t="str">
        <f>IFERROR(__xludf.DUMMYFUNCTION("""COMPUTED_VALUE"""),"シタ")</f>
        <v>シタ</v>
      </c>
      <c r="C51" s="1261">
        <f>IFERROR(__xludf.DUMMYFUNCTION("""COMPUTED_VALUE"""),2.0)</f>
        <v>2</v>
      </c>
      <c r="D51" s="1262" t="str">
        <f>IFERROR(__xludf.DUMMYFUNCTION("""COMPUTED_VALUE"""),"オウ")</f>
        <v>オウ</v>
      </c>
      <c r="E51" s="1263">
        <f>IFERROR(__xludf.DUMMYFUNCTION("""COMPUTED_VALUE"""),1.0)</f>
        <v>1</v>
      </c>
      <c r="F51" s="1268"/>
      <c r="G51" s="1269"/>
      <c r="H51" s="1264"/>
      <c r="I51" s="1259"/>
      <c r="J51" s="1273" t="s">
        <v>1067</v>
      </c>
      <c r="K51" s="1232"/>
      <c r="O51" s="286" t="s">
        <v>54</v>
      </c>
      <c r="P51" s="286" t="s">
        <v>1131</v>
      </c>
      <c r="Q51" s="286" t="s">
        <v>42</v>
      </c>
      <c r="R51" s="1238"/>
      <c r="S51" s="286" t="s">
        <v>1129</v>
      </c>
      <c r="T51" s="286" t="s">
        <v>1116</v>
      </c>
      <c r="U51" s="1239" t="s">
        <v>1133</v>
      </c>
      <c r="W51" s="1238" t="str">
        <f>'🔵クレーム'!C42</f>
        <v>4月</v>
      </c>
      <c r="X51" s="1238" t="str">
        <f>'🔵クレーム'!D42</f>
        <v>10日</v>
      </c>
      <c r="Y51" s="286" t="str">
        <f>'🔵クレーム'!I42</f>
        <v>その他</v>
      </c>
      <c r="Z51" s="1238" t="str">
        <f>'🔵クレーム'!J42</f>
        <v/>
      </c>
      <c r="AA51" s="1238" t="str">
        <f>'🔵クレーム'!K42</f>
        <v>メイ</v>
      </c>
      <c r="AB51" s="1238" t="str">
        <f>'🔵クレーム'!L42</f>
        <v>メイ</v>
      </c>
      <c r="AC51" s="1240" t="str">
        <f>'🔵クレーム'!N42</f>
        <v>チェッカー用の電気カード未回収</v>
      </c>
      <c r="AE51" s="24" t="str">
        <f>IFERROR(__xludf.DUMMYFUNCTION("""COMPUTED_VALUE"""),"サビタ")</f>
        <v>サビタ</v>
      </c>
      <c r="AK51" s="1266"/>
      <c r="AL51" s="1266"/>
      <c r="AM51" s="1267"/>
    </row>
    <row r="52" hidden="1" outlineLevel="1">
      <c r="B52" s="1258" t="str">
        <f>IFERROR(__xludf.DUMMYFUNCTION("""COMPUTED_VALUE"""),"ルサル")</f>
        <v>ルサル</v>
      </c>
      <c r="C52" s="1261">
        <f>IFERROR(__xludf.DUMMYFUNCTION("""COMPUTED_VALUE"""),2.0)</f>
        <v>2</v>
      </c>
      <c r="D52" s="1262" t="str">
        <f>IFERROR(__xludf.DUMMYFUNCTION("""COMPUTED_VALUE"""),"ガルセス")</f>
        <v>ガルセス</v>
      </c>
      <c r="E52" s="1263">
        <f>IFERROR(__xludf.DUMMYFUNCTION("""COMPUTED_VALUE"""),1.0)</f>
        <v>1</v>
      </c>
      <c r="F52" s="1268"/>
      <c r="G52" s="1269"/>
      <c r="H52" s="1264"/>
      <c r="I52" s="1259"/>
      <c r="J52" s="1273" t="s">
        <v>1067</v>
      </c>
      <c r="O52" s="286" t="s">
        <v>54</v>
      </c>
      <c r="P52" s="286" t="s">
        <v>1134</v>
      </c>
      <c r="Q52" s="286" t="s">
        <v>43</v>
      </c>
      <c r="R52" s="1238"/>
      <c r="S52" s="286" t="s">
        <v>188</v>
      </c>
      <c r="T52" s="286" t="s">
        <v>1135</v>
      </c>
      <c r="U52" s="1239" t="s">
        <v>1136</v>
      </c>
      <c r="W52" s="1238" t="str">
        <f>'🔵クレーム'!C43</f>
        <v>4月</v>
      </c>
      <c r="X52" s="1238" t="str">
        <f>'🔵クレーム'!D43</f>
        <v>11日</v>
      </c>
      <c r="Y52" s="286" t="str">
        <f>'🔵クレーム'!I43</f>
        <v>残置</v>
      </c>
      <c r="Z52" s="1238" t="str">
        <f>'🔵クレーム'!J43</f>
        <v/>
      </c>
      <c r="AA52" s="1238" t="str">
        <f>'🔵クレーム'!K43</f>
        <v>梅澤</v>
      </c>
      <c r="AB52" s="1238" t="str">
        <f>'🔵クレーム'!L43</f>
        <v>サンタ</v>
      </c>
      <c r="AC52" s="1240" t="str">
        <f>'🔵クレーム'!N43</f>
        <v>前泊者の忘れ物残置</v>
      </c>
      <c r="AE52" s="24" t="str">
        <f>IFERROR(__xludf.DUMMYFUNCTION("""COMPUTED_VALUE"""),"サンタ")</f>
        <v>サンタ</v>
      </c>
      <c r="AK52" s="1266"/>
    </row>
    <row r="53" hidden="1" outlineLevel="1">
      <c r="B53" s="1258" t="str">
        <f>IFERROR(__xludf.DUMMYFUNCTION("""COMPUTED_VALUE"""),"`大沼")</f>
        <v>`大沼</v>
      </c>
      <c r="C53" s="1261">
        <f>IFERROR(__xludf.DUMMYFUNCTION("""COMPUTED_VALUE"""),1.0)</f>
        <v>1</v>
      </c>
      <c r="D53" s="1262" t="str">
        <f>IFERROR(__xludf.DUMMYFUNCTION("""COMPUTED_VALUE"""),"シャキラ")</f>
        <v>シャキラ</v>
      </c>
      <c r="E53" s="1263">
        <f>IFERROR(__xludf.DUMMYFUNCTION("""COMPUTED_VALUE"""),1.0)</f>
        <v>1</v>
      </c>
      <c r="F53" s="1268"/>
      <c r="G53" s="1269"/>
      <c r="H53" s="1264"/>
      <c r="I53" s="1259"/>
      <c r="J53" s="1273" t="s">
        <v>1067</v>
      </c>
      <c r="O53" s="286" t="s">
        <v>34</v>
      </c>
      <c r="P53" s="286" t="s">
        <v>202</v>
      </c>
      <c r="Q53" s="286" t="s">
        <v>40</v>
      </c>
      <c r="R53" s="1238"/>
      <c r="S53" s="286" t="s">
        <v>1097</v>
      </c>
      <c r="T53" s="286" t="s">
        <v>499</v>
      </c>
      <c r="U53" s="1239" t="s">
        <v>1137</v>
      </c>
      <c r="W53" s="1238" t="str">
        <f>'🔵クレーム'!C44</f>
        <v>4月</v>
      </c>
      <c r="X53" s="1238" t="str">
        <f>'🔵クレーム'!D44</f>
        <v>12日</v>
      </c>
      <c r="Y53" s="286" t="str">
        <f>'🔵クレーム'!I44</f>
        <v>セット漏れ</v>
      </c>
      <c r="Z53" s="1238" t="str">
        <f>'🔵クレーム'!J44</f>
        <v/>
      </c>
      <c r="AA53" s="1238" t="str">
        <f>'🔵クレーム'!K44</f>
        <v>梅澤</v>
      </c>
      <c r="AB53" s="1238" t="str">
        <f>'🔵クレーム'!L44</f>
        <v>タン</v>
      </c>
      <c r="AC53" s="1240" t="str">
        <f>'🔵クレーム'!N44</f>
        <v>スリッパ１組セット漏れ</v>
      </c>
      <c r="AE53" s="24" t="str">
        <f>IFERROR(__xludf.DUMMYFUNCTION("""COMPUTED_VALUE"""),"シタ")</f>
        <v>シタ</v>
      </c>
    </row>
    <row r="54" hidden="1" outlineLevel="1">
      <c r="B54" s="1258" t="str">
        <f>IFERROR(__xludf.DUMMYFUNCTION("""COMPUTED_VALUE"""),"アラム")</f>
        <v>アラム</v>
      </c>
      <c r="C54" s="1261">
        <f>IFERROR(__xludf.DUMMYFUNCTION("""COMPUTED_VALUE"""),1.0)</f>
        <v>1</v>
      </c>
      <c r="D54" s="1262"/>
      <c r="E54" s="1263"/>
      <c r="F54" s="1268"/>
      <c r="G54" s="1269"/>
      <c r="H54" s="1264"/>
      <c r="I54" s="1259"/>
      <c r="J54" s="1273" t="s">
        <v>1067</v>
      </c>
      <c r="O54" s="286" t="s">
        <v>34</v>
      </c>
      <c r="P54" s="286" t="s">
        <v>1102</v>
      </c>
      <c r="Q54" s="286" t="s">
        <v>42</v>
      </c>
      <c r="R54" s="1238"/>
      <c r="S54" s="286" t="s">
        <v>1129</v>
      </c>
      <c r="T54" s="286" t="s">
        <v>1135</v>
      </c>
      <c r="U54" s="1239" t="s">
        <v>1138</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c r="AE54" s="24" t="str">
        <f>IFERROR(__xludf.DUMMYFUNCTION("""COMPUTED_VALUE"""),"シャキラ")</f>
        <v>シャキラ</v>
      </c>
    </row>
    <row r="55" hidden="1" outlineLevel="1">
      <c r="B55" s="1258" t="str">
        <f>IFERROR(__xludf.DUMMYFUNCTION("""COMPUTED_VALUE"""),"カブィンダ")</f>
        <v>カブィンダ</v>
      </c>
      <c r="C55" s="1261">
        <f>IFERROR(__xludf.DUMMYFUNCTION("""COMPUTED_VALUE"""),1.0)</f>
        <v>1</v>
      </c>
      <c r="D55" s="1268"/>
      <c r="E55" s="1274"/>
      <c r="F55" s="1268"/>
      <c r="G55" s="1269"/>
      <c r="H55" s="1264"/>
      <c r="I55" s="1259"/>
      <c r="J55" s="1273" t="s">
        <v>1067</v>
      </c>
      <c r="O55" s="286" t="s">
        <v>57</v>
      </c>
      <c r="P55" s="286" t="s">
        <v>1114</v>
      </c>
      <c r="Q55" s="286" t="s">
        <v>39</v>
      </c>
      <c r="R55" s="1238"/>
      <c r="S55" s="286" t="s">
        <v>188</v>
      </c>
      <c r="T55" s="286" t="s">
        <v>1139</v>
      </c>
      <c r="U55" s="1239" t="s">
        <v>1140</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c r="AE55" s="24" t="str">
        <f>IFERROR(__xludf.DUMMYFUNCTION("""COMPUTED_VALUE"""),"シャミカ")</f>
        <v>シャミカ</v>
      </c>
    </row>
    <row r="56" hidden="1" outlineLevel="1">
      <c r="B56" s="1258" t="str">
        <f>IFERROR(__xludf.DUMMYFUNCTION("""COMPUTED_VALUE"""),"カマラ")</f>
        <v>カマラ</v>
      </c>
      <c r="C56" s="1261">
        <f>IFERROR(__xludf.DUMMYFUNCTION("""COMPUTED_VALUE"""),1.0)</f>
        <v>1</v>
      </c>
      <c r="D56" s="1268"/>
      <c r="E56" s="1274"/>
      <c r="F56" s="1268"/>
      <c r="G56" s="1269"/>
      <c r="H56" s="1264"/>
      <c r="I56" s="1259"/>
      <c r="J56" s="1273" t="s">
        <v>1067</v>
      </c>
      <c r="O56" s="286" t="s">
        <v>57</v>
      </c>
      <c r="P56" s="286" t="s">
        <v>1114</v>
      </c>
      <c r="Q56" s="286" t="s">
        <v>38</v>
      </c>
      <c r="R56" s="1238"/>
      <c r="S56" s="286" t="s">
        <v>1129</v>
      </c>
      <c r="T56" s="286" t="s">
        <v>817</v>
      </c>
      <c r="U56" s="1239" t="s">
        <v>1141</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c r="AE56" s="24" t="str">
        <f>IFERROR(__xludf.DUMMYFUNCTION("""COMPUTED_VALUE"""),"タラ")</f>
        <v>タラ</v>
      </c>
    </row>
    <row r="57" hidden="1" outlineLevel="1">
      <c r="B57" s="1258" t="str">
        <f>IFERROR(__xludf.DUMMYFUNCTION("""COMPUTED_VALUE"""),"ガヤン")</f>
        <v>ガヤン</v>
      </c>
      <c r="C57" s="1261">
        <f>IFERROR(__xludf.DUMMYFUNCTION("""COMPUTED_VALUE"""),1.0)</f>
        <v>1</v>
      </c>
      <c r="D57" s="1268"/>
      <c r="E57" s="1274"/>
      <c r="F57" s="1268"/>
      <c r="G57" s="1269"/>
      <c r="H57" s="1264"/>
      <c r="I57" s="1259"/>
      <c r="J57" s="1273" t="s">
        <v>1067</v>
      </c>
      <c r="O57" s="286" t="s">
        <v>57</v>
      </c>
      <c r="P57" s="286" t="s">
        <v>151</v>
      </c>
      <c r="Q57" s="286" t="s">
        <v>43</v>
      </c>
      <c r="R57" s="1238"/>
      <c r="S57" s="286" t="s">
        <v>1112</v>
      </c>
      <c r="T57" s="286" t="s">
        <v>817</v>
      </c>
      <c r="U57" s="1239" t="s">
        <v>1142</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c r="AE57" s="24" t="str">
        <f>IFERROR(__xludf.DUMMYFUNCTION("""COMPUTED_VALUE"""),"タン")</f>
        <v>タン</v>
      </c>
    </row>
    <row r="58" hidden="1" outlineLevel="1">
      <c r="B58" s="1258" t="str">
        <f>IFERROR(__xludf.DUMMYFUNCTION("""COMPUTED_VALUE"""),"シャミカ")</f>
        <v>シャミカ</v>
      </c>
      <c r="C58" s="1261">
        <f>IFERROR(__xludf.DUMMYFUNCTION("""COMPUTED_VALUE"""),1.0)</f>
        <v>1</v>
      </c>
      <c r="D58" s="1268"/>
      <c r="E58" s="1274"/>
      <c r="F58" s="1268"/>
      <c r="G58" s="1269"/>
      <c r="H58" s="1264"/>
      <c r="I58" s="1259"/>
      <c r="J58" s="1273" t="s">
        <v>1067</v>
      </c>
      <c r="O58" s="286" t="s">
        <v>57</v>
      </c>
      <c r="P58" s="286" t="s">
        <v>170</v>
      </c>
      <c r="Q58" s="286" t="s">
        <v>40</v>
      </c>
      <c r="R58" s="1238"/>
      <c r="S58" s="286" t="s">
        <v>1097</v>
      </c>
      <c r="T58" s="286" t="s">
        <v>1143</v>
      </c>
      <c r="U58" s="1239" t="s">
        <v>1144</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c r="AE58" s="24" t="str">
        <f>IFERROR(__xludf.DUMMYFUNCTION("""COMPUTED_VALUE"""),"ティラク")</f>
        <v>ティラク</v>
      </c>
    </row>
    <row r="59" hidden="1" outlineLevel="1">
      <c r="B59" s="1258" t="str">
        <f>IFERROR(__xludf.DUMMYFUNCTION("""COMPUTED_VALUE"""),"タラ")</f>
        <v>タラ</v>
      </c>
      <c r="C59" s="1261">
        <f>IFERROR(__xludf.DUMMYFUNCTION("""COMPUTED_VALUE"""),1.0)</f>
        <v>1</v>
      </c>
      <c r="D59" s="1268"/>
      <c r="E59" s="1274"/>
      <c r="F59" s="1268"/>
      <c r="G59" s="1269"/>
      <c r="H59" s="1264"/>
      <c r="I59" s="1259"/>
      <c r="J59" s="1273" t="s">
        <v>1067</v>
      </c>
      <c r="O59" s="286" t="s">
        <v>59</v>
      </c>
      <c r="P59" s="286" t="s">
        <v>1102</v>
      </c>
      <c r="Q59" s="286" t="s">
        <v>42</v>
      </c>
      <c r="R59" s="1238"/>
      <c r="S59" s="286" t="s">
        <v>550</v>
      </c>
      <c r="T59" s="286" t="s">
        <v>103</v>
      </c>
      <c r="U59" s="1239" t="s">
        <v>1145</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c r="AE59" s="24" t="str">
        <f>IFERROR(__xludf.DUMMYFUNCTION("""COMPUTED_VALUE"""),"バニヤ")</f>
        <v>バニヤ</v>
      </c>
    </row>
    <row r="60" hidden="1" outlineLevel="1">
      <c r="B60" s="1258" t="str">
        <f>IFERROR(__xludf.DUMMYFUNCTION("""COMPUTED_VALUE"""),"タン")</f>
        <v>タン</v>
      </c>
      <c r="C60" s="1261">
        <f>IFERROR(__xludf.DUMMYFUNCTION("""COMPUTED_VALUE"""),1.0)</f>
        <v>1</v>
      </c>
      <c r="D60" s="1268"/>
      <c r="E60" s="1274"/>
      <c r="F60" s="1268"/>
      <c r="G60" s="1269"/>
      <c r="H60" s="1264"/>
      <c r="I60" s="1259"/>
      <c r="J60" s="1273" t="s">
        <v>1067</v>
      </c>
      <c r="O60" s="286" t="s">
        <v>59</v>
      </c>
      <c r="P60" s="286" t="s">
        <v>1102</v>
      </c>
      <c r="Q60" s="286" t="s">
        <v>43</v>
      </c>
      <c r="R60" s="1238"/>
      <c r="S60" s="286" t="s">
        <v>103</v>
      </c>
      <c r="T60" s="286" t="s">
        <v>507</v>
      </c>
      <c r="U60" s="1239" t="s">
        <v>1146</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c r="AE60" s="24" t="str">
        <f>IFERROR(__xludf.DUMMYFUNCTION("""COMPUTED_VALUE"""),"バンダリ")</f>
        <v>バンダリ</v>
      </c>
    </row>
    <row r="61" hidden="1" outlineLevel="1">
      <c r="B61" s="1258" t="str">
        <f>IFERROR(__xludf.DUMMYFUNCTION("""COMPUTED_VALUE"""),"バンダリ")</f>
        <v>バンダリ</v>
      </c>
      <c r="C61" s="1261">
        <f>IFERROR(__xludf.DUMMYFUNCTION("""COMPUTED_VALUE"""),1.0)</f>
        <v>1</v>
      </c>
      <c r="D61" s="1268"/>
      <c r="E61" s="1274"/>
      <c r="F61" s="1268"/>
      <c r="G61" s="1269"/>
      <c r="H61" s="1264"/>
      <c r="I61" s="1259"/>
      <c r="J61" s="1273" t="s">
        <v>1067</v>
      </c>
      <c r="O61" s="286" t="s">
        <v>59</v>
      </c>
      <c r="P61" s="286" t="s">
        <v>1147</v>
      </c>
      <c r="Q61" s="286" t="s">
        <v>42</v>
      </c>
      <c r="R61" s="1238"/>
      <c r="S61" s="286" t="s">
        <v>1097</v>
      </c>
      <c r="T61" s="286" t="s">
        <v>103</v>
      </c>
      <c r="U61" s="1239" t="s">
        <v>1148</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c r="AE61" s="24" t="str">
        <f>IFERROR(__xludf.DUMMYFUNCTION("""COMPUTED_VALUE"""),"ビケス")</f>
        <v>ビケス</v>
      </c>
    </row>
    <row r="62" hidden="1" outlineLevel="1">
      <c r="B62" s="1258" t="str">
        <f>IFERROR(__xludf.DUMMYFUNCTION("""COMPUTED_VALUE"""),"ビケス")</f>
        <v>ビケス</v>
      </c>
      <c r="C62" s="1261">
        <f>IFERROR(__xludf.DUMMYFUNCTION("""COMPUTED_VALUE"""),1.0)</f>
        <v>1</v>
      </c>
      <c r="D62" s="1268"/>
      <c r="E62" s="1274"/>
      <c r="F62" s="1268"/>
      <c r="G62" s="1269"/>
      <c r="H62" s="1264"/>
      <c r="I62" s="1259"/>
      <c r="J62" s="1273" t="s">
        <v>1067</v>
      </c>
      <c r="O62" s="286" t="s">
        <v>59</v>
      </c>
      <c r="P62" s="286" t="s">
        <v>1149</v>
      </c>
      <c r="Q62" s="286" t="s">
        <v>43</v>
      </c>
      <c r="R62" s="1238"/>
      <c r="S62" s="286" t="s">
        <v>1150</v>
      </c>
      <c r="T62" s="286" t="s">
        <v>679</v>
      </c>
      <c r="U62" s="1239" t="s">
        <v>1151</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c r="AE62" s="24" t="str">
        <f>IFERROR(__xludf.DUMMYFUNCTION("""COMPUTED_VALUE"""),"ブラトキ")</f>
        <v>ブラトキ</v>
      </c>
    </row>
    <row r="63" hidden="1" outlineLevel="1">
      <c r="B63" s="1258" t="str">
        <f>IFERROR(__xludf.DUMMYFUNCTION("""COMPUTED_VALUE"""),"中村")</f>
        <v>中村</v>
      </c>
      <c r="C63" s="1261">
        <f>IFERROR(__xludf.DUMMYFUNCTION("""COMPUTED_VALUE"""),1.0)</f>
        <v>1</v>
      </c>
      <c r="D63" s="1268"/>
      <c r="E63" s="1274"/>
      <c r="F63" s="1268"/>
      <c r="G63" s="1269"/>
      <c r="H63" s="1264"/>
      <c r="I63" s="1259"/>
      <c r="J63" s="1273" t="s">
        <v>1067</v>
      </c>
      <c r="O63" s="286" t="s">
        <v>59</v>
      </c>
      <c r="P63" s="286" t="s">
        <v>1152</v>
      </c>
      <c r="Q63" s="286" t="s">
        <v>40</v>
      </c>
      <c r="R63" s="1238"/>
      <c r="S63" s="286" t="s">
        <v>1150</v>
      </c>
      <c r="T63" s="286" t="s">
        <v>679</v>
      </c>
      <c r="U63" s="1239" t="s">
        <v>1153</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c r="AE63" s="24" t="str">
        <f>IFERROR(__xludf.DUMMYFUNCTION("""COMPUTED_VALUE"""),"プラミラ")</f>
        <v>プラミラ</v>
      </c>
    </row>
    <row r="64" hidden="1" outlineLevel="1">
      <c r="B64" s="1258" t="str">
        <f>IFERROR(__xludf.DUMMYFUNCTION("""COMPUTED_VALUE"""),"小林")</f>
        <v>小林</v>
      </c>
      <c r="C64" s="1261">
        <f>IFERROR(__xludf.DUMMYFUNCTION("""COMPUTED_VALUE"""),1.0)</f>
        <v>1</v>
      </c>
      <c r="D64" s="1268"/>
      <c r="E64" s="1274"/>
      <c r="F64" s="1268"/>
      <c r="G64" s="1269"/>
      <c r="H64" s="1264"/>
      <c r="I64" s="1259"/>
      <c r="J64" s="1273" t="s">
        <v>1067</v>
      </c>
      <c r="O64" s="286" t="s">
        <v>59</v>
      </c>
      <c r="P64" s="286" t="s">
        <v>1152</v>
      </c>
      <c r="Q64" s="286" t="s">
        <v>39</v>
      </c>
      <c r="R64" s="1238"/>
      <c r="S64" s="286" t="s">
        <v>171</v>
      </c>
      <c r="T64" s="286" t="s">
        <v>814</v>
      </c>
      <c r="U64" s="1239" t="s">
        <v>1154</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c r="AE64" s="24" t="str">
        <f>IFERROR(__xludf.DUMMYFUNCTION("""COMPUTED_VALUE"""),"メイ")</f>
        <v>メイ</v>
      </c>
    </row>
    <row r="65" hidden="1" outlineLevel="1">
      <c r="B65" s="1258"/>
      <c r="C65" s="1261"/>
      <c r="D65" s="1268"/>
      <c r="E65" s="1274"/>
      <c r="F65" s="1268"/>
      <c r="G65" s="1269"/>
      <c r="H65" s="1264"/>
      <c r="I65" s="1259"/>
      <c r="J65" s="1273" t="s">
        <v>1067</v>
      </c>
      <c r="O65" s="286" t="s">
        <v>61</v>
      </c>
      <c r="P65" s="286" t="s">
        <v>1111</v>
      </c>
      <c r="Q65" s="286" t="s">
        <v>43</v>
      </c>
      <c r="R65" s="1238"/>
      <c r="S65" s="286" t="s">
        <v>1097</v>
      </c>
      <c r="T65" s="286" t="s">
        <v>814</v>
      </c>
      <c r="U65" s="1239" t="s">
        <v>1155</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c r="AE65" s="24" t="str">
        <f>IFERROR(__xludf.DUMMYFUNCTION("""COMPUTED_VALUE"""),"ルサル")</f>
        <v>ルサル</v>
      </c>
    </row>
    <row r="66" hidden="1" outlineLevel="1">
      <c r="B66" s="1258"/>
      <c r="C66" s="1261"/>
      <c r="D66" s="1268"/>
      <c r="E66" s="1274"/>
      <c r="F66" s="1268"/>
      <c r="G66" s="1269"/>
      <c r="H66" s="1264"/>
      <c r="I66" s="1259"/>
      <c r="J66" s="1273" t="s">
        <v>1067</v>
      </c>
      <c r="O66" s="286" t="s">
        <v>61</v>
      </c>
      <c r="P66" s="286" t="s">
        <v>1111</v>
      </c>
      <c r="Q66" s="286" t="s">
        <v>40</v>
      </c>
      <c r="R66" s="1238"/>
      <c r="S66" s="286" t="s">
        <v>478</v>
      </c>
      <c r="T66" s="286" t="s">
        <v>815</v>
      </c>
      <c r="U66" s="1239" t="s">
        <v>1156</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c r="AE66" s="24" t="str">
        <f>IFERROR(__xludf.DUMMYFUNCTION("""COMPUTED_VALUE"""),"ルパ")</f>
        <v>ルパ</v>
      </c>
    </row>
    <row r="67" hidden="1" outlineLevel="1">
      <c r="B67" s="1258"/>
      <c r="C67" s="1261"/>
      <c r="D67" s="1268"/>
      <c r="E67" s="1274"/>
      <c r="F67" s="1268"/>
      <c r="G67" s="1269"/>
      <c r="H67" s="1264"/>
      <c r="I67" s="1259"/>
      <c r="J67" s="1273" t="s">
        <v>1067</v>
      </c>
      <c r="O67" s="286" t="s">
        <v>61</v>
      </c>
      <c r="P67" s="286" t="s">
        <v>164</v>
      </c>
      <c r="Q67" s="286" t="s">
        <v>40</v>
      </c>
      <c r="R67" s="1238"/>
      <c r="S67" s="286" t="s">
        <v>188</v>
      </c>
      <c r="T67" s="286" t="s">
        <v>113</v>
      </c>
      <c r="U67" s="1239" t="s">
        <v>1157</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c r="AE67" s="24" t="str">
        <f>IFERROR(__xludf.DUMMYFUNCTION("""COMPUTED_VALUE"""),"宇佐見")</f>
        <v>宇佐見</v>
      </c>
    </row>
    <row r="68" hidden="1" outlineLevel="1">
      <c r="B68" s="1275"/>
      <c r="C68" s="1269"/>
      <c r="D68" s="1268"/>
      <c r="E68" s="1274"/>
      <c r="F68" s="1268"/>
      <c r="G68" s="1269"/>
      <c r="H68" s="1264"/>
      <c r="I68" s="1259"/>
      <c r="J68" s="1273" t="s">
        <v>1067</v>
      </c>
      <c r="O68" s="286" t="s">
        <v>61</v>
      </c>
      <c r="P68" s="286" t="s">
        <v>1149</v>
      </c>
      <c r="Q68" s="286" t="s">
        <v>41</v>
      </c>
      <c r="R68" s="1238"/>
      <c r="S68" s="286" t="s">
        <v>171</v>
      </c>
      <c r="T68" s="286" t="s">
        <v>1158</v>
      </c>
      <c r="U68" s="1239" t="s">
        <v>1159</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c r="AE68" s="24" t="str">
        <f>IFERROR(__xludf.DUMMYFUNCTION("""COMPUTED_VALUE"""),"佐藤")</f>
        <v>佐藤</v>
      </c>
    </row>
    <row r="69" hidden="1" outlineLevel="1">
      <c r="B69" s="1258"/>
      <c r="C69" s="1261"/>
      <c r="D69" s="1262"/>
      <c r="E69" s="1263"/>
      <c r="F69" s="1268"/>
      <c r="G69" s="1269"/>
      <c r="H69" s="1264"/>
      <c r="I69" s="1259"/>
      <c r="J69" s="1273" t="s">
        <v>1067</v>
      </c>
      <c r="O69" s="286" t="s">
        <v>61</v>
      </c>
      <c r="P69" s="286" t="s">
        <v>1160</v>
      </c>
      <c r="Q69" s="286" t="s">
        <v>40</v>
      </c>
      <c r="R69" s="1238"/>
      <c r="S69" s="286" t="s">
        <v>1097</v>
      </c>
      <c r="T69" s="286" t="s">
        <v>815</v>
      </c>
      <c r="U69" s="1239" t="s">
        <v>1161</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c r="AE69" s="24" t="str">
        <f>IFERROR(__xludf.DUMMYFUNCTION("""COMPUTED_VALUE"""),"笹田")</f>
        <v>笹田</v>
      </c>
    </row>
    <row r="70" hidden="1" outlineLevel="1">
      <c r="B70" s="1258"/>
      <c r="C70" s="1261"/>
      <c r="D70" s="1262"/>
      <c r="E70" s="1263"/>
      <c r="F70" s="1268"/>
      <c r="G70" s="1269"/>
      <c r="H70" s="1264"/>
      <c r="I70" s="1259"/>
      <c r="J70" s="1273" t="s">
        <v>1067</v>
      </c>
      <c r="O70" s="286" t="s">
        <v>63</v>
      </c>
      <c r="P70" s="286" t="s">
        <v>109</v>
      </c>
      <c r="Q70" s="286" t="s">
        <v>28</v>
      </c>
      <c r="R70" s="1238"/>
      <c r="S70" s="286"/>
      <c r="T70" s="286"/>
      <c r="U70" s="1239" t="s">
        <v>1162</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c r="AE70" s="24" t="str">
        <f>IFERROR(__xludf.DUMMYFUNCTION("""COMPUTED_VALUE"""),"小沼")</f>
        <v>小沼</v>
      </c>
    </row>
    <row r="71" hidden="1" outlineLevel="1">
      <c r="B71" s="1258"/>
      <c r="C71" s="1261"/>
      <c r="D71" s="1262"/>
      <c r="E71" s="1263"/>
      <c r="F71" s="1268"/>
      <c r="G71" s="1269"/>
      <c r="H71" s="1264"/>
      <c r="I71" s="1259"/>
      <c r="J71" s="1273" t="s">
        <v>1067</v>
      </c>
      <c r="O71" s="286" t="s">
        <v>63</v>
      </c>
      <c r="P71" s="286" t="s">
        <v>1163</v>
      </c>
      <c r="Q71" s="286" t="s">
        <v>43</v>
      </c>
      <c r="R71" s="1238"/>
      <c r="S71" s="286" t="s">
        <v>1097</v>
      </c>
      <c r="T71" s="286" t="s">
        <v>120</v>
      </c>
      <c r="U71" s="1239" t="s">
        <v>1164</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c r="AE71" s="24" t="str">
        <f>IFERROR(__xludf.DUMMYFUNCTION("""COMPUTED_VALUE"""),"小田原")</f>
        <v>小田原</v>
      </c>
    </row>
    <row r="72" hidden="1" outlineLevel="1">
      <c r="B72" s="1258"/>
      <c r="C72" s="1261"/>
      <c r="D72" s="1262"/>
      <c r="E72" s="1263"/>
      <c r="F72" s="1268"/>
      <c r="G72" s="1269"/>
      <c r="H72" s="1264"/>
      <c r="I72" s="1259"/>
      <c r="J72" s="1273" t="s">
        <v>1067</v>
      </c>
      <c r="O72" s="286" t="s">
        <v>63</v>
      </c>
      <c r="P72" s="286" t="s">
        <v>1163</v>
      </c>
      <c r="Q72" s="286" t="s">
        <v>38</v>
      </c>
      <c r="R72" s="1238"/>
      <c r="S72" s="286" t="s">
        <v>188</v>
      </c>
      <c r="T72" s="286" t="s">
        <v>113</v>
      </c>
      <c r="U72" s="1239" t="s">
        <v>1165</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c r="AE72" s="24" t="str">
        <f>IFERROR(__xludf.DUMMYFUNCTION("""COMPUTED_VALUE"""),"小林")</f>
        <v>小林</v>
      </c>
    </row>
    <row r="73" hidden="1" outlineLevel="1">
      <c r="B73" s="1258"/>
      <c r="C73" s="1261"/>
      <c r="D73" s="1262"/>
      <c r="E73" s="1263"/>
      <c r="F73" s="1268"/>
      <c r="G73" s="1269"/>
      <c r="H73" s="1264"/>
      <c r="I73" s="1259"/>
      <c r="J73" s="1273" t="s">
        <v>1067</v>
      </c>
      <c r="O73" s="286" t="s">
        <v>63</v>
      </c>
      <c r="P73" s="286" t="s">
        <v>1166</v>
      </c>
      <c r="Q73" s="286" t="s">
        <v>28</v>
      </c>
      <c r="R73" s="1238"/>
      <c r="S73" s="286" t="s">
        <v>1150</v>
      </c>
      <c r="T73" s="286" t="s">
        <v>814</v>
      </c>
      <c r="U73" s="1239" t="s">
        <v>1167</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c r="AE73" s="24" t="str">
        <f>IFERROR(__xludf.DUMMYFUNCTION("""COMPUTED_VALUE"""),"早川")</f>
        <v>早川</v>
      </c>
    </row>
    <row r="74" hidden="1" outlineLevel="1">
      <c r="B74" s="1258"/>
      <c r="C74" s="1261"/>
      <c r="D74" s="1262"/>
      <c r="E74" s="1263"/>
      <c r="F74" s="1268"/>
      <c r="G74" s="1269"/>
      <c r="H74" s="1264"/>
      <c r="I74" s="1259"/>
      <c r="J74" s="1273" t="s">
        <v>1067</v>
      </c>
      <c r="O74" s="286" t="s">
        <v>63</v>
      </c>
      <c r="P74" s="286" t="s">
        <v>130</v>
      </c>
      <c r="Q74" s="286" t="s">
        <v>43</v>
      </c>
      <c r="R74" s="1238"/>
      <c r="S74" s="286" t="s">
        <v>103</v>
      </c>
      <c r="T74" s="286" t="s">
        <v>103</v>
      </c>
      <c r="U74" s="1239" t="s">
        <v>1168</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c r="AE74" s="24" t="str">
        <f>IFERROR(__xludf.DUMMYFUNCTION("""COMPUTED_VALUE"""),"大沼")</f>
        <v>大沼</v>
      </c>
    </row>
    <row r="75" hidden="1" outlineLevel="1">
      <c r="B75" s="1258"/>
      <c r="C75" s="1261"/>
      <c r="D75" s="1262"/>
      <c r="E75" s="1263"/>
      <c r="F75" s="1268"/>
      <c r="G75" s="1269"/>
      <c r="H75" s="1264"/>
      <c r="I75" s="1259"/>
      <c r="J75" s="1273" t="s">
        <v>1067</v>
      </c>
      <c r="O75" s="286" t="s">
        <v>63</v>
      </c>
      <c r="P75" s="286" t="s">
        <v>1169</v>
      </c>
      <c r="Q75" s="286" t="s">
        <v>28</v>
      </c>
      <c r="R75" s="1238"/>
      <c r="S75" s="286" t="s">
        <v>103</v>
      </c>
      <c r="T75" s="286" t="s">
        <v>103</v>
      </c>
      <c r="U75" s="1239" t="s">
        <v>1170</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c r="AE75" s="24" t="str">
        <f>IFERROR(__xludf.DUMMYFUNCTION("""COMPUTED_VALUE"""),"中村")</f>
        <v>中村</v>
      </c>
    </row>
    <row r="76" hidden="1" outlineLevel="1">
      <c r="B76" s="1258"/>
      <c r="C76" s="1261"/>
      <c r="D76" s="1262"/>
      <c r="E76" s="1263"/>
      <c r="F76" s="1268"/>
      <c r="G76" s="1269"/>
      <c r="H76" s="1264"/>
      <c r="I76" s="1259"/>
      <c r="J76" s="1273" t="s">
        <v>1067</v>
      </c>
      <c r="O76" s="286" t="s">
        <v>63</v>
      </c>
      <c r="P76" s="286" t="s">
        <v>176</v>
      </c>
      <c r="Q76" s="286" t="s">
        <v>42</v>
      </c>
      <c r="R76" s="1238"/>
      <c r="S76" s="286" t="s">
        <v>1150</v>
      </c>
      <c r="T76" s="286" t="s">
        <v>814</v>
      </c>
      <c r="U76" s="1239" t="s">
        <v>1171</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1067</v>
      </c>
      <c r="O77" s="286" t="s">
        <v>63</v>
      </c>
      <c r="P77" s="286" t="s">
        <v>176</v>
      </c>
      <c r="Q77" s="286" t="s">
        <v>40</v>
      </c>
      <c r="R77" s="1238"/>
      <c r="S77" s="286" t="s">
        <v>188</v>
      </c>
      <c r="T77" s="286" t="s">
        <v>497</v>
      </c>
      <c r="U77" s="1239" t="s">
        <v>1157</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1067</v>
      </c>
      <c r="O78" s="286" t="s">
        <v>63</v>
      </c>
      <c r="P78" s="286" t="s">
        <v>1172</v>
      </c>
      <c r="Q78" s="286" t="s">
        <v>41</v>
      </c>
      <c r="R78" s="1238"/>
      <c r="S78" s="286" t="s">
        <v>1097</v>
      </c>
      <c r="T78" s="286" t="s">
        <v>814</v>
      </c>
      <c r="U78" s="1239" t="s">
        <v>1173</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1067</v>
      </c>
      <c r="O79" s="286" t="s">
        <v>63</v>
      </c>
      <c r="P79" s="286" t="s">
        <v>1172</v>
      </c>
      <c r="Q79" s="286" t="s">
        <v>43</v>
      </c>
      <c r="R79" s="1238"/>
      <c r="S79" s="286" t="s">
        <v>486</v>
      </c>
      <c r="T79" s="286" t="s">
        <v>135</v>
      </c>
      <c r="U79" s="1239" t="s">
        <v>1174</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1067</v>
      </c>
      <c r="O80" s="286" t="s">
        <v>63</v>
      </c>
      <c r="P80" s="286" t="s">
        <v>1134</v>
      </c>
      <c r="Q80" s="286" t="s">
        <v>28</v>
      </c>
      <c r="R80" s="1238"/>
      <c r="S80" s="286" t="s">
        <v>1106</v>
      </c>
      <c r="T80" s="286" t="s">
        <v>1106</v>
      </c>
      <c r="U80" s="1239" t="s">
        <v>1175</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1067</v>
      </c>
      <c r="O81" s="286" t="s">
        <v>65</v>
      </c>
      <c r="P81" s="286" t="s">
        <v>187</v>
      </c>
      <c r="Q81" s="286" t="s">
        <v>30</v>
      </c>
      <c r="R81" s="1238"/>
      <c r="S81" s="286" t="s">
        <v>478</v>
      </c>
      <c r="T81" s="286" t="s">
        <v>499</v>
      </c>
      <c r="U81" s="1239" t="s">
        <v>1176</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1067</v>
      </c>
      <c r="O82" s="286" t="s">
        <v>65</v>
      </c>
      <c r="P82" s="286" t="s">
        <v>98</v>
      </c>
      <c r="Q82" s="286" t="s">
        <v>39</v>
      </c>
      <c r="R82" s="1238"/>
      <c r="S82" s="286" t="s">
        <v>1150</v>
      </c>
      <c r="T82" s="286" t="s">
        <v>497</v>
      </c>
      <c r="U82" s="1239" t="s">
        <v>1177</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1067</v>
      </c>
      <c r="O83" s="286" t="s">
        <v>65</v>
      </c>
      <c r="P83" s="286" t="s">
        <v>98</v>
      </c>
      <c r="Q83" s="286" t="s">
        <v>28</v>
      </c>
      <c r="R83" s="1238"/>
      <c r="S83" s="286" t="s">
        <v>1106</v>
      </c>
      <c r="T83" s="286" t="s">
        <v>1106</v>
      </c>
      <c r="U83" s="1239" t="s">
        <v>1178</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1067</v>
      </c>
      <c r="O84" s="286" t="s">
        <v>65</v>
      </c>
      <c r="P84" s="286" t="s">
        <v>1147</v>
      </c>
      <c r="Q84" s="286" t="s">
        <v>40</v>
      </c>
      <c r="R84" s="1238"/>
      <c r="S84" s="286" t="s">
        <v>188</v>
      </c>
      <c r="T84" s="286" t="s">
        <v>135</v>
      </c>
      <c r="U84" s="1239" t="s">
        <v>1179</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1067</v>
      </c>
      <c r="O85" s="286" t="s">
        <v>65</v>
      </c>
      <c r="P85" s="286" t="s">
        <v>1147</v>
      </c>
      <c r="Q85" s="286" t="s">
        <v>39</v>
      </c>
      <c r="R85" s="1238"/>
      <c r="S85" s="286" t="s">
        <v>481</v>
      </c>
      <c r="T85" s="286" t="s">
        <v>499</v>
      </c>
      <c r="U85" s="1239" t="s">
        <v>1180</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1067</v>
      </c>
      <c r="O86" s="286" t="s">
        <v>65</v>
      </c>
      <c r="P86" s="286" t="s">
        <v>1108</v>
      </c>
      <c r="Q86" s="286" t="s">
        <v>30</v>
      </c>
      <c r="R86" s="1238"/>
      <c r="S86" s="286" t="s">
        <v>100</v>
      </c>
      <c r="T86" s="286" t="s">
        <v>679</v>
      </c>
      <c r="U86" s="1239" t="s">
        <v>1181</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1067</v>
      </c>
      <c r="O87" s="286" t="s">
        <v>67</v>
      </c>
      <c r="P87" s="286" t="s">
        <v>1114</v>
      </c>
      <c r="Q87" s="286" t="s">
        <v>28</v>
      </c>
      <c r="R87" s="1238"/>
      <c r="S87" s="286"/>
      <c r="T87" s="286"/>
      <c r="U87" s="1239" t="s">
        <v>1182</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1067</v>
      </c>
      <c r="O88" s="286" t="s">
        <v>67</v>
      </c>
      <c r="P88" s="286" t="s">
        <v>151</v>
      </c>
      <c r="Q88" s="286" t="s">
        <v>38</v>
      </c>
      <c r="R88" s="1238"/>
      <c r="S88" s="286" t="s">
        <v>188</v>
      </c>
      <c r="T88" s="286" t="s">
        <v>499</v>
      </c>
      <c r="U88" s="1239" t="s">
        <v>1183</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1067</v>
      </c>
      <c r="O89" s="286" t="s">
        <v>67</v>
      </c>
      <c r="P89" s="286" t="s">
        <v>202</v>
      </c>
      <c r="Q89" s="286" t="s">
        <v>40</v>
      </c>
      <c r="R89" s="1238"/>
      <c r="S89" s="286" t="s">
        <v>188</v>
      </c>
      <c r="T89" s="286" t="s">
        <v>113</v>
      </c>
      <c r="U89" s="1239" t="s">
        <v>1184</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1067</v>
      </c>
      <c r="O90" s="286" t="s">
        <v>67</v>
      </c>
      <c r="P90" s="286" t="s">
        <v>1096</v>
      </c>
      <c r="Q90" s="286" t="s">
        <v>28</v>
      </c>
      <c r="R90" s="1238"/>
      <c r="S90" s="286"/>
      <c r="T90" s="286"/>
      <c r="U90" s="1239" t="s">
        <v>1185</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1067</v>
      </c>
      <c r="K91" s="17"/>
      <c r="L91" s="17"/>
      <c r="M91" s="17"/>
      <c r="O91" s="286" t="s">
        <v>67</v>
      </c>
      <c r="P91" s="286" t="s">
        <v>202</v>
      </c>
      <c r="Q91" s="286" t="s">
        <v>28</v>
      </c>
      <c r="R91" s="1238"/>
      <c r="S91" s="286"/>
      <c r="T91" s="286"/>
      <c r="U91" s="1239" t="s">
        <v>1186</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1187</v>
      </c>
      <c r="C92" s="1162"/>
      <c r="D92" s="1162"/>
      <c r="E92" s="1162"/>
      <c r="F92" s="1162"/>
      <c r="G92" s="1162"/>
      <c r="H92" s="1162"/>
      <c r="I92" s="1162"/>
      <c r="J92" s="1162"/>
      <c r="K92" s="1162"/>
      <c r="L92" s="1162"/>
      <c r="M92" s="1163"/>
      <c r="O92" s="286" t="s">
        <v>67</v>
      </c>
      <c r="P92" s="286" t="s">
        <v>1169</v>
      </c>
      <c r="Q92" s="286" t="s">
        <v>28</v>
      </c>
      <c r="R92" s="1238"/>
      <c r="S92" s="286"/>
      <c r="T92" s="286"/>
      <c r="U92" s="1239" t="s">
        <v>1188</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189</v>
      </c>
      <c r="C93" s="250"/>
      <c r="D93" s="1282" t="s">
        <v>1089</v>
      </c>
      <c r="F93" s="6"/>
      <c r="M93" s="1233"/>
      <c r="O93" s="286" t="s">
        <v>67</v>
      </c>
      <c r="P93" s="286" t="s">
        <v>1166</v>
      </c>
      <c r="Q93" s="286" t="s">
        <v>38</v>
      </c>
      <c r="R93" s="1238"/>
      <c r="S93" s="286" t="s">
        <v>188</v>
      </c>
      <c r="T93" s="286" t="s">
        <v>499</v>
      </c>
      <c r="U93" s="1239" t="s">
        <v>1189</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188</v>
      </c>
      <c r="T94" s="286" t="s">
        <v>499</v>
      </c>
      <c r="U94" s="1239" t="s">
        <v>1190</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290" t="str">
        <f>IFERROR(__xludf.DUMMYFUNCTION("""COMPUTED_VALUE"""),"23日")</f>
        <v>23日</v>
      </c>
      <c r="D95" s="1291" t="str">
        <f>IFERROR(__xludf.DUMMYFUNCTION("""COMPUTED_VALUE"""),"セット漏れ")</f>
        <v>セット漏れ</v>
      </c>
      <c r="E95" s="981" t="str">
        <f>IFERROR(__xludf.DUMMYFUNCTION("""COMPUTED_VALUE"""),"笹田")</f>
        <v>笹田</v>
      </c>
      <c r="F95" s="981" t="str">
        <f>IFERROR(__xludf.DUMMYFUNCTION("""COMPUTED_VALUE"""),"タン")</f>
        <v>タン</v>
      </c>
      <c r="G95" s="1292" t="str">
        <f>IFERROR(__xludf.DUMMYFUNCTION("""COMPUTED_VALUE"""),"スリッパ設置してなかった")</f>
        <v>スリッパ設置してなかった</v>
      </c>
      <c r="H95" s="232"/>
      <c r="I95" s="232"/>
      <c r="J95" s="232"/>
      <c r="K95" s="232"/>
      <c r="L95" s="232"/>
      <c r="M95" s="1293"/>
      <c r="O95" s="286" t="s">
        <v>67</v>
      </c>
      <c r="P95" s="286" t="s">
        <v>176</v>
      </c>
      <c r="Q95" s="286" t="s">
        <v>40</v>
      </c>
      <c r="R95" s="1238"/>
      <c r="S95" s="286" t="s">
        <v>1097</v>
      </c>
      <c r="T95" s="286" t="s">
        <v>814</v>
      </c>
      <c r="U95" s="1239" t="s">
        <v>1191</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c r="C96" s="981"/>
      <c r="D96" s="981"/>
      <c r="E96" s="981"/>
      <c r="F96" s="981"/>
      <c r="G96" s="1292"/>
      <c r="H96" s="232"/>
      <c r="I96" s="232"/>
      <c r="J96" s="232"/>
      <c r="K96" s="232"/>
      <c r="L96" s="232"/>
      <c r="M96" s="1293"/>
      <c r="O96" s="286" t="s">
        <v>69</v>
      </c>
      <c r="P96" s="286" t="s">
        <v>1114</v>
      </c>
      <c r="Q96" s="286" t="s">
        <v>39</v>
      </c>
      <c r="R96" s="1238"/>
      <c r="S96" s="286" t="s">
        <v>1150</v>
      </c>
      <c r="T96" s="286" t="s">
        <v>497</v>
      </c>
      <c r="U96" s="1239" t="s">
        <v>1192</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c r="C97" s="981"/>
      <c r="D97" s="981"/>
      <c r="E97" s="981"/>
      <c r="F97" s="981"/>
      <c r="G97" s="1292"/>
      <c r="H97" s="232"/>
      <c r="I97" s="232"/>
      <c r="J97" s="232"/>
      <c r="K97" s="232"/>
      <c r="L97" s="232"/>
      <c r="M97" s="1293"/>
      <c r="O97" s="286" t="s">
        <v>69</v>
      </c>
      <c r="P97" s="286" t="s">
        <v>140</v>
      </c>
      <c r="Q97" s="286" t="s">
        <v>40</v>
      </c>
      <c r="R97" s="1238"/>
      <c r="S97" s="286" t="s">
        <v>1193</v>
      </c>
      <c r="T97" s="286" t="s">
        <v>189</v>
      </c>
      <c r="U97" s="1239" t="s">
        <v>1194</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c r="C98" s="981"/>
      <c r="D98" s="981"/>
      <c r="E98" s="981"/>
      <c r="F98" s="981"/>
      <c r="G98" s="1292"/>
      <c r="H98" s="232"/>
      <c r="I98" s="232"/>
      <c r="J98" s="232"/>
      <c r="K98" s="232"/>
      <c r="L98" s="232"/>
      <c r="M98" s="1293"/>
      <c r="O98" s="286" t="s">
        <v>69</v>
      </c>
      <c r="P98" s="286" t="s">
        <v>1152</v>
      </c>
      <c r="Q98" s="286"/>
      <c r="R98" s="1238"/>
      <c r="S98" s="286"/>
      <c r="T98" s="286"/>
      <c r="U98" s="1239" t="s">
        <v>1195</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c r="C99" s="981"/>
      <c r="D99" s="981"/>
      <c r="E99" s="981"/>
      <c r="F99" s="981"/>
      <c r="G99" s="1292"/>
      <c r="H99" s="232"/>
      <c r="I99" s="232"/>
      <c r="J99" s="232"/>
      <c r="K99" s="232"/>
      <c r="L99" s="232"/>
      <c r="M99" s="1293"/>
      <c r="O99" s="286" t="s">
        <v>69</v>
      </c>
      <c r="P99" s="286" t="s">
        <v>1172</v>
      </c>
      <c r="Q99" s="286" t="s">
        <v>43</v>
      </c>
      <c r="R99" s="1238"/>
      <c r="S99" s="286" t="s">
        <v>171</v>
      </c>
      <c r="T99" s="286" t="s">
        <v>499</v>
      </c>
      <c r="U99" s="1239" t="s">
        <v>1196</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c r="C100" s="981"/>
      <c r="D100" s="981"/>
      <c r="E100" s="981"/>
      <c r="F100" s="981"/>
      <c r="G100" s="1292"/>
      <c r="H100" s="232"/>
      <c r="I100" s="232"/>
      <c r="J100" s="232"/>
      <c r="K100" s="232"/>
      <c r="L100" s="232"/>
      <c r="M100" s="1293"/>
      <c r="O100" s="286" t="s">
        <v>69</v>
      </c>
      <c r="P100" s="286" t="s">
        <v>1160</v>
      </c>
      <c r="Q100" s="286" t="s">
        <v>38</v>
      </c>
      <c r="R100" s="1238"/>
      <c r="S100" s="286" t="s">
        <v>171</v>
      </c>
      <c r="T100" s="286" t="s">
        <v>499</v>
      </c>
      <c r="U100" s="1239" t="s">
        <v>1197</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c r="C101" s="981"/>
      <c r="D101" s="981"/>
      <c r="E101" s="981"/>
      <c r="F101" s="981"/>
      <c r="G101" s="1292"/>
      <c r="H101" s="232"/>
      <c r="I101" s="232"/>
      <c r="J101" s="232"/>
      <c r="K101" s="232"/>
      <c r="L101" s="232"/>
      <c r="M101" s="1293"/>
      <c r="O101" s="286" t="s">
        <v>69</v>
      </c>
      <c r="P101" s="286" t="s">
        <v>1160</v>
      </c>
      <c r="Q101" s="286" t="s">
        <v>43</v>
      </c>
      <c r="R101" s="1238"/>
      <c r="S101" s="286" t="s">
        <v>188</v>
      </c>
      <c r="T101" s="286" t="s">
        <v>113</v>
      </c>
      <c r="U101" s="1239" t="s">
        <v>1198</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c r="C102" s="981"/>
      <c r="D102" s="981"/>
      <c r="E102" s="981"/>
      <c r="F102" s="981"/>
      <c r="G102" s="1292"/>
      <c r="H102" s="232"/>
      <c r="I102" s="232"/>
      <c r="J102" s="232"/>
      <c r="K102" s="232"/>
      <c r="L102" s="232"/>
      <c r="M102" s="1293"/>
      <c r="O102" s="286" t="s">
        <v>71</v>
      </c>
      <c r="P102" s="286" t="s">
        <v>187</v>
      </c>
      <c r="Q102" s="286" t="s">
        <v>39</v>
      </c>
      <c r="R102" s="1238"/>
      <c r="S102" s="286" t="s">
        <v>188</v>
      </c>
      <c r="T102" s="286" t="s">
        <v>182</v>
      </c>
      <c r="U102" s="1239" t="s">
        <v>1199</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c r="C103" s="981"/>
      <c r="D103" s="981"/>
      <c r="E103" s="981"/>
      <c r="F103" s="981"/>
      <c r="G103" s="1292"/>
      <c r="H103" s="232"/>
      <c r="I103" s="232"/>
      <c r="J103" s="232"/>
      <c r="K103" s="232"/>
      <c r="L103" s="232"/>
      <c r="M103" s="1293"/>
      <c r="O103" s="286" t="s">
        <v>71</v>
      </c>
      <c r="P103" s="286" t="s">
        <v>202</v>
      </c>
      <c r="Q103" s="286" t="s">
        <v>39</v>
      </c>
      <c r="R103" s="1238"/>
      <c r="S103" s="286" t="s">
        <v>1097</v>
      </c>
      <c r="T103" s="286" t="s">
        <v>815</v>
      </c>
      <c r="U103" s="1239" t="s">
        <v>1200</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c r="C104" s="981"/>
      <c r="D104" s="981"/>
      <c r="E104" s="981"/>
      <c r="F104" s="981"/>
      <c r="G104" s="1292"/>
      <c r="H104" s="232"/>
      <c r="I104" s="232"/>
      <c r="J104" s="232"/>
      <c r="K104" s="232"/>
      <c r="L104" s="232"/>
      <c r="M104" s="1293"/>
      <c r="O104" s="286" t="s">
        <v>71</v>
      </c>
      <c r="P104" s="286" t="s">
        <v>202</v>
      </c>
      <c r="Q104" s="286" t="s">
        <v>40</v>
      </c>
      <c r="R104" s="1238"/>
      <c r="S104" s="286" t="s">
        <v>1097</v>
      </c>
      <c r="T104" s="286" t="s">
        <v>499</v>
      </c>
      <c r="U104" s="1239" t="s">
        <v>1201</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c r="C105" s="981"/>
      <c r="D105" s="981"/>
      <c r="E105" s="981"/>
      <c r="F105" s="981"/>
      <c r="G105" s="1292"/>
      <c r="H105" s="232"/>
      <c r="I105" s="232"/>
      <c r="J105" s="232"/>
      <c r="K105" s="232"/>
      <c r="L105" s="232"/>
      <c r="M105" s="1293"/>
      <c r="O105" s="286" t="s">
        <v>71</v>
      </c>
      <c r="P105" s="286" t="s">
        <v>151</v>
      </c>
      <c r="Q105" s="286" t="s">
        <v>30</v>
      </c>
      <c r="R105" s="1238"/>
      <c r="S105" s="286" t="s">
        <v>1097</v>
      </c>
      <c r="T105" s="286"/>
      <c r="U105" s="1239" t="s">
        <v>1202</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c r="C106" s="981"/>
      <c r="D106" s="981"/>
      <c r="E106" s="981"/>
      <c r="F106" s="981"/>
      <c r="G106" s="1292"/>
      <c r="H106" s="232"/>
      <c r="I106" s="232"/>
      <c r="J106" s="232"/>
      <c r="K106" s="232"/>
      <c r="L106" s="232"/>
      <c r="M106" s="1293"/>
      <c r="O106" s="286" t="s">
        <v>71</v>
      </c>
      <c r="P106" s="286" t="s">
        <v>1163</v>
      </c>
      <c r="Q106" s="286" t="s">
        <v>28</v>
      </c>
      <c r="R106" s="1238"/>
      <c r="S106" s="286"/>
      <c r="T106" s="286"/>
      <c r="U106" s="1239" t="s">
        <v>1203</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1108</v>
      </c>
      <c r="Q107" s="286" t="s">
        <v>43</v>
      </c>
      <c r="R107" s="1238"/>
      <c r="S107" s="286" t="s">
        <v>1097</v>
      </c>
      <c r="T107" s="286" t="s">
        <v>497</v>
      </c>
      <c r="U107" s="1239" t="s">
        <v>1204</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1147</v>
      </c>
      <c r="Q108" s="286" t="s">
        <v>40</v>
      </c>
      <c r="R108" s="1238"/>
      <c r="S108" s="286" t="s">
        <v>1193</v>
      </c>
      <c r="T108" s="286" t="s">
        <v>814</v>
      </c>
      <c r="U108" s="1239" t="s">
        <v>1205</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478</v>
      </c>
      <c r="T109" s="286" t="s">
        <v>814</v>
      </c>
      <c r="U109" s="1239" t="s">
        <v>1206</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1207</v>
      </c>
      <c r="Q110" s="286" t="s">
        <v>30</v>
      </c>
      <c r="R110" s="1238"/>
      <c r="S110" s="286"/>
      <c r="T110" s="286" t="s">
        <v>112</v>
      </c>
      <c r="U110" s="1239" t="s">
        <v>1208</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187</v>
      </c>
      <c r="Q111" s="286" t="s">
        <v>40</v>
      </c>
      <c r="R111" s="1238"/>
      <c r="S111" s="286" t="s">
        <v>1193</v>
      </c>
      <c r="T111" s="286"/>
      <c r="U111" s="1239" t="s">
        <v>1209</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481</v>
      </c>
      <c r="T112" s="286" t="s">
        <v>497</v>
      </c>
      <c r="U112" s="1239" t="s">
        <v>1210</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1102</v>
      </c>
      <c r="Q113" s="286" t="s">
        <v>40</v>
      </c>
      <c r="R113" s="1238"/>
      <c r="S113" s="286" t="s">
        <v>171</v>
      </c>
      <c r="T113" s="286" t="s">
        <v>103</v>
      </c>
      <c r="U113" s="1239" t="s">
        <v>1211</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1166</v>
      </c>
      <c r="Q114" s="286" t="s">
        <v>43</v>
      </c>
      <c r="R114" s="1238"/>
      <c r="S114" s="286" t="s">
        <v>188</v>
      </c>
      <c r="T114" s="286" t="s">
        <v>499</v>
      </c>
      <c r="U114" s="1239" t="s">
        <v>1212</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1166</v>
      </c>
      <c r="Q115" s="286" t="s">
        <v>42</v>
      </c>
      <c r="R115" s="1238"/>
      <c r="S115" s="286" t="s">
        <v>103</v>
      </c>
      <c r="T115" s="286" t="s">
        <v>550</v>
      </c>
      <c r="U115" s="1239" t="s">
        <v>1213</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1166</v>
      </c>
      <c r="Q116" s="286" t="s">
        <v>42</v>
      </c>
      <c r="R116" s="1238"/>
      <c r="S116" s="286" t="s">
        <v>103</v>
      </c>
      <c r="T116" s="286" t="s">
        <v>550</v>
      </c>
      <c r="U116" s="1239" t="s">
        <v>1213</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1166</v>
      </c>
      <c r="Q117" s="286" t="s">
        <v>30</v>
      </c>
      <c r="R117" s="1238"/>
      <c r="S117" s="286" t="s">
        <v>142</v>
      </c>
      <c r="T117" s="286"/>
      <c r="U117" s="1239" t="s">
        <v>1214</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188</v>
      </c>
      <c r="T118" s="286"/>
      <c r="U118" s="1239" t="s">
        <v>1214</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1214</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1215</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1215</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1193</v>
      </c>
      <c r="T122" s="286"/>
      <c r="U122" s="1239" t="s">
        <v>1215</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1193</v>
      </c>
      <c r="T123" s="286"/>
      <c r="U123" s="1239" t="s">
        <v>1215</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1067</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1067</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1067</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1067</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1067</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1067</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1067</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1067</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1067</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1067</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1067</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1067</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1067</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1067</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1067</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1067</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1067</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1067</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1067</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1067</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1067</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1067</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1067</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1067</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1067</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1067</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1067</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1067</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1067</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1067</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1067</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1067</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1067</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1067</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1067</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1067</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1067</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1067</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1067</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1067</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1067</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1067</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1067</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1067</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1067</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1067</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1067</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1067</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1067</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1067</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1067</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1067</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1067</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1067</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1067</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1067</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1067</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1067</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1067</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1067</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1067</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1067</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1067</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1067</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1067</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1067</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1067</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1067</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1067</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1067</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1067</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1067</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1067</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1067</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1067</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1067</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1067</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1067</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1067</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1067</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1067</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1067</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1067</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1067</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1067</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1067</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1067</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1067</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1067</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1067</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1067</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1067</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1067</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1067</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1067</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1067</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1067</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1067</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1067</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1067</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1067</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1067</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1067</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1067</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1067</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1067</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1067</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1067</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1067</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1067</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1067</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1067</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1067</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1067</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1067</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1067</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1067</v>
      </c>
      <c r="K417" s="17"/>
      <c r="L417" s="17"/>
      <c r="AC417" s="1301"/>
    </row>
    <row r="418">
      <c r="B418" s="17"/>
      <c r="C418" s="17"/>
      <c r="D418" s="17"/>
      <c r="E418" s="343"/>
      <c r="F418" s="17"/>
      <c r="G418" s="17"/>
      <c r="H418" s="17"/>
      <c r="I418" s="17"/>
      <c r="J418" s="17" t="s">
        <v>1067</v>
      </c>
      <c r="K418" s="17"/>
      <c r="L418" s="17"/>
      <c r="AC418" s="1301"/>
    </row>
    <row r="419">
      <c r="B419" s="17"/>
      <c r="C419" s="17"/>
      <c r="D419" s="17"/>
      <c r="E419" s="343"/>
      <c r="F419" s="17"/>
      <c r="G419" s="17"/>
      <c r="H419" s="17"/>
      <c r="I419" s="17"/>
      <c r="J419" s="17" t="s">
        <v>1067</v>
      </c>
      <c r="K419" s="17"/>
      <c r="L419" s="17"/>
      <c r="AC419" s="1301"/>
    </row>
    <row r="420">
      <c r="B420" s="17"/>
      <c r="C420" s="17"/>
      <c r="D420" s="17"/>
      <c r="E420" s="343"/>
      <c r="F420" s="17"/>
      <c r="G420" s="17"/>
      <c r="H420" s="17"/>
      <c r="I420" s="17"/>
      <c r="J420" s="17" t="s">
        <v>1067</v>
      </c>
      <c r="K420" s="17"/>
      <c r="L420" s="17"/>
      <c r="AC420" s="1301"/>
    </row>
    <row r="421">
      <c r="B421" s="17"/>
      <c r="C421" s="17"/>
      <c r="D421" s="17"/>
      <c r="E421" s="343"/>
      <c r="F421" s="17"/>
      <c r="G421" s="17"/>
      <c r="H421" s="17"/>
      <c r="I421" s="17"/>
      <c r="J421" s="17" t="s">
        <v>1067</v>
      </c>
      <c r="K421" s="17"/>
      <c r="L421" s="17"/>
      <c r="AC421" s="1301"/>
    </row>
    <row r="422">
      <c r="B422" s="17"/>
      <c r="C422" s="17"/>
      <c r="D422" s="17"/>
      <c r="E422" s="343"/>
      <c r="F422" s="17"/>
      <c r="G422" s="17"/>
      <c r="H422" s="17"/>
      <c r="I422" s="17"/>
      <c r="J422" s="17" t="s">
        <v>1067</v>
      </c>
      <c r="K422" s="17"/>
      <c r="L422" s="17"/>
      <c r="AC422" s="1301"/>
    </row>
    <row r="423">
      <c r="B423" s="17"/>
      <c r="C423" s="17"/>
      <c r="D423" s="17"/>
      <c r="E423" s="343"/>
      <c r="F423" s="17"/>
      <c r="G423" s="17"/>
      <c r="H423" s="17"/>
      <c r="I423" s="17"/>
      <c r="J423" s="17" t="s">
        <v>1067</v>
      </c>
      <c r="K423" s="17"/>
      <c r="L423" s="17"/>
      <c r="AC423" s="1301"/>
    </row>
    <row r="424">
      <c r="B424" s="17"/>
      <c r="C424" s="17"/>
      <c r="D424" s="17"/>
      <c r="E424" s="343"/>
      <c r="F424" s="17"/>
      <c r="G424" s="17"/>
      <c r="H424" s="17"/>
      <c r="I424" s="17"/>
      <c r="J424" s="17" t="s">
        <v>1067</v>
      </c>
      <c r="K424" s="17"/>
      <c r="L424" s="17"/>
      <c r="AC424" s="1301"/>
    </row>
    <row r="425">
      <c r="B425" s="17"/>
      <c r="C425" s="17"/>
      <c r="D425" s="17"/>
      <c r="E425" s="343"/>
      <c r="F425" s="17"/>
      <c r="G425" s="17"/>
      <c r="H425" s="17"/>
      <c r="I425" s="17"/>
      <c r="J425" s="17" t="s">
        <v>1067</v>
      </c>
      <c r="K425" s="17"/>
      <c r="L425" s="17"/>
      <c r="AC425" s="1301"/>
    </row>
    <row r="426">
      <c r="B426" s="17"/>
      <c r="C426" s="17"/>
      <c r="D426" s="17"/>
      <c r="E426" s="343"/>
      <c r="F426" s="17"/>
      <c r="G426" s="17"/>
      <c r="H426" s="17"/>
      <c r="I426" s="17"/>
      <c r="J426" s="17" t="s">
        <v>1067</v>
      </c>
      <c r="K426" s="17"/>
      <c r="L426" s="17"/>
      <c r="AC426" s="1301"/>
    </row>
    <row r="427">
      <c r="B427" s="17"/>
      <c r="C427" s="17"/>
      <c r="D427" s="17"/>
      <c r="E427" s="343"/>
      <c r="F427" s="17"/>
      <c r="G427" s="17"/>
      <c r="H427" s="17"/>
      <c r="I427" s="17"/>
      <c r="J427" s="17" t="s">
        <v>1067</v>
      </c>
      <c r="K427" s="17"/>
      <c r="L427" s="17"/>
      <c r="AC427" s="1301"/>
    </row>
    <row r="428">
      <c r="B428" s="17"/>
      <c r="C428" s="17"/>
      <c r="D428" s="17"/>
      <c r="E428" s="343"/>
      <c r="F428" s="17"/>
      <c r="G428" s="17"/>
      <c r="H428" s="17"/>
      <c r="I428" s="17"/>
      <c r="J428" s="17" t="s">
        <v>1067</v>
      </c>
      <c r="K428" s="17"/>
      <c r="L428" s="17"/>
      <c r="AC428" s="1301"/>
    </row>
    <row r="429">
      <c r="B429" s="17"/>
      <c r="C429" s="17"/>
      <c r="D429" s="17"/>
      <c r="E429" s="343"/>
      <c r="F429" s="17"/>
      <c r="G429" s="17"/>
      <c r="H429" s="17"/>
      <c r="I429" s="17"/>
      <c r="J429" s="17" t="s">
        <v>1067</v>
      </c>
      <c r="K429" s="17"/>
      <c r="L429" s="17"/>
      <c r="AC429" s="1301"/>
    </row>
    <row r="430">
      <c r="B430" s="17"/>
      <c r="C430" s="17"/>
      <c r="D430" s="17"/>
      <c r="E430" s="343"/>
      <c r="F430" s="17"/>
      <c r="G430" s="17"/>
      <c r="H430" s="17"/>
      <c r="I430" s="17"/>
      <c r="J430" s="17" t="s">
        <v>1067</v>
      </c>
      <c r="K430" s="17"/>
      <c r="L430" s="17"/>
      <c r="AC430" s="1301"/>
    </row>
    <row r="431">
      <c r="B431" s="17"/>
      <c r="C431" s="17"/>
      <c r="D431" s="17"/>
      <c r="E431" s="343"/>
      <c r="F431" s="17"/>
      <c r="G431" s="17"/>
      <c r="H431" s="17"/>
      <c r="I431" s="17"/>
      <c r="J431" s="17" t="s">
        <v>1067</v>
      </c>
      <c r="K431" s="17"/>
      <c r="L431" s="17"/>
      <c r="AC431" s="1301"/>
    </row>
    <row r="432">
      <c r="B432" s="17"/>
      <c r="C432" s="17"/>
      <c r="D432" s="17"/>
      <c r="E432" s="343"/>
      <c r="F432" s="17"/>
      <c r="G432" s="17"/>
      <c r="H432" s="17"/>
      <c r="I432" s="17"/>
      <c r="J432" s="17" t="s">
        <v>1067</v>
      </c>
      <c r="K432" s="17"/>
      <c r="L432" s="17"/>
      <c r="AC432" s="1301"/>
    </row>
    <row r="433">
      <c r="B433" s="17"/>
      <c r="C433" s="17"/>
      <c r="D433" s="17"/>
      <c r="E433" s="343"/>
      <c r="F433" s="17"/>
      <c r="G433" s="17"/>
      <c r="H433" s="17"/>
      <c r="I433" s="17"/>
      <c r="J433" s="17" t="s">
        <v>1067</v>
      </c>
      <c r="K433" s="17"/>
      <c r="L433" s="17"/>
      <c r="AC433" s="1301"/>
    </row>
    <row r="434">
      <c r="B434" s="17"/>
      <c r="C434" s="17"/>
      <c r="D434" s="17"/>
      <c r="E434" s="343"/>
      <c r="F434" s="17"/>
      <c r="G434" s="17"/>
      <c r="H434" s="17"/>
      <c r="I434" s="17"/>
      <c r="J434" s="17" t="s">
        <v>1067</v>
      </c>
      <c r="K434" s="17"/>
      <c r="L434" s="17"/>
      <c r="AC434" s="1301"/>
    </row>
    <row r="435">
      <c r="B435" s="17"/>
      <c r="C435" s="17"/>
      <c r="D435" s="17"/>
      <c r="E435" s="343"/>
      <c r="F435" s="17"/>
      <c r="G435" s="17"/>
      <c r="H435" s="17"/>
      <c r="I435" s="17"/>
      <c r="J435" s="17" t="s">
        <v>1067</v>
      </c>
      <c r="K435" s="17"/>
      <c r="L435" s="17"/>
      <c r="AC435" s="1301"/>
    </row>
    <row r="436">
      <c r="B436" s="17"/>
      <c r="C436" s="17"/>
      <c r="D436" s="17"/>
      <c r="E436" s="343"/>
      <c r="F436" s="17"/>
      <c r="G436" s="17"/>
      <c r="H436" s="17"/>
      <c r="I436" s="17"/>
      <c r="J436" s="17" t="s">
        <v>1067</v>
      </c>
      <c r="K436" s="17"/>
      <c r="L436" s="17"/>
      <c r="AC436" s="1301"/>
    </row>
    <row r="437">
      <c r="B437" s="17"/>
      <c r="C437" s="17"/>
      <c r="D437" s="17"/>
      <c r="E437" s="343"/>
      <c r="F437" s="17"/>
      <c r="G437" s="17"/>
      <c r="H437" s="17"/>
      <c r="I437" s="17"/>
      <c r="J437" s="17" t="s">
        <v>1067</v>
      </c>
      <c r="K437" s="17"/>
      <c r="L437" s="17"/>
      <c r="AC437" s="1301"/>
    </row>
    <row r="438">
      <c r="B438" s="17"/>
      <c r="C438" s="17"/>
      <c r="D438" s="17"/>
      <c r="E438" s="343"/>
      <c r="F438" s="17"/>
      <c r="G438" s="17"/>
      <c r="H438" s="17"/>
      <c r="I438" s="17"/>
      <c r="J438" s="17" t="s">
        <v>1067</v>
      </c>
      <c r="K438" s="17"/>
      <c r="L438" s="17"/>
      <c r="AC438" s="1301"/>
    </row>
    <row r="439">
      <c r="B439" s="17"/>
      <c r="C439" s="17"/>
      <c r="D439" s="17"/>
      <c r="E439" s="343"/>
      <c r="F439" s="17"/>
      <c r="G439" s="17"/>
      <c r="H439" s="17"/>
      <c r="I439" s="17"/>
      <c r="J439" s="17" t="s">
        <v>1067</v>
      </c>
      <c r="K439" s="17"/>
      <c r="L439" s="17"/>
      <c r="AC439" s="1301"/>
    </row>
    <row r="440">
      <c r="B440" s="17"/>
      <c r="C440" s="17"/>
      <c r="D440" s="17"/>
      <c r="E440" s="343"/>
      <c r="F440" s="17"/>
      <c r="G440" s="17"/>
      <c r="H440" s="17"/>
      <c r="I440" s="17"/>
      <c r="J440" s="17" t="s">
        <v>1067</v>
      </c>
      <c r="K440" s="17"/>
      <c r="L440" s="17"/>
      <c r="AC440" s="1301"/>
    </row>
    <row r="441">
      <c r="B441" s="17"/>
      <c r="C441" s="17"/>
      <c r="D441" s="17"/>
      <c r="E441" s="343"/>
      <c r="F441" s="17"/>
      <c r="G441" s="17"/>
      <c r="H441" s="17"/>
      <c r="I441" s="17"/>
      <c r="J441" s="17" t="s">
        <v>1067</v>
      </c>
      <c r="K441" s="17"/>
      <c r="L441" s="17"/>
      <c r="AC441" s="1301"/>
    </row>
    <row r="442">
      <c r="B442" s="17"/>
      <c r="C442" s="17"/>
      <c r="D442" s="17"/>
      <c r="E442" s="343"/>
      <c r="F442" s="17"/>
      <c r="G442" s="17"/>
      <c r="H442" s="17"/>
      <c r="I442" s="17"/>
      <c r="J442" s="17" t="s">
        <v>1067</v>
      </c>
      <c r="K442" s="17"/>
      <c r="L442" s="17"/>
      <c r="AC442" s="1301"/>
    </row>
    <row r="443">
      <c r="B443" s="17"/>
      <c r="C443" s="17"/>
      <c r="D443" s="17"/>
      <c r="E443" s="343"/>
      <c r="F443" s="17"/>
      <c r="G443" s="17"/>
      <c r="H443" s="17"/>
      <c r="I443" s="17"/>
      <c r="J443" s="17" t="s">
        <v>1067</v>
      </c>
      <c r="K443" s="17"/>
      <c r="L443" s="17"/>
      <c r="AC443" s="1301"/>
    </row>
    <row r="444">
      <c r="B444" s="17"/>
      <c r="C444" s="17"/>
      <c r="D444" s="17"/>
      <c r="E444" s="343"/>
      <c r="F444" s="17"/>
      <c r="G444" s="17"/>
      <c r="H444" s="17"/>
      <c r="I444" s="17"/>
      <c r="J444" s="17" t="s">
        <v>1067</v>
      </c>
      <c r="K444" s="17"/>
      <c r="L444" s="17"/>
      <c r="AC444" s="1301"/>
    </row>
    <row r="445">
      <c r="B445" s="17"/>
      <c r="C445" s="17"/>
      <c r="D445" s="17"/>
      <c r="E445" s="343"/>
      <c r="F445" s="17"/>
      <c r="G445" s="17"/>
      <c r="H445" s="17"/>
      <c r="I445" s="17"/>
      <c r="J445" s="17" t="s">
        <v>1067</v>
      </c>
      <c r="K445" s="17"/>
      <c r="L445" s="17"/>
      <c r="AC445" s="1301"/>
    </row>
    <row r="446">
      <c r="B446" s="17"/>
      <c r="C446" s="17"/>
      <c r="D446" s="17"/>
      <c r="E446" s="343"/>
      <c r="F446" s="17"/>
      <c r="G446" s="17"/>
      <c r="H446" s="17"/>
      <c r="I446" s="17"/>
      <c r="J446" s="17" t="s">
        <v>1067</v>
      </c>
      <c r="K446" s="17"/>
      <c r="L446" s="17"/>
      <c r="AC446" s="1301"/>
    </row>
    <row r="447">
      <c r="B447" s="17"/>
      <c r="C447" s="17"/>
      <c r="D447" s="17"/>
      <c r="E447" s="343"/>
      <c r="F447" s="17"/>
      <c r="G447" s="17"/>
      <c r="H447" s="17"/>
      <c r="I447" s="17"/>
      <c r="J447" s="17" t="s">
        <v>1067</v>
      </c>
      <c r="K447" s="17"/>
      <c r="L447" s="17"/>
      <c r="AC447" s="1301"/>
    </row>
    <row r="448">
      <c r="B448" s="17"/>
      <c r="C448" s="17"/>
      <c r="D448" s="17"/>
      <c r="E448" s="343"/>
      <c r="F448" s="17"/>
      <c r="G448" s="17"/>
      <c r="H448" s="17"/>
      <c r="I448" s="17"/>
      <c r="J448" s="17" t="s">
        <v>1067</v>
      </c>
      <c r="K448" s="17"/>
      <c r="L448" s="17"/>
      <c r="AC448" s="1301"/>
    </row>
    <row r="449">
      <c r="B449" s="17"/>
      <c r="C449" s="17"/>
      <c r="D449" s="17"/>
      <c r="E449" s="343"/>
      <c r="F449" s="17"/>
      <c r="G449" s="17"/>
      <c r="H449" s="17"/>
      <c r="I449" s="17"/>
      <c r="J449" s="17" t="s">
        <v>1067</v>
      </c>
      <c r="K449" s="17"/>
      <c r="L449" s="17"/>
      <c r="AC449" s="1301"/>
    </row>
    <row r="450">
      <c r="B450" s="17"/>
      <c r="C450" s="17"/>
      <c r="D450" s="17"/>
      <c r="E450" s="343"/>
      <c r="F450" s="17"/>
      <c r="G450" s="17"/>
      <c r="H450" s="17"/>
      <c r="I450" s="17"/>
      <c r="J450" s="17" t="s">
        <v>1067</v>
      </c>
      <c r="K450" s="17"/>
      <c r="L450" s="17"/>
      <c r="AC450" s="1301"/>
    </row>
    <row r="451">
      <c r="B451" s="17"/>
      <c r="C451" s="17"/>
      <c r="D451" s="17"/>
      <c r="E451" s="343"/>
      <c r="F451" s="17"/>
      <c r="G451" s="17"/>
      <c r="H451" s="17"/>
      <c r="I451" s="17"/>
      <c r="J451" s="17" t="s">
        <v>1067</v>
      </c>
      <c r="K451" s="17"/>
      <c r="L451" s="17"/>
      <c r="AC451" s="1301"/>
    </row>
    <row r="452">
      <c r="B452" s="17"/>
      <c r="C452" s="17"/>
      <c r="D452" s="17"/>
      <c r="E452" s="343"/>
      <c r="F452" s="17"/>
      <c r="G452" s="17"/>
      <c r="H452" s="17"/>
      <c r="I452" s="17"/>
      <c r="J452" s="17" t="s">
        <v>1067</v>
      </c>
      <c r="K452" s="17"/>
      <c r="L452" s="17"/>
      <c r="AC452" s="1301"/>
    </row>
    <row r="453">
      <c r="B453" s="17"/>
      <c r="C453" s="17"/>
      <c r="D453" s="17"/>
      <c r="E453" s="343"/>
      <c r="F453" s="17"/>
      <c r="G453" s="17"/>
      <c r="H453" s="17"/>
      <c r="I453" s="17"/>
      <c r="J453" s="17" t="s">
        <v>1067</v>
      </c>
      <c r="K453" s="17"/>
      <c r="L453" s="17"/>
      <c r="AC453" s="1301"/>
    </row>
    <row r="454">
      <c r="B454" s="17"/>
      <c r="C454" s="17"/>
      <c r="D454" s="17"/>
      <c r="E454" s="343"/>
      <c r="F454" s="17"/>
      <c r="G454" s="17"/>
      <c r="H454" s="17"/>
      <c r="I454" s="17"/>
      <c r="J454" s="17" t="s">
        <v>1067</v>
      </c>
      <c r="K454" s="17"/>
      <c r="L454" s="17"/>
      <c r="AC454" s="1301"/>
    </row>
    <row r="455">
      <c r="B455" s="17"/>
      <c r="C455" s="17"/>
      <c r="D455" s="17"/>
      <c r="E455" s="343"/>
      <c r="F455" s="17"/>
      <c r="G455" s="17"/>
      <c r="H455" s="17"/>
      <c r="I455" s="17"/>
      <c r="J455" s="17" t="s">
        <v>1067</v>
      </c>
      <c r="K455" s="17"/>
      <c r="L455" s="17"/>
      <c r="AC455" s="1301"/>
    </row>
    <row r="456">
      <c r="B456" s="17"/>
      <c r="C456" s="17"/>
      <c r="D456" s="17"/>
      <c r="E456" s="343"/>
      <c r="F456" s="17"/>
      <c r="G456" s="17"/>
      <c r="H456" s="17"/>
      <c r="I456" s="17"/>
      <c r="J456" s="17" t="s">
        <v>1067</v>
      </c>
      <c r="K456" s="17"/>
      <c r="L456" s="17"/>
      <c r="AC456" s="1301"/>
    </row>
    <row r="457">
      <c r="B457" s="17"/>
      <c r="C457" s="17"/>
      <c r="D457" s="17"/>
      <c r="E457" s="343"/>
      <c r="F457" s="17"/>
      <c r="G457" s="17"/>
      <c r="H457" s="17"/>
      <c r="I457" s="17"/>
      <c r="J457" s="17" t="s">
        <v>1067</v>
      </c>
      <c r="K457" s="17"/>
      <c r="L457" s="17"/>
      <c r="AC457" s="1301"/>
    </row>
    <row r="458">
      <c r="B458" s="17"/>
      <c r="C458" s="17"/>
      <c r="D458" s="17"/>
      <c r="E458" s="343"/>
      <c r="F458" s="17"/>
      <c r="G458" s="17"/>
      <c r="H458" s="17"/>
      <c r="I458" s="17"/>
      <c r="J458" s="17" t="s">
        <v>1067</v>
      </c>
      <c r="K458" s="17"/>
      <c r="L458" s="17"/>
      <c r="AC458" s="1301"/>
    </row>
    <row r="459">
      <c r="B459" s="17"/>
      <c r="C459" s="17"/>
      <c r="D459" s="17"/>
      <c r="E459" s="343"/>
      <c r="F459" s="17"/>
      <c r="G459" s="17"/>
      <c r="H459" s="17"/>
      <c r="I459" s="17"/>
      <c r="J459" s="17" t="s">
        <v>1067</v>
      </c>
      <c r="K459" s="17"/>
      <c r="L459" s="17"/>
      <c r="AC459" s="1301"/>
    </row>
    <row r="460">
      <c r="B460" s="17"/>
      <c r="C460" s="17"/>
      <c r="D460" s="17"/>
      <c r="E460" s="343"/>
      <c r="F460" s="17"/>
      <c r="G460" s="17"/>
      <c r="H460" s="17"/>
      <c r="I460" s="17"/>
      <c r="J460" s="17" t="s">
        <v>1067</v>
      </c>
      <c r="K460" s="17"/>
      <c r="L460" s="17"/>
      <c r="AC460" s="1301"/>
    </row>
    <row r="461">
      <c r="B461" s="17"/>
      <c r="C461" s="17"/>
      <c r="D461" s="17"/>
      <c r="E461" s="343"/>
      <c r="F461" s="17"/>
      <c r="G461" s="17"/>
      <c r="H461" s="17"/>
      <c r="I461" s="17"/>
      <c r="J461" s="17" t="s">
        <v>1067</v>
      </c>
      <c r="K461" s="17"/>
      <c r="L461" s="17"/>
      <c r="AC461" s="1301"/>
    </row>
    <row r="462">
      <c r="B462" s="17"/>
      <c r="C462" s="17"/>
      <c r="D462" s="17"/>
      <c r="E462" s="343"/>
      <c r="F462" s="17"/>
      <c r="G462" s="17"/>
      <c r="H462" s="17"/>
      <c r="I462" s="17"/>
      <c r="J462" s="17" t="s">
        <v>1067</v>
      </c>
      <c r="K462" s="17"/>
      <c r="L462" s="17"/>
      <c r="AC462" s="1301"/>
    </row>
    <row r="463">
      <c r="B463" s="17"/>
      <c r="C463" s="17"/>
      <c r="D463" s="17"/>
      <c r="E463" s="343"/>
      <c r="F463" s="17"/>
      <c r="G463" s="17"/>
      <c r="H463" s="17"/>
      <c r="I463" s="17"/>
      <c r="J463" s="17" t="s">
        <v>1067</v>
      </c>
      <c r="K463" s="17"/>
      <c r="L463" s="17"/>
      <c r="AC463" s="1301"/>
    </row>
    <row r="464">
      <c r="B464" s="17"/>
      <c r="C464" s="17"/>
      <c r="D464" s="17"/>
      <c r="E464" s="343"/>
      <c r="F464" s="17"/>
      <c r="G464" s="17"/>
      <c r="H464" s="17"/>
      <c r="I464" s="17"/>
      <c r="J464" s="17" t="s">
        <v>1067</v>
      </c>
      <c r="K464" s="17"/>
      <c r="L464" s="17"/>
      <c r="AC464" s="1301"/>
    </row>
    <row r="465">
      <c r="B465" s="17"/>
      <c r="C465" s="17"/>
      <c r="D465" s="17"/>
      <c r="E465" s="343"/>
      <c r="F465" s="17"/>
      <c r="G465" s="17"/>
      <c r="H465" s="17"/>
      <c r="I465" s="17"/>
      <c r="J465" s="17" t="s">
        <v>1067</v>
      </c>
      <c r="K465" s="17"/>
      <c r="L465" s="17"/>
      <c r="AC465" s="1301"/>
    </row>
    <row r="466">
      <c r="B466" s="17"/>
      <c r="C466" s="17"/>
      <c r="D466" s="17"/>
      <c r="E466" s="343"/>
      <c r="F466" s="17"/>
      <c r="G466" s="17"/>
      <c r="H466" s="17"/>
      <c r="I466" s="17"/>
      <c r="J466" s="17" t="s">
        <v>1067</v>
      </c>
      <c r="K466" s="17"/>
      <c r="L466" s="17"/>
      <c r="AC466" s="1301"/>
    </row>
    <row r="467">
      <c r="B467" s="17"/>
      <c r="C467" s="17"/>
      <c r="D467" s="17"/>
      <c r="E467" s="343"/>
      <c r="F467" s="17"/>
      <c r="G467" s="17"/>
      <c r="H467" s="17"/>
      <c r="I467" s="17"/>
      <c r="J467" s="17" t="s">
        <v>1067</v>
      </c>
      <c r="K467" s="17"/>
      <c r="L467" s="17"/>
      <c r="AC467" s="1301"/>
    </row>
    <row r="468">
      <c r="B468" s="17"/>
      <c r="C468" s="17"/>
      <c r="D468" s="17"/>
      <c r="E468" s="343"/>
      <c r="F468" s="17"/>
      <c r="G468" s="17"/>
      <c r="H468" s="17"/>
      <c r="I468" s="17"/>
      <c r="J468" s="17" t="s">
        <v>1067</v>
      </c>
      <c r="K468" s="17"/>
      <c r="L468" s="17"/>
      <c r="AC468" s="1301"/>
    </row>
    <row r="469">
      <c r="B469" s="17"/>
      <c r="C469" s="17"/>
      <c r="D469" s="17"/>
      <c r="E469" s="343"/>
      <c r="F469" s="17"/>
      <c r="G469" s="17"/>
      <c r="H469" s="17"/>
      <c r="I469" s="17"/>
      <c r="J469" s="17" t="s">
        <v>1067</v>
      </c>
      <c r="K469" s="17"/>
      <c r="L469" s="17"/>
      <c r="AC469" s="1301"/>
    </row>
    <row r="470">
      <c r="B470" s="17"/>
      <c r="C470" s="17"/>
      <c r="D470" s="17"/>
      <c r="E470" s="343"/>
      <c r="F470" s="17"/>
      <c r="G470" s="17"/>
      <c r="H470" s="17"/>
      <c r="I470" s="17"/>
      <c r="J470" s="17" t="s">
        <v>1067</v>
      </c>
      <c r="K470" s="17"/>
      <c r="L470" s="17"/>
      <c r="AC470" s="1301"/>
    </row>
    <row r="471">
      <c r="B471" s="17"/>
      <c r="C471" s="17"/>
      <c r="D471" s="17"/>
      <c r="E471" s="343"/>
      <c r="F471" s="17"/>
      <c r="G471" s="17"/>
      <c r="H471" s="17"/>
      <c r="I471" s="17"/>
      <c r="J471" s="17" t="s">
        <v>1067</v>
      </c>
      <c r="K471" s="17"/>
      <c r="L471" s="17"/>
      <c r="AC471" s="1301"/>
    </row>
    <row r="472">
      <c r="B472" s="17"/>
      <c r="C472" s="17"/>
      <c r="D472" s="17"/>
      <c r="E472" s="343"/>
      <c r="F472" s="17"/>
      <c r="G472" s="17"/>
      <c r="H472" s="17"/>
      <c r="I472" s="17"/>
      <c r="J472" s="17" t="s">
        <v>1067</v>
      </c>
      <c r="K472" s="17"/>
      <c r="L472" s="17"/>
      <c r="AC472" s="1301"/>
    </row>
    <row r="473">
      <c r="B473" s="17"/>
      <c r="C473" s="17"/>
      <c r="D473" s="17"/>
      <c r="E473" s="343"/>
      <c r="F473" s="17"/>
      <c r="G473" s="17"/>
      <c r="H473" s="17"/>
      <c r="I473" s="17"/>
      <c r="J473" s="17" t="s">
        <v>1067</v>
      </c>
      <c r="K473" s="17"/>
      <c r="L473" s="17"/>
      <c r="AC473" s="1301"/>
    </row>
    <row r="474">
      <c r="B474" s="17"/>
      <c r="C474" s="17"/>
      <c r="D474" s="17"/>
      <c r="E474" s="343"/>
      <c r="F474" s="17"/>
      <c r="G474" s="17"/>
      <c r="H474" s="17"/>
      <c r="I474" s="17"/>
      <c r="J474" s="17" t="s">
        <v>1067</v>
      </c>
      <c r="K474" s="17"/>
      <c r="L474" s="17"/>
      <c r="AC474" s="1301"/>
    </row>
    <row r="475">
      <c r="B475" s="17"/>
      <c r="C475" s="17"/>
      <c r="D475" s="17"/>
      <c r="E475" s="343"/>
      <c r="F475" s="17"/>
      <c r="G475" s="17"/>
      <c r="H475" s="17"/>
      <c r="I475" s="17"/>
      <c r="J475" s="17" t="s">
        <v>1067</v>
      </c>
      <c r="K475" s="17"/>
      <c r="L475" s="17"/>
      <c r="AC475" s="1301"/>
    </row>
    <row r="476">
      <c r="B476" s="17"/>
      <c r="C476" s="17"/>
      <c r="D476" s="17"/>
      <c r="E476" s="343"/>
      <c r="F476" s="17"/>
      <c r="G476" s="17"/>
      <c r="H476" s="17"/>
      <c r="I476" s="17"/>
      <c r="J476" s="17" t="s">
        <v>1067</v>
      </c>
      <c r="K476" s="17"/>
      <c r="L476" s="17"/>
      <c r="AC476" s="1301"/>
    </row>
    <row r="477">
      <c r="B477" s="17"/>
      <c r="C477" s="17"/>
      <c r="D477" s="17"/>
      <c r="E477" s="343"/>
      <c r="F477" s="17"/>
      <c r="G477" s="17"/>
      <c r="H477" s="17"/>
      <c r="I477" s="17"/>
      <c r="J477" s="17" t="s">
        <v>1067</v>
      </c>
      <c r="K477" s="17"/>
      <c r="L477" s="17"/>
      <c r="AC477" s="1301"/>
    </row>
    <row r="478">
      <c r="B478" s="17"/>
      <c r="C478" s="17"/>
      <c r="D478" s="17"/>
      <c r="E478" s="343"/>
      <c r="F478" s="17"/>
      <c r="G478" s="17"/>
      <c r="H478" s="17"/>
      <c r="I478" s="17"/>
      <c r="J478" s="17" t="s">
        <v>1067</v>
      </c>
      <c r="K478" s="17"/>
      <c r="L478" s="17"/>
      <c r="AC478" s="1301"/>
    </row>
    <row r="479">
      <c r="B479" s="17"/>
      <c r="C479" s="17"/>
      <c r="D479" s="17"/>
      <c r="E479" s="343"/>
      <c r="F479" s="17"/>
      <c r="G479" s="17"/>
      <c r="H479" s="17"/>
      <c r="I479" s="17"/>
      <c r="J479" s="17" t="s">
        <v>1067</v>
      </c>
      <c r="K479" s="17"/>
      <c r="L479" s="17"/>
      <c r="AC479" s="1301"/>
    </row>
    <row r="480">
      <c r="B480" s="17"/>
      <c r="C480" s="17"/>
      <c r="D480" s="17"/>
      <c r="E480" s="343"/>
      <c r="F480" s="17"/>
      <c r="G480" s="17"/>
      <c r="H480" s="17"/>
      <c r="I480" s="17"/>
      <c r="J480" s="17" t="s">
        <v>1067</v>
      </c>
      <c r="K480" s="17"/>
      <c r="L480" s="17"/>
      <c r="AC480" s="1301"/>
    </row>
    <row r="481">
      <c r="B481" s="17"/>
      <c r="C481" s="17"/>
      <c r="D481" s="17"/>
      <c r="E481" s="343"/>
      <c r="F481" s="17"/>
      <c r="G481" s="17"/>
      <c r="H481" s="17"/>
      <c r="I481" s="17"/>
      <c r="J481" s="17" t="s">
        <v>1067</v>
      </c>
      <c r="K481" s="17"/>
      <c r="L481" s="17"/>
      <c r="AC481" s="1301"/>
    </row>
    <row r="482">
      <c r="B482" s="17"/>
      <c r="C482" s="17"/>
      <c r="D482" s="17"/>
      <c r="E482" s="343"/>
      <c r="F482" s="17"/>
      <c r="G482" s="17"/>
      <c r="H482" s="17"/>
      <c r="I482" s="17"/>
      <c r="J482" s="17" t="s">
        <v>1067</v>
      </c>
      <c r="K482" s="17"/>
      <c r="L482" s="17"/>
      <c r="AC482" s="1301"/>
    </row>
    <row r="483">
      <c r="B483" s="17"/>
      <c r="C483" s="17"/>
      <c r="D483" s="17"/>
      <c r="E483" s="343"/>
      <c r="F483" s="17"/>
      <c r="G483" s="17"/>
      <c r="H483" s="17"/>
      <c r="I483" s="17"/>
      <c r="J483" s="17" t="s">
        <v>1067</v>
      </c>
      <c r="K483" s="17"/>
      <c r="L483" s="17"/>
      <c r="AC483" s="1301"/>
    </row>
    <row r="484">
      <c r="B484" s="17"/>
      <c r="C484" s="17"/>
      <c r="D484" s="17"/>
      <c r="E484" s="343"/>
      <c r="F484" s="17"/>
      <c r="G484" s="17"/>
      <c r="H484" s="17"/>
      <c r="I484" s="17"/>
      <c r="J484" s="17" t="s">
        <v>1067</v>
      </c>
      <c r="K484" s="17"/>
      <c r="L484" s="17"/>
      <c r="AC484" s="1301"/>
    </row>
    <row r="485">
      <c r="B485" s="17"/>
      <c r="C485" s="17"/>
      <c r="D485" s="17"/>
      <c r="E485" s="343"/>
      <c r="F485" s="17"/>
      <c r="G485" s="17"/>
      <c r="H485" s="17"/>
      <c r="I485" s="17"/>
      <c r="J485" s="17" t="s">
        <v>1067</v>
      </c>
      <c r="K485" s="17"/>
      <c r="L485" s="17"/>
      <c r="AC485" s="1301"/>
    </row>
    <row r="486">
      <c r="B486" s="17"/>
      <c r="C486" s="17"/>
      <c r="D486" s="17"/>
      <c r="E486" s="343"/>
      <c r="F486" s="17"/>
      <c r="G486" s="17"/>
      <c r="H486" s="17"/>
      <c r="I486" s="17"/>
      <c r="J486" s="17" t="s">
        <v>1067</v>
      </c>
      <c r="K486" s="17"/>
      <c r="L486" s="17"/>
      <c r="AC486" s="1301"/>
    </row>
    <row r="487">
      <c r="B487" s="17"/>
      <c r="C487" s="17"/>
      <c r="D487" s="17"/>
      <c r="E487" s="343"/>
      <c r="F487" s="17"/>
      <c r="G487" s="17"/>
      <c r="H487" s="17"/>
      <c r="I487" s="17"/>
      <c r="J487" s="17" t="s">
        <v>1067</v>
      </c>
      <c r="K487" s="17"/>
      <c r="L487" s="17"/>
      <c r="AC487" s="1301"/>
    </row>
    <row r="488">
      <c r="B488" s="17"/>
      <c r="C488" s="17"/>
      <c r="D488" s="17"/>
      <c r="E488" s="343"/>
      <c r="F488" s="17"/>
      <c r="G488" s="17"/>
      <c r="H488" s="17"/>
      <c r="I488" s="17"/>
      <c r="J488" s="17" t="s">
        <v>1067</v>
      </c>
      <c r="K488" s="17"/>
      <c r="L488" s="17"/>
      <c r="AC488" s="1301"/>
    </row>
    <row r="489">
      <c r="B489" s="17"/>
      <c r="C489" s="17"/>
      <c r="D489" s="17"/>
      <c r="E489" s="343"/>
      <c r="F489" s="17"/>
      <c r="G489" s="17"/>
      <c r="H489" s="17"/>
      <c r="I489" s="17"/>
      <c r="J489" s="17" t="s">
        <v>1067</v>
      </c>
      <c r="K489" s="17"/>
      <c r="L489" s="17"/>
      <c r="AC489" s="1301"/>
    </row>
    <row r="490">
      <c r="B490" s="17"/>
      <c r="C490" s="17"/>
      <c r="D490" s="17"/>
      <c r="E490" s="343"/>
      <c r="F490" s="17"/>
      <c r="G490" s="17"/>
      <c r="H490" s="17"/>
      <c r="I490" s="17"/>
      <c r="J490" s="17" t="s">
        <v>1067</v>
      </c>
      <c r="K490" s="17"/>
      <c r="L490" s="17"/>
      <c r="AC490" s="1301"/>
    </row>
    <row r="491">
      <c r="B491" s="17"/>
      <c r="C491" s="17"/>
      <c r="D491" s="17"/>
      <c r="E491" s="343"/>
      <c r="F491" s="17"/>
      <c r="G491" s="17"/>
      <c r="H491" s="17"/>
      <c r="I491" s="17"/>
      <c r="J491" s="17" t="s">
        <v>1067</v>
      </c>
      <c r="K491" s="17"/>
      <c r="L491" s="17"/>
      <c r="AC491" s="1301"/>
    </row>
    <row r="492">
      <c r="B492" s="17"/>
      <c r="C492" s="17"/>
      <c r="D492" s="17"/>
      <c r="E492" s="343"/>
      <c r="F492" s="17"/>
      <c r="G492" s="17"/>
      <c r="H492" s="17"/>
      <c r="I492" s="17"/>
      <c r="J492" s="17" t="s">
        <v>1067</v>
      </c>
      <c r="K492" s="17"/>
      <c r="L492" s="17"/>
      <c r="AC492" s="1301"/>
    </row>
    <row r="493">
      <c r="B493" s="17"/>
      <c r="C493" s="17"/>
      <c r="D493" s="17"/>
      <c r="E493" s="343"/>
      <c r="F493" s="17"/>
      <c r="G493" s="17"/>
      <c r="H493" s="17"/>
      <c r="I493" s="17"/>
      <c r="J493" s="17" t="s">
        <v>1067</v>
      </c>
      <c r="K493" s="17"/>
      <c r="L493" s="17"/>
      <c r="AC493" s="1301"/>
    </row>
    <row r="494">
      <c r="B494" s="17"/>
      <c r="C494" s="17"/>
      <c r="D494" s="17"/>
      <c r="E494" s="343"/>
      <c r="F494" s="17"/>
      <c r="G494" s="17"/>
      <c r="H494" s="17"/>
      <c r="I494" s="17"/>
      <c r="J494" s="17" t="s">
        <v>1067</v>
      </c>
      <c r="K494" s="17"/>
      <c r="L494" s="17"/>
      <c r="AC494" s="1301"/>
    </row>
    <row r="495">
      <c r="B495" s="17"/>
      <c r="C495" s="17"/>
      <c r="D495" s="17"/>
      <c r="E495" s="343"/>
      <c r="F495" s="17"/>
      <c r="G495" s="17"/>
      <c r="H495" s="17"/>
      <c r="I495" s="17"/>
      <c r="J495" s="17" t="s">
        <v>1067</v>
      </c>
      <c r="K495" s="17"/>
      <c r="L495" s="17"/>
      <c r="AC495" s="1301"/>
    </row>
    <row r="496">
      <c r="B496" s="17"/>
      <c r="C496" s="17"/>
      <c r="D496" s="17"/>
      <c r="E496" s="343"/>
      <c r="F496" s="17"/>
      <c r="G496" s="17"/>
      <c r="H496" s="17"/>
      <c r="I496" s="17"/>
      <c r="J496" s="17" t="s">
        <v>1067</v>
      </c>
      <c r="K496" s="17"/>
      <c r="L496" s="17"/>
      <c r="AC496" s="1301"/>
    </row>
    <row r="497">
      <c r="B497" s="17"/>
      <c r="C497" s="17"/>
      <c r="D497" s="17"/>
      <c r="E497" s="343"/>
      <c r="F497" s="17"/>
      <c r="G497" s="17"/>
      <c r="H497" s="17"/>
      <c r="I497" s="17"/>
      <c r="J497" s="17" t="s">
        <v>1067</v>
      </c>
      <c r="K497" s="17"/>
      <c r="L497" s="17"/>
      <c r="AC497" s="1301"/>
    </row>
    <row r="498">
      <c r="B498" s="17"/>
      <c r="C498" s="17"/>
      <c r="D498" s="17"/>
      <c r="E498" s="343"/>
      <c r="F498" s="17"/>
      <c r="G498" s="17"/>
      <c r="H498" s="17"/>
      <c r="I498" s="17"/>
      <c r="J498" s="17" t="s">
        <v>1067</v>
      </c>
      <c r="K498" s="17"/>
      <c r="L498" s="17"/>
      <c r="AC498" s="1301"/>
    </row>
    <row r="499">
      <c r="B499" s="17"/>
      <c r="C499" s="17"/>
      <c r="D499" s="17"/>
      <c r="E499" s="343"/>
      <c r="F499" s="17"/>
      <c r="G499" s="17"/>
      <c r="H499" s="17"/>
      <c r="I499" s="17"/>
      <c r="J499" s="17" t="s">
        <v>1067</v>
      </c>
      <c r="K499" s="17"/>
      <c r="L499" s="17"/>
      <c r="AC499" s="1301"/>
    </row>
    <row r="500">
      <c r="B500" s="17"/>
      <c r="C500" s="17"/>
      <c r="D500" s="17"/>
      <c r="E500" s="343"/>
      <c r="F500" s="17"/>
      <c r="G500" s="17"/>
      <c r="H500" s="17"/>
      <c r="I500" s="17"/>
      <c r="J500" s="17" t="s">
        <v>1067</v>
      </c>
      <c r="K500" s="17"/>
      <c r="L500" s="17"/>
      <c r="AC500" s="1301"/>
    </row>
    <row r="501">
      <c r="B501" s="17"/>
      <c r="C501" s="17"/>
      <c r="D501" s="17"/>
      <c r="E501" s="343"/>
      <c r="F501" s="17"/>
      <c r="G501" s="17"/>
      <c r="H501" s="17"/>
      <c r="I501" s="17"/>
      <c r="J501" s="17" t="s">
        <v>1067</v>
      </c>
      <c r="K501" s="17"/>
      <c r="L501" s="17"/>
      <c r="AC501" s="1301"/>
    </row>
    <row r="502">
      <c r="B502" s="17"/>
      <c r="C502" s="17"/>
      <c r="D502" s="17"/>
      <c r="E502" s="343"/>
      <c r="F502" s="17"/>
      <c r="G502" s="17"/>
      <c r="H502" s="17"/>
      <c r="I502" s="17"/>
      <c r="J502" s="17" t="s">
        <v>1067</v>
      </c>
      <c r="K502" s="17"/>
      <c r="L502" s="17"/>
      <c r="AC502" s="1301"/>
    </row>
    <row r="503">
      <c r="B503" s="17"/>
      <c r="C503" s="17"/>
      <c r="D503" s="17"/>
      <c r="E503" s="343"/>
      <c r="F503" s="17"/>
      <c r="G503" s="17"/>
      <c r="H503" s="17"/>
      <c r="I503" s="17"/>
      <c r="J503" s="17" t="s">
        <v>1067</v>
      </c>
      <c r="K503" s="17"/>
      <c r="L503" s="17"/>
      <c r="AC503" s="1301"/>
    </row>
    <row r="504">
      <c r="B504" s="17"/>
      <c r="C504" s="17"/>
      <c r="D504" s="17"/>
      <c r="E504" s="343"/>
      <c r="F504" s="17"/>
      <c r="G504" s="17"/>
      <c r="H504" s="17"/>
      <c r="I504" s="17"/>
      <c r="J504" s="17" t="s">
        <v>1067</v>
      </c>
      <c r="K504" s="17"/>
      <c r="L504" s="17"/>
      <c r="AC504" s="1301"/>
    </row>
    <row r="505">
      <c r="B505" s="17"/>
      <c r="C505" s="17"/>
      <c r="D505" s="17"/>
      <c r="E505" s="343"/>
      <c r="F505" s="17"/>
      <c r="G505" s="17"/>
      <c r="H505" s="17"/>
      <c r="I505" s="17"/>
      <c r="J505" s="17" t="s">
        <v>1067</v>
      </c>
      <c r="K505" s="17"/>
      <c r="L505" s="17"/>
      <c r="AC505" s="1301"/>
    </row>
    <row r="506">
      <c r="B506" s="17"/>
      <c r="C506" s="17"/>
      <c r="D506" s="17"/>
      <c r="E506" s="343"/>
      <c r="F506" s="17"/>
      <c r="G506" s="17"/>
      <c r="H506" s="17"/>
      <c r="I506" s="17"/>
      <c r="J506" s="17" t="s">
        <v>1067</v>
      </c>
      <c r="K506" s="17"/>
      <c r="L506" s="17"/>
      <c r="AC506" s="1301"/>
    </row>
    <row r="507">
      <c r="B507" s="17"/>
      <c r="C507" s="17"/>
      <c r="D507" s="17"/>
      <c r="E507" s="343"/>
      <c r="F507" s="17"/>
      <c r="G507" s="17"/>
      <c r="H507" s="17"/>
      <c r="I507" s="17"/>
      <c r="J507" s="17" t="s">
        <v>1067</v>
      </c>
      <c r="K507" s="17"/>
      <c r="L507" s="17"/>
      <c r="AC507" s="1301"/>
    </row>
    <row r="508">
      <c r="B508" s="17"/>
      <c r="C508" s="17"/>
      <c r="D508" s="17"/>
      <c r="E508" s="343"/>
      <c r="F508" s="17"/>
      <c r="G508" s="17"/>
      <c r="H508" s="17"/>
      <c r="I508" s="17"/>
      <c r="J508" s="17" t="s">
        <v>1067</v>
      </c>
      <c r="K508" s="17"/>
      <c r="L508" s="17"/>
      <c r="AC508" s="1301"/>
    </row>
    <row r="509">
      <c r="B509" s="17"/>
      <c r="C509" s="17"/>
      <c r="D509" s="17"/>
      <c r="E509" s="343"/>
      <c r="F509" s="17"/>
      <c r="G509" s="17"/>
      <c r="H509" s="17"/>
      <c r="I509" s="17"/>
      <c r="J509" s="17" t="s">
        <v>1067</v>
      </c>
      <c r="K509" s="17"/>
      <c r="L509" s="17"/>
      <c r="AC509" s="1301"/>
    </row>
    <row r="510">
      <c r="B510" s="17"/>
      <c r="C510" s="17"/>
      <c r="D510" s="17"/>
      <c r="E510" s="343"/>
      <c r="F510" s="17"/>
      <c r="G510" s="17"/>
      <c r="H510" s="17"/>
      <c r="I510" s="17"/>
      <c r="J510" s="17" t="s">
        <v>1067</v>
      </c>
      <c r="K510" s="17"/>
      <c r="L510" s="17"/>
      <c r="AC510" s="1301"/>
    </row>
    <row r="511">
      <c r="B511" s="17"/>
      <c r="C511" s="17"/>
      <c r="D511" s="17"/>
      <c r="E511" s="343"/>
      <c r="F511" s="17"/>
      <c r="G511" s="17"/>
      <c r="H511" s="17"/>
      <c r="I511" s="17"/>
      <c r="J511" s="17" t="s">
        <v>1067</v>
      </c>
      <c r="K511" s="17"/>
      <c r="L511" s="17"/>
      <c r="AC511" s="1301"/>
    </row>
    <row r="512">
      <c r="B512" s="17"/>
      <c r="C512" s="17"/>
      <c r="D512" s="17"/>
      <c r="E512" s="343"/>
      <c r="F512" s="17"/>
      <c r="G512" s="17"/>
      <c r="H512" s="17"/>
      <c r="I512" s="17"/>
      <c r="J512" s="17" t="s">
        <v>1067</v>
      </c>
      <c r="K512" s="17"/>
      <c r="L512" s="17"/>
      <c r="AC512" s="1301"/>
    </row>
    <row r="513">
      <c r="B513" s="17"/>
      <c r="C513" s="17"/>
      <c r="D513" s="17"/>
      <c r="E513" s="343"/>
      <c r="F513" s="17"/>
      <c r="G513" s="17"/>
      <c r="H513" s="17"/>
      <c r="I513" s="17"/>
      <c r="J513" s="17" t="s">
        <v>1067</v>
      </c>
      <c r="K513" s="17"/>
      <c r="L513" s="17"/>
      <c r="AC513" s="1301"/>
    </row>
    <row r="514">
      <c r="B514" s="17"/>
      <c r="C514" s="17"/>
      <c r="D514" s="17"/>
      <c r="E514" s="343"/>
      <c r="F514" s="17"/>
      <c r="G514" s="17"/>
      <c r="H514" s="17"/>
      <c r="I514" s="17"/>
      <c r="J514" s="17" t="s">
        <v>1067</v>
      </c>
      <c r="K514" s="17"/>
      <c r="L514" s="17"/>
      <c r="AC514" s="1301"/>
    </row>
    <row r="515">
      <c r="B515" s="17"/>
      <c r="C515" s="17"/>
      <c r="D515" s="17"/>
      <c r="E515" s="343"/>
      <c r="F515" s="17"/>
      <c r="G515" s="17"/>
      <c r="H515" s="17"/>
      <c r="I515" s="17"/>
      <c r="J515" s="17" t="s">
        <v>1067</v>
      </c>
      <c r="K515" s="17"/>
      <c r="L515" s="17"/>
      <c r="AC515" s="1301"/>
    </row>
    <row r="516">
      <c r="B516" s="17"/>
      <c r="C516" s="17"/>
      <c r="D516" s="17"/>
      <c r="E516" s="343"/>
      <c r="F516" s="17"/>
      <c r="G516" s="17"/>
      <c r="H516" s="17"/>
      <c r="I516" s="17"/>
      <c r="J516" s="17" t="s">
        <v>1067</v>
      </c>
      <c r="K516" s="17"/>
      <c r="L516" s="17"/>
      <c r="AC516" s="1301"/>
    </row>
    <row r="517">
      <c r="B517" s="17"/>
      <c r="C517" s="17"/>
      <c r="D517" s="17"/>
      <c r="E517" s="343"/>
      <c r="F517" s="17"/>
      <c r="G517" s="17"/>
      <c r="H517" s="17"/>
      <c r="I517" s="17"/>
      <c r="J517" s="17" t="s">
        <v>1067</v>
      </c>
      <c r="K517" s="17"/>
      <c r="L517" s="17"/>
      <c r="AC517" s="1301"/>
    </row>
    <row r="518">
      <c r="B518" s="17"/>
      <c r="C518" s="17"/>
      <c r="D518" s="17"/>
      <c r="E518" s="343"/>
      <c r="F518" s="17"/>
      <c r="G518" s="17"/>
      <c r="H518" s="17"/>
      <c r="I518" s="17"/>
      <c r="J518" s="17" t="s">
        <v>1067</v>
      </c>
      <c r="K518" s="17"/>
      <c r="L518" s="17"/>
      <c r="AC518" s="1301"/>
    </row>
    <row r="519">
      <c r="B519" s="17"/>
      <c r="C519" s="17"/>
      <c r="D519" s="17"/>
      <c r="E519" s="343"/>
      <c r="F519" s="17"/>
      <c r="G519" s="17"/>
      <c r="H519" s="17"/>
      <c r="I519" s="17"/>
      <c r="J519" s="17" t="s">
        <v>1067</v>
      </c>
      <c r="K519" s="17"/>
      <c r="L519" s="17"/>
      <c r="AC519" s="1301"/>
    </row>
    <row r="520">
      <c r="B520" s="17"/>
      <c r="C520" s="17"/>
      <c r="D520" s="17"/>
      <c r="E520" s="343"/>
      <c r="F520" s="17"/>
      <c r="G520" s="17"/>
      <c r="H520" s="17"/>
      <c r="I520" s="17"/>
      <c r="J520" s="17" t="s">
        <v>1067</v>
      </c>
      <c r="K520" s="17"/>
      <c r="L520" s="17"/>
      <c r="AC520" s="1301"/>
    </row>
    <row r="521">
      <c r="B521" s="17"/>
      <c r="C521" s="17"/>
      <c r="D521" s="17"/>
      <c r="E521" s="343"/>
      <c r="F521" s="17"/>
      <c r="G521" s="17"/>
      <c r="H521" s="17"/>
      <c r="I521" s="17"/>
      <c r="J521" s="17" t="s">
        <v>1067</v>
      </c>
      <c r="K521" s="17"/>
      <c r="L521" s="17"/>
      <c r="AC521" s="1301"/>
    </row>
    <row r="522">
      <c r="B522" s="17"/>
      <c r="C522" s="17"/>
      <c r="D522" s="17"/>
      <c r="E522" s="343"/>
      <c r="F522" s="17"/>
      <c r="G522" s="17"/>
      <c r="H522" s="17"/>
      <c r="I522" s="17"/>
      <c r="J522" s="17" t="s">
        <v>1067</v>
      </c>
      <c r="K522" s="17"/>
      <c r="L522" s="17"/>
      <c r="AC522" s="1301"/>
    </row>
    <row r="523">
      <c r="B523" s="17"/>
      <c r="C523" s="17"/>
      <c r="D523" s="17"/>
      <c r="E523" s="343"/>
      <c r="F523" s="17"/>
      <c r="G523" s="17"/>
      <c r="H523" s="17"/>
      <c r="I523" s="17"/>
      <c r="J523" s="17" t="s">
        <v>1067</v>
      </c>
      <c r="K523" s="17"/>
      <c r="L523" s="17"/>
      <c r="AC523" s="1301"/>
    </row>
    <row r="524">
      <c r="B524" s="17"/>
      <c r="C524" s="17"/>
      <c r="D524" s="17"/>
      <c r="E524" s="343"/>
      <c r="F524" s="17"/>
      <c r="G524" s="17"/>
      <c r="H524" s="17"/>
      <c r="I524" s="17"/>
      <c r="J524" s="17" t="s">
        <v>1067</v>
      </c>
      <c r="K524" s="17"/>
      <c r="L524" s="17"/>
      <c r="AC524" s="1301"/>
    </row>
    <row r="525">
      <c r="B525" s="17"/>
      <c r="C525" s="17"/>
      <c r="D525" s="17"/>
      <c r="E525" s="343"/>
      <c r="F525" s="17"/>
      <c r="G525" s="17"/>
      <c r="H525" s="17"/>
      <c r="I525" s="17"/>
      <c r="J525" s="17" t="s">
        <v>1067</v>
      </c>
      <c r="K525" s="17"/>
      <c r="L525" s="17"/>
      <c r="AC525" s="1301"/>
    </row>
    <row r="526">
      <c r="B526" s="17"/>
      <c r="C526" s="17"/>
      <c r="D526" s="17"/>
      <c r="E526" s="343"/>
      <c r="F526" s="17"/>
      <c r="G526" s="17"/>
      <c r="H526" s="17"/>
      <c r="I526" s="17"/>
      <c r="J526" s="17" t="s">
        <v>1067</v>
      </c>
      <c r="K526" s="17"/>
      <c r="L526" s="17"/>
      <c r="AC526" s="1301"/>
    </row>
    <row r="527">
      <c r="B527" s="17"/>
      <c r="C527" s="17"/>
      <c r="D527" s="17"/>
      <c r="E527" s="343"/>
      <c r="F527" s="17"/>
      <c r="G527" s="17"/>
      <c r="H527" s="17"/>
      <c r="I527" s="17"/>
      <c r="J527" s="17" t="s">
        <v>1067</v>
      </c>
      <c r="K527" s="17"/>
      <c r="L527" s="17"/>
      <c r="AC527" s="1301"/>
    </row>
    <row r="528">
      <c r="B528" s="17"/>
      <c r="C528" s="17"/>
      <c r="D528" s="17"/>
      <c r="E528" s="343"/>
      <c r="F528" s="17"/>
      <c r="G528" s="17"/>
      <c r="H528" s="17"/>
      <c r="I528" s="17"/>
      <c r="J528" s="17" t="s">
        <v>1067</v>
      </c>
      <c r="K528" s="17"/>
      <c r="L528" s="17"/>
      <c r="AC528" s="1301"/>
    </row>
    <row r="529">
      <c r="B529" s="17"/>
      <c r="C529" s="17"/>
      <c r="D529" s="17"/>
      <c r="E529" s="343"/>
      <c r="F529" s="17"/>
      <c r="G529" s="17"/>
      <c r="H529" s="17"/>
      <c r="I529" s="17"/>
      <c r="J529" s="17" t="s">
        <v>1067</v>
      </c>
      <c r="K529" s="17"/>
      <c r="L529" s="17"/>
      <c r="AC529" s="1301"/>
    </row>
    <row r="530">
      <c r="B530" s="17"/>
      <c r="C530" s="17"/>
      <c r="D530" s="17"/>
      <c r="E530" s="343"/>
      <c r="F530" s="17"/>
      <c r="G530" s="17"/>
      <c r="H530" s="17"/>
      <c r="I530" s="17"/>
      <c r="J530" s="17" t="s">
        <v>1067</v>
      </c>
      <c r="K530" s="17"/>
      <c r="L530" s="17"/>
      <c r="AC530" s="1301"/>
    </row>
    <row r="531">
      <c r="B531" s="17"/>
      <c r="C531" s="17"/>
      <c r="D531" s="17"/>
      <c r="E531" s="343"/>
      <c r="F531" s="17"/>
      <c r="G531" s="17"/>
      <c r="H531" s="17"/>
      <c r="I531" s="17"/>
      <c r="J531" s="17" t="s">
        <v>1067</v>
      </c>
      <c r="K531" s="17"/>
      <c r="L531" s="17"/>
      <c r="AC531" s="1301"/>
    </row>
    <row r="532">
      <c r="B532" s="17"/>
      <c r="C532" s="17"/>
      <c r="D532" s="17"/>
      <c r="E532" s="343"/>
      <c r="F532" s="17"/>
      <c r="G532" s="17"/>
      <c r="H532" s="17"/>
      <c r="I532" s="17"/>
      <c r="J532" s="17" t="s">
        <v>1067</v>
      </c>
      <c r="K532" s="17"/>
      <c r="L532" s="17"/>
      <c r="AC532" s="1301"/>
    </row>
    <row r="533">
      <c r="B533" s="17"/>
      <c r="C533" s="17"/>
      <c r="D533" s="17"/>
      <c r="E533" s="343"/>
      <c r="F533" s="17"/>
      <c r="G533" s="17"/>
      <c r="H533" s="17"/>
      <c r="I533" s="17"/>
      <c r="J533" s="17" t="s">
        <v>1067</v>
      </c>
      <c r="K533" s="17"/>
      <c r="L533" s="17"/>
      <c r="AC533" s="1301"/>
    </row>
    <row r="534">
      <c r="B534" s="17"/>
      <c r="C534" s="17"/>
      <c r="D534" s="17"/>
      <c r="E534" s="343"/>
      <c r="F534" s="17"/>
      <c r="G534" s="17"/>
      <c r="H534" s="17"/>
      <c r="I534" s="17"/>
      <c r="J534" s="17" t="s">
        <v>1067</v>
      </c>
      <c r="K534" s="17"/>
      <c r="L534" s="17"/>
      <c r="AC534" s="1301"/>
    </row>
    <row r="535">
      <c r="B535" s="17"/>
      <c r="C535" s="17"/>
      <c r="D535" s="17"/>
      <c r="E535" s="343"/>
      <c r="F535" s="17"/>
      <c r="G535" s="17"/>
      <c r="H535" s="17"/>
      <c r="I535" s="17"/>
      <c r="J535" s="17" t="s">
        <v>1067</v>
      </c>
      <c r="K535" s="17"/>
      <c r="L535" s="17"/>
      <c r="AC535" s="1301"/>
    </row>
    <row r="536">
      <c r="B536" s="17"/>
      <c r="C536" s="17"/>
      <c r="D536" s="17"/>
      <c r="E536" s="343"/>
      <c r="F536" s="17"/>
      <c r="G536" s="17"/>
      <c r="H536" s="17"/>
      <c r="I536" s="17"/>
      <c r="J536" s="17" t="s">
        <v>1067</v>
      </c>
      <c r="K536" s="17"/>
      <c r="L536" s="17"/>
      <c r="AC536" s="1301"/>
    </row>
    <row r="537">
      <c r="B537" s="17"/>
      <c r="C537" s="17"/>
      <c r="D537" s="17"/>
      <c r="E537" s="343"/>
      <c r="F537" s="17"/>
      <c r="G537" s="17"/>
      <c r="H537" s="17"/>
      <c r="I537" s="17"/>
      <c r="J537" s="17" t="s">
        <v>1067</v>
      </c>
      <c r="K537" s="17"/>
      <c r="L537" s="17"/>
      <c r="AC537" s="1301"/>
    </row>
    <row r="538">
      <c r="B538" s="17"/>
      <c r="C538" s="17"/>
      <c r="D538" s="17"/>
      <c r="E538" s="343"/>
      <c r="F538" s="17"/>
      <c r="G538" s="17"/>
      <c r="H538" s="17"/>
      <c r="I538" s="17"/>
      <c r="J538" s="17" t="s">
        <v>1067</v>
      </c>
      <c r="K538" s="17"/>
      <c r="L538" s="17"/>
      <c r="AC538" s="1301"/>
    </row>
    <row r="539">
      <c r="B539" s="17"/>
      <c r="C539" s="17"/>
      <c r="D539" s="17"/>
      <c r="E539" s="343"/>
      <c r="F539" s="17"/>
      <c r="G539" s="17"/>
      <c r="H539" s="17"/>
      <c r="I539" s="17"/>
      <c r="J539" s="17" t="s">
        <v>1067</v>
      </c>
      <c r="K539" s="17"/>
      <c r="L539" s="17"/>
      <c r="AC539" s="1301"/>
    </row>
    <row r="540">
      <c r="B540" s="17"/>
      <c r="C540" s="17"/>
      <c r="D540" s="17"/>
      <c r="E540" s="343"/>
      <c r="F540" s="17"/>
      <c r="G540" s="17"/>
      <c r="H540" s="17"/>
      <c r="I540" s="17"/>
      <c r="J540" s="17" t="s">
        <v>1067</v>
      </c>
      <c r="K540" s="17"/>
      <c r="L540" s="17"/>
      <c r="AC540" s="1301"/>
    </row>
    <row r="541">
      <c r="B541" s="17"/>
      <c r="C541" s="17"/>
      <c r="D541" s="17"/>
      <c r="E541" s="343"/>
      <c r="F541" s="17"/>
      <c r="G541" s="17"/>
      <c r="H541" s="17"/>
      <c r="I541" s="17"/>
      <c r="J541" s="17" t="s">
        <v>1067</v>
      </c>
      <c r="K541" s="17"/>
      <c r="L541" s="17"/>
      <c r="AC541" s="1301"/>
    </row>
    <row r="542">
      <c r="B542" s="17"/>
      <c r="C542" s="17"/>
      <c r="D542" s="17"/>
      <c r="E542" s="343"/>
      <c r="F542" s="17"/>
      <c r="G542" s="17"/>
      <c r="H542" s="17"/>
      <c r="I542" s="17"/>
      <c r="J542" s="17" t="s">
        <v>1067</v>
      </c>
      <c r="K542" s="17"/>
      <c r="L542" s="17"/>
      <c r="AC542" s="1301"/>
    </row>
    <row r="543">
      <c r="B543" s="17"/>
      <c r="C543" s="17"/>
      <c r="D543" s="17"/>
      <c r="E543" s="343"/>
      <c r="F543" s="17"/>
      <c r="G543" s="17"/>
      <c r="H543" s="17"/>
      <c r="I543" s="17"/>
      <c r="J543" s="17" t="s">
        <v>1067</v>
      </c>
      <c r="K543" s="17"/>
      <c r="L543" s="17"/>
      <c r="AC543" s="1301"/>
    </row>
    <row r="544">
      <c r="B544" s="17"/>
      <c r="C544" s="17"/>
      <c r="D544" s="17"/>
      <c r="E544" s="343"/>
      <c r="F544" s="17"/>
      <c r="G544" s="17"/>
      <c r="H544" s="17"/>
      <c r="I544" s="17"/>
      <c r="J544" s="17" t="s">
        <v>1067</v>
      </c>
      <c r="K544" s="17"/>
      <c r="L544" s="17"/>
      <c r="AC544" s="1301"/>
    </row>
    <row r="545">
      <c r="B545" s="17"/>
      <c r="C545" s="17"/>
      <c r="D545" s="17"/>
      <c r="E545" s="343"/>
      <c r="F545" s="17"/>
      <c r="G545" s="17"/>
      <c r="H545" s="17"/>
      <c r="I545" s="17"/>
      <c r="J545" s="17" t="s">
        <v>1067</v>
      </c>
      <c r="K545" s="17"/>
      <c r="L545" s="17"/>
      <c r="AC545" s="1301"/>
    </row>
    <row r="546">
      <c r="B546" s="17"/>
      <c r="C546" s="17"/>
      <c r="D546" s="17"/>
      <c r="E546" s="343"/>
      <c r="F546" s="17"/>
      <c r="G546" s="17"/>
      <c r="H546" s="17"/>
      <c r="I546" s="17"/>
      <c r="J546" s="17" t="s">
        <v>1067</v>
      </c>
      <c r="K546" s="17"/>
      <c r="L546" s="17"/>
      <c r="AC546" s="1301"/>
    </row>
    <row r="547">
      <c r="B547" s="17"/>
      <c r="C547" s="17"/>
      <c r="D547" s="17"/>
      <c r="E547" s="343"/>
      <c r="F547" s="17"/>
      <c r="G547" s="17"/>
      <c r="H547" s="17"/>
      <c r="I547" s="17"/>
      <c r="J547" s="17" t="s">
        <v>1067</v>
      </c>
      <c r="K547" s="17"/>
      <c r="L547" s="17"/>
      <c r="AC547" s="1301"/>
    </row>
    <row r="548">
      <c r="B548" s="17"/>
      <c r="C548" s="17"/>
      <c r="D548" s="17"/>
      <c r="E548" s="343"/>
      <c r="F548" s="17"/>
      <c r="G548" s="17"/>
      <c r="H548" s="17"/>
      <c r="I548" s="17"/>
      <c r="J548" s="17" t="s">
        <v>1067</v>
      </c>
      <c r="K548" s="17"/>
      <c r="L548" s="17"/>
      <c r="AC548" s="1301"/>
    </row>
    <row r="549">
      <c r="B549" s="17"/>
      <c r="C549" s="17"/>
      <c r="D549" s="17"/>
      <c r="E549" s="343"/>
      <c r="F549" s="17"/>
      <c r="G549" s="17"/>
      <c r="H549" s="17"/>
      <c r="I549" s="17"/>
      <c r="J549" s="17" t="s">
        <v>1067</v>
      </c>
      <c r="K549" s="17"/>
      <c r="L549" s="17"/>
      <c r="AC549" s="1301"/>
    </row>
    <row r="550">
      <c r="B550" s="17"/>
      <c r="C550" s="17"/>
      <c r="D550" s="17"/>
      <c r="E550" s="343"/>
      <c r="F550" s="17"/>
      <c r="G550" s="17"/>
      <c r="H550" s="17"/>
      <c r="I550" s="17"/>
      <c r="J550" s="17" t="s">
        <v>1067</v>
      </c>
      <c r="K550" s="17"/>
      <c r="L550" s="17"/>
      <c r="AC550" s="1301"/>
    </row>
    <row r="551">
      <c r="B551" s="17"/>
      <c r="C551" s="17"/>
      <c r="D551" s="17"/>
      <c r="E551" s="343"/>
      <c r="F551" s="17"/>
      <c r="G551" s="17"/>
      <c r="H551" s="17"/>
      <c r="I551" s="17"/>
      <c r="J551" s="17" t="s">
        <v>1067</v>
      </c>
      <c r="K551" s="17"/>
      <c r="L551" s="17"/>
      <c r="AC551" s="1301"/>
    </row>
    <row r="552">
      <c r="B552" s="17"/>
      <c r="C552" s="17"/>
      <c r="D552" s="17"/>
      <c r="E552" s="343"/>
      <c r="F552" s="17"/>
      <c r="G552" s="17"/>
      <c r="H552" s="17"/>
      <c r="I552" s="17"/>
      <c r="J552" s="17" t="s">
        <v>1067</v>
      </c>
      <c r="K552" s="17"/>
      <c r="L552" s="17"/>
      <c r="AC552" s="1301"/>
    </row>
    <row r="553">
      <c r="B553" s="17"/>
      <c r="C553" s="17"/>
      <c r="D553" s="17"/>
      <c r="E553" s="343"/>
      <c r="F553" s="17"/>
      <c r="G553" s="17"/>
      <c r="H553" s="17"/>
      <c r="I553" s="17"/>
      <c r="J553" s="17" t="s">
        <v>1067</v>
      </c>
      <c r="K553" s="17"/>
      <c r="L553" s="17"/>
      <c r="AC553" s="1301"/>
    </row>
    <row r="554">
      <c r="B554" s="17"/>
      <c r="C554" s="17"/>
      <c r="D554" s="17"/>
      <c r="E554" s="343"/>
      <c r="F554" s="17"/>
      <c r="G554" s="17"/>
      <c r="H554" s="17"/>
      <c r="I554" s="17"/>
      <c r="J554" s="17" t="s">
        <v>1067</v>
      </c>
      <c r="K554" s="17"/>
      <c r="L554" s="17"/>
      <c r="AC554" s="1301"/>
    </row>
    <row r="555">
      <c r="B555" s="17"/>
      <c r="C555" s="17"/>
      <c r="D555" s="17"/>
      <c r="E555" s="343"/>
      <c r="F555" s="17"/>
      <c r="G555" s="17"/>
      <c r="H555" s="17"/>
      <c r="I555" s="17"/>
      <c r="J555" s="17" t="s">
        <v>1067</v>
      </c>
      <c r="K555" s="17"/>
      <c r="L555" s="17"/>
      <c r="AC555" s="1301"/>
    </row>
    <row r="556">
      <c r="B556" s="17"/>
      <c r="C556" s="17"/>
      <c r="D556" s="17"/>
      <c r="E556" s="343"/>
      <c r="F556" s="17"/>
      <c r="G556" s="17"/>
      <c r="H556" s="17"/>
      <c r="I556" s="17"/>
      <c r="J556" s="17" t="s">
        <v>1067</v>
      </c>
      <c r="K556" s="17"/>
      <c r="L556" s="17"/>
      <c r="AC556" s="1301"/>
    </row>
    <row r="557">
      <c r="B557" s="17"/>
      <c r="C557" s="17"/>
      <c r="D557" s="17"/>
      <c r="E557" s="343"/>
      <c r="F557" s="17"/>
      <c r="G557" s="17"/>
      <c r="H557" s="17"/>
      <c r="I557" s="17"/>
      <c r="J557" s="17" t="s">
        <v>1067</v>
      </c>
      <c r="K557" s="17"/>
      <c r="L557" s="17"/>
      <c r="AC557" s="1301"/>
    </row>
    <row r="558">
      <c r="B558" s="17"/>
      <c r="C558" s="17"/>
      <c r="D558" s="17"/>
      <c r="E558" s="343"/>
      <c r="F558" s="17"/>
      <c r="G558" s="17"/>
      <c r="H558" s="17"/>
      <c r="I558" s="17"/>
      <c r="J558" s="17" t="s">
        <v>1067</v>
      </c>
      <c r="K558" s="17"/>
      <c r="L558" s="17"/>
      <c r="AC558" s="1301"/>
    </row>
    <row r="559">
      <c r="B559" s="17"/>
      <c r="C559" s="17"/>
      <c r="D559" s="17"/>
      <c r="E559" s="343"/>
      <c r="F559" s="17"/>
      <c r="G559" s="17"/>
      <c r="H559" s="17"/>
      <c r="I559" s="17"/>
      <c r="J559" s="17" t="s">
        <v>1067</v>
      </c>
      <c r="K559" s="17"/>
      <c r="L559" s="17"/>
      <c r="AC559" s="1301"/>
    </row>
    <row r="560">
      <c r="B560" s="17"/>
      <c r="C560" s="17"/>
      <c r="D560" s="17"/>
      <c r="E560" s="343"/>
      <c r="F560" s="17"/>
      <c r="G560" s="17"/>
      <c r="H560" s="17"/>
      <c r="I560" s="17"/>
      <c r="J560" s="17" t="s">
        <v>1067</v>
      </c>
      <c r="K560" s="17"/>
      <c r="L560" s="17"/>
      <c r="AC560" s="1301"/>
    </row>
    <row r="561">
      <c r="B561" s="17"/>
      <c r="C561" s="17"/>
      <c r="D561" s="17"/>
      <c r="E561" s="343"/>
      <c r="F561" s="17"/>
      <c r="G561" s="17"/>
      <c r="H561" s="17"/>
      <c r="I561" s="17"/>
      <c r="J561" s="17" t="s">
        <v>1067</v>
      </c>
      <c r="K561" s="17"/>
      <c r="L561" s="17"/>
      <c r="AC561" s="1301"/>
    </row>
    <row r="562">
      <c r="B562" s="17"/>
      <c r="C562" s="17"/>
      <c r="D562" s="17"/>
      <c r="E562" s="343"/>
      <c r="F562" s="17"/>
      <c r="G562" s="17"/>
      <c r="H562" s="17"/>
      <c r="I562" s="17"/>
      <c r="J562" s="17" t="s">
        <v>1067</v>
      </c>
      <c r="K562" s="17"/>
      <c r="L562" s="17"/>
      <c r="AC562" s="1301"/>
    </row>
    <row r="563">
      <c r="B563" s="17"/>
      <c r="C563" s="17"/>
      <c r="D563" s="17"/>
      <c r="E563" s="343"/>
      <c r="F563" s="17"/>
      <c r="G563" s="17"/>
      <c r="H563" s="17"/>
      <c r="I563" s="17"/>
      <c r="J563" s="17" t="s">
        <v>1067</v>
      </c>
      <c r="K563" s="17"/>
      <c r="L563" s="17"/>
      <c r="AC563" s="1301"/>
    </row>
    <row r="564">
      <c r="B564" s="17"/>
      <c r="C564" s="17"/>
      <c r="D564" s="17"/>
      <c r="E564" s="343"/>
      <c r="F564" s="17"/>
      <c r="G564" s="17"/>
      <c r="H564" s="17"/>
      <c r="I564" s="17"/>
      <c r="J564" s="17" t="s">
        <v>1067</v>
      </c>
      <c r="K564" s="17"/>
      <c r="L564" s="17"/>
      <c r="AC564" s="1301"/>
    </row>
    <row r="565">
      <c r="B565" s="17"/>
      <c r="C565" s="17"/>
      <c r="D565" s="17"/>
      <c r="E565" s="343"/>
      <c r="F565" s="17"/>
      <c r="G565" s="17"/>
      <c r="H565" s="17"/>
      <c r="I565" s="17"/>
      <c r="J565" s="17" t="s">
        <v>1067</v>
      </c>
      <c r="K565" s="17"/>
      <c r="L565" s="17"/>
      <c r="AC565" s="1301"/>
    </row>
    <row r="566">
      <c r="B566" s="17"/>
      <c r="C566" s="17"/>
      <c r="D566" s="17"/>
      <c r="E566" s="343"/>
      <c r="F566" s="17"/>
      <c r="G566" s="17"/>
      <c r="H566" s="17"/>
      <c r="I566" s="17"/>
      <c r="J566" s="17" t="s">
        <v>1067</v>
      </c>
      <c r="K566" s="17"/>
      <c r="L566" s="17"/>
      <c r="AC566" s="1301"/>
    </row>
    <row r="567">
      <c r="B567" s="17"/>
      <c r="C567" s="17"/>
      <c r="D567" s="17"/>
      <c r="E567" s="343"/>
      <c r="F567" s="17"/>
      <c r="G567" s="17"/>
      <c r="H567" s="17"/>
      <c r="I567" s="17"/>
      <c r="J567" s="17" t="s">
        <v>1067</v>
      </c>
      <c r="K567" s="17"/>
      <c r="L567" s="17"/>
      <c r="AC567" s="1301"/>
    </row>
    <row r="568">
      <c r="B568" s="17"/>
      <c r="C568" s="17"/>
      <c r="D568" s="17"/>
      <c r="E568" s="343"/>
      <c r="F568" s="17"/>
      <c r="G568" s="17"/>
      <c r="H568" s="17"/>
      <c r="I568" s="17"/>
      <c r="J568" s="17" t="s">
        <v>1067</v>
      </c>
      <c r="K568" s="17"/>
      <c r="L568" s="17"/>
      <c r="AC568" s="1301"/>
    </row>
    <row r="569">
      <c r="B569" s="17"/>
      <c r="C569" s="17"/>
      <c r="D569" s="17"/>
      <c r="E569" s="343"/>
      <c r="F569" s="17"/>
      <c r="G569" s="17"/>
      <c r="H569" s="17"/>
      <c r="I569" s="17"/>
      <c r="J569" s="17" t="s">
        <v>1067</v>
      </c>
      <c r="K569" s="17"/>
      <c r="L569" s="17"/>
      <c r="AC569" s="1301"/>
    </row>
    <row r="570">
      <c r="B570" s="17"/>
      <c r="C570" s="17"/>
      <c r="D570" s="17"/>
      <c r="E570" s="343"/>
      <c r="F570" s="17"/>
      <c r="G570" s="17"/>
      <c r="H570" s="17"/>
      <c r="I570" s="17"/>
      <c r="J570" s="17" t="s">
        <v>1067</v>
      </c>
      <c r="K570" s="17"/>
      <c r="L570" s="17"/>
      <c r="AC570" s="1301"/>
    </row>
    <row r="571">
      <c r="B571" s="17"/>
      <c r="C571" s="17"/>
      <c r="D571" s="17"/>
      <c r="E571" s="343"/>
      <c r="F571" s="17"/>
      <c r="G571" s="17"/>
      <c r="H571" s="17"/>
      <c r="I571" s="17"/>
      <c r="J571" s="17" t="s">
        <v>1067</v>
      </c>
      <c r="K571" s="17"/>
      <c r="L571" s="17"/>
      <c r="AC571" s="1301"/>
    </row>
    <row r="572">
      <c r="B572" s="17"/>
      <c r="C572" s="17"/>
      <c r="D572" s="17"/>
      <c r="E572" s="343"/>
      <c r="F572" s="17"/>
      <c r="G572" s="17"/>
      <c r="H572" s="17"/>
      <c r="I572" s="17"/>
      <c r="J572" s="17" t="s">
        <v>1067</v>
      </c>
      <c r="K572" s="17"/>
      <c r="L572" s="17"/>
      <c r="AC572" s="1301"/>
    </row>
    <row r="573">
      <c r="B573" s="17"/>
      <c r="C573" s="17"/>
      <c r="D573" s="17"/>
      <c r="E573" s="343"/>
      <c r="F573" s="17"/>
      <c r="G573" s="17"/>
      <c r="H573" s="17"/>
      <c r="I573" s="17"/>
      <c r="J573" s="17" t="s">
        <v>1067</v>
      </c>
      <c r="K573" s="17"/>
      <c r="L573" s="17"/>
      <c r="AC573" s="1301"/>
    </row>
    <row r="574">
      <c r="B574" s="17"/>
      <c r="C574" s="17"/>
      <c r="D574" s="17"/>
      <c r="E574" s="343"/>
      <c r="F574" s="17"/>
      <c r="G574" s="17"/>
      <c r="H574" s="17"/>
      <c r="I574" s="17"/>
      <c r="J574" s="17" t="s">
        <v>1067</v>
      </c>
      <c r="K574" s="17"/>
      <c r="L574" s="17"/>
      <c r="AC574" s="1301"/>
    </row>
    <row r="575">
      <c r="B575" s="17"/>
      <c r="C575" s="17"/>
      <c r="D575" s="17"/>
      <c r="E575" s="343"/>
      <c r="F575" s="17"/>
      <c r="G575" s="17"/>
      <c r="H575" s="17"/>
      <c r="I575" s="17"/>
      <c r="J575" s="17" t="s">
        <v>1067</v>
      </c>
      <c r="K575" s="17"/>
      <c r="L575" s="17"/>
      <c r="AC575" s="1301"/>
    </row>
    <row r="576">
      <c r="B576" s="17"/>
      <c r="C576" s="17"/>
      <c r="D576" s="17"/>
      <c r="E576" s="343"/>
      <c r="F576" s="17"/>
      <c r="G576" s="17"/>
      <c r="H576" s="17"/>
      <c r="I576" s="17"/>
      <c r="J576" s="17" t="s">
        <v>1067</v>
      </c>
      <c r="K576" s="17"/>
      <c r="L576" s="17"/>
      <c r="AC576" s="1301"/>
    </row>
    <row r="577">
      <c r="B577" s="17"/>
      <c r="C577" s="17"/>
      <c r="D577" s="17"/>
      <c r="E577" s="343"/>
      <c r="F577" s="17"/>
      <c r="G577" s="17"/>
      <c r="H577" s="17"/>
      <c r="I577" s="17"/>
      <c r="J577" s="17" t="s">
        <v>1067</v>
      </c>
      <c r="K577" s="17"/>
      <c r="L577" s="17"/>
      <c r="AC577" s="1301"/>
    </row>
    <row r="578">
      <c r="B578" s="17"/>
      <c r="C578" s="17"/>
      <c r="D578" s="17"/>
      <c r="E578" s="343"/>
      <c r="F578" s="17"/>
      <c r="G578" s="17"/>
      <c r="H578" s="17"/>
      <c r="I578" s="17"/>
      <c r="J578" s="17" t="s">
        <v>1067</v>
      </c>
      <c r="K578" s="17"/>
      <c r="L578" s="17"/>
      <c r="AC578" s="1301"/>
    </row>
    <row r="579">
      <c r="B579" s="17"/>
      <c r="C579" s="17"/>
      <c r="D579" s="17"/>
      <c r="E579" s="343"/>
      <c r="F579" s="17"/>
      <c r="G579" s="17"/>
      <c r="H579" s="17"/>
      <c r="I579" s="17"/>
      <c r="J579" s="17" t="s">
        <v>1067</v>
      </c>
      <c r="K579" s="17"/>
      <c r="L579" s="17"/>
      <c r="AC579" s="1301"/>
    </row>
    <row r="580">
      <c r="B580" s="17"/>
      <c r="C580" s="17"/>
      <c r="D580" s="17"/>
      <c r="E580" s="343"/>
      <c r="F580" s="17"/>
      <c r="G580" s="17"/>
      <c r="H580" s="17"/>
      <c r="I580" s="17"/>
      <c r="J580" s="17" t="s">
        <v>1067</v>
      </c>
      <c r="K580" s="17"/>
      <c r="L580" s="17"/>
      <c r="AC580" s="1301"/>
    </row>
    <row r="581">
      <c r="B581" s="17"/>
      <c r="C581" s="17"/>
      <c r="D581" s="17"/>
      <c r="E581" s="343"/>
      <c r="F581" s="17"/>
      <c r="G581" s="17"/>
      <c r="H581" s="17"/>
      <c r="I581" s="17"/>
      <c r="J581" s="17" t="s">
        <v>1067</v>
      </c>
      <c r="K581" s="17"/>
      <c r="L581" s="17"/>
      <c r="AC581" s="1301"/>
    </row>
    <row r="582">
      <c r="B582" s="17"/>
      <c r="C582" s="17"/>
      <c r="D582" s="17"/>
      <c r="E582" s="343"/>
      <c r="F582" s="17"/>
      <c r="G582" s="17"/>
      <c r="H582" s="17"/>
      <c r="I582" s="17"/>
      <c r="J582" s="17" t="s">
        <v>1067</v>
      </c>
      <c r="K582" s="17"/>
      <c r="L582" s="17"/>
      <c r="AC582" s="1301"/>
    </row>
    <row r="583">
      <c r="B583" s="17"/>
      <c r="C583" s="17"/>
      <c r="D583" s="17"/>
      <c r="E583" s="343"/>
      <c r="F583" s="17"/>
      <c r="G583" s="17"/>
      <c r="H583" s="17"/>
      <c r="I583" s="17"/>
      <c r="J583" s="17" t="s">
        <v>1067</v>
      </c>
      <c r="K583" s="17"/>
      <c r="L583" s="17"/>
      <c r="AC583" s="1301"/>
    </row>
    <row r="584">
      <c r="B584" s="17"/>
      <c r="C584" s="17"/>
      <c r="D584" s="17"/>
      <c r="E584" s="343"/>
      <c r="F584" s="17"/>
      <c r="G584" s="17"/>
      <c r="H584" s="17"/>
      <c r="I584" s="17"/>
      <c r="J584" s="17" t="s">
        <v>1067</v>
      </c>
      <c r="K584" s="17"/>
      <c r="L584" s="17"/>
      <c r="AC584" s="1301"/>
    </row>
    <row r="585">
      <c r="B585" s="17"/>
      <c r="C585" s="17"/>
      <c r="D585" s="17"/>
      <c r="E585" s="343"/>
      <c r="F585" s="17"/>
      <c r="G585" s="17"/>
      <c r="H585" s="17"/>
      <c r="I585" s="17"/>
      <c r="J585" s="17" t="s">
        <v>1067</v>
      </c>
      <c r="K585" s="17"/>
      <c r="L585" s="17"/>
      <c r="AC585" s="1301"/>
    </row>
    <row r="586">
      <c r="B586" s="17"/>
      <c r="C586" s="17"/>
      <c r="D586" s="17"/>
      <c r="E586" s="343"/>
      <c r="F586" s="17"/>
      <c r="G586" s="17"/>
      <c r="H586" s="17"/>
      <c r="I586" s="17"/>
      <c r="J586" s="17" t="s">
        <v>1067</v>
      </c>
      <c r="K586" s="17"/>
      <c r="L586" s="17"/>
      <c r="AC586" s="1301"/>
    </row>
    <row r="587">
      <c r="B587" s="17"/>
      <c r="C587" s="17"/>
      <c r="D587" s="17"/>
      <c r="E587" s="343"/>
      <c r="F587" s="17"/>
      <c r="G587" s="17"/>
      <c r="H587" s="17"/>
      <c r="I587" s="17"/>
      <c r="J587" s="17" t="s">
        <v>1067</v>
      </c>
      <c r="K587" s="17"/>
      <c r="L587" s="17"/>
      <c r="AC587" s="1301"/>
    </row>
    <row r="588">
      <c r="B588" s="17"/>
      <c r="C588" s="17"/>
      <c r="D588" s="17"/>
      <c r="E588" s="343"/>
      <c r="F588" s="17"/>
      <c r="G588" s="17"/>
      <c r="H588" s="17"/>
      <c r="I588" s="17"/>
      <c r="J588" s="17" t="s">
        <v>1067</v>
      </c>
      <c r="K588" s="17"/>
      <c r="L588" s="17"/>
      <c r="AC588" s="1301"/>
    </row>
    <row r="589">
      <c r="B589" s="17"/>
      <c r="C589" s="17"/>
      <c r="D589" s="17"/>
      <c r="E589" s="343"/>
      <c r="F589" s="17"/>
      <c r="G589" s="17"/>
      <c r="H589" s="17"/>
      <c r="I589" s="17"/>
      <c r="J589" s="17" t="s">
        <v>1067</v>
      </c>
      <c r="K589" s="17"/>
      <c r="L589" s="17"/>
      <c r="AC589" s="1301"/>
    </row>
    <row r="590">
      <c r="B590" s="17"/>
      <c r="C590" s="17"/>
      <c r="D590" s="17"/>
      <c r="E590" s="343"/>
      <c r="F590" s="17"/>
      <c r="G590" s="17"/>
      <c r="H590" s="17"/>
      <c r="I590" s="17"/>
      <c r="J590" s="17" t="s">
        <v>1067</v>
      </c>
      <c r="K590" s="17"/>
      <c r="L590" s="17"/>
      <c r="AC590" s="1301"/>
    </row>
    <row r="591">
      <c r="B591" s="17"/>
      <c r="C591" s="17"/>
      <c r="D591" s="17"/>
      <c r="E591" s="343"/>
      <c r="F591" s="17"/>
      <c r="G591" s="17"/>
      <c r="H591" s="17"/>
      <c r="I591" s="17"/>
      <c r="J591" s="17" t="s">
        <v>1067</v>
      </c>
      <c r="K591" s="17"/>
      <c r="L591" s="17"/>
      <c r="AC591" s="1301"/>
    </row>
    <row r="592">
      <c r="B592" s="17"/>
      <c r="C592" s="17"/>
      <c r="D592" s="17"/>
      <c r="E592" s="343"/>
      <c r="F592" s="17"/>
      <c r="G592" s="17"/>
      <c r="H592" s="17"/>
      <c r="I592" s="17"/>
      <c r="J592" s="17" t="s">
        <v>1067</v>
      </c>
      <c r="K592" s="17"/>
      <c r="L592" s="17"/>
      <c r="AC592" s="1301"/>
    </row>
    <row r="593">
      <c r="B593" s="17"/>
      <c r="C593" s="17"/>
      <c r="D593" s="17"/>
      <c r="E593" s="343"/>
      <c r="F593" s="17"/>
      <c r="G593" s="17"/>
      <c r="H593" s="17"/>
      <c r="I593" s="17"/>
      <c r="J593" s="17" t="s">
        <v>1067</v>
      </c>
      <c r="K593" s="17"/>
      <c r="L593" s="17"/>
      <c r="AC593" s="1301"/>
    </row>
    <row r="594">
      <c r="B594" s="17"/>
      <c r="C594" s="17"/>
      <c r="D594" s="17"/>
      <c r="E594" s="343"/>
      <c r="F594" s="17"/>
      <c r="G594" s="17"/>
      <c r="H594" s="17"/>
      <c r="I594" s="17"/>
      <c r="J594" s="17" t="s">
        <v>1067</v>
      </c>
      <c r="K594" s="17"/>
      <c r="L594" s="17"/>
      <c r="AC594" s="1301"/>
    </row>
    <row r="595">
      <c r="B595" s="17"/>
      <c r="C595" s="17"/>
      <c r="D595" s="17"/>
      <c r="E595" s="343"/>
      <c r="F595" s="17"/>
      <c r="G595" s="17"/>
      <c r="H595" s="17"/>
      <c r="I595" s="17"/>
      <c r="J595" s="17" t="s">
        <v>1067</v>
      </c>
      <c r="K595" s="17"/>
      <c r="L595" s="17"/>
      <c r="AC595" s="1301"/>
    </row>
    <row r="596">
      <c r="B596" s="17"/>
      <c r="C596" s="17"/>
      <c r="D596" s="17"/>
      <c r="E596" s="343"/>
      <c r="F596" s="17"/>
      <c r="G596" s="17"/>
      <c r="H596" s="17"/>
      <c r="I596" s="17"/>
      <c r="J596" s="17" t="s">
        <v>1067</v>
      </c>
      <c r="K596" s="17"/>
      <c r="L596" s="17"/>
      <c r="AC596" s="1301"/>
    </row>
    <row r="597">
      <c r="B597" s="17"/>
      <c r="C597" s="17"/>
      <c r="D597" s="17"/>
      <c r="E597" s="343"/>
      <c r="F597" s="17"/>
      <c r="G597" s="17"/>
      <c r="H597" s="17"/>
      <c r="I597" s="17"/>
      <c r="J597" s="17" t="s">
        <v>1067</v>
      </c>
      <c r="K597" s="17"/>
      <c r="L597" s="17"/>
      <c r="AC597" s="1301"/>
    </row>
    <row r="598">
      <c r="B598" s="17"/>
      <c r="C598" s="17"/>
      <c r="D598" s="17"/>
      <c r="E598" s="343"/>
      <c r="F598" s="17"/>
      <c r="G598" s="17"/>
      <c r="H598" s="17"/>
      <c r="I598" s="17"/>
      <c r="J598" s="17" t="s">
        <v>1067</v>
      </c>
      <c r="K598" s="17"/>
      <c r="L598" s="17"/>
      <c r="AC598" s="1301"/>
    </row>
    <row r="599">
      <c r="B599" s="17"/>
      <c r="C599" s="17"/>
      <c r="D599" s="17"/>
      <c r="E599" s="343"/>
      <c r="F599" s="17"/>
      <c r="G599" s="17"/>
      <c r="H599" s="17"/>
      <c r="I599" s="17"/>
      <c r="J599" s="17" t="s">
        <v>1067</v>
      </c>
      <c r="K599" s="17"/>
      <c r="L599" s="17"/>
      <c r="AC599" s="1301"/>
    </row>
    <row r="600">
      <c r="B600" s="17"/>
      <c r="C600" s="17"/>
      <c r="D600" s="17"/>
      <c r="E600" s="343"/>
      <c r="F600" s="17"/>
      <c r="G600" s="17"/>
      <c r="H600" s="17"/>
      <c r="I600" s="17"/>
      <c r="J600" s="17" t="s">
        <v>1067</v>
      </c>
      <c r="K600" s="17"/>
      <c r="L600" s="17"/>
      <c r="AC600" s="1301"/>
    </row>
    <row r="601">
      <c r="B601" s="17"/>
      <c r="C601" s="17"/>
      <c r="D601" s="17"/>
      <c r="E601" s="343"/>
      <c r="F601" s="17"/>
      <c r="G601" s="17"/>
      <c r="H601" s="17"/>
      <c r="I601" s="17"/>
      <c r="J601" s="17" t="s">
        <v>1067</v>
      </c>
      <c r="K601" s="17"/>
      <c r="L601" s="17"/>
      <c r="AC601" s="1301"/>
    </row>
    <row r="602">
      <c r="B602" s="17"/>
      <c r="C602" s="17"/>
      <c r="D602" s="17"/>
      <c r="E602" s="343"/>
      <c r="F602" s="17"/>
      <c r="G602" s="17"/>
      <c r="H602" s="17"/>
      <c r="I602" s="17"/>
      <c r="J602" s="17" t="s">
        <v>1067</v>
      </c>
      <c r="K602" s="17"/>
      <c r="L602" s="17"/>
      <c r="AC602" s="1301"/>
    </row>
    <row r="603">
      <c r="B603" s="17"/>
      <c r="C603" s="17"/>
      <c r="D603" s="17"/>
      <c r="E603" s="343"/>
      <c r="F603" s="17"/>
      <c r="G603" s="17"/>
      <c r="H603" s="17"/>
      <c r="I603" s="17"/>
      <c r="J603" s="17" t="s">
        <v>1067</v>
      </c>
      <c r="K603" s="17"/>
      <c r="L603" s="17"/>
      <c r="AC603" s="1301"/>
    </row>
    <row r="604">
      <c r="B604" s="17"/>
      <c r="C604" s="17"/>
      <c r="D604" s="17"/>
      <c r="E604" s="343"/>
      <c r="F604" s="17"/>
      <c r="G604" s="17"/>
      <c r="H604" s="17"/>
      <c r="I604" s="17"/>
      <c r="J604" s="17" t="s">
        <v>1067</v>
      </c>
      <c r="K604" s="17"/>
      <c r="L604" s="17"/>
      <c r="AC604" s="1301"/>
    </row>
    <row r="605">
      <c r="B605" s="17"/>
      <c r="C605" s="17"/>
      <c r="D605" s="17"/>
      <c r="E605" s="343"/>
      <c r="F605" s="17"/>
      <c r="G605" s="17"/>
      <c r="H605" s="17"/>
      <c r="I605" s="17"/>
      <c r="J605" s="17" t="s">
        <v>1067</v>
      </c>
      <c r="K605" s="17"/>
      <c r="L605" s="17"/>
      <c r="AC605" s="1301"/>
    </row>
    <row r="606">
      <c r="B606" s="17"/>
      <c r="C606" s="17"/>
      <c r="D606" s="17"/>
      <c r="E606" s="343"/>
      <c r="F606" s="17"/>
      <c r="G606" s="17"/>
      <c r="H606" s="17"/>
      <c r="I606" s="17"/>
      <c r="J606" s="17" t="s">
        <v>1067</v>
      </c>
      <c r="K606" s="17"/>
      <c r="L606" s="17"/>
      <c r="AC606" s="1301"/>
    </row>
    <row r="607">
      <c r="B607" s="17"/>
      <c r="C607" s="17"/>
      <c r="D607" s="17"/>
      <c r="E607" s="343"/>
      <c r="F607" s="17"/>
      <c r="G607" s="17"/>
      <c r="H607" s="17"/>
      <c r="I607" s="17"/>
      <c r="J607" s="17" t="s">
        <v>1067</v>
      </c>
      <c r="K607" s="17"/>
      <c r="L607" s="17"/>
      <c r="AC607" s="1301"/>
    </row>
    <row r="608">
      <c r="B608" s="17"/>
      <c r="C608" s="17"/>
      <c r="D608" s="17"/>
      <c r="E608" s="343"/>
      <c r="F608" s="17"/>
      <c r="G608" s="17"/>
      <c r="H608" s="17"/>
      <c r="I608" s="17"/>
      <c r="J608" s="17" t="s">
        <v>1067</v>
      </c>
      <c r="K608" s="17"/>
      <c r="L608" s="17"/>
      <c r="AC608" s="1301"/>
    </row>
    <row r="609">
      <c r="B609" s="17"/>
      <c r="C609" s="17"/>
      <c r="D609" s="17"/>
      <c r="E609" s="343"/>
      <c r="F609" s="17"/>
      <c r="G609" s="17"/>
      <c r="H609" s="17"/>
      <c r="I609" s="17"/>
      <c r="J609" s="17" t="s">
        <v>1067</v>
      </c>
      <c r="K609" s="17"/>
      <c r="L609" s="17"/>
      <c r="AC609" s="1301"/>
    </row>
    <row r="610">
      <c r="B610" s="17"/>
      <c r="C610" s="17"/>
      <c r="D610" s="17"/>
      <c r="E610" s="343"/>
      <c r="F610" s="17"/>
      <c r="G610" s="17"/>
      <c r="H610" s="17"/>
      <c r="I610" s="17"/>
      <c r="J610" s="17" t="s">
        <v>1067</v>
      </c>
      <c r="K610" s="17"/>
      <c r="L610" s="17"/>
      <c r="AC610" s="1301"/>
    </row>
    <row r="611">
      <c r="B611" s="17"/>
      <c r="C611" s="17"/>
      <c r="D611" s="17"/>
      <c r="E611" s="343"/>
      <c r="F611" s="17"/>
      <c r="G611" s="17"/>
      <c r="H611" s="17"/>
      <c r="I611" s="17"/>
      <c r="J611" s="17" t="s">
        <v>1067</v>
      </c>
      <c r="K611" s="17"/>
      <c r="L611" s="17"/>
      <c r="AC611" s="1301"/>
    </row>
    <row r="612">
      <c r="B612" s="17"/>
      <c r="C612" s="17"/>
      <c r="D612" s="17"/>
      <c r="E612" s="343"/>
      <c r="F612" s="17"/>
      <c r="G612" s="17"/>
      <c r="H612" s="17"/>
      <c r="I612" s="17"/>
      <c r="J612" s="17" t="s">
        <v>1067</v>
      </c>
      <c r="K612" s="17"/>
      <c r="L612" s="17"/>
      <c r="AC612" s="1301"/>
    </row>
    <row r="613">
      <c r="B613" s="17"/>
      <c r="C613" s="17"/>
      <c r="D613" s="17"/>
      <c r="E613" s="343"/>
      <c r="F613" s="17"/>
      <c r="G613" s="17"/>
      <c r="H613" s="17"/>
      <c r="I613" s="17"/>
      <c r="J613" s="17" t="s">
        <v>1067</v>
      </c>
      <c r="K613" s="17"/>
      <c r="L613" s="17"/>
      <c r="AC613" s="1301"/>
    </row>
    <row r="614">
      <c r="B614" s="17"/>
      <c r="C614" s="17"/>
      <c r="D614" s="17"/>
      <c r="E614" s="343"/>
      <c r="F614" s="17"/>
      <c r="G614" s="17"/>
      <c r="H614" s="17"/>
      <c r="I614" s="17"/>
      <c r="J614" s="17" t="s">
        <v>1067</v>
      </c>
      <c r="K614" s="17"/>
      <c r="L614" s="17"/>
      <c r="AC614" s="1301"/>
    </row>
    <row r="615">
      <c r="B615" s="17"/>
      <c r="C615" s="17"/>
      <c r="D615" s="17"/>
      <c r="E615" s="343"/>
      <c r="F615" s="17"/>
      <c r="G615" s="17"/>
      <c r="H615" s="17"/>
      <c r="I615" s="17"/>
      <c r="J615" s="17" t="s">
        <v>1067</v>
      </c>
      <c r="K615" s="17"/>
      <c r="L615" s="17"/>
      <c r="AC615" s="1301"/>
    </row>
    <row r="616">
      <c r="B616" s="17"/>
      <c r="C616" s="17"/>
      <c r="D616" s="17"/>
      <c r="E616" s="343"/>
      <c r="F616" s="17"/>
      <c r="G616" s="17"/>
      <c r="H616" s="17"/>
      <c r="I616" s="17"/>
      <c r="J616" s="17" t="s">
        <v>1067</v>
      </c>
      <c r="K616" s="17"/>
      <c r="L616" s="17"/>
      <c r="AC616" s="1301"/>
    </row>
    <row r="617">
      <c r="B617" s="17"/>
      <c r="C617" s="17"/>
      <c r="D617" s="17"/>
      <c r="E617" s="343"/>
      <c r="F617" s="17"/>
      <c r="G617" s="17"/>
      <c r="H617" s="17"/>
      <c r="I617" s="17"/>
      <c r="J617" s="17" t="s">
        <v>1067</v>
      </c>
      <c r="K617" s="17"/>
      <c r="L617" s="17"/>
      <c r="AC617" s="1301"/>
    </row>
    <row r="618">
      <c r="B618" s="17"/>
      <c r="C618" s="17"/>
      <c r="D618" s="17"/>
      <c r="E618" s="343"/>
      <c r="F618" s="17"/>
      <c r="G618" s="17"/>
      <c r="H618" s="17"/>
      <c r="I618" s="17"/>
      <c r="J618" s="17" t="s">
        <v>1067</v>
      </c>
      <c r="K618" s="17"/>
      <c r="L618" s="17"/>
      <c r="AC618" s="1301"/>
    </row>
    <row r="619">
      <c r="B619" s="17"/>
      <c r="C619" s="17"/>
      <c r="D619" s="17"/>
      <c r="E619" s="343"/>
      <c r="F619" s="17"/>
      <c r="G619" s="17"/>
      <c r="H619" s="17"/>
      <c r="I619" s="17"/>
      <c r="J619" s="17" t="s">
        <v>1067</v>
      </c>
      <c r="K619" s="17"/>
      <c r="L619" s="17"/>
      <c r="AC619" s="1301"/>
    </row>
    <row r="620">
      <c r="B620" s="17"/>
      <c r="C620" s="17"/>
      <c r="D620" s="17"/>
      <c r="E620" s="343"/>
      <c r="F620" s="17"/>
      <c r="G620" s="17"/>
      <c r="H620" s="17"/>
      <c r="I620" s="17"/>
      <c r="J620" s="17" t="s">
        <v>1067</v>
      </c>
      <c r="K620" s="17"/>
      <c r="L620" s="17"/>
      <c r="AC620" s="1301"/>
    </row>
    <row r="621">
      <c r="B621" s="17"/>
      <c r="C621" s="17"/>
      <c r="D621" s="17"/>
      <c r="E621" s="343"/>
      <c r="F621" s="17"/>
      <c r="G621" s="17"/>
      <c r="H621" s="17"/>
      <c r="I621" s="17"/>
      <c r="J621" s="17" t="s">
        <v>1067</v>
      </c>
      <c r="K621" s="17"/>
      <c r="L621" s="17"/>
      <c r="AC621" s="1301"/>
    </row>
    <row r="622">
      <c r="B622" s="17"/>
      <c r="C622" s="17"/>
      <c r="D622" s="17"/>
      <c r="E622" s="343"/>
      <c r="F622" s="17"/>
      <c r="G622" s="17"/>
      <c r="H622" s="17"/>
      <c r="I622" s="17"/>
      <c r="J622" s="17" t="s">
        <v>1067</v>
      </c>
      <c r="K622" s="17"/>
      <c r="L622" s="17"/>
      <c r="AC622" s="1301"/>
    </row>
    <row r="623">
      <c r="B623" s="17"/>
      <c r="C623" s="17"/>
      <c r="D623" s="17"/>
      <c r="E623" s="343"/>
      <c r="F623" s="17"/>
      <c r="G623" s="17"/>
      <c r="H623" s="17"/>
      <c r="I623" s="17"/>
      <c r="J623" s="17" t="s">
        <v>1067</v>
      </c>
      <c r="K623" s="17"/>
      <c r="L623" s="17"/>
      <c r="AC623" s="1301"/>
    </row>
    <row r="624">
      <c r="B624" s="17"/>
      <c r="C624" s="17"/>
      <c r="D624" s="17"/>
      <c r="E624" s="343"/>
      <c r="F624" s="17"/>
      <c r="G624" s="17"/>
      <c r="H624" s="17"/>
      <c r="I624" s="17"/>
      <c r="J624" s="17" t="s">
        <v>1067</v>
      </c>
      <c r="K624" s="17"/>
      <c r="L624" s="17"/>
      <c r="AC624" s="1301"/>
    </row>
    <row r="625">
      <c r="B625" s="17"/>
      <c r="C625" s="17"/>
      <c r="D625" s="17"/>
      <c r="E625" s="343"/>
      <c r="F625" s="17"/>
      <c r="G625" s="17"/>
      <c r="H625" s="17"/>
      <c r="I625" s="17"/>
      <c r="J625" s="17" t="s">
        <v>1067</v>
      </c>
      <c r="K625" s="17"/>
      <c r="L625" s="17"/>
      <c r="AC625" s="1301"/>
    </row>
    <row r="626">
      <c r="B626" s="17"/>
      <c r="C626" s="17"/>
      <c r="D626" s="17"/>
      <c r="E626" s="343"/>
      <c r="F626" s="17"/>
      <c r="G626" s="17"/>
      <c r="H626" s="17"/>
      <c r="I626" s="17"/>
      <c r="J626" s="17" t="s">
        <v>1067</v>
      </c>
      <c r="K626" s="17"/>
      <c r="L626" s="17"/>
      <c r="AC626" s="1301"/>
    </row>
    <row r="627">
      <c r="B627" s="17"/>
      <c r="C627" s="17"/>
      <c r="D627" s="17"/>
      <c r="E627" s="343"/>
      <c r="F627" s="17"/>
      <c r="G627" s="17"/>
      <c r="H627" s="17"/>
      <c r="I627" s="17"/>
      <c r="J627" s="17" t="s">
        <v>1067</v>
      </c>
      <c r="K627" s="17"/>
      <c r="L627" s="17"/>
      <c r="AC627" s="1301"/>
    </row>
    <row r="628">
      <c r="B628" s="17"/>
      <c r="C628" s="17"/>
      <c r="D628" s="17"/>
      <c r="E628" s="343"/>
      <c r="F628" s="17"/>
      <c r="G628" s="17"/>
      <c r="H628" s="17"/>
      <c r="I628" s="17"/>
      <c r="J628" s="17" t="s">
        <v>1067</v>
      </c>
      <c r="K628" s="17"/>
      <c r="L628" s="17"/>
      <c r="AC628" s="1301"/>
    </row>
    <row r="629">
      <c r="B629" s="17"/>
      <c r="C629" s="17"/>
      <c r="D629" s="17"/>
      <c r="E629" s="343"/>
      <c r="F629" s="17"/>
      <c r="G629" s="17"/>
      <c r="H629" s="17"/>
      <c r="I629" s="17"/>
      <c r="J629" s="17" t="s">
        <v>1067</v>
      </c>
      <c r="K629" s="17"/>
      <c r="L629" s="17"/>
      <c r="AC629" s="1301"/>
    </row>
    <row r="630">
      <c r="B630" s="17"/>
      <c r="C630" s="17"/>
      <c r="D630" s="17"/>
      <c r="E630" s="343"/>
      <c r="F630" s="17"/>
      <c r="G630" s="17"/>
      <c r="H630" s="17"/>
      <c r="I630" s="17"/>
      <c r="J630" s="17" t="s">
        <v>1067</v>
      </c>
      <c r="K630" s="17"/>
      <c r="L630" s="17"/>
      <c r="AC630" s="1301"/>
    </row>
    <row r="631">
      <c r="B631" s="17"/>
      <c r="C631" s="17"/>
      <c r="D631" s="17"/>
      <c r="E631" s="343"/>
      <c r="F631" s="17"/>
      <c r="G631" s="17"/>
      <c r="H631" s="17"/>
      <c r="I631" s="17"/>
      <c r="J631" s="17" t="s">
        <v>1067</v>
      </c>
      <c r="K631" s="17"/>
      <c r="L631" s="17"/>
      <c r="AC631" s="1301"/>
    </row>
    <row r="632">
      <c r="B632" s="17"/>
      <c r="C632" s="17"/>
      <c r="D632" s="17"/>
      <c r="E632" s="343"/>
      <c r="F632" s="17"/>
      <c r="G632" s="17"/>
      <c r="H632" s="17"/>
      <c r="I632" s="17"/>
      <c r="J632" s="17" t="s">
        <v>1067</v>
      </c>
      <c r="K632" s="17"/>
      <c r="L632" s="17"/>
      <c r="AC632" s="1301"/>
    </row>
    <row r="633">
      <c r="B633" s="17"/>
      <c r="C633" s="17"/>
      <c r="D633" s="17"/>
      <c r="E633" s="343"/>
      <c r="F633" s="17"/>
      <c r="G633" s="17"/>
      <c r="H633" s="17"/>
      <c r="I633" s="17"/>
      <c r="J633" s="17" t="s">
        <v>1067</v>
      </c>
      <c r="K633" s="17"/>
      <c r="L633" s="17"/>
      <c r="AC633" s="1301"/>
    </row>
    <row r="634">
      <c r="B634" s="17"/>
      <c r="C634" s="17"/>
      <c r="D634" s="17"/>
      <c r="E634" s="343"/>
      <c r="F634" s="17"/>
      <c r="G634" s="17"/>
      <c r="H634" s="17"/>
      <c r="I634" s="17"/>
      <c r="J634" s="17" t="s">
        <v>1067</v>
      </c>
      <c r="K634" s="17"/>
      <c r="L634" s="17"/>
      <c r="AC634" s="1301"/>
    </row>
    <row r="635">
      <c r="B635" s="17"/>
      <c r="C635" s="17"/>
      <c r="D635" s="17"/>
      <c r="E635" s="343"/>
      <c r="F635" s="17"/>
      <c r="G635" s="17"/>
      <c r="H635" s="17"/>
      <c r="I635" s="17"/>
      <c r="J635" s="17" t="s">
        <v>1067</v>
      </c>
      <c r="K635" s="17"/>
      <c r="L635" s="17"/>
      <c r="AC635" s="1301"/>
    </row>
    <row r="636">
      <c r="B636" s="17"/>
      <c r="C636" s="17"/>
      <c r="D636" s="17"/>
      <c r="E636" s="343"/>
      <c r="F636" s="17"/>
      <c r="G636" s="17"/>
      <c r="H636" s="17"/>
      <c r="I636" s="17"/>
      <c r="J636" s="17" t="s">
        <v>1067</v>
      </c>
      <c r="K636" s="17"/>
      <c r="L636" s="17"/>
      <c r="AC636" s="1301"/>
    </row>
    <row r="637">
      <c r="B637" s="17"/>
      <c r="C637" s="17"/>
      <c r="D637" s="17"/>
      <c r="E637" s="343"/>
      <c r="F637" s="17"/>
      <c r="G637" s="17"/>
      <c r="H637" s="17"/>
      <c r="I637" s="17"/>
      <c r="J637" s="17" t="s">
        <v>1067</v>
      </c>
      <c r="K637" s="17"/>
      <c r="L637" s="17"/>
      <c r="AC637" s="1301"/>
    </row>
    <row r="638">
      <c r="B638" s="17"/>
      <c r="C638" s="17"/>
      <c r="D638" s="17"/>
      <c r="E638" s="343"/>
      <c r="F638" s="17"/>
      <c r="G638" s="17"/>
      <c r="H638" s="17"/>
      <c r="I638" s="17"/>
      <c r="J638" s="17" t="s">
        <v>1067</v>
      </c>
      <c r="K638" s="17"/>
      <c r="L638" s="17"/>
      <c r="AC638" s="1301"/>
    </row>
    <row r="639">
      <c r="B639" s="17"/>
      <c r="C639" s="17"/>
      <c r="D639" s="17"/>
      <c r="E639" s="343"/>
      <c r="F639" s="17"/>
      <c r="G639" s="17"/>
      <c r="H639" s="17"/>
      <c r="I639" s="17"/>
      <c r="J639" s="17" t="s">
        <v>1067</v>
      </c>
      <c r="K639" s="17"/>
      <c r="L639" s="17"/>
      <c r="AC639" s="1301"/>
    </row>
    <row r="640">
      <c r="B640" s="17"/>
      <c r="C640" s="17"/>
      <c r="D640" s="17"/>
      <c r="E640" s="343"/>
      <c r="F640" s="17"/>
      <c r="G640" s="17"/>
      <c r="H640" s="17"/>
      <c r="I640" s="17"/>
      <c r="J640" s="17" t="s">
        <v>1067</v>
      </c>
      <c r="K640" s="17"/>
      <c r="L640" s="17"/>
      <c r="AC640" s="1301"/>
    </row>
    <row r="641">
      <c r="B641" s="17"/>
      <c r="C641" s="17"/>
      <c r="D641" s="17"/>
      <c r="E641" s="343"/>
      <c r="F641" s="17"/>
      <c r="G641" s="17"/>
      <c r="H641" s="17"/>
      <c r="I641" s="17"/>
      <c r="J641" s="17" t="s">
        <v>1067</v>
      </c>
      <c r="K641" s="17"/>
      <c r="L641" s="17"/>
      <c r="AC641" s="1301"/>
    </row>
    <row r="642">
      <c r="B642" s="17"/>
      <c r="C642" s="17"/>
      <c r="D642" s="17"/>
      <c r="E642" s="343"/>
      <c r="F642" s="17"/>
      <c r="G642" s="17"/>
      <c r="H642" s="17"/>
      <c r="I642" s="17"/>
      <c r="J642" s="17" t="s">
        <v>1067</v>
      </c>
      <c r="K642" s="17"/>
      <c r="L642" s="17"/>
      <c r="AC642" s="1301"/>
    </row>
    <row r="643">
      <c r="B643" s="17"/>
      <c r="C643" s="17"/>
      <c r="D643" s="17"/>
      <c r="E643" s="343"/>
      <c r="F643" s="17"/>
      <c r="G643" s="17"/>
      <c r="H643" s="17"/>
      <c r="I643" s="17"/>
      <c r="J643" s="17" t="s">
        <v>1067</v>
      </c>
      <c r="K643" s="17"/>
      <c r="L643" s="17"/>
      <c r="AC643" s="1301"/>
    </row>
    <row r="644">
      <c r="B644" s="17"/>
      <c r="C644" s="17"/>
      <c r="D644" s="17"/>
      <c r="E644" s="343"/>
      <c r="F644" s="17"/>
      <c r="G644" s="17"/>
      <c r="H644" s="17"/>
      <c r="I644" s="17"/>
      <c r="J644" s="17" t="s">
        <v>1067</v>
      </c>
      <c r="K644" s="17"/>
      <c r="L644" s="17"/>
      <c r="AC644" s="1301"/>
    </row>
    <row r="645">
      <c r="B645" s="17"/>
      <c r="C645" s="17"/>
      <c r="D645" s="17"/>
      <c r="E645" s="343"/>
      <c r="F645" s="17"/>
      <c r="G645" s="17"/>
      <c r="H645" s="17"/>
      <c r="I645" s="17"/>
      <c r="J645" s="17" t="s">
        <v>1067</v>
      </c>
      <c r="K645" s="17"/>
      <c r="L645" s="17"/>
      <c r="AC645" s="1301"/>
    </row>
    <row r="646">
      <c r="B646" s="17"/>
      <c r="C646" s="17"/>
      <c r="D646" s="17"/>
      <c r="E646" s="343"/>
      <c r="F646" s="17"/>
      <c r="G646" s="17"/>
      <c r="H646" s="17"/>
      <c r="I646" s="17"/>
      <c r="J646" s="17" t="s">
        <v>1067</v>
      </c>
      <c r="K646" s="17"/>
      <c r="L646" s="17"/>
      <c r="AC646" s="1301"/>
    </row>
    <row r="647">
      <c r="B647" s="17"/>
      <c r="C647" s="17"/>
      <c r="D647" s="17"/>
      <c r="E647" s="343"/>
      <c r="F647" s="17"/>
      <c r="G647" s="17"/>
      <c r="H647" s="17"/>
      <c r="I647" s="17"/>
      <c r="J647" s="17" t="s">
        <v>1067</v>
      </c>
      <c r="K647" s="17"/>
      <c r="L647" s="17"/>
      <c r="AC647" s="1301"/>
    </row>
    <row r="648">
      <c r="B648" s="17"/>
      <c r="C648" s="17"/>
      <c r="D648" s="17"/>
      <c r="E648" s="343"/>
      <c r="F648" s="17"/>
      <c r="G648" s="17"/>
      <c r="H648" s="17"/>
      <c r="I648" s="17"/>
      <c r="J648" s="17" t="s">
        <v>1067</v>
      </c>
      <c r="K648" s="17"/>
      <c r="L648" s="17"/>
      <c r="AC648" s="1301"/>
    </row>
    <row r="649">
      <c r="B649" s="17"/>
      <c r="C649" s="17"/>
      <c r="D649" s="17"/>
      <c r="E649" s="343"/>
      <c r="F649" s="17"/>
      <c r="G649" s="17"/>
      <c r="H649" s="17"/>
      <c r="I649" s="17"/>
      <c r="J649" s="17" t="s">
        <v>1067</v>
      </c>
      <c r="K649" s="17"/>
      <c r="L649" s="17"/>
      <c r="AC649" s="1301"/>
    </row>
    <row r="650">
      <c r="B650" s="17"/>
      <c r="C650" s="17"/>
      <c r="D650" s="17"/>
      <c r="E650" s="343"/>
      <c r="F650" s="17"/>
      <c r="G650" s="17"/>
      <c r="H650" s="17"/>
      <c r="I650" s="17"/>
      <c r="J650" s="17" t="s">
        <v>1067</v>
      </c>
      <c r="K650" s="17"/>
      <c r="L650" s="17"/>
      <c r="AC650" s="1301"/>
    </row>
    <row r="651">
      <c r="B651" s="17"/>
      <c r="C651" s="17"/>
      <c r="D651" s="17"/>
      <c r="E651" s="343"/>
      <c r="F651" s="17"/>
      <c r="G651" s="17"/>
      <c r="H651" s="17"/>
      <c r="I651" s="17"/>
      <c r="J651" s="17" t="s">
        <v>1067</v>
      </c>
      <c r="K651" s="17"/>
      <c r="L651" s="17"/>
      <c r="AC651" s="1301"/>
    </row>
    <row r="652">
      <c r="B652" s="17"/>
      <c r="C652" s="17"/>
      <c r="D652" s="17"/>
      <c r="E652" s="343"/>
      <c r="F652" s="17"/>
      <c r="G652" s="17"/>
      <c r="H652" s="17"/>
      <c r="I652" s="17"/>
      <c r="J652" s="17" t="s">
        <v>1067</v>
      </c>
      <c r="K652" s="17"/>
      <c r="L652" s="17"/>
      <c r="AC652" s="1301"/>
    </row>
    <row r="653">
      <c r="B653" s="17"/>
      <c r="C653" s="17"/>
      <c r="D653" s="17"/>
      <c r="E653" s="343"/>
      <c r="F653" s="17"/>
      <c r="G653" s="17"/>
      <c r="H653" s="17"/>
      <c r="I653" s="17"/>
      <c r="J653" s="17" t="s">
        <v>1067</v>
      </c>
      <c r="K653" s="17"/>
      <c r="L653" s="17"/>
      <c r="AC653" s="1301"/>
    </row>
    <row r="654">
      <c r="B654" s="17"/>
      <c r="C654" s="17"/>
      <c r="D654" s="17"/>
      <c r="E654" s="343"/>
      <c r="F654" s="17"/>
      <c r="G654" s="17"/>
      <c r="H654" s="17"/>
      <c r="I654" s="17"/>
      <c r="J654" s="17" t="s">
        <v>1067</v>
      </c>
      <c r="K654" s="17"/>
      <c r="L654" s="17"/>
      <c r="AC654" s="1301"/>
    </row>
    <row r="655">
      <c r="B655" s="17"/>
      <c r="C655" s="17"/>
      <c r="D655" s="17"/>
      <c r="E655" s="343"/>
      <c r="F655" s="17"/>
      <c r="G655" s="17"/>
      <c r="H655" s="17"/>
      <c r="I655" s="17"/>
      <c r="J655" s="17" t="s">
        <v>1067</v>
      </c>
      <c r="K655" s="17"/>
      <c r="L655" s="17"/>
      <c r="AC655" s="1301"/>
    </row>
    <row r="656">
      <c r="B656" s="17"/>
      <c r="C656" s="17"/>
      <c r="D656" s="17"/>
      <c r="E656" s="343"/>
      <c r="F656" s="17"/>
      <c r="G656" s="17"/>
      <c r="H656" s="17"/>
      <c r="I656" s="17"/>
      <c r="J656" s="17" t="s">
        <v>1067</v>
      </c>
      <c r="K656" s="17"/>
      <c r="L656" s="17"/>
      <c r="AC656" s="1301"/>
    </row>
    <row r="657">
      <c r="B657" s="17"/>
      <c r="C657" s="17"/>
      <c r="D657" s="17"/>
      <c r="E657" s="343"/>
      <c r="F657" s="17"/>
      <c r="G657" s="17"/>
      <c r="H657" s="17"/>
      <c r="I657" s="17"/>
      <c r="J657" s="17" t="s">
        <v>1067</v>
      </c>
      <c r="K657" s="17"/>
      <c r="L657" s="17"/>
      <c r="AC657" s="1301"/>
    </row>
    <row r="658">
      <c r="B658" s="17"/>
      <c r="C658" s="17"/>
      <c r="D658" s="17"/>
      <c r="E658" s="343"/>
      <c r="F658" s="17"/>
      <c r="G658" s="17"/>
      <c r="H658" s="17"/>
      <c r="I658" s="17"/>
      <c r="J658" s="17" t="s">
        <v>1067</v>
      </c>
      <c r="K658" s="17"/>
      <c r="L658" s="17"/>
      <c r="AC658" s="1301"/>
    </row>
    <row r="659">
      <c r="B659" s="17"/>
      <c r="C659" s="17"/>
      <c r="D659" s="17"/>
      <c r="E659" s="343"/>
      <c r="F659" s="17"/>
      <c r="G659" s="17"/>
      <c r="H659" s="17"/>
      <c r="I659" s="17"/>
      <c r="J659" s="17" t="s">
        <v>1067</v>
      </c>
      <c r="K659" s="17"/>
      <c r="L659" s="17"/>
      <c r="AC659" s="1301"/>
    </row>
    <row r="660">
      <c r="B660" s="17"/>
      <c r="C660" s="17"/>
      <c r="D660" s="17"/>
      <c r="E660" s="343"/>
      <c r="F660" s="17"/>
      <c r="G660" s="17"/>
      <c r="H660" s="17"/>
      <c r="I660" s="17"/>
      <c r="J660" s="17" t="s">
        <v>1067</v>
      </c>
      <c r="K660" s="17"/>
      <c r="L660" s="17"/>
      <c r="AC660" s="1301"/>
    </row>
    <row r="661">
      <c r="B661" s="17"/>
      <c r="C661" s="17"/>
      <c r="D661" s="17"/>
      <c r="E661" s="343"/>
      <c r="F661" s="17"/>
      <c r="G661" s="17"/>
      <c r="H661" s="17"/>
      <c r="I661" s="17"/>
      <c r="J661" s="17" t="s">
        <v>1067</v>
      </c>
      <c r="K661" s="17"/>
      <c r="L661" s="17"/>
      <c r="AC661" s="1301"/>
    </row>
    <row r="662">
      <c r="B662" s="17"/>
      <c r="C662" s="17"/>
      <c r="D662" s="17"/>
      <c r="E662" s="343"/>
      <c r="F662" s="17"/>
      <c r="G662" s="17"/>
      <c r="H662" s="17"/>
      <c r="I662" s="17"/>
      <c r="J662" s="17" t="s">
        <v>1067</v>
      </c>
      <c r="K662" s="17"/>
      <c r="L662" s="17"/>
      <c r="AC662" s="1301"/>
    </row>
    <row r="663">
      <c r="B663" s="17"/>
      <c r="C663" s="17"/>
      <c r="D663" s="17"/>
      <c r="E663" s="343"/>
      <c r="F663" s="17"/>
      <c r="G663" s="17"/>
      <c r="H663" s="17"/>
      <c r="I663" s="17"/>
      <c r="J663" s="17" t="s">
        <v>1067</v>
      </c>
      <c r="K663" s="17"/>
      <c r="L663" s="17"/>
      <c r="AC663" s="1301"/>
    </row>
    <row r="664">
      <c r="B664" s="17"/>
      <c r="C664" s="17"/>
      <c r="D664" s="17"/>
      <c r="E664" s="343"/>
      <c r="F664" s="17"/>
      <c r="G664" s="17"/>
      <c r="H664" s="17"/>
      <c r="I664" s="17"/>
      <c r="J664" s="17" t="s">
        <v>1067</v>
      </c>
      <c r="K664" s="17"/>
      <c r="L664" s="17"/>
      <c r="AC664" s="1301"/>
    </row>
    <row r="665">
      <c r="B665" s="17"/>
      <c r="C665" s="17"/>
      <c r="D665" s="17"/>
      <c r="E665" s="343"/>
      <c r="F665" s="17"/>
      <c r="G665" s="17"/>
      <c r="H665" s="17"/>
      <c r="I665" s="17"/>
      <c r="J665" s="17" t="s">
        <v>1067</v>
      </c>
      <c r="K665" s="17"/>
      <c r="L665" s="17"/>
      <c r="AC665" s="1301"/>
    </row>
    <row r="666">
      <c r="B666" s="17"/>
      <c r="C666" s="17"/>
      <c r="D666" s="17"/>
      <c r="E666" s="343"/>
      <c r="F666" s="17"/>
      <c r="G666" s="17"/>
      <c r="H666" s="17"/>
      <c r="I666" s="17"/>
      <c r="J666" s="17" t="s">
        <v>1067</v>
      </c>
      <c r="K666" s="17"/>
      <c r="L666" s="17"/>
      <c r="AC666" s="1301"/>
    </row>
    <row r="667">
      <c r="B667" s="17"/>
      <c r="C667" s="17"/>
      <c r="D667" s="17"/>
      <c r="E667" s="343"/>
      <c r="F667" s="17"/>
      <c r="G667" s="17"/>
      <c r="H667" s="17"/>
      <c r="I667" s="17"/>
      <c r="J667" s="17" t="s">
        <v>1067</v>
      </c>
      <c r="K667" s="17"/>
      <c r="L667" s="17"/>
      <c r="AC667" s="1301"/>
    </row>
    <row r="668">
      <c r="B668" s="17"/>
      <c r="C668" s="17"/>
      <c r="D668" s="17"/>
      <c r="E668" s="343"/>
      <c r="F668" s="17"/>
      <c r="G668" s="17"/>
      <c r="H668" s="17"/>
      <c r="I668" s="17"/>
      <c r="J668" s="17" t="s">
        <v>1067</v>
      </c>
      <c r="K668" s="17"/>
      <c r="L668" s="17"/>
      <c r="AC668" s="1301"/>
    </row>
    <row r="669">
      <c r="B669" s="17"/>
      <c r="C669" s="17"/>
      <c r="D669" s="17"/>
      <c r="E669" s="343"/>
      <c r="F669" s="17"/>
      <c r="G669" s="17"/>
      <c r="H669" s="17"/>
      <c r="I669" s="17"/>
      <c r="J669" s="17" t="s">
        <v>1067</v>
      </c>
      <c r="K669" s="17"/>
      <c r="L669" s="17"/>
      <c r="AC669" s="1301"/>
    </row>
    <row r="670">
      <c r="B670" s="17"/>
      <c r="C670" s="17"/>
      <c r="D670" s="17"/>
      <c r="E670" s="343"/>
      <c r="F670" s="17"/>
      <c r="G670" s="17"/>
      <c r="H670" s="17"/>
      <c r="I670" s="17"/>
      <c r="J670" s="17" t="s">
        <v>1067</v>
      </c>
      <c r="K670" s="17"/>
      <c r="L670" s="17"/>
      <c r="AC670" s="1301"/>
    </row>
    <row r="671">
      <c r="B671" s="17"/>
      <c r="C671" s="17"/>
      <c r="D671" s="17"/>
      <c r="E671" s="343"/>
      <c r="F671" s="17"/>
      <c r="G671" s="17"/>
      <c r="H671" s="17"/>
      <c r="I671" s="17"/>
      <c r="J671" s="17" t="s">
        <v>1067</v>
      </c>
      <c r="K671" s="17"/>
      <c r="L671" s="17"/>
      <c r="AC671" s="1301"/>
    </row>
    <row r="672">
      <c r="B672" s="17"/>
      <c r="C672" s="17"/>
      <c r="D672" s="17"/>
      <c r="E672" s="343"/>
      <c r="F672" s="17"/>
      <c r="G672" s="17"/>
      <c r="H672" s="17"/>
      <c r="I672" s="17"/>
      <c r="J672" s="17" t="s">
        <v>1067</v>
      </c>
      <c r="K672" s="17"/>
      <c r="L672" s="17"/>
      <c r="AC672" s="1301"/>
    </row>
    <row r="673">
      <c r="B673" s="17"/>
      <c r="C673" s="17"/>
      <c r="D673" s="17"/>
      <c r="E673" s="343"/>
      <c r="F673" s="17"/>
      <c r="G673" s="17"/>
      <c r="H673" s="17"/>
      <c r="I673" s="17"/>
      <c r="J673" s="17" t="s">
        <v>1067</v>
      </c>
      <c r="K673" s="17"/>
      <c r="L673" s="17"/>
      <c r="AC673" s="1301"/>
    </row>
    <row r="674">
      <c r="B674" s="17"/>
      <c r="C674" s="17"/>
      <c r="D674" s="17"/>
      <c r="E674" s="343"/>
      <c r="F674" s="17"/>
      <c r="G674" s="17"/>
      <c r="H674" s="17"/>
      <c r="I674" s="17"/>
      <c r="J674" s="17" t="s">
        <v>1067</v>
      </c>
      <c r="K674" s="17"/>
      <c r="L674" s="17"/>
      <c r="AC674" s="1301"/>
    </row>
    <row r="675">
      <c r="B675" s="17"/>
      <c r="C675" s="17"/>
      <c r="D675" s="17"/>
      <c r="E675" s="343"/>
      <c r="F675" s="17"/>
      <c r="G675" s="17"/>
      <c r="H675" s="17"/>
      <c r="I675" s="17"/>
      <c r="J675" s="17" t="s">
        <v>1067</v>
      </c>
      <c r="K675" s="17"/>
      <c r="L675" s="17"/>
      <c r="AC675" s="1301"/>
    </row>
    <row r="676">
      <c r="B676" s="17"/>
      <c r="C676" s="17"/>
      <c r="D676" s="17"/>
      <c r="E676" s="343"/>
      <c r="F676" s="17"/>
      <c r="G676" s="17"/>
      <c r="H676" s="17"/>
      <c r="I676" s="17"/>
      <c r="J676" s="17" t="s">
        <v>1067</v>
      </c>
      <c r="K676" s="17"/>
      <c r="L676" s="17"/>
      <c r="AC676" s="1301"/>
    </row>
    <row r="677">
      <c r="B677" s="17"/>
      <c r="C677" s="17"/>
      <c r="D677" s="17"/>
      <c r="E677" s="343"/>
      <c r="F677" s="17"/>
      <c r="G677" s="17"/>
      <c r="H677" s="17"/>
      <c r="I677" s="17"/>
      <c r="J677" s="17" t="s">
        <v>1067</v>
      </c>
      <c r="K677" s="17"/>
      <c r="L677" s="17"/>
      <c r="AC677" s="1301"/>
    </row>
    <row r="678">
      <c r="B678" s="17"/>
      <c r="C678" s="17"/>
      <c r="D678" s="17"/>
      <c r="E678" s="343"/>
      <c r="F678" s="17"/>
      <c r="G678" s="17"/>
      <c r="H678" s="17"/>
      <c r="I678" s="17"/>
      <c r="J678" s="17" t="s">
        <v>1067</v>
      </c>
      <c r="K678" s="17"/>
      <c r="L678" s="17"/>
      <c r="AC678" s="1301"/>
    </row>
    <row r="679">
      <c r="B679" s="17"/>
      <c r="C679" s="17"/>
      <c r="D679" s="17"/>
      <c r="E679" s="343"/>
      <c r="F679" s="17"/>
      <c r="G679" s="17"/>
      <c r="H679" s="17"/>
      <c r="I679" s="17"/>
      <c r="J679" s="17" t="s">
        <v>1067</v>
      </c>
      <c r="K679" s="17"/>
      <c r="L679" s="17"/>
      <c r="AC679" s="1301"/>
    </row>
    <row r="680">
      <c r="B680" s="17"/>
      <c r="C680" s="17"/>
      <c r="D680" s="17"/>
      <c r="E680" s="343"/>
      <c r="F680" s="17"/>
      <c r="G680" s="17"/>
      <c r="H680" s="17"/>
      <c r="I680" s="17"/>
      <c r="J680" s="17" t="s">
        <v>1067</v>
      </c>
      <c r="K680" s="17"/>
      <c r="L680" s="17"/>
      <c r="AC680" s="1301"/>
    </row>
    <row r="681">
      <c r="B681" s="17"/>
      <c r="C681" s="17"/>
      <c r="D681" s="17"/>
      <c r="E681" s="343"/>
      <c r="F681" s="17"/>
      <c r="G681" s="17"/>
      <c r="H681" s="17"/>
      <c r="I681" s="17"/>
      <c r="J681" s="17" t="s">
        <v>1067</v>
      </c>
      <c r="K681" s="17"/>
      <c r="L681" s="17"/>
      <c r="AC681" s="1301"/>
    </row>
    <row r="682">
      <c r="B682" s="17"/>
      <c r="C682" s="17"/>
      <c r="D682" s="17"/>
      <c r="E682" s="343"/>
      <c r="F682" s="17"/>
      <c r="G682" s="17"/>
      <c r="H682" s="17"/>
      <c r="I682" s="17"/>
      <c r="J682" s="17" t="s">
        <v>1067</v>
      </c>
      <c r="K682" s="17"/>
      <c r="L682" s="17"/>
      <c r="AC682" s="1301"/>
    </row>
    <row r="683">
      <c r="B683" s="17"/>
      <c r="C683" s="17"/>
      <c r="D683" s="17"/>
      <c r="E683" s="343"/>
      <c r="F683" s="17"/>
      <c r="G683" s="17"/>
      <c r="H683" s="17"/>
      <c r="I683" s="17"/>
      <c r="J683" s="17" t="s">
        <v>1067</v>
      </c>
      <c r="K683" s="17"/>
      <c r="L683" s="17"/>
      <c r="AC683" s="1301"/>
    </row>
    <row r="684">
      <c r="B684" s="17"/>
      <c r="C684" s="17"/>
      <c r="D684" s="17"/>
      <c r="E684" s="343"/>
      <c r="F684" s="17"/>
      <c r="G684" s="17"/>
      <c r="H684" s="17"/>
      <c r="I684" s="17"/>
      <c r="J684" s="17" t="s">
        <v>1067</v>
      </c>
      <c r="K684" s="17"/>
      <c r="L684" s="17"/>
      <c r="AC684" s="1301"/>
    </row>
    <row r="685">
      <c r="B685" s="17"/>
      <c r="C685" s="17"/>
      <c r="D685" s="17"/>
      <c r="E685" s="343"/>
      <c r="F685" s="17"/>
      <c r="G685" s="17"/>
      <c r="H685" s="17"/>
      <c r="I685" s="17"/>
      <c r="J685" s="17" t="s">
        <v>1067</v>
      </c>
      <c r="K685" s="17"/>
      <c r="L685" s="17"/>
      <c r="AC685" s="1301"/>
    </row>
    <row r="686">
      <c r="B686" s="17"/>
      <c r="C686" s="17"/>
      <c r="D686" s="17"/>
      <c r="E686" s="343"/>
      <c r="F686" s="17"/>
      <c r="G686" s="17"/>
      <c r="H686" s="17"/>
      <c r="I686" s="17"/>
      <c r="J686" s="17" t="s">
        <v>1067</v>
      </c>
      <c r="K686" s="17"/>
      <c r="L686" s="17"/>
      <c r="AC686" s="1301"/>
    </row>
    <row r="687">
      <c r="B687" s="17"/>
      <c r="C687" s="17"/>
      <c r="D687" s="17"/>
      <c r="E687" s="343"/>
      <c r="F687" s="17"/>
      <c r="G687" s="17"/>
      <c r="H687" s="17"/>
      <c r="I687" s="17"/>
      <c r="J687" s="17" t="s">
        <v>1067</v>
      </c>
      <c r="K687" s="17"/>
      <c r="L687" s="17"/>
      <c r="AC687" s="1301"/>
    </row>
    <row r="688">
      <c r="B688" s="17"/>
      <c r="C688" s="17"/>
      <c r="D688" s="17"/>
      <c r="E688" s="343"/>
      <c r="F688" s="17"/>
      <c r="G688" s="17"/>
      <c r="H688" s="17"/>
      <c r="I688" s="17"/>
      <c r="J688" s="17" t="s">
        <v>1067</v>
      </c>
      <c r="K688" s="17"/>
      <c r="L688" s="17"/>
      <c r="AC688" s="1301"/>
    </row>
    <row r="689">
      <c r="B689" s="17"/>
      <c r="C689" s="17"/>
      <c r="D689" s="17"/>
      <c r="E689" s="343"/>
      <c r="F689" s="17"/>
      <c r="G689" s="17"/>
      <c r="H689" s="17"/>
      <c r="I689" s="17"/>
      <c r="J689" s="17" t="s">
        <v>1067</v>
      </c>
      <c r="K689" s="17"/>
      <c r="L689" s="17"/>
      <c r="AC689" s="1301"/>
    </row>
    <row r="690">
      <c r="B690" s="17"/>
      <c r="C690" s="17"/>
      <c r="D690" s="17"/>
      <c r="E690" s="343"/>
      <c r="F690" s="17"/>
      <c r="G690" s="17"/>
      <c r="H690" s="17"/>
      <c r="I690" s="17"/>
      <c r="J690" s="17" t="s">
        <v>1067</v>
      </c>
      <c r="K690" s="17"/>
      <c r="L690" s="17"/>
      <c r="AC690" s="1301"/>
    </row>
    <row r="691">
      <c r="B691" s="17"/>
      <c r="C691" s="17"/>
      <c r="D691" s="17"/>
      <c r="E691" s="343"/>
      <c r="F691" s="17"/>
      <c r="G691" s="17"/>
      <c r="H691" s="17"/>
      <c r="I691" s="17"/>
      <c r="J691" s="17" t="s">
        <v>1067</v>
      </c>
      <c r="K691" s="17"/>
      <c r="L691" s="17"/>
      <c r="AC691" s="1301"/>
    </row>
    <row r="692">
      <c r="B692" s="17"/>
      <c r="C692" s="17"/>
      <c r="D692" s="17"/>
      <c r="E692" s="343"/>
      <c r="F692" s="17"/>
      <c r="G692" s="17"/>
      <c r="H692" s="17"/>
      <c r="I692" s="17"/>
      <c r="J692" s="17" t="s">
        <v>1067</v>
      </c>
      <c r="K692" s="17"/>
      <c r="L692" s="17"/>
      <c r="AC692" s="1301"/>
    </row>
    <row r="693">
      <c r="B693" s="17"/>
      <c r="C693" s="17"/>
      <c r="D693" s="17"/>
      <c r="E693" s="343"/>
      <c r="F693" s="17"/>
      <c r="G693" s="17"/>
      <c r="H693" s="17"/>
      <c r="I693" s="17"/>
      <c r="J693" s="17" t="s">
        <v>1067</v>
      </c>
      <c r="K693" s="17"/>
      <c r="L693" s="17"/>
      <c r="AC693" s="1301"/>
    </row>
    <row r="694">
      <c r="B694" s="17"/>
      <c r="C694" s="17"/>
      <c r="D694" s="17"/>
      <c r="E694" s="343"/>
      <c r="F694" s="17"/>
      <c r="G694" s="17"/>
      <c r="H694" s="17"/>
      <c r="I694" s="17"/>
      <c r="J694" s="17" t="s">
        <v>1067</v>
      </c>
      <c r="K694" s="17"/>
      <c r="L694" s="17"/>
      <c r="AC694" s="1301"/>
    </row>
    <row r="695">
      <c r="B695" s="17"/>
      <c r="C695" s="17"/>
      <c r="D695" s="17"/>
      <c r="E695" s="343"/>
      <c r="F695" s="17"/>
      <c r="G695" s="17"/>
      <c r="H695" s="17"/>
      <c r="I695" s="17"/>
      <c r="J695" s="17" t="s">
        <v>1067</v>
      </c>
      <c r="K695" s="17"/>
      <c r="L695" s="17"/>
      <c r="AC695" s="1301"/>
    </row>
    <row r="696">
      <c r="B696" s="17"/>
      <c r="C696" s="17"/>
      <c r="D696" s="17"/>
      <c r="E696" s="343"/>
      <c r="F696" s="17"/>
      <c r="G696" s="17"/>
      <c r="H696" s="17"/>
      <c r="I696" s="17"/>
      <c r="J696" s="17" t="s">
        <v>1067</v>
      </c>
      <c r="K696" s="17"/>
      <c r="L696" s="17"/>
      <c r="AC696" s="1301"/>
    </row>
    <row r="697">
      <c r="B697" s="17"/>
      <c r="C697" s="17"/>
      <c r="D697" s="17"/>
      <c r="E697" s="343"/>
      <c r="F697" s="17"/>
      <c r="G697" s="17"/>
      <c r="H697" s="17"/>
      <c r="I697" s="17"/>
      <c r="J697" s="17" t="s">
        <v>1067</v>
      </c>
      <c r="K697" s="17"/>
      <c r="L697" s="17"/>
      <c r="AC697" s="1301"/>
    </row>
    <row r="698">
      <c r="B698" s="17"/>
      <c r="C698" s="17"/>
      <c r="D698" s="17"/>
      <c r="E698" s="343"/>
      <c r="F698" s="17"/>
      <c r="G698" s="17"/>
      <c r="H698" s="17"/>
      <c r="I698" s="17"/>
      <c r="J698" s="17" t="s">
        <v>1067</v>
      </c>
      <c r="K698" s="17"/>
      <c r="L698" s="17"/>
      <c r="AC698" s="1301"/>
    </row>
    <row r="699">
      <c r="B699" s="17"/>
      <c r="C699" s="17"/>
      <c r="D699" s="17"/>
      <c r="E699" s="343"/>
      <c r="F699" s="17"/>
      <c r="G699" s="17"/>
      <c r="H699" s="17"/>
      <c r="I699" s="17"/>
      <c r="J699" s="17" t="s">
        <v>1067</v>
      </c>
      <c r="K699" s="17"/>
      <c r="L699" s="17"/>
      <c r="AC699" s="1301"/>
    </row>
    <row r="700">
      <c r="B700" s="17"/>
      <c r="C700" s="17"/>
      <c r="D700" s="17"/>
      <c r="E700" s="343"/>
      <c r="F700" s="17"/>
      <c r="G700" s="17"/>
      <c r="H700" s="17"/>
      <c r="I700" s="17"/>
      <c r="J700" s="17" t="s">
        <v>1067</v>
      </c>
      <c r="K700" s="17"/>
      <c r="L700" s="17"/>
      <c r="AC700" s="1301"/>
    </row>
    <row r="701">
      <c r="B701" s="17"/>
      <c r="C701" s="17"/>
      <c r="D701" s="17"/>
      <c r="E701" s="343"/>
      <c r="F701" s="17"/>
      <c r="G701" s="17"/>
      <c r="H701" s="17"/>
      <c r="I701" s="17"/>
      <c r="J701" s="17" t="s">
        <v>1067</v>
      </c>
      <c r="K701" s="17"/>
      <c r="L701" s="17"/>
      <c r="AC701" s="1301"/>
    </row>
    <row r="702">
      <c r="B702" s="17"/>
      <c r="C702" s="17"/>
      <c r="D702" s="17"/>
      <c r="E702" s="343"/>
      <c r="F702" s="17"/>
      <c r="G702" s="17"/>
      <c r="H702" s="17"/>
      <c r="I702" s="17"/>
      <c r="J702" s="17" t="s">
        <v>1067</v>
      </c>
      <c r="K702" s="17"/>
      <c r="L702" s="17"/>
      <c r="AC702" s="1301"/>
    </row>
    <row r="703">
      <c r="B703" s="17"/>
      <c r="C703" s="17"/>
      <c r="D703" s="17"/>
      <c r="E703" s="343"/>
      <c r="F703" s="17"/>
      <c r="G703" s="17"/>
      <c r="H703" s="17"/>
      <c r="I703" s="17"/>
      <c r="J703" s="17" t="s">
        <v>1067</v>
      </c>
      <c r="K703" s="17"/>
      <c r="L703" s="17"/>
      <c r="AC703" s="1301"/>
    </row>
    <row r="704">
      <c r="B704" s="17"/>
      <c r="C704" s="17"/>
      <c r="D704" s="17"/>
      <c r="E704" s="343"/>
      <c r="F704" s="17"/>
      <c r="G704" s="17"/>
      <c r="H704" s="17"/>
      <c r="I704" s="17"/>
      <c r="J704" s="17" t="s">
        <v>1067</v>
      </c>
      <c r="K704" s="17"/>
      <c r="L704" s="17"/>
      <c r="AC704" s="1301"/>
    </row>
    <row r="705">
      <c r="B705" s="17"/>
      <c r="C705" s="17"/>
      <c r="D705" s="17"/>
      <c r="E705" s="343"/>
      <c r="F705" s="17"/>
      <c r="G705" s="17"/>
      <c r="H705" s="17"/>
      <c r="I705" s="17"/>
      <c r="J705" s="17" t="s">
        <v>1067</v>
      </c>
      <c r="K705" s="17"/>
      <c r="L705" s="17"/>
      <c r="AC705" s="1301"/>
    </row>
    <row r="706">
      <c r="B706" s="17"/>
      <c r="C706" s="17"/>
      <c r="D706" s="17"/>
      <c r="E706" s="343"/>
      <c r="F706" s="17"/>
      <c r="G706" s="17"/>
      <c r="H706" s="17"/>
      <c r="I706" s="17"/>
      <c r="J706" s="17" t="s">
        <v>1067</v>
      </c>
      <c r="K706" s="17"/>
      <c r="L706" s="17"/>
      <c r="AC706" s="1301"/>
    </row>
    <row r="707">
      <c r="B707" s="17"/>
      <c r="C707" s="17"/>
      <c r="D707" s="17"/>
      <c r="E707" s="343"/>
      <c r="F707" s="17"/>
      <c r="G707" s="17"/>
      <c r="H707" s="17"/>
      <c r="I707" s="17"/>
      <c r="J707" s="17" t="s">
        <v>1067</v>
      </c>
      <c r="K707" s="17"/>
      <c r="L707" s="17"/>
      <c r="AC707" s="1301"/>
    </row>
    <row r="708">
      <c r="B708" s="17"/>
      <c r="C708" s="17"/>
      <c r="D708" s="17"/>
      <c r="E708" s="343"/>
      <c r="F708" s="17"/>
      <c r="G708" s="17"/>
      <c r="H708" s="17"/>
      <c r="I708" s="17"/>
      <c r="J708" s="17" t="s">
        <v>1067</v>
      </c>
      <c r="K708" s="17"/>
      <c r="L708" s="17"/>
      <c r="AC708" s="1301"/>
    </row>
    <row r="709">
      <c r="B709" s="17"/>
      <c r="C709" s="17"/>
      <c r="D709" s="17"/>
      <c r="E709" s="343"/>
      <c r="F709" s="17"/>
      <c r="G709" s="17"/>
      <c r="H709" s="17"/>
      <c r="I709" s="17"/>
      <c r="J709" s="17" t="s">
        <v>1067</v>
      </c>
      <c r="K709" s="17"/>
      <c r="L709" s="17"/>
      <c r="AC709" s="1301"/>
    </row>
    <row r="710">
      <c r="B710" s="17"/>
      <c r="C710" s="17"/>
      <c r="D710" s="17"/>
      <c r="E710" s="343"/>
      <c r="F710" s="17"/>
      <c r="G710" s="17"/>
      <c r="H710" s="17"/>
      <c r="I710" s="17"/>
      <c r="J710" s="17" t="s">
        <v>1067</v>
      </c>
      <c r="K710" s="17"/>
      <c r="L710" s="17"/>
      <c r="AC710" s="1301"/>
    </row>
    <row r="711">
      <c r="B711" s="17"/>
      <c r="C711" s="17"/>
      <c r="D711" s="17"/>
      <c r="E711" s="343"/>
      <c r="F711" s="17"/>
      <c r="G711" s="17"/>
      <c r="H711" s="17"/>
      <c r="I711" s="17"/>
      <c r="J711" s="17" t="s">
        <v>1067</v>
      </c>
      <c r="K711" s="17"/>
      <c r="L711" s="17"/>
      <c r="AC711" s="1301"/>
    </row>
    <row r="712">
      <c r="B712" s="17"/>
      <c r="C712" s="17"/>
      <c r="D712" s="17"/>
      <c r="E712" s="343"/>
      <c r="F712" s="17"/>
      <c r="G712" s="17"/>
      <c r="H712" s="17"/>
      <c r="I712" s="17"/>
      <c r="J712" s="17" t="s">
        <v>1067</v>
      </c>
      <c r="K712" s="17"/>
      <c r="L712" s="17"/>
      <c r="AC712" s="1301"/>
    </row>
    <row r="713">
      <c r="B713" s="17"/>
      <c r="C713" s="17"/>
      <c r="D713" s="17"/>
      <c r="E713" s="343"/>
      <c r="F713" s="17"/>
      <c r="G713" s="17"/>
      <c r="H713" s="17"/>
      <c r="I713" s="17"/>
      <c r="J713" s="17" t="s">
        <v>1067</v>
      </c>
      <c r="K713" s="17"/>
      <c r="L713" s="17"/>
      <c r="AC713" s="1301"/>
    </row>
    <row r="714">
      <c r="B714" s="17"/>
      <c r="C714" s="17"/>
      <c r="D714" s="17"/>
      <c r="E714" s="343"/>
      <c r="F714" s="17"/>
      <c r="G714" s="17"/>
      <c r="H714" s="17"/>
      <c r="I714" s="17"/>
      <c r="J714" s="17" t="s">
        <v>1067</v>
      </c>
      <c r="K714" s="17"/>
      <c r="L714" s="17"/>
      <c r="AC714" s="1301"/>
    </row>
    <row r="715">
      <c r="B715" s="17"/>
      <c r="C715" s="17"/>
      <c r="D715" s="17"/>
      <c r="E715" s="343"/>
      <c r="F715" s="17"/>
      <c r="G715" s="17"/>
      <c r="H715" s="17"/>
      <c r="I715" s="17"/>
      <c r="J715" s="17" t="s">
        <v>1067</v>
      </c>
      <c r="K715" s="17"/>
      <c r="L715" s="17"/>
      <c r="AC715" s="1301"/>
    </row>
    <row r="716">
      <c r="B716" s="17"/>
      <c r="C716" s="17"/>
      <c r="D716" s="17"/>
      <c r="E716" s="343"/>
      <c r="F716" s="17"/>
      <c r="G716" s="17"/>
      <c r="H716" s="17"/>
      <c r="I716" s="17"/>
      <c r="J716" s="17" t="s">
        <v>1067</v>
      </c>
      <c r="K716" s="17"/>
      <c r="L716" s="17"/>
      <c r="AC716" s="1301"/>
    </row>
    <row r="717">
      <c r="B717" s="17"/>
      <c r="C717" s="17"/>
      <c r="D717" s="17"/>
      <c r="E717" s="343"/>
      <c r="F717" s="17"/>
      <c r="G717" s="17"/>
      <c r="H717" s="17"/>
      <c r="I717" s="17"/>
      <c r="J717" s="17" t="s">
        <v>1067</v>
      </c>
      <c r="K717" s="17"/>
      <c r="L717" s="17"/>
      <c r="AC717" s="1301"/>
    </row>
    <row r="718">
      <c r="B718" s="17"/>
      <c r="C718" s="17"/>
      <c r="D718" s="17"/>
      <c r="E718" s="343"/>
      <c r="F718" s="17"/>
      <c r="G718" s="17"/>
      <c r="H718" s="17"/>
      <c r="I718" s="17"/>
      <c r="J718" s="17" t="s">
        <v>1067</v>
      </c>
      <c r="K718" s="17"/>
      <c r="L718" s="17"/>
      <c r="AC718" s="1301"/>
    </row>
    <row r="719">
      <c r="B719" s="17"/>
      <c r="C719" s="17"/>
      <c r="D719" s="17"/>
      <c r="E719" s="343"/>
      <c r="F719" s="17"/>
      <c r="G719" s="17"/>
      <c r="H719" s="17"/>
      <c r="I719" s="17"/>
      <c r="J719" s="17" t="s">
        <v>1067</v>
      </c>
      <c r="K719" s="17"/>
      <c r="L719" s="17"/>
      <c r="AC719" s="1301"/>
    </row>
    <row r="720">
      <c r="B720" s="17"/>
      <c r="C720" s="17"/>
      <c r="D720" s="17"/>
      <c r="E720" s="343"/>
      <c r="F720" s="17"/>
      <c r="G720" s="17"/>
      <c r="H720" s="17"/>
      <c r="I720" s="17"/>
      <c r="J720" s="17" t="s">
        <v>1067</v>
      </c>
      <c r="K720" s="17"/>
      <c r="L720" s="17"/>
      <c r="AC720" s="1301"/>
    </row>
    <row r="721">
      <c r="B721" s="17"/>
      <c r="C721" s="17"/>
      <c r="D721" s="17"/>
      <c r="E721" s="343"/>
      <c r="F721" s="17"/>
      <c r="G721" s="17"/>
      <c r="H721" s="17"/>
      <c r="I721" s="17"/>
      <c r="J721" s="17" t="s">
        <v>1067</v>
      </c>
      <c r="K721" s="17"/>
      <c r="L721" s="17"/>
      <c r="AC721" s="1301"/>
    </row>
    <row r="722">
      <c r="B722" s="17"/>
      <c r="C722" s="17"/>
      <c r="D722" s="17"/>
      <c r="E722" s="343"/>
      <c r="F722" s="17"/>
      <c r="G722" s="17"/>
      <c r="H722" s="17"/>
      <c r="I722" s="17"/>
      <c r="J722" s="17" t="s">
        <v>1067</v>
      </c>
      <c r="K722" s="17"/>
      <c r="L722" s="17"/>
      <c r="AC722" s="1301"/>
    </row>
    <row r="723">
      <c r="B723" s="17"/>
      <c r="C723" s="17"/>
      <c r="D723" s="17"/>
      <c r="E723" s="343"/>
      <c r="F723" s="17"/>
      <c r="G723" s="17"/>
      <c r="H723" s="17"/>
      <c r="I723" s="17"/>
      <c r="J723" s="17" t="s">
        <v>1067</v>
      </c>
      <c r="K723" s="17"/>
      <c r="L723" s="17"/>
      <c r="AC723" s="1301"/>
    </row>
    <row r="724">
      <c r="B724" s="17"/>
      <c r="C724" s="17"/>
      <c r="D724" s="17"/>
      <c r="E724" s="343"/>
      <c r="F724" s="17"/>
      <c r="G724" s="17"/>
      <c r="H724" s="17"/>
      <c r="I724" s="17"/>
      <c r="J724" s="17" t="s">
        <v>1067</v>
      </c>
      <c r="K724" s="17"/>
      <c r="L724" s="17"/>
      <c r="AC724" s="1301"/>
    </row>
    <row r="725">
      <c r="B725" s="17"/>
      <c r="C725" s="17"/>
      <c r="D725" s="17"/>
      <c r="E725" s="343"/>
      <c r="F725" s="17"/>
      <c r="G725" s="17"/>
      <c r="H725" s="17"/>
      <c r="I725" s="17"/>
      <c r="J725" s="17" t="s">
        <v>1067</v>
      </c>
      <c r="K725" s="17"/>
      <c r="L725" s="17"/>
      <c r="AC725" s="1301"/>
    </row>
    <row r="726">
      <c r="B726" s="17"/>
      <c r="C726" s="17"/>
      <c r="D726" s="17"/>
      <c r="E726" s="343"/>
      <c r="F726" s="17"/>
      <c r="G726" s="17"/>
      <c r="H726" s="17"/>
      <c r="I726" s="17"/>
      <c r="J726" s="17" t="s">
        <v>1067</v>
      </c>
      <c r="K726" s="17"/>
      <c r="L726" s="17"/>
      <c r="AC726" s="1301"/>
    </row>
    <row r="727">
      <c r="B727" s="17"/>
      <c r="C727" s="17"/>
      <c r="D727" s="17"/>
      <c r="E727" s="343"/>
      <c r="F727" s="17"/>
      <c r="G727" s="17"/>
      <c r="H727" s="17"/>
      <c r="I727" s="17"/>
      <c r="J727" s="17" t="s">
        <v>1067</v>
      </c>
      <c r="K727" s="17"/>
      <c r="L727" s="17"/>
      <c r="AC727" s="1301"/>
    </row>
    <row r="728">
      <c r="B728" s="17"/>
      <c r="C728" s="17"/>
      <c r="D728" s="17"/>
      <c r="E728" s="343"/>
      <c r="F728" s="17"/>
      <c r="G728" s="17"/>
      <c r="H728" s="17"/>
      <c r="I728" s="17"/>
      <c r="J728" s="17" t="s">
        <v>1067</v>
      </c>
      <c r="K728" s="17"/>
      <c r="L728" s="17"/>
      <c r="AC728" s="1301"/>
    </row>
    <row r="729">
      <c r="B729" s="17"/>
      <c r="C729" s="17"/>
      <c r="D729" s="17"/>
      <c r="E729" s="343"/>
      <c r="F729" s="17"/>
      <c r="G729" s="17"/>
      <c r="H729" s="17"/>
      <c r="I729" s="17"/>
      <c r="J729" s="17" t="s">
        <v>1067</v>
      </c>
      <c r="K729" s="17"/>
      <c r="L729" s="17"/>
      <c r="AC729" s="1301"/>
    </row>
    <row r="730">
      <c r="B730" s="17"/>
      <c r="C730" s="17"/>
      <c r="D730" s="17"/>
      <c r="E730" s="343"/>
      <c r="F730" s="17"/>
      <c r="G730" s="17"/>
      <c r="H730" s="17"/>
      <c r="I730" s="17"/>
      <c r="J730" s="17" t="s">
        <v>1067</v>
      </c>
      <c r="K730" s="17"/>
      <c r="L730" s="17"/>
      <c r="AC730" s="1301"/>
    </row>
    <row r="731">
      <c r="B731" s="17"/>
      <c r="C731" s="17"/>
      <c r="D731" s="17"/>
      <c r="E731" s="343"/>
      <c r="F731" s="17"/>
      <c r="G731" s="17"/>
      <c r="H731" s="17"/>
      <c r="I731" s="17"/>
      <c r="J731" s="17" t="s">
        <v>1067</v>
      </c>
      <c r="K731" s="17"/>
      <c r="L731" s="17"/>
      <c r="AC731" s="1301"/>
    </row>
    <row r="732">
      <c r="B732" s="17"/>
      <c r="C732" s="17"/>
      <c r="D732" s="17"/>
      <c r="E732" s="343"/>
      <c r="F732" s="17"/>
      <c r="G732" s="17"/>
      <c r="H732" s="17"/>
      <c r="I732" s="17"/>
      <c r="J732" s="17" t="s">
        <v>1067</v>
      </c>
      <c r="K732" s="17"/>
      <c r="L732" s="17"/>
      <c r="AC732" s="1301"/>
    </row>
    <row r="733">
      <c r="B733" s="17"/>
      <c r="C733" s="17"/>
      <c r="D733" s="17"/>
      <c r="E733" s="343"/>
      <c r="F733" s="17"/>
      <c r="G733" s="17"/>
      <c r="H733" s="17"/>
      <c r="I733" s="17"/>
      <c r="J733" s="17" t="s">
        <v>1067</v>
      </c>
      <c r="K733" s="17"/>
      <c r="L733" s="17"/>
      <c r="AC733" s="1301"/>
    </row>
    <row r="734">
      <c r="B734" s="17"/>
      <c r="C734" s="17"/>
      <c r="D734" s="17"/>
      <c r="E734" s="343"/>
      <c r="F734" s="17"/>
      <c r="G734" s="17"/>
      <c r="H734" s="17"/>
      <c r="I734" s="17"/>
      <c r="J734" s="17" t="s">
        <v>1067</v>
      </c>
      <c r="K734" s="17"/>
      <c r="L734" s="17"/>
      <c r="AC734" s="1301"/>
    </row>
    <row r="735">
      <c r="B735" s="17"/>
      <c r="C735" s="17"/>
      <c r="D735" s="17"/>
      <c r="E735" s="343"/>
      <c r="F735" s="17"/>
      <c r="G735" s="17"/>
      <c r="H735" s="17"/>
      <c r="I735" s="17"/>
      <c r="J735" s="17" t="s">
        <v>1067</v>
      </c>
      <c r="K735" s="17"/>
      <c r="L735" s="17"/>
      <c r="AC735" s="1301"/>
    </row>
    <row r="736">
      <c r="B736" s="17"/>
      <c r="C736" s="17"/>
      <c r="D736" s="17"/>
      <c r="E736" s="343"/>
      <c r="F736" s="17"/>
      <c r="G736" s="17"/>
      <c r="H736" s="17"/>
      <c r="I736" s="17"/>
      <c r="J736" s="17" t="s">
        <v>1067</v>
      </c>
      <c r="K736" s="17"/>
      <c r="L736" s="17"/>
      <c r="AC736" s="1301"/>
    </row>
    <row r="737">
      <c r="B737" s="17"/>
      <c r="C737" s="17"/>
      <c r="D737" s="17"/>
      <c r="E737" s="343"/>
      <c r="F737" s="17"/>
      <c r="G737" s="17"/>
      <c r="H737" s="17"/>
      <c r="I737" s="17"/>
      <c r="J737" s="17" t="s">
        <v>1067</v>
      </c>
      <c r="K737" s="17"/>
      <c r="L737" s="17"/>
      <c r="AC737" s="1301"/>
    </row>
    <row r="738">
      <c r="B738" s="17"/>
      <c r="C738" s="17"/>
      <c r="D738" s="17"/>
      <c r="E738" s="343"/>
      <c r="F738" s="17"/>
      <c r="G738" s="17"/>
      <c r="H738" s="17"/>
      <c r="I738" s="17"/>
      <c r="J738" s="17" t="s">
        <v>1067</v>
      </c>
      <c r="K738" s="17"/>
      <c r="L738" s="17"/>
      <c r="AC738" s="1301"/>
    </row>
    <row r="739">
      <c r="B739" s="17"/>
      <c r="C739" s="17"/>
      <c r="D739" s="17"/>
      <c r="E739" s="343"/>
      <c r="F739" s="17"/>
      <c r="G739" s="17"/>
      <c r="H739" s="17"/>
      <c r="I739" s="17"/>
      <c r="J739" s="17" t="s">
        <v>1067</v>
      </c>
      <c r="K739" s="17"/>
      <c r="L739" s="17"/>
      <c r="AC739" s="1301"/>
    </row>
    <row r="740">
      <c r="B740" s="17"/>
      <c r="C740" s="17"/>
      <c r="D740" s="17"/>
      <c r="E740" s="343"/>
      <c r="F740" s="17"/>
      <c r="G740" s="17"/>
      <c r="H740" s="17"/>
      <c r="I740" s="17"/>
      <c r="J740" s="17" t="s">
        <v>1067</v>
      </c>
      <c r="K740" s="17"/>
      <c r="L740" s="17"/>
      <c r="AC740" s="1301"/>
    </row>
    <row r="741">
      <c r="B741" s="17"/>
      <c r="C741" s="17"/>
      <c r="D741" s="17"/>
      <c r="E741" s="343"/>
      <c r="F741" s="17"/>
      <c r="G741" s="17"/>
      <c r="H741" s="17"/>
      <c r="I741" s="17"/>
      <c r="J741" s="17" t="s">
        <v>1067</v>
      </c>
      <c r="K741" s="17"/>
      <c r="L741" s="17"/>
      <c r="AC741" s="1301"/>
    </row>
    <row r="742">
      <c r="B742" s="17"/>
      <c r="C742" s="17"/>
      <c r="D742" s="17"/>
      <c r="E742" s="343"/>
      <c r="F742" s="17"/>
      <c r="G742" s="17"/>
      <c r="H742" s="17"/>
      <c r="I742" s="17"/>
      <c r="J742" s="17" t="s">
        <v>1067</v>
      </c>
      <c r="K742" s="17"/>
      <c r="L742" s="17"/>
      <c r="AC742" s="1301"/>
    </row>
    <row r="743">
      <c r="B743" s="17"/>
      <c r="C743" s="17"/>
      <c r="D743" s="17"/>
      <c r="E743" s="343"/>
      <c r="F743" s="17"/>
      <c r="G743" s="17"/>
      <c r="H743" s="17"/>
      <c r="I743" s="17"/>
      <c r="J743" s="17" t="s">
        <v>1067</v>
      </c>
      <c r="K743" s="17"/>
      <c r="L743" s="17"/>
      <c r="AC743" s="1301"/>
    </row>
    <row r="744">
      <c r="B744" s="17"/>
      <c r="C744" s="17"/>
      <c r="D744" s="17"/>
      <c r="E744" s="343"/>
      <c r="F744" s="17"/>
      <c r="G744" s="17"/>
      <c r="H744" s="17"/>
      <c r="I744" s="17"/>
      <c r="J744" s="17" t="s">
        <v>1067</v>
      </c>
      <c r="K744" s="17"/>
      <c r="L744" s="17"/>
      <c r="AC744" s="1301"/>
    </row>
    <row r="745">
      <c r="B745" s="17"/>
      <c r="C745" s="17"/>
      <c r="D745" s="17"/>
      <c r="E745" s="343"/>
      <c r="F745" s="17"/>
      <c r="G745" s="17"/>
      <c r="H745" s="17"/>
      <c r="I745" s="17"/>
      <c r="J745" s="17" t="s">
        <v>1067</v>
      </c>
      <c r="K745" s="17"/>
      <c r="L745" s="17"/>
      <c r="AC745" s="1301"/>
    </row>
    <row r="746">
      <c r="B746" s="17"/>
      <c r="C746" s="17"/>
      <c r="D746" s="17"/>
      <c r="E746" s="343"/>
      <c r="F746" s="17"/>
      <c r="G746" s="17"/>
      <c r="H746" s="17"/>
      <c r="I746" s="17"/>
      <c r="J746" s="17" t="s">
        <v>1067</v>
      </c>
      <c r="K746" s="17"/>
      <c r="L746" s="17"/>
      <c r="AC746" s="1301"/>
    </row>
    <row r="747">
      <c r="B747" s="17"/>
      <c r="C747" s="17"/>
      <c r="D747" s="17"/>
      <c r="E747" s="343"/>
      <c r="F747" s="17"/>
      <c r="G747" s="17"/>
      <c r="H747" s="17"/>
      <c r="I747" s="17"/>
      <c r="J747" s="17" t="s">
        <v>1067</v>
      </c>
      <c r="K747" s="17"/>
      <c r="L747" s="17"/>
      <c r="AC747" s="1301"/>
    </row>
    <row r="748">
      <c r="B748" s="17"/>
      <c r="C748" s="17"/>
      <c r="D748" s="17"/>
      <c r="E748" s="343"/>
      <c r="F748" s="17"/>
      <c r="G748" s="17"/>
      <c r="H748" s="17"/>
      <c r="I748" s="17"/>
      <c r="J748" s="17" t="s">
        <v>1067</v>
      </c>
      <c r="K748" s="17"/>
      <c r="L748" s="17"/>
      <c r="AC748" s="1301"/>
    </row>
    <row r="749">
      <c r="B749" s="17"/>
      <c r="C749" s="17"/>
      <c r="D749" s="17"/>
      <c r="E749" s="343"/>
      <c r="F749" s="17"/>
      <c r="G749" s="17"/>
      <c r="H749" s="17"/>
      <c r="I749" s="17"/>
      <c r="J749" s="17" t="s">
        <v>1067</v>
      </c>
      <c r="K749" s="17"/>
      <c r="L749" s="17"/>
      <c r="AC749" s="1301"/>
    </row>
    <row r="750">
      <c r="B750" s="17"/>
      <c r="C750" s="17"/>
      <c r="D750" s="17"/>
      <c r="E750" s="343"/>
      <c r="F750" s="17"/>
      <c r="G750" s="17"/>
      <c r="H750" s="17"/>
      <c r="I750" s="17"/>
      <c r="J750" s="17" t="s">
        <v>1067</v>
      </c>
      <c r="K750" s="17"/>
      <c r="L750" s="17"/>
      <c r="AC750" s="1301"/>
    </row>
    <row r="751">
      <c r="B751" s="17"/>
      <c r="C751" s="17"/>
      <c r="D751" s="17"/>
      <c r="E751" s="343"/>
      <c r="F751" s="17"/>
      <c r="G751" s="17"/>
      <c r="H751" s="17"/>
      <c r="I751" s="17"/>
      <c r="J751" s="17" t="s">
        <v>1067</v>
      </c>
      <c r="K751" s="17"/>
      <c r="L751" s="17"/>
      <c r="AC751" s="1301"/>
    </row>
    <row r="752">
      <c r="B752" s="17"/>
      <c r="C752" s="17"/>
      <c r="D752" s="17"/>
      <c r="E752" s="343"/>
      <c r="F752" s="17"/>
      <c r="G752" s="17"/>
      <c r="H752" s="17"/>
      <c r="I752" s="17"/>
      <c r="J752" s="17" t="s">
        <v>1067</v>
      </c>
      <c r="K752" s="17"/>
      <c r="L752" s="17"/>
      <c r="AC752" s="1301"/>
    </row>
    <row r="753">
      <c r="B753" s="17"/>
      <c r="C753" s="17"/>
      <c r="D753" s="17"/>
      <c r="E753" s="343"/>
      <c r="F753" s="17"/>
      <c r="G753" s="17"/>
      <c r="H753" s="17"/>
      <c r="I753" s="17"/>
      <c r="J753" s="17" t="s">
        <v>1067</v>
      </c>
      <c r="K753" s="17"/>
      <c r="L753" s="17"/>
      <c r="AC753" s="1301"/>
    </row>
    <row r="754">
      <c r="B754" s="17"/>
      <c r="C754" s="17"/>
      <c r="D754" s="17"/>
      <c r="E754" s="343"/>
      <c r="F754" s="17"/>
      <c r="G754" s="17"/>
      <c r="H754" s="17"/>
      <c r="I754" s="17"/>
      <c r="J754" s="17" t="s">
        <v>1067</v>
      </c>
      <c r="K754" s="17"/>
      <c r="L754" s="17"/>
      <c r="AC754" s="1301"/>
    </row>
    <row r="755">
      <c r="B755" s="17"/>
      <c r="C755" s="17"/>
      <c r="D755" s="17"/>
      <c r="E755" s="343"/>
      <c r="F755" s="17"/>
      <c r="G755" s="17"/>
      <c r="H755" s="17"/>
      <c r="I755" s="17"/>
      <c r="J755" s="17" t="s">
        <v>1067</v>
      </c>
      <c r="K755" s="17"/>
      <c r="L755" s="17"/>
      <c r="AC755" s="1301"/>
    </row>
    <row r="756">
      <c r="B756" s="17"/>
      <c r="C756" s="17"/>
      <c r="D756" s="17"/>
      <c r="E756" s="343"/>
      <c r="F756" s="17"/>
      <c r="G756" s="17"/>
      <c r="H756" s="17"/>
      <c r="I756" s="17"/>
      <c r="J756" s="17" t="s">
        <v>1067</v>
      </c>
      <c r="K756" s="17"/>
      <c r="L756" s="17"/>
      <c r="AC756" s="1301"/>
    </row>
    <row r="757">
      <c r="B757" s="17"/>
      <c r="C757" s="17"/>
      <c r="D757" s="17"/>
      <c r="E757" s="343"/>
      <c r="F757" s="17"/>
      <c r="G757" s="17"/>
      <c r="H757" s="17"/>
      <c r="I757" s="17"/>
      <c r="J757" s="17" t="s">
        <v>1067</v>
      </c>
      <c r="K757" s="17"/>
      <c r="L757" s="17"/>
      <c r="AC757" s="1301"/>
    </row>
    <row r="758">
      <c r="B758" s="17"/>
      <c r="C758" s="17"/>
      <c r="D758" s="17"/>
      <c r="E758" s="343"/>
      <c r="F758" s="17"/>
      <c r="G758" s="17"/>
      <c r="H758" s="17"/>
      <c r="I758" s="17"/>
      <c r="J758" s="17" t="s">
        <v>1067</v>
      </c>
      <c r="K758" s="17"/>
      <c r="L758" s="17"/>
      <c r="AC758" s="1301"/>
    </row>
    <row r="759">
      <c r="B759" s="17"/>
      <c r="C759" s="17"/>
      <c r="D759" s="17"/>
      <c r="E759" s="343"/>
      <c r="F759" s="17"/>
      <c r="G759" s="17"/>
      <c r="H759" s="17"/>
      <c r="I759" s="17"/>
      <c r="J759" s="17" t="s">
        <v>1067</v>
      </c>
      <c r="K759" s="17"/>
      <c r="L759" s="17"/>
      <c r="AC759" s="1301"/>
    </row>
    <row r="760">
      <c r="B760" s="17"/>
      <c r="C760" s="17"/>
      <c r="D760" s="17"/>
      <c r="E760" s="343"/>
      <c r="F760" s="17"/>
      <c r="G760" s="17"/>
      <c r="H760" s="17"/>
      <c r="I760" s="17"/>
      <c r="J760" s="17" t="s">
        <v>1067</v>
      </c>
      <c r="K760" s="17"/>
      <c r="L760" s="17"/>
      <c r="AC760" s="1301"/>
    </row>
    <row r="761">
      <c r="B761" s="17"/>
      <c r="C761" s="17"/>
      <c r="D761" s="17"/>
      <c r="E761" s="343"/>
      <c r="F761" s="17"/>
      <c r="G761" s="17"/>
      <c r="H761" s="17"/>
      <c r="I761" s="17"/>
      <c r="J761" s="17" t="s">
        <v>1067</v>
      </c>
      <c r="K761" s="17"/>
      <c r="L761" s="17"/>
      <c r="AC761" s="1301"/>
    </row>
    <row r="762">
      <c r="B762" s="17"/>
      <c r="C762" s="17"/>
      <c r="D762" s="17"/>
      <c r="E762" s="343"/>
      <c r="F762" s="17"/>
      <c r="G762" s="17"/>
      <c r="H762" s="17"/>
      <c r="I762" s="17"/>
      <c r="J762" s="17" t="s">
        <v>1067</v>
      </c>
      <c r="K762" s="17"/>
      <c r="L762" s="17"/>
      <c r="AC762" s="1301"/>
    </row>
    <row r="763">
      <c r="B763" s="17"/>
      <c r="C763" s="17"/>
      <c r="D763" s="17"/>
      <c r="E763" s="343"/>
      <c r="F763" s="17"/>
      <c r="G763" s="17"/>
      <c r="H763" s="17"/>
      <c r="I763" s="17"/>
      <c r="J763" s="17" t="s">
        <v>1067</v>
      </c>
      <c r="K763" s="17"/>
      <c r="L763" s="17"/>
      <c r="AC763" s="1301"/>
    </row>
    <row r="764">
      <c r="B764" s="17"/>
      <c r="C764" s="17"/>
      <c r="D764" s="17"/>
      <c r="E764" s="343"/>
      <c r="F764" s="17"/>
      <c r="G764" s="17"/>
      <c r="H764" s="17"/>
      <c r="I764" s="17"/>
      <c r="J764" s="17" t="s">
        <v>1067</v>
      </c>
      <c r="K764" s="17"/>
      <c r="L764" s="17"/>
      <c r="AC764" s="1301"/>
    </row>
    <row r="765">
      <c r="B765" s="17"/>
      <c r="C765" s="17"/>
      <c r="D765" s="17"/>
      <c r="E765" s="343"/>
      <c r="F765" s="17"/>
      <c r="G765" s="17"/>
      <c r="H765" s="17"/>
      <c r="I765" s="17"/>
      <c r="J765" s="17" t="s">
        <v>1067</v>
      </c>
      <c r="K765" s="17"/>
      <c r="L765" s="17"/>
      <c r="AC765" s="1301"/>
    </row>
    <row r="766">
      <c r="B766" s="17"/>
      <c r="C766" s="17"/>
      <c r="D766" s="17"/>
      <c r="E766" s="343"/>
      <c r="F766" s="17"/>
      <c r="G766" s="17"/>
      <c r="H766" s="17"/>
      <c r="I766" s="17"/>
      <c r="J766" s="17" t="s">
        <v>1067</v>
      </c>
      <c r="K766" s="17"/>
      <c r="L766" s="17"/>
      <c r="AC766" s="1301"/>
    </row>
    <row r="767">
      <c r="B767" s="17"/>
      <c r="C767" s="17"/>
      <c r="D767" s="17"/>
      <c r="E767" s="343"/>
      <c r="F767" s="17"/>
      <c r="G767" s="17"/>
      <c r="H767" s="17"/>
      <c r="I767" s="17"/>
      <c r="J767" s="17" t="s">
        <v>1067</v>
      </c>
      <c r="K767" s="17"/>
      <c r="L767" s="17"/>
      <c r="AC767" s="1301"/>
    </row>
    <row r="768">
      <c r="B768" s="17"/>
      <c r="C768" s="17"/>
      <c r="D768" s="17"/>
      <c r="E768" s="343"/>
      <c r="F768" s="17"/>
      <c r="G768" s="17"/>
      <c r="H768" s="17"/>
      <c r="I768" s="17"/>
      <c r="J768" s="17" t="s">
        <v>1067</v>
      </c>
      <c r="K768" s="17"/>
      <c r="L768" s="17"/>
      <c r="AC768" s="1301"/>
    </row>
    <row r="769">
      <c r="B769" s="17"/>
      <c r="C769" s="17"/>
      <c r="D769" s="17"/>
      <c r="E769" s="343"/>
      <c r="F769" s="17"/>
      <c r="G769" s="17"/>
      <c r="H769" s="17"/>
      <c r="I769" s="17"/>
      <c r="J769" s="17" t="s">
        <v>1067</v>
      </c>
      <c r="K769" s="17"/>
      <c r="L769" s="17"/>
      <c r="AC769" s="1301"/>
    </row>
    <row r="770">
      <c r="B770" s="17"/>
      <c r="C770" s="17"/>
      <c r="D770" s="17"/>
      <c r="E770" s="343"/>
      <c r="F770" s="17"/>
      <c r="G770" s="17"/>
      <c r="H770" s="17"/>
      <c r="I770" s="17"/>
      <c r="J770" s="17" t="s">
        <v>1067</v>
      </c>
      <c r="K770" s="17"/>
      <c r="L770" s="17"/>
      <c r="AC770" s="1301"/>
    </row>
    <row r="771">
      <c r="B771" s="17"/>
      <c r="C771" s="17"/>
      <c r="D771" s="17"/>
      <c r="E771" s="343"/>
      <c r="F771" s="17"/>
      <c r="G771" s="17"/>
      <c r="H771" s="17"/>
      <c r="I771" s="17"/>
      <c r="J771" s="17" t="s">
        <v>1067</v>
      </c>
      <c r="K771" s="17"/>
      <c r="L771" s="17"/>
      <c r="AC771" s="1301"/>
    </row>
    <row r="772">
      <c r="B772" s="17"/>
      <c r="C772" s="17"/>
      <c r="D772" s="17"/>
      <c r="E772" s="343"/>
      <c r="F772" s="17"/>
      <c r="G772" s="17"/>
      <c r="H772" s="17"/>
      <c r="I772" s="17"/>
      <c r="J772" s="17" t="s">
        <v>1067</v>
      </c>
      <c r="K772" s="17"/>
      <c r="L772" s="17"/>
      <c r="AC772" s="1301"/>
    </row>
    <row r="773">
      <c r="B773" s="17"/>
      <c r="C773" s="17"/>
      <c r="D773" s="17"/>
      <c r="E773" s="343"/>
      <c r="F773" s="17"/>
      <c r="G773" s="17"/>
      <c r="H773" s="17"/>
      <c r="I773" s="17"/>
      <c r="J773" s="17" t="s">
        <v>1067</v>
      </c>
      <c r="K773" s="17"/>
      <c r="L773" s="17"/>
      <c r="AC773" s="1301"/>
    </row>
    <row r="774">
      <c r="B774" s="17"/>
      <c r="C774" s="17"/>
      <c r="D774" s="17"/>
      <c r="E774" s="343"/>
      <c r="F774" s="17"/>
      <c r="G774" s="17"/>
      <c r="H774" s="17"/>
      <c r="I774" s="17"/>
      <c r="J774" s="17" t="s">
        <v>1067</v>
      </c>
      <c r="K774" s="17"/>
      <c r="L774" s="17"/>
      <c r="AC774" s="1301"/>
    </row>
    <row r="775">
      <c r="B775" s="17"/>
      <c r="C775" s="17"/>
      <c r="D775" s="17"/>
      <c r="E775" s="343"/>
      <c r="F775" s="17"/>
      <c r="G775" s="17"/>
      <c r="H775" s="17"/>
      <c r="I775" s="17"/>
      <c r="J775" s="17" t="s">
        <v>1067</v>
      </c>
      <c r="K775" s="17"/>
      <c r="L775" s="17"/>
      <c r="AC775" s="1301"/>
    </row>
    <row r="776">
      <c r="B776" s="17"/>
      <c r="C776" s="17"/>
      <c r="D776" s="17"/>
      <c r="E776" s="343"/>
      <c r="F776" s="17"/>
      <c r="G776" s="17"/>
      <c r="H776" s="17"/>
      <c r="I776" s="17"/>
      <c r="J776" s="17" t="s">
        <v>1067</v>
      </c>
      <c r="K776" s="17"/>
      <c r="L776" s="17"/>
      <c r="AC776" s="1301"/>
    </row>
    <row r="777">
      <c r="B777" s="17"/>
      <c r="C777" s="17"/>
      <c r="D777" s="17"/>
      <c r="E777" s="343"/>
      <c r="F777" s="17"/>
      <c r="G777" s="17"/>
      <c r="H777" s="17"/>
      <c r="I777" s="17"/>
      <c r="J777" s="17" t="s">
        <v>1067</v>
      </c>
      <c r="K777" s="17"/>
      <c r="L777" s="17"/>
      <c r="AC777" s="1301"/>
    </row>
    <row r="778">
      <c r="B778" s="17"/>
      <c r="C778" s="17"/>
      <c r="D778" s="17"/>
      <c r="E778" s="343"/>
      <c r="F778" s="17"/>
      <c r="G778" s="17"/>
      <c r="H778" s="17"/>
      <c r="I778" s="17"/>
      <c r="J778" s="17" t="s">
        <v>1067</v>
      </c>
      <c r="K778" s="17"/>
      <c r="L778" s="17"/>
      <c r="AC778" s="1301"/>
    </row>
    <row r="779">
      <c r="B779" s="17"/>
      <c r="C779" s="17"/>
      <c r="D779" s="17"/>
      <c r="E779" s="343"/>
      <c r="F779" s="17"/>
      <c r="G779" s="17"/>
      <c r="H779" s="17"/>
      <c r="I779" s="17"/>
      <c r="J779" s="17" t="s">
        <v>1067</v>
      </c>
      <c r="K779" s="17"/>
      <c r="L779" s="17"/>
      <c r="AC779" s="1301"/>
    </row>
    <row r="780">
      <c r="B780" s="17"/>
      <c r="C780" s="17"/>
      <c r="D780" s="17"/>
      <c r="E780" s="343"/>
      <c r="F780" s="17"/>
      <c r="G780" s="17"/>
      <c r="H780" s="17"/>
      <c r="I780" s="17"/>
      <c r="J780" s="17" t="s">
        <v>1067</v>
      </c>
      <c r="K780" s="17"/>
      <c r="L780" s="17"/>
      <c r="AC780" s="1301"/>
    </row>
    <row r="781">
      <c r="B781" s="17"/>
      <c r="C781" s="17"/>
      <c r="D781" s="17"/>
      <c r="E781" s="343"/>
      <c r="F781" s="17"/>
      <c r="G781" s="17"/>
      <c r="H781" s="17"/>
      <c r="I781" s="17"/>
      <c r="J781" s="17" t="s">
        <v>1067</v>
      </c>
      <c r="K781" s="17"/>
      <c r="L781" s="17"/>
      <c r="AC781" s="1301"/>
    </row>
    <row r="782">
      <c r="B782" s="17"/>
      <c r="C782" s="17"/>
      <c r="D782" s="17"/>
      <c r="E782" s="343"/>
      <c r="F782" s="17"/>
      <c r="G782" s="17"/>
      <c r="H782" s="17"/>
      <c r="I782" s="17"/>
      <c r="J782" s="17" t="s">
        <v>1067</v>
      </c>
      <c r="K782" s="17"/>
      <c r="L782" s="17"/>
      <c r="AC782" s="1301"/>
    </row>
    <row r="783">
      <c r="B783" s="17"/>
      <c r="C783" s="17"/>
      <c r="D783" s="17"/>
      <c r="E783" s="343"/>
      <c r="F783" s="17"/>
      <c r="G783" s="17"/>
      <c r="H783" s="17"/>
      <c r="I783" s="17"/>
      <c r="J783" s="17" t="s">
        <v>1067</v>
      </c>
      <c r="K783" s="17"/>
      <c r="L783" s="17"/>
      <c r="AC783" s="1301"/>
    </row>
    <row r="784">
      <c r="B784" s="17"/>
      <c r="C784" s="17"/>
      <c r="D784" s="17"/>
      <c r="E784" s="343"/>
      <c r="F784" s="17"/>
      <c r="G784" s="17"/>
      <c r="H784" s="17"/>
      <c r="I784" s="17"/>
      <c r="J784" s="17" t="s">
        <v>1067</v>
      </c>
      <c r="K784" s="17"/>
      <c r="L784" s="17"/>
      <c r="AC784" s="1301"/>
    </row>
    <row r="785">
      <c r="B785" s="17"/>
      <c r="C785" s="17"/>
      <c r="D785" s="17"/>
      <c r="E785" s="343"/>
      <c r="F785" s="17"/>
      <c r="G785" s="17"/>
      <c r="H785" s="17"/>
      <c r="I785" s="17"/>
      <c r="J785" s="17" t="s">
        <v>1067</v>
      </c>
      <c r="K785" s="17"/>
      <c r="L785" s="17"/>
      <c r="AC785" s="1301"/>
    </row>
    <row r="786">
      <c r="B786" s="17"/>
      <c r="C786" s="17"/>
      <c r="D786" s="17"/>
      <c r="E786" s="343"/>
      <c r="F786" s="17"/>
      <c r="G786" s="17"/>
      <c r="H786" s="17"/>
      <c r="I786" s="17"/>
      <c r="J786" s="17" t="s">
        <v>1067</v>
      </c>
      <c r="K786" s="17"/>
      <c r="L786" s="17"/>
      <c r="AC786" s="1301"/>
    </row>
    <row r="787">
      <c r="B787" s="17"/>
      <c r="C787" s="17"/>
      <c r="D787" s="17"/>
      <c r="E787" s="343"/>
      <c r="F787" s="17"/>
      <c r="G787" s="17"/>
      <c r="H787" s="17"/>
      <c r="I787" s="17"/>
      <c r="J787" s="17" t="s">
        <v>1067</v>
      </c>
      <c r="K787" s="17"/>
      <c r="L787" s="17"/>
      <c r="AC787" s="1301"/>
    </row>
    <row r="788">
      <c r="B788" s="17"/>
      <c r="C788" s="17"/>
      <c r="D788" s="17"/>
      <c r="E788" s="343"/>
      <c r="F788" s="17"/>
      <c r="G788" s="17"/>
      <c r="H788" s="17"/>
      <c r="I788" s="17"/>
      <c r="J788" s="17" t="s">
        <v>1067</v>
      </c>
      <c r="K788" s="17"/>
      <c r="L788" s="17"/>
      <c r="AC788" s="1301"/>
    </row>
    <row r="789">
      <c r="B789" s="17"/>
      <c r="C789" s="17"/>
      <c r="D789" s="17"/>
      <c r="E789" s="343"/>
      <c r="F789" s="17"/>
      <c r="G789" s="17"/>
      <c r="H789" s="17"/>
      <c r="I789" s="17"/>
      <c r="J789" s="17" t="s">
        <v>1067</v>
      </c>
      <c r="K789" s="17"/>
      <c r="L789" s="17"/>
      <c r="AC789" s="1301"/>
    </row>
    <row r="790">
      <c r="B790" s="17"/>
      <c r="C790" s="17"/>
      <c r="D790" s="17"/>
      <c r="E790" s="343"/>
      <c r="F790" s="17"/>
      <c r="G790" s="17"/>
      <c r="H790" s="17"/>
      <c r="I790" s="17"/>
      <c r="J790" s="17" t="s">
        <v>1067</v>
      </c>
      <c r="K790" s="17"/>
      <c r="L790" s="17"/>
      <c r="AC790" s="1301"/>
    </row>
    <row r="791">
      <c r="B791" s="17"/>
      <c r="C791" s="17"/>
      <c r="D791" s="17"/>
      <c r="E791" s="343"/>
      <c r="F791" s="17"/>
      <c r="G791" s="17"/>
      <c r="H791" s="17"/>
      <c r="I791" s="17"/>
      <c r="J791" s="17" t="s">
        <v>1067</v>
      </c>
      <c r="K791" s="17"/>
      <c r="L791" s="17"/>
      <c r="AC791" s="1301"/>
    </row>
    <row r="792">
      <c r="B792" s="17"/>
      <c r="C792" s="17"/>
      <c r="D792" s="17"/>
      <c r="E792" s="343"/>
      <c r="F792" s="17"/>
      <c r="G792" s="17"/>
      <c r="H792" s="17"/>
      <c r="I792" s="17"/>
      <c r="J792" s="17" t="s">
        <v>1067</v>
      </c>
      <c r="K792" s="17"/>
      <c r="L792" s="17"/>
      <c r="AC792" s="1301"/>
    </row>
    <row r="793">
      <c r="B793" s="17"/>
      <c r="C793" s="17"/>
      <c r="D793" s="17"/>
      <c r="E793" s="343"/>
      <c r="F793" s="17"/>
      <c r="G793" s="17"/>
      <c r="H793" s="17"/>
      <c r="I793" s="17"/>
      <c r="J793" s="17" t="s">
        <v>1067</v>
      </c>
      <c r="K793" s="17"/>
      <c r="L793" s="17"/>
      <c r="AC793" s="1301"/>
    </row>
    <row r="794">
      <c r="B794" s="17"/>
      <c r="C794" s="17"/>
      <c r="D794" s="17"/>
      <c r="E794" s="343"/>
      <c r="F794" s="17"/>
      <c r="G794" s="17"/>
      <c r="H794" s="17"/>
      <c r="I794" s="17"/>
      <c r="J794" s="17" t="s">
        <v>1067</v>
      </c>
      <c r="K794" s="17"/>
      <c r="L794" s="17"/>
      <c r="AC794" s="1301"/>
    </row>
    <row r="795">
      <c r="B795" s="17"/>
      <c r="C795" s="17"/>
      <c r="D795" s="17"/>
      <c r="E795" s="343"/>
      <c r="F795" s="17"/>
      <c r="G795" s="17"/>
      <c r="H795" s="17"/>
      <c r="I795" s="17"/>
      <c r="J795" s="17" t="s">
        <v>1067</v>
      </c>
      <c r="K795" s="17"/>
      <c r="L795" s="17"/>
      <c r="AC795" s="1301"/>
    </row>
    <row r="796">
      <c r="B796" s="17"/>
      <c r="C796" s="17"/>
      <c r="D796" s="17"/>
      <c r="E796" s="343"/>
      <c r="F796" s="17"/>
      <c r="G796" s="17"/>
      <c r="H796" s="17"/>
      <c r="I796" s="17"/>
      <c r="J796" s="17" t="s">
        <v>1067</v>
      </c>
      <c r="K796" s="17"/>
      <c r="L796" s="17"/>
      <c r="AC796" s="1301"/>
    </row>
    <row r="797">
      <c r="B797" s="17"/>
      <c r="C797" s="17"/>
      <c r="D797" s="17"/>
      <c r="E797" s="343"/>
      <c r="F797" s="17"/>
      <c r="G797" s="17"/>
      <c r="H797" s="17"/>
      <c r="I797" s="17"/>
      <c r="J797" s="17" t="s">
        <v>1067</v>
      </c>
      <c r="K797" s="17"/>
      <c r="L797" s="17"/>
      <c r="AC797" s="1301"/>
    </row>
    <row r="798">
      <c r="B798" s="17"/>
      <c r="C798" s="17"/>
      <c r="D798" s="17"/>
      <c r="E798" s="343"/>
      <c r="F798" s="17"/>
      <c r="G798" s="17"/>
      <c r="H798" s="17"/>
      <c r="I798" s="17"/>
      <c r="J798" s="17" t="s">
        <v>1067</v>
      </c>
      <c r="K798" s="17"/>
      <c r="L798" s="17"/>
      <c r="AC798" s="1301"/>
    </row>
    <row r="799">
      <c r="B799" s="17"/>
      <c r="C799" s="17"/>
      <c r="D799" s="17"/>
      <c r="E799" s="343"/>
      <c r="F799" s="17"/>
      <c r="G799" s="17"/>
      <c r="H799" s="17"/>
      <c r="I799" s="17"/>
      <c r="J799" s="17" t="s">
        <v>1067</v>
      </c>
      <c r="K799" s="17"/>
      <c r="L799" s="17"/>
      <c r="AC799" s="1301"/>
    </row>
    <row r="800">
      <c r="B800" s="17"/>
      <c r="C800" s="17"/>
      <c r="D800" s="17"/>
      <c r="E800" s="343"/>
      <c r="F800" s="17"/>
      <c r="G800" s="17"/>
      <c r="H800" s="17"/>
      <c r="I800" s="17"/>
      <c r="J800" s="17" t="s">
        <v>1067</v>
      </c>
      <c r="K800" s="17"/>
      <c r="L800" s="17"/>
      <c r="AC800" s="1301"/>
    </row>
    <row r="801">
      <c r="B801" s="17"/>
      <c r="C801" s="17"/>
      <c r="D801" s="17"/>
      <c r="E801" s="343"/>
      <c r="F801" s="17"/>
      <c r="G801" s="17"/>
      <c r="H801" s="17"/>
      <c r="I801" s="17"/>
      <c r="J801" s="17" t="s">
        <v>1067</v>
      </c>
      <c r="K801" s="17"/>
      <c r="L801" s="17"/>
      <c r="AC801" s="1301"/>
    </row>
    <row r="802">
      <c r="B802" s="17"/>
      <c r="C802" s="17"/>
      <c r="D802" s="17"/>
      <c r="E802" s="343"/>
      <c r="F802" s="17"/>
      <c r="G802" s="17"/>
      <c r="H802" s="17"/>
      <c r="I802" s="17"/>
      <c r="J802" s="17" t="s">
        <v>1067</v>
      </c>
      <c r="K802" s="17"/>
      <c r="L802" s="17"/>
      <c r="AC802" s="1301"/>
    </row>
    <row r="803">
      <c r="B803" s="17"/>
      <c r="C803" s="17"/>
      <c r="D803" s="17"/>
      <c r="E803" s="343"/>
      <c r="F803" s="17"/>
      <c r="G803" s="17"/>
      <c r="H803" s="17"/>
      <c r="I803" s="17"/>
      <c r="J803" s="17" t="s">
        <v>1067</v>
      </c>
      <c r="K803" s="17"/>
      <c r="L803" s="17"/>
      <c r="AC803" s="1301"/>
    </row>
    <row r="804">
      <c r="B804" s="17"/>
      <c r="C804" s="17"/>
      <c r="D804" s="17"/>
      <c r="E804" s="343"/>
      <c r="F804" s="17"/>
      <c r="G804" s="17"/>
      <c r="H804" s="17"/>
      <c r="I804" s="17"/>
      <c r="J804" s="17" t="s">
        <v>1067</v>
      </c>
      <c r="K804" s="17"/>
      <c r="L804" s="17"/>
      <c r="AC804" s="1301"/>
    </row>
    <row r="805">
      <c r="B805" s="17"/>
      <c r="C805" s="17"/>
      <c r="D805" s="17"/>
      <c r="E805" s="343"/>
      <c r="F805" s="17"/>
      <c r="G805" s="17"/>
      <c r="H805" s="17"/>
      <c r="I805" s="17"/>
      <c r="J805" s="17" t="s">
        <v>1067</v>
      </c>
      <c r="K805" s="17"/>
      <c r="L805" s="17"/>
      <c r="AC805" s="1301"/>
    </row>
    <row r="806">
      <c r="B806" s="17"/>
      <c r="C806" s="17"/>
      <c r="D806" s="17"/>
      <c r="E806" s="343"/>
      <c r="F806" s="17"/>
      <c r="G806" s="17"/>
      <c r="H806" s="17"/>
      <c r="I806" s="17"/>
      <c r="J806" s="17" t="s">
        <v>1067</v>
      </c>
      <c r="K806" s="17"/>
      <c r="L806" s="17"/>
      <c r="AC806" s="1301"/>
    </row>
    <row r="807">
      <c r="B807" s="17"/>
      <c r="C807" s="17"/>
      <c r="D807" s="17"/>
      <c r="E807" s="343"/>
      <c r="F807" s="17"/>
      <c r="G807" s="17"/>
      <c r="H807" s="17"/>
      <c r="I807" s="17"/>
      <c r="J807" s="17" t="s">
        <v>1067</v>
      </c>
      <c r="K807" s="17"/>
      <c r="L807" s="17"/>
      <c r="AC807" s="1301"/>
    </row>
    <row r="808">
      <c r="B808" s="17"/>
      <c r="C808" s="17"/>
      <c r="D808" s="17"/>
      <c r="E808" s="343"/>
      <c r="F808" s="17"/>
      <c r="G808" s="17"/>
      <c r="H808" s="17"/>
      <c r="I808" s="17"/>
      <c r="J808" s="17" t="s">
        <v>1067</v>
      </c>
      <c r="K808" s="17"/>
      <c r="L808" s="17"/>
      <c r="AC808" s="1301"/>
    </row>
    <row r="809">
      <c r="B809" s="17"/>
      <c r="C809" s="17"/>
      <c r="D809" s="17"/>
      <c r="E809" s="343"/>
      <c r="F809" s="17"/>
      <c r="G809" s="17"/>
      <c r="H809" s="17"/>
      <c r="I809" s="17"/>
      <c r="J809" s="17" t="s">
        <v>1067</v>
      </c>
      <c r="K809" s="17"/>
      <c r="L809" s="17"/>
      <c r="AC809" s="1301"/>
    </row>
    <row r="810">
      <c r="B810" s="17"/>
      <c r="C810" s="17"/>
      <c r="D810" s="17"/>
      <c r="E810" s="343"/>
      <c r="F810" s="17"/>
      <c r="G810" s="17"/>
      <c r="H810" s="17"/>
      <c r="I810" s="17"/>
      <c r="J810" s="17" t="s">
        <v>1067</v>
      </c>
      <c r="K810" s="17"/>
      <c r="L810" s="17"/>
      <c r="AC810" s="1301"/>
    </row>
    <row r="811">
      <c r="B811" s="17"/>
      <c r="C811" s="17"/>
      <c r="D811" s="17"/>
      <c r="E811" s="343"/>
      <c r="F811" s="17"/>
      <c r="G811" s="17"/>
      <c r="H811" s="17"/>
      <c r="I811" s="17"/>
      <c r="J811" s="17" t="s">
        <v>1067</v>
      </c>
      <c r="K811" s="17"/>
      <c r="L811" s="17"/>
      <c r="AC811" s="1301"/>
    </row>
    <row r="812">
      <c r="B812" s="17"/>
      <c r="C812" s="17"/>
      <c r="D812" s="17"/>
      <c r="E812" s="343"/>
      <c r="F812" s="17"/>
      <c r="G812" s="17"/>
      <c r="H812" s="17"/>
      <c r="I812" s="17"/>
      <c r="J812" s="17" t="s">
        <v>1067</v>
      </c>
      <c r="K812" s="17"/>
      <c r="L812" s="17"/>
      <c r="AC812" s="1301"/>
    </row>
    <row r="813">
      <c r="B813" s="17"/>
      <c r="C813" s="17"/>
      <c r="D813" s="17"/>
      <c r="E813" s="343"/>
      <c r="F813" s="17"/>
      <c r="G813" s="17"/>
      <c r="H813" s="17"/>
      <c r="I813" s="17"/>
      <c r="J813" s="17" t="s">
        <v>1067</v>
      </c>
      <c r="K813" s="17"/>
      <c r="L813" s="17"/>
      <c r="AC813" s="1301"/>
    </row>
    <row r="814">
      <c r="B814" s="17"/>
      <c r="C814" s="17"/>
      <c r="D814" s="17"/>
      <c r="E814" s="343"/>
      <c r="F814" s="17"/>
      <c r="G814" s="17"/>
      <c r="H814" s="17"/>
      <c r="I814" s="17"/>
      <c r="J814" s="17" t="s">
        <v>1067</v>
      </c>
      <c r="K814" s="17"/>
      <c r="L814" s="17"/>
      <c r="AC814" s="1301"/>
    </row>
    <row r="815">
      <c r="B815" s="17"/>
      <c r="C815" s="17"/>
      <c r="D815" s="17"/>
      <c r="E815" s="343"/>
      <c r="F815" s="17"/>
      <c r="G815" s="17"/>
      <c r="H815" s="17"/>
      <c r="I815" s="17"/>
      <c r="J815" s="17" t="s">
        <v>1067</v>
      </c>
      <c r="K815" s="17"/>
      <c r="L815" s="17"/>
      <c r="AC815" s="1301"/>
    </row>
    <row r="816">
      <c r="B816" s="17"/>
      <c r="C816" s="17"/>
      <c r="D816" s="17"/>
      <c r="E816" s="343"/>
      <c r="F816" s="17"/>
      <c r="G816" s="17"/>
      <c r="H816" s="17"/>
      <c r="I816" s="17"/>
      <c r="J816" s="17" t="s">
        <v>1067</v>
      </c>
      <c r="K816" s="17"/>
      <c r="L816" s="17"/>
      <c r="AC816" s="1301"/>
    </row>
    <row r="817">
      <c r="B817" s="17"/>
      <c r="C817" s="17"/>
      <c r="D817" s="17"/>
      <c r="E817" s="343"/>
      <c r="F817" s="17"/>
      <c r="G817" s="17"/>
      <c r="H817" s="17"/>
      <c r="I817" s="17"/>
      <c r="J817" s="17" t="s">
        <v>1067</v>
      </c>
      <c r="K817" s="17"/>
      <c r="L817" s="17"/>
      <c r="AC817" s="1301"/>
    </row>
    <row r="818">
      <c r="B818" s="17"/>
      <c r="C818" s="17"/>
      <c r="D818" s="17"/>
      <c r="E818" s="343"/>
      <c r="F818" s="17"/>
      <c r="G818" s="17"/>
      <c r="H818" s="17"/>
      <c r="I818" s="17"/>
      <c r="J818" s="17" t="s">
        <v>1067</v>
      </c>
      <c r="K818" s="17"/>
      <c r="L818" s="17"/>
      <c r="AC818" s="1301"/>
    </row>
    <row r="819">
      <c r="B819" s="17"/>
      <c r="C819" s="17"/>
      <c r="D819" s="17"/>
      <c r="E819" s="343"/>
      <c r="F819" s="17"/>
      <c r="G819" s="17"/>
      <c r="H819" s="17"/>
      <c r="I819" s="17"/>
      <c r="J819" s="17" t="s">
        <v>1067</v>
      </c>
      <c r="K819" s="17"/>
      <c r="L819" s="17"/>
      <c r="AC819" s="1301"/>
    </row>
    <row r="820">
      <c r="B820" s="17"/>
      <c r="C820" s="17"/>
      <c r="D820" s="17"/>
      <c r="E820" s="343"/>
      <c r="F820" s="17"/>
      <c r="G820" s="17"/>
      <c r="H820" s="17"/>
      <c r="I820" s="17"/>
      <c r="J820" s="17" t="s">
        <v>1067</v>
      </c>
      <c r="K820" s="17"/>
      <c r="L820" s="17"/>
      <c r="AC820" s="1301"/>
    </row>
    <row r="821">
      <c r="B821" s="17"/>
      <c r="C821" s="17"/>
      <c r="D821" s="17"/>
      <c r="E821" s="343"/>
      <c r="F821" s="17"/>
      <c r="G821" s="17"/>
      <c r="H821" s="17"/>
      <c r="I821" s="17"/>
      <c r="J821" s="17" t="s">
        <v>1067</v>
      </c>
      <c r="K821" s="17"/>
      <c r="L821" s="17"/>
      <c r="AC821" s="1301"/>
    </row>
    <row r="822">
      <c r="B822" s="17"/>
      <c r="C822" s="17"/>
      <c r="D822" s="17"/>
      <c r="E822" s="343"/>
      <c r="F822" s="17"/>
      <c r="G822" s="17"/>
      <c r="H822" s="17"/>
      <c r="I822" s="17"/>
      <c r="J822" s="17" t="s">
        <v>1067</v>
      </c>
      <c r="K822" s="17"/>
      <c r="L822" s="17"/>
      <c r="AC822" s="1301"/>
    </row>
    <row r="823">
      <c r="B823" s="17"/>
      <c r="C823" s="17"/>
      <c r="D823" s="17"/>
      <c r="E823" s="343"/>
      <c r="F823" s="17"/>
      <c r="G823" s="17"/>
      <c r="H823" s="17"/>
      <c r="I823" s="17"/>
      <c r="J823" s="17" t="s">
        <v>1067</v>
      </c>
      <c r="K823" s="17"/>
      <c r="L823" s="17"/>
      <c r="AC823" s="1301"/>
    </row>
    <row r="824">
      <c r="B824" s="17"/>
      <c r="C824" s="17"/>
      <c r="D824" s="17"/>
      <c r="E824" s="343"/>
      <c r="F824" s="17"/>
      <c r="G824" s="17"/>
      <c r="H824" s="17"/>
      <c r="I824" s="17"/>
      <c r="J824" s="17" t="s">
        <v>1067</v>
      </c>
      <c r="K824" s="17"/>
      <c r="L824" s="17"/>
      <c r="AC824" s="1301"/>
    </row>
    <row r="825">
      <c r="B825" s="17"/>
      <c r="C825" s="17"/>
      <c r="D825" s="17"/>
      <c r="E825" s="343"/>
      <c r="F825" s="17"/>
      <c r="G825" s="17"/>
      <c r="H825" s="17"/>
      <c r="I825" s="17"/>
      <c r="J825" s="17" t="s">
        <v>1067</v>
      </c>
      <c r="K825" s="17"/>
      <c r="L825" s="17"/>
      <c r="AC825" s="1301"/>
    </row>
    <row r="826">
      <c r="B826" s="17"/>
      <c r="C826" s="17"/>
      <c r="D826" s="17"/>
      <c r="E826" s="343"/>
      <c r="F826" s="17"/>
      <c r="G826" s="17"/>
      <c r="H826" s="17"/>
      <c r="I826" s="17"/>
      <c r="J826" s="17" t="s">
        <v>1067</v>
      </c>
      <c r="K826" s="17"/>
      <c r="L826" s="17"/>
      <c r="AC826" s="1301"/>
    </row>
    <row r="827">
      <c r="B827" s="17"/>
      <c r="C827" s="17"/>
      <c r="D827" s="17"/>
      <c r="E827" s="343"/>
      <c r="F827" s="17"/>
      <c r="G827" s="17"/>
      <c r="H827" s="17"/>
      <c r="I827" s="17"/>
      <c r="J827" s="17" t="s">
        <v>1067</v>
      </c>
      <c r="K827" s="17"/>
      <c r="L827" s="17"/>
      <c r="AC827" s="1301"/>
    </row>
    <row r="828">
      <c r="B828" s="17"/>
      <c r="C828" s="17"/>
      <c r="D828" s="17"/>
      <c r="E828" s="343"/>
      <c r="F828" s="17"/>
      <c r="G828" s="17"/>
      <c r="H828" s="17"/>
      <c r="I828" s="17"/>
      <c r="J828" s="17" t="s">
        <v>1067</v>
      </c>
      <c r="K828" s="17"/>
      <c r="L828" s="17"/>
      <c r="AC828" s="1301"/>
    </row>
    <row r="829">
      <c r="B829" s="17"/>
      <c r="C829" s="17"/>
      <c r="D829" s="17"/>
      <c r="E829" s="343"/>
      <c r="F829" s="17"/>
      <c r="G829" s="17"/>
      <c r="H829" s="17"/>
      <c r="I829" s="17"/>
      <c r="J829" s="17" t="s">
        <v>1067</v>
      </c>
      <c r="K829" s="17"/>
      <c r="L829" s="17"/>
      <c r="AC829" s="1301"/>
    </row>
    <row r="830">
      <c r="B830" s="17"/>
      <c r="C830" s="17"/>
      <c r="D830" s="17"/>
      <c r="E830" s="343"/>
      <c r="F830" s="17"/>
      <c r="G830" s="17"/>
      <c r="H830" s="17"/>
      <c r="I830" s="17"/>
      <c r="J830" s="17" t="s">
        <v>1067</v>
      </c>
      <c r="K830" s="17"/>
      <c r="L830" s="17"/>
      <c r="AC830" s="1301"/>
    </row>
    <row r="831">
      <c r="B831" s="17"/>
      <c r="C831" s="17"/>
      <c r="D831" s="17"/>
      <c r="E831" s="343"/>
      <c r="F831" s="17"/>
      <c r="G831" s="17"/>
      <c r="H831" s="17"/>
      <c r="I831" s="17"/>
      <c r="J831" s="17" t="s">
        <v>1067</v>
      </c>
      <c r="K831" s="17"/>
      <c r="L831" s="17"/>
      <c r="AC831" s="1301"/>
    </row>
    <row r="832">
      <c r="B832" s="17"/>
      <c r="C832" s="17"/>
      <c r="D832" s="17"/>
      <c r="E832" s="343"/>
      <c r="F832" s="17"/>
      <c r="G832" s="17"/>
      <c r="H832" s="17"/>
      <c r="I832" s="17"/>
      <c r="J832" s="17" t="s">
        <v>1067</v>
      </c>
      <c r="K832" s="17"/>
      <c r="L832" s="17"/>
      <c r="AC832" s="1301"/>
    </row>
    <row r="833">
      <c r="B833" s="17"/>
      <c r="C833" s="17"/>
      <c r="D833" s="17"/>
      <c r="E833" s="343"/>
      <c r="F833" s="17"/>
      <c r="G833" s="17"/>
      <c r="H833" s="17"/>
      <c r="I833" s="17"/>
      <c r="J833" s="17" t="s">
        <v>1067</v>
      </c>
      <c r="K833" s="17"/>
      <c r="L833" s="17"/>
      <c r="AC833" s="1301"/>
    </row>
    <row r="834">
      <c r="B834" s="17"/>
      <c r="C834" s="17"/>
      <c r="D834" s="17"/>
      <c r="E834" s="343"/>
      <c r="F834" s="17"/>
      <c r="G834" s="17"/>
      <c r="H834" s="17"/>
      <c r="I834" s="17"/>
      <c r="J834" s="17" t="s">
        <v>1067</v>
      </c>
      <c r="K834" s="17"/>
      <c r="L834" s="17"/>
      <c r="AC834" s="1301"/>
    </row>
    <row r="835">
      <c r="B835" s="17"/>
      <c r="C835" s="17"/>
      <c r="D835" s="17"/>
      <c r="E835" s="343"/>
      <c r="F835" s="17"/>
      <c r="G835" s="17"/>
      <c r="H835" s="17"/>
      <c r="I835" s="17"/>
      <c r="J835" s="17" t="s">
        <v>1067</v>
      </c>
      <c r="K835" s="17"/>
      <c r="L835" s="17"/>
      <c r="AC835" s="1301"/>
    </row>
    <row r="836">
      <c r="B836" s="17"/>
      <c r="C836" s="17"/>
      <c r="D836" s="17"/>
      <c r="E836" s="343"/>
      <c r="F836" s="17"/>
      <c r="G836" s="17"/>
      <c r="H836" s="17"/>
      <c r="I836" s="17"/>
      <c r="J836" s="17" t="s">
        <v>1067</v>
      </c>
      <c r="K836" s="17"/>
      <c r="L836" s="17"/>
      <c r="AC836" s="1301"/>
    </row>
    <row r="837">
      <c r="B837" s="17"/>
      <c r="C837" s="17"/>
      <c r="D837" s="17"/>
      <c r="E837" s="343"/>
      <c r="F837" s="17"/>
      <c r="G837" s="17"/>
      <c r="H837" s="17"/>
      <c r="I837" s="17"/>
      <c r="J837" s="17" t="s">
        <v>1067</v>
      </c>
      <c r="K837" s="17"/>
      <c r="L837" s="17"/>
      <c r="AC837" s="1301"/>
    </row>
    <row r="838">
      <c r="B838" s="17"/>
      <c r="C838" s="17"/>
      <c r="D838" s="17"/>
      <c r="E838" s="343"/>
      <c r="F838" s="17"/>
      <c r="G838" s="17"/>
      <c r="H838" s="17"/>
      <c r="I838" s="17"/>
      <c r="J838" s="17" t="s">
        <v>1067</v>
      </c>
      <c r="K838" s="17"/>
      <c r="L838" s="17"/>
      <c r="AC838" s="1301"/>
    </row>
    <row r="839">
      <c r="B839" s="17"/>
      <c r="C839" s="17"/>
      <c r="D839" s="17"/>
      <c r="E839" s="343"/>
      <c r="F839" s="17"/>
      <c r="G839" s="17"/>
      <c r="H839" s="17"/>
      <c r="I839" s="17"/>
      <c r="J839" s="17" t="s">
        <v>1067</v>
      </c>
      <c r="K839" s="17"/>
      <c r="L839" s="17"/>
      <c r="AC839" s="1301"/>
    </row>
    <row r="840">
      <c r="B840" s="17"/>
      <c r="C840" s="17"/>
      <c r="D840" s="17"/>
      <c r="E840" s="343"/>
      <c r="F840" s="17"/>
      <c r="G840" s="17"/>
      <c r="H840" s="17"/>
      <c r="I840" s="17"/>
      <c r="J840" s="17" t="s">
        <v>1067</v>
      </c>
      <c r="K840" s="17"/>
      <c r="L840" s="17"/>
      <c r="AC840" s="1301"/>
    </row>
    <row r="841">
      <c r="B841" s="17"/>
      <c r="C841" s="17"/>
      <c r="D841" s="17"/>
      <c r="E841" s="343"/>
      <c r="F841" s="17"/>
      <c r="G841" s="17"/>
      <c r="H841" s="17"/>
      <c r="I841" s="17"/>
      <c r="J841" s="17" t="s">
        <v>1067</v>
      </c>
      <c r="K841" s="17"/>
      <c r="L841" s="17"/>
      <c r="AC841" s="1301"/>
    </row>
    <row r="842">
      <c r="B842" s="17"/>
      <c r="C842" s="17"/>
      <c r="D842" s="17"/>
      <c r="E842" s="343"/>
      <c r="F842" s="17"/>
      <c r="G842" s="17"/>
      <c r="H842" s="17"/>
      <c r="I842" s="17"/>
      <c r="J842" s="17" t="s">
        <v>1067</v>
      </c>
      <c r="K842" s="17"/>
      <c r="L842" s="17"/>
      <c r="AC842" s="1301"/>
    </row>
    <row r="843">
      <c r="B843" s="17"/>
      <c r="C843" s="17"/>
      <c r="D843" s="17"/>
      <c r="E843" s="343"/>
      <c r="F843" s="17"/>
      <c r="G843" s="17"/>
      <c r="H843" s="17"/>
      <c r="I843" s="17"/>
      <c r="J843" s="17" t="s">
        <v>1067</v>
      </c>
      <c r="K843" s="17"/>
      <c r="L843" s="17"/>
      <c r="AC843" s="1301"/>
    </row>
    <row r="844">
      <c r="B844" s="17"/>
      <c r="C844" s="17"/>
      <c r="D844" s="17"/>
      <c r="E844" s="343"/>
      <c r="F844" s="17"/>
      <c r="G844" s="17"/>
      <c r="H844" s="17"/>
      <c r="I844" s="17"/>
      <c r="J844" s="17" t="s">
        <v>1067</v>
      </c>
      <c r="K844" s="17"/>
      <c r="L844" s="17"/>
      <c r="AC844" s="1301"/>
    </row>
    <row r="845">
      <c r="B845" s="17"/>
      <c r="C845" s="17"/>
      <c r="D845" s="17"/>
      <c r="E845" s="343"/>
      <c r="F845" s="17"/>
      <c r="G845" s="17"/>
      <c r="H845" s="17"/>
      <c r="I845" s="17"/>
      <c r="J845" s="17" t="s">
        <v>1067</v>
      </c>
      <c r="K845" s="17"/>
      <c r="L845" s="17"/>
      <c r="AC845" s="1301"/>
    </row>
    <row r="846">
      <c r="B846" s="17"/>
      <c r="C846" s="17"/>
      <c r="D846" s="17"/>
      <c r="E846" s="343"/>
      <c r="F846" s="17"/>
      <c r="G846" s="17"/>
      <c r="H846" s="17"/>
      <c r="I846" s="17"/>
      <c r="J846" s="17" t="s">
        <v>1067</v>
      </c>
      <c r="K846" s="17"/>
      <c r="L846" s="17"/>
      <c r="AC846" s="1301"/>
    </row>
    <row r="847">
      <c r="B847" s="17"/>
      <c r="C847" s="17"/>
      <c r="D847" s="17"/>
      <c r="E847" s="343"/>
      <c r="F847" s="17"/>
      <c r="G847" s="17"/>
      <c r="H847" s="17"/>
      <c r="I847" s="17"/>
      <c r="J847" s="17" t="s">
        <v>1067</v>
      </c>
      <c r="K847" s="17"/>
      <c r="L847" s="17"/>
      <c r="AC847" s="1301"/>
    </row>
    <row r="848">
      <c r="B848" s="17"/>
      <c r="C848" s="17"/>
      <c r="D848" s="17"/>
      <c r="E848" s="343"/>
      <c r="F848" s="17"/>
      <c r="G848" s="17"/>
      <c r="H848" s="17"/>
      <c r="I848" s="17"/>
      <c r="J848" s="17" t="s">
        <v>1067</v>
      </c>
      <c r="K848" s="17"/>
      <c r="L848" s="17"/>
      <c r="AC848" s="1301"/>
    </row>
    <row r="849">
      <c r="B849" s="17"/>
      <c r="C849" s="17"/>
      <c r="D849" s="17"/>
      <c r="E849" s="343"/>
      <c r="F849" s="17"/>
      <c r="G849" s="17"/>
      <c r="H849" s="17"/>
      <c r="I849" s="17"/>
      <c r="J849" s="17" t="s">
        <v>1067</v>
      </c>
      <c r="K849" s="17"/>
      <c r="L849" s="17"/>
      <c r="AC849" s="1301"/>
    </row>
    <row r="850">
      <c r="B850" s="17"/>
      <c r="C850" s="17"/>
      <c r="D850" s="17"/>
      <c r="E850" s="343"/>
      <c r="F850" s="17"/>
      <c r="G850" s="17"/>
      <c r="H850" s="17"/>
      <c r="I850" s="17"/>
      <c r="J850" s="17" t="s">
        <v>1067</v>
      </c>
      <c r="K850" s="17"/>
      <c r="L850" s="17"/>
      <c r="AC850" s="1301"/>
    </row>
    <row r="851">
      <c r="B851" s="17"/>
      <c r="C851" s="17"/>
      <c r="D851" s="17"/>
      <c r="E851" s="343"/>
      <c r="F851" s="17"/>
      <c r="G851" s="17"/>
      <c r="H851" s="17"/>
      <c r="I851" s="17"/>
      <c r="J851" s="17" t="s">
        <v>1067</v>
      </c>
      <c r="K851" s="17"/>
      <c r="L851" s="17"/>
      <c r="AC851" s="1301"/>
    </row>
    <row r="852">
      <c r="B852" s="17"/>
      <c r="C852" s="17"/>
      <c r="D852" s="17"/>
      <c r="E852" s="343"/>
      <c r="F852" s="17"/>
      <c r="G852" s="17"/>
      <c r="H852" s="17"/>
      <c r="I852" s="17"/>
      <c r="J852" s="17" t="s">
        <v>1067</v>
      </c>
      <c r="K852" s="17"/>
      <c r="L852" s="17"/>
      <c r="AC852" s="1301"/>
    </row>
    <row r="853">
      <c r="B853" s="17"/>
      <c r="C853" s="17"/>
      <c r="D853" s="17"/>
      <c r="E853" s="343"/>
      <c r="F853" s="17"/>
      <c r="G853" s="17"/>
      <c r="H853" s="17"/>
      <c r="I853" s="17"/>
      <c r="J853" s="17" t="s">
        <v>1067</v>
      </c>
      <c r="K853" s="17"/>
      <c r="L853" s="17"/>
      <c r="AC853" s="1301"/>
    </row>
    <row r="854">
      <c r="B854" s="17"/>
      <c r="C854" s="17"/>
      <c r="D854" s="17"/>
      <c r="E854" s="343"/>
      <c r="F854" s="17"/>
      <c r="G854" s="17"/>
      <c r="H854" s="17"/>
      <c r="I854" s="17"/>
      <c r="J854" s="17" t="s">
        <v>1067</v>
      </c>
      <c r="K854" s="17"/>
      <c r="L854" s="17"/>
      <c r="AC854" s="1301"/>
    </row>
    <row r="855">
      <c r="B855" s="17"/>
      <c r="C855" s="17"/>
      <c r="D855" s="17"/>
      <c r="E855" s="343"/>
      <c r="F855" s="17"/>
      <c r="G855" s="17"/>
      <c r="H855" s="17"/>
      <c r="I855" s="17"/>
      <c r="J855" s="17" t="s">
        <v>1067</v>
      </c>
      <c r="K855" s="17"/>
      <c r="L855" s="17"/>
      <c r="AC855" s="1301"/>
    </row>
    <row r="856">
      <c r="B856" s="17"/>
      <c r="C856" s="17"/>
      <c r="D856" s="17"/>
      <c r="E856" s="343"/>
      <c r="F856" s="17"/>
      <c r="G856" s="17"/>
      <c r="H856" s="17"/>
      <c r="I856" s="17"/>
      <c r="J856" s="17" t="s">
        <v>1067</v>
      </c>
      <c r="K856" s="17"/>
      <c r="L856" s="17"/>
      <c r="AC856" s="1301"/>
    </row>
    <row r="857">
      <c r="B857" s="17"/>
      <c r="C857" s="17"/>
      <c r="D857" s="17"/>
      <c r="E857" s="343"/>
      <c r="F857" s="17"/>
      <c r="G857" s="17"/>
      <c r="H857" s="17"/>
      <c r="I857" s="17"/>
      <c r="J857" s="17" t="s">
        <v>1067</v>
      </c>
      <c r="K857" s="17"/>
      <c r="L857" s="17"/>
      <c r="AC857" s="1301"/>
    </row>
    <row r="858">
      <c r="B858" s="17"/>
      <c r="C858" s="17"/>
      <c r="D858" s="17"/>
      <c r="E858" s="343"/>
      <c r="F858" s="17"/>
      <c r="G858" s="17"/>
      <c r="H858" s="17"/>
      <c r="I858" s="17"/>
      <c r="J858" s="17" t="s">
        <v>1067</v>
      </c>
      <c r="K858" s="17"/>
      <c r="L858" s="17"/>
      <c r="AC858" s="1301"/>
    </row>
    <row r="859">
      <c r="B859" s="17"/>
      <c r="C859" s="17"/>
      <c r="D859" s="17"/>
      <c r="E859" s="343"/>
      <c r="F859" s="17"/>
      <c r="G859" s="17"/>
      <c r="H859" s="17"/>
      <c r="I859" s="17"/>
      <c r="J859" s="17" t="s">
        <v>1067</v>
      </c>
      <c r="K859" s="17"/>
      <c r="L859" s="17"/>
      <c r="AC859" s="1301"/>
    </row>
    <row r="860">
      <c r="B860" s="17"/>
      <c r="C860" s="17"/>
      <c r="D860" s="17"/>
      <c r="E860" s="343"/>
      <c r="F860" s="17"/>
      <c r="G860" s="17"/>
      <c r="H860" s="17"/>
      <c r="I860" s="17"/>
      <c r="J860" s="17" t="s">
        <v>1067</v>
      </c>
      <c r="K860" s="17"/>
      <c r="L860" s="17"/>
      <c r="AC860" s="1301"/>
    </row>
    <row r="861">
      <c r="B861" s="17"/>
      <c r="C861" s="17"/>
      <c r="D861" s="17"/>
      <c r="E861" s="343"/>
      <c r="F861" s="17"/>
      <c r="G861" s="17"/>
      <c r="H861" s="17"/>
      <c r="I861" s="17"/>
      <c r="J861" s="17" t="s">
        <v>1067</v>
      </c>
      <c r="K861" s="17"/>
      <c r="L861" s="17"/>
      <c r="AC861" s="1301"/>
    </row>
    <row r="862">
      <c r="B862" s="17"/>
      <c r="C862" s="17"/>
      <c r="D862" s="17"/>
      <c r="E862" s="343"/>
      <c r="F862" s="17"/>
      <c r="G862" s="17"/>
      <c r="H862" s="17"/>
      <c r="I862" s="17"/>
      <c r="J862" s="17" t="s">
        <v>1067</v>
      </c>
      <c r="K862" s="17"/>
      <c r="L862" s="17"/>
      <c r="AC862" s="1301"/>
    </row>
    <row r="863">
      <c r="B863" s="17"/>
      <c r="C863" s="17"/>
      <c r="D863" s="17"/>
      <c r="E863" s="343"/>
      <c r="F863" s="17"/>
      <c r="G863" s="17"/>
      <c r="H863" s="17"/>
      <c r="I863" s="17"/>
      <c r="J863" s="17" t="s">
        <v>1067</v>
      </c>
      <c r="K863" s="17"/>
      <c r="L863" s="17"/>
      <c r="AC863" s="1301"/>
    </row>
    <row r="864">
      <c r="B864" s="17"/>
      <c r="C864" s="17"/>
      <c r="D864" s="17"/>
      <c r="E864" s="343"/>
      <c r="F864" s="17"/>
      <c r="G864" s="17"/>
      <c r="H864" s="17"/>
      <c r="I864" s="17"/>
      <c r="J864" s="17" t="s">
        <v>1067</v>
      </c>
      <c r="K864" s="17"/>
      <c r="L864" s="17"/>
      <c r="AC864" s="1301"/>
    </row>
    <row r="865">
      <c r="B865" s="17"/>
      <c r="C865" s="17"/>
      <c r="D865" s="17"/>
      <c r="E865" s="343"/>
      <c r="F865" s="17"/>
      <c r="G865" s="17"/>
      <c r="H865" s="17"/>
      <c r="I865" s="17"/>
      <c r="J865" s="17" t="s">
        <v>1067</v>
      </c>
      <c r="K865" s="17"/>
      <c r="L865" s="17"/>
      <c r="AC865" s="1301"/>
    </row>
    <row r="866">
      <c r="B866" s="17"/>
      <c r="C866" s="17"/>
      <c r="D866" s="17"/>
      <c r="E866" s="343"/>
      <c r="F866" s="17"/>
      <c r="G866" s="17"/>
      <c r="H866" s="17"/>
      <c r="I866" s="17"/>
      <c r="J866" s="17" t="s">
        <v>1067</v>
      </c>
      <c r="K866" s="17"/>
      <c r="L866" s="17"/>
      <c r="AC866" s="1301"/>
    </row>
    <row r="867">
      <c r="B867" s="17"/>
      <c r="C867" s="17"/>
      <c r="D867" s="17"/>
      <c r="E867" s="343"/>
      <c r="F867" s="17"/>
      <c r="G867" s="17"/>
      <c r="H867" s="17"/>
      <c r="I867" s="17"/>
      <c r="J867" s="17" t="s">
        <v>1067</v>
      </c>
      <c r="K867" s="17"/>
      <c r="L867" s="17"/>
      <c r="AC867" s="1301"/>
    </row>
    <row r="868">
      <c r="B868" s="17"/>
      <c r="C868" s="17"/>
      <c r="D868" s="17"/>
      <c r="E868" s="343"/>
      <c r="F868" s="17"/>
      <c r="G868" s="17"/>
      <c r="H868" s="17"/>
      <c r="I868" s="17"/>
      <c r="J868" s="17" t="s">
        <v>1067</v>
      </c>
      <c r="K868" s="17"/>
      <c r="L868" s="17"/>
      <c r="AC868" s="1301"/>
    </row>
    <row r="869">
      <c r="B869" s="17"/>
      <c r="C869" s="17"/>
      <c r="D869" s="17"/>
      <c r="E869" s="343"/>
      <c r="F869" s="17"/>
      <c r="G869" s="17"/>
      <c r="H869" s="17"/>
      <c r="I869" s="17"/>
      <c r="J869" s="17" t="s">
        <v>1067</v>
      </c>
      <c r="K869" s="17"/>
      <c r="L869" s="17"/>
      <c r="AC869" s="1301"/>
    </row>
    <row r="870">
      <c r="B870" s="17"/>
      <c r="C870" s="17"/>
      <c r="D870" s="17"/>
      <c r="E870" s="343"/>
      <c r="F870" s="17"/>
      <c r="G870" s="17"/>
      <c r="H870" s="17"/>
      <c r="I870" s="17"/>
      <c r="J870" s="17" t="s">
        <v>1067</v>
      </c>
      <c r="K870" s="17"/>
      <c r="L870" s="17"/>
      <c r="AC870" s="1301"/>
    </row>
    <row r="871">
      <c r="B871" s="17"/>
      <c r="C871" s="17"/>
      <c r="D871" s="17"/>
      <c r="E871" s="343"/>
      <c r="F871" s="17"/>
      <c r="G871" s="17"/>
      <c r="H871" s="17"/>
      <c r="I871" s="17"/>
      <c r="J871" s="17" t="s">
        <v>1067</v>
      </c>
      <c r="K871" s="17"/>
      <c r="L871" s="17"/>
      <c r="AC871" s="1301"/>
    </row>
    <row r="872">
      <c r="B872" s="17"/>
      <c r="C872" s="17"/>
      <c r="D872" s="17"/>
      <c r="E872" s="343"/>
      <c r="F872" s="17"/>
      <c r="G872" s="17"/>
      <c r="H872" s="17"/>
      <c r="I872" s="17"/>
      <c r="J872" s="17" t="s">
        <v>1067</v>
      </c>
      <c r="K872" s="17"/>
      <c r="L872" s="17"/>
      <c r="AC872" s="1301"/>
    </row>
    <row r="873">
      <c r="B873" s="17"/>
      <c r="C873" s="17"/>
      <c r="D873" s="17"/>
      <c r="E873" s="343"/>
      <c r="F873" s="17"/>
      <c r="G873" s="17"/>
      <c r="H873" s="17"/>
      <c r="I873" s="17"/>
      <c r="J873" s="17" t="s">
        <v>1067</v>
      </c>
      <c r="K873" s="17"/>
      <c r="L873" s="17"/>
      <c r="AC873" s="1301"/>
    </row>
    <row r="874">
      <c r="B874" s="17"/>
      <c r="C874" s="17"/>
      <c r="D874" s="17"/>
      <c r="E874" s="343"/>
      <c r="F874" s="17"/>
      <c r="G874" s="17"/>
      <c r="H874" s="17"/>
      <c r="I874" s="17"/>
      <c r="J874" s="17" t="s">
        <v>1067</v>
      </c>
      <c r="K874" s="17"/>
      <c r="L874" s="17"/>
      <c r="AC874" s="1301"/>
    </row>
    <row r="875">
      <c r="B875" s="17"/>
      <c r="C875" s="17"/>
      <c r="D875" s="17"/>
      <c r="E875" s="343"/>
      <c r="F875" s="17"/>
      <c r="G875" s="17"/>
      <c r="H875" s="17"/>
      <c r="I875" s="17"/>
      <c r="J875" s="17" t="s">
        <v>1067</v>
      </c>
      <c r="K875" s="17"/>
      <c r="L875" s="17"/>
      <c r="AC875" s="1301"/>
    </row>
    <row r="876">
      <c r="B876" s="17"/>
      <c r="C876" s="17"/>
      <c r="D876" s="17"/>
      <c r="E876" s="343"/>
      <c r="F876" s="17"/>
      <c r="G876" s="17"/>
      <c r="H876" s="17"/>
      <c r="I876" s="17"/>
      <c r="J876" s="17" t="s">
        <v>1067</v>
      </c>
      <c r="K876" s="17"/>
      <c r="L876" s="17"/>
      <c r="AC876" s="1301"/>
    </row>
    <row r="877">
      <c r="B877" s="17"/>
      <c r="C877" s="17"/>
      <c r="D877" s="17"/>
      <c r="E877" s="343"/>
      <c r="F877" s="17"/>
      <c r="G877" s="17"/>
      <c r="H877" s="17"/>
      <c r="I877" s="17"/>
      <c r="J877" s="17" t="s">
        <v>1067</v>
      </c>
      <c r="K877" s="17"/>
      <c r="L877" s="17"/>
      <c r="AC877" s="1301"/>
    </row>
    <row r="878">
      <c r="B878" s="17"/>
      <c r="C878" s="17"/>
      <c r="D878" s="17"/>
      <c r="E878" s="343"/>
      <c r="F878" s="17"/>
      <c r="G878" s="17"/>
      <c r="H878" s="17"/>
      <c r="I878" s="17"/>
      <c r="J878" s="17" t="s">
        <v>1067</v>
      </c>
      <c r="K878" s="17"/>
      <c r="L878" s="17"/>
      <c r="AC878" s="1301"/>
    </row>
    <row r="879">
      <c r="B879" s="17"/>
      <c r="C879" s="17"/>
      <c r="D879" s="17"/>
      <c r="E879" s="343"/>
      <c r="F879" s="17"/>
      <c r="G879" s="17"/>
      <c r="H879" s="17"/>
      <c r="I879" s="17"/>
      <c r="J879" s="17" t="s">
        <v>1067</v>
      </c>
      <c r="K879" s="17"/>
      <c r="L879" s="17"/>
      <c r="AC879" s="1301"/>
    </row>
    <row r="880">
      <c r="B880" s="17"/>
      <c r="C880" s="17"/>
      <c r="D880" s="17"/>
      <c r="E880" s="343"/>
      <c r="F880" s="17"/>
      <c r="G880" s="17"/>
      <c r="H880" s="17"/>
      <c r="I880" s="17"/>
      <c r="J880" s="17" t="s">
        <v>1067</v>
      </c>
      <c r="K880" s="17"/>
      <c r="L880" s="17"/>
      <c r="AC880" s="1301"/>
    </row>
    <row r="881">
      <c r="B881" s="17"/>
      <c r="C881" s="17"/>
      <c r="D881" s="17"/>
      <c r="E881" s="343"/>
      <c r="F881" s="17"/>
      <c r="G881" s="17"/>
      <c r="H881" s="17"/>
      <c r="I881" s="17"/>
      <c r="J881" s="17" t="s">
        <v>1067</v>
      </c>
      <c r="K881" s="17"/>
      <c r="L881" s="17"/>
      <c r="AC881" s="1301"/>
    </row>
    <row r="882">
      <c r="B882" s="17"/>
      <c r="C882" s="17"/>
      <c r="D882" s="17"/>
      <c r="E882" s="343"/>
      <c r="F882" s="17"/>
      <c r="G882" s="17"/>
      <c r="H882" s="17"/>
      <c r="I882" s="17"/>
      <c r="J882" s="17" t="s">
        <v>1067</v>
      </c>
      <c r="K882" s="17"/>
      <c r="L882" s="17"/>
      <c r="AC882" s="1301"/>
    </row>
    <row r="883">
      <c r="B883" s="17"/>
      <c r="C883" s="17"/>
      <c r="D883" s="17"/>
      <c r="E883" s="343"/>
      <c r="F883" s="17"/>
      <c r="G883" s="17"/>
      <c r="H883" s="17"/>
      <c r="I883" s="17"/>
      <c r="J883" s="17" t="s">
        <v>1067</v>
      </c>
      <c r="K883" s="17"/>
      <c r="L883" s="17"/>
      <c r="AC883" s="1301"/>
    </row>
    <row r="884">
      <c r="B884" s="17"/>
      <c r="C884" s="17"/>
      <c r="D884" s="17"/>
      <c r="E884" s="343"/>
      <c r="F884" s="17"/>
      <c r="G884" s="17"/>
      <c r="H884" s="17"/>
      <c r="I884" s="17"/>
      <c r="J884" s="17" t="s">
        <v>1067</v>
      </c>
      <c r="K884" s="17"/>
      <c r="L884" s="17"/>
      <c r="AC884" s="1301"/>
    </row>
    <row r="885">
      <c r="B885" s="17"/>
      <c r="C885" s="17"/>
      <c r="D885" s="17"/>
      <c r="E885" s="343"/>
      <c r="F885" s="17"/>
      <c r="G885" s="17"/>
      <c r="H885" s="17"/>
      <c r="I885" s="17"/>
      <c r="J885" s="17" t="s">
        <v>1067</v>
      </c>
      <c r="K885" s="17"/>
      <c r="L885" s="17"/>
      <c r="AC885" s="1301"/>
    </row>
    <row r="886">
      <c r="B886" s="17"/>
      <c r="C886" s="17"/>
      <c r="D886" s="17"/>
      <c r="E886" s="343"/>
      <c r="F886" s="17"/>
      <c r="G886" s="17"/>
      <c r="H886" s="17"/>
      <c r="I886" s="17"/>
      <c r="J886" s="17" t="s">
        <v>1067</v>
      </c>
      <c r="K886" s="17"/>
      <c r="L886" s="17"/>
      <c r="AC886" s="1301"/>
    </row>
    <row r="887">
      <c r="B887" s="17"/>
      <c r="C887" s="17"/>
      <c r="D887" s="17"/>
      <c r="E887" s="343"/>
      <c r="F887" s="17"/>
      <c r="G887" s="17"/>
      <c r="H887" s="17"/>
      <c r="I887" s="17"/>
      <c r="J887" s="17" t="s">
        <v>1067</v>
      </c>
      <c r="K887" s="17"/>
      <c r="L887" s="17"/>
      <c r="AC887" s="1301"/>
    </row>
    <row r="888">
      <c r="B888" s="17"/>
      <c r="C888" s="17"/>
      <c r="D888" s="17"/>
      <c r="E888" s="343"/>
      <c r="F888" s="17"/>
      <c r="G888" s="17"/>
      <c r="H888" s="17"/>
      <c r="I888" s="17"/>
      <c r="J888" s="17" t="s">
        <v>1067</v>
      </c>
      <c r="K888" s="17"/>
      <c r="L888" s="17"/>
      <c r="AC888" s="1301"/>
    </row>
    <row r="889">
      <c r="B889" s="17"/>
      <c r="C889" s="17"/>
      <c r="D889" s="17"/>
      <c r="E889" s="343"/>
      <c r="F889" s="17"/>
      <c r="G889" s="17"/>
      <c r="H889" s="17"/>
      <c r="I889" s="17"/>
      <c r="J889" s="17" t="s">
        <v>1067</v>
      </c>
      <c r="K889" s="17"/>
      <c r="L889" s="17"/>
      <c r="AC889" s="1301"/>
    </row>
    <row r="890">
      <c r="B890" s="17"/>
      <c r="C890" s="17"/>
      <c r="D890" s="17"/>
      <c r="E890" s="343"/>
      <c r="F890" s="17"/>
      <c r="G890" s="17"/>
      <c r="H890" s="17"/>
      <c r="I890" s="17"/>
      <c r="J890" s="17" t="s">
        <v>1067</v>
      </c>
      <c r="K890" s="17"/>
      <c r="L890" s="17"/>
      <c r="AC890" s="1301"/>
    </row>
    <row r="891">
      <c r="B891" s="17"/>
      <c r="C891" s="17"/>
      <c r="D891" s="17"/>
      <c r="E891" s="343"/>
      <c r="F891" s="17"/>
      <c r="G891" s="17"/>
      <c r="H891" s="17"/>
      <c r="I891" s="17"/>
      <c r="J891" s="17" t="s">
        <v>1067</v>
      </c>
      <c r="K891" s="17"/>
      <c r="L891" s="17"/>
      <c r="AC891" s="1301"/>
    </row>
    <row r="892">
      <c r="B892" s="17"/>
      <c r="C892" s="17"/>
      <c r="D892" s="17"/>
      <c r="E892" s="343"/>
      <c r="F892" s="17"/>
      <c r="G892" s="17"/>
      <c r="H892" s="17"/>
      <c r="I892" s="17"/>
      <c r="J892" s="17" t="s">
        <v>1067</v>
      </c>
      <c r="K892" s="17"/>
      <c r="L892" s="17"/>
      <c r="AC892" s="1301"/>
    </row>
    <row r="893">
      <c r="B893" s="17"/>
      <c r="C893" s="17"/>
      <c r="D893" s="17"/>
      <c r="E893" s="343"/>
      <c r="F893" s="17"/>
      <c r="G893" s="17"/>
      <c r="H893" s="17"/>
      <c r="I893" s="17"/>
      <c r="J893" s="17" t="s">
        <v>1067</v>
      </c>
      <c r="K893" s="17"/>
      <c r="L893" s="17"/>
      <c r="AC893" s="1301"/>
    </row>
    <row r="894">
      <c r="B894" s="17"/>
      <c r="C894" s="17"/>
      <c r="D894" s="17"/>
      <c r="E894" s="343"/>
      <c r="F894" s="17"/>
      <c r="G894" s="17"/>
      <c r="H894" s="17"/>
      <c r="I894" s="17"/>
      <c r="J894" s="17" t="s">
        <v>1067</v>
      </c>
      <c r="K894" s="17"/>
      <c r="L894" s="17"/>
      <c r="AC894" s="1301"/>
    </row>
    <row r="895">
      <c r="B895" s="17"/>
      <c r="C895" s="17"/>
      <c r="D895" s="17"/>
      <c r="E895" s="343"/>
      <c r="F895" s="17"/>
      <c r="G895" s="17"/>
      <c r="H895" s="17"/>
      <c r="I895" s="17"/>
      <c r="J895" s="17" t="s">
        <v>1067</v>
      </c>
      <c r="K895" s="17"/>
      <c r="L895" s="17"/>
      <c r="AC895" s="1301"/>
    </row>
    <row r="896">
      <c r="B896" s="17"/>
      <c r="C896" s="17"/>
      <c r="D896" s="17"/>
      <c r="E896" s="343"/>
      <c r="F896" s="17"/>
      <c r="G896" s="17"/>
      <c r="H896" s="17"/>
      <c r="I896" s="17"/>
      <c r="J896" s="17" t="s">
        <v>1067</v>
      </c>
      <c r="K896" s="17"/>
      <c r="L896" s="17"/>
      <c r="AC896" s="1301"/>
    </row>
    <row r="897">
      <c r="B897" s="17"/>
      <c r="C897" s="17"/>
      <c r="D897" s="17"/>
      <c r="E897" s="343"/>
      <c r="F897" s="17"/>
      <c r="G897" s="17"/>
      <c r="H897" s="17"/>
      <c r="I897" s="17"/>
      <c r="J897" s="17" t="s">
        <v>1067</v>
      </c>
      <c r="K897" s="17"/>
      <c r="L897" s="17"/>
      <c r="AC897" s="1301"/>
    </row>
    <row r="898">
      <c r="B898" s="17"/>
      <c r="C898" s="17"/>
      <c r="D898" s="17"/>
      <c r="E898" s="343"/>
      <c r="F898" s="17"/>
      <c r="G898" s="17"/>
      <c r="H898" s="17"/>
      <c r="I898" s="17"/>
      <c r="J898" s="17" t="s">
        <v>1067</v>
      </c>
      <c r="K898" s="17"/>
      <c r="L898" s="17"/>
      <c r="AC898" s="1301"/>
    </row>
    <row r="899">
      <c r="B899" s="17"/>
      <c r="C899" s="17"/>
      <c r="D899" s="17"/>
      <c r="E899" s="343"/>
      <c r="F899" s="17"/>
      <c r="G899" s="17"/>
      <c r="H899" s="17"/>
      <c r="I899" s="17"/>
      <c r="J899" s="17" t="s">
        <v>1067</v>
      </c>
      <c r="K899" s="17"/>
      <c r="L899" s="17"/>
      <c r="AC899" s="1301"/>
    </row>
    <row r="900">
      <c r="B900" s="17"/>
      <c r="C900" s="17"/>
      <c r="D900" s="17"/>
      <c r="E900" s="343"/>
      <c r="F900" s="17"/>
      <c r="G900" s="17"/>
      <c r="H900" s="17"/>
      <c r="I900" s="17"/>
      <c r="J900" s="17" t="s">
        <v>1067</v>
      </c>
      <c r="K900" s="17"/>
      <c r="L900" s="17"/>
      <c r="AC900" s="1301"/>
    </row>
    <row r="901">
      <c r="B901" s="17"/>
      <c r="C901" s="17"/>
      <c r="D901" s="17"/>
      <c r="E901" s="343"/>
      <c r="F901" s="17"/>
      <c r="G901" s="17"/>
      <c r="H901" s="17"/>
      <c r="I901" s="17"/>
      <c r="J901" s="17" t="s">
        <v>1067</v>
      </c>
      <c r="K901" s="17"/>
      <c r="L901" s="17"/>
      <c r="AC901" s="1301"/>
    </row>
    <row r="902">
      <c r="B902" s="17"/>
      <c r="C902" s="17"/>
      <c r="D902" s="17"/>
      <c r="E902" s="343"/>
      <c r="F902" s="17"/>
      <c r="G902" s="17"/>
      <c r="H902" s="17"/>
      <c r="I902" s="17"/>
      <c r="J902" s="17" t="s">
        <v>1067</v>
      </c>
      <c r="K902" s="17"/>
      <c r="L902" s="17"/>
      <c r="AC902" s="1301"/>
    </row>
    <row r="903">
      <c r="B903" s="17"/>
      <c r="C903" s="17"/>
      <c r="D903" s="17"/>
      <c r="E903" s="343"/>
      <c r="F903" s="17"/>
      <c r="G903" s="17"/>
      <c r="H903" s="17"/>
      <c r="I903" s="17"/>
      <c r="J903" s="17" t="s">
        <v>1067</v>
      </c>
      <c r="K903" s="17"/>
      <c r="L903" s="17"/>
      <c r="AC903" s="1301"/>
    </row>
    <row r="904">
      <c r="B904" s="17"/>
      <c r="C904" s="17"/>
      <c r="D904" s="17"/>
      <c r="E904" s="343"/>
      <c r="F904" s="17"/>
      <c r="G904" s="17"/>
      <c r="H904" s="17"/>
      <c r="I904" s="17"/>
      <c r="J904" s="17" t="s">
        <v>1067</v>
      </c>
      <c r="K904" s="17"/>
      <c r="L904" s="17"/>
      <c r="AC904" s="1301"/>
    </row>
    <row r="905">
      <c r="B905" s="17"/>
      <c r="C905" s="17"/>
      <c r="D905" s="17"/>
      <c r="E905" s="343"/>
      <c r="F905" s="17"/>
      <c r="G905" s="17"/>
      <c r="H905" s="17"/>
      <c r="I905" s="17"/>
      <c r="J905" s="17" t="s">
        <v>1067</v>
      </c>
      <c r="K905" s="17"/>
      <c r="L905" s="17"/>
      <c r="AC905" s="1301"/>
    </row>
    <row r="906">
      <c r="B906" s="17"/>
      <c r="C906" s="17"/>
      <c r="D906" s="17"/>
      <c r="E906" s="343"/>
      <c r="F906" s="17"/>
      <c r="G906" s="17"/>
      <c r="H906" s="17"/>
      <c r="I906" s="17"/>
      <c r="J906" s="17" t="s">
        <v>1067</v>
      </c>
      <c r="K906" s="17"/>
      <c r="L906" s="17"/>
      <c r="AC906" s="1301"/>
    </row>
    <row r="907">
      <c r="B907" s="17"/>
      <c r="C907" s="17"/>
      <c r="D907" s="17"/>
      <c r="E907" s="343"/>
      <c r="F907" s="17"/>
      <c r="G907" s="17"/>
      <c r="H907" s="17"/>
      <c r="I907" s="17"/>
      <c r="J907" s="17" t="s">
        <v>1067</v>
      </c>
      <c r="K907" s="17"/>
      <c r="L907" s="17"/>
      <c r="AC907" s="1301"/>
    </row>
    <row r="908">
      <c r="B908" s="17"/>
      <c r="C908" s="17"/>
      <c r="D908" s="17"/>
      <c r="E908" s="343"/>
      <c r="F908" s="17"/>
      <c r="G908" s="17"/>
      <c r="H908" s="17"/>
      <c r="I908" s="17"/>
      <c r="J908" s="17" t="s">
        <v>1067</v>
      </c>
      <c r="K908" s="17"/>
      <c r="L908" s="17"/>
      <c r="AC908" s="1301"/>
    </row>
    <row r="909">
      <c r="B909" s="17"/>
      <c r="C909" s="17"/>
      <c r="D909" s="17"/>
      <c r="E909" s="343"/>
      <c r="F909" s="17"/>
      <c r="G909" s="17"/>
      <c r="H909" s="17"/>
      <c r="I909" s="17"/>
      <c r="J909" s="17" t="s">
        <v>1067</v>
      </c>
      <c r="K909" s="17"/>
      <c r="L909" s="17"/>
      <c r="AC909" s="1301"/>
    </row>
    <row r="910">
      <c r="B910" s="17"/>
      <c r="C910" s="17"/>
      <c r="D910" s="17"/>
      <c r="E910" s="343"/>
      <c r="F910" s="17"/>
      <c r="G910" s="17"/>
      <c r="H910" s="17"/>
      <c r="I910" s="17"/>
      <c r="J910" s="17" t="s">
        <v>1067</v>
      </c>
      <c r="K910" s="17"/>
      <c r="L910" s="17"/>
      <c r="AC910" s="1301"/>
    </row>
    <row r="911">
      <c r="B911" s="17"/>
      <c r="C911" s="17"/>
      <c r="D911" s="17"/>
      <c r="E911" s="343"/>
      <c r="F911" s="17"/>
      <c r="G911" s="17"/>
      <c r="H911" s="17"/>
      <c r="I911" s="17"/>
      <c r="J911" s="17" t="s">
        <v>1067</v>
      </c>
      <c r="K911" s="17"/>
      <c r="L911" s="17"/>
      <c r="AC911" s="1301"/>
    </row>
    <row r="912">
      <c r="B912" s="17"/>
      <c r="C912" s="17"/>
      <c r="D912" s="17"/>
      <c r="E912" s="343"/>
      <c r="F912" s="17"/>
      <c r="G912" s="17"/>
      <c r="H912" s="17"/>
      <c r="I912" s="17"/>
      <c r="J912" s="17" t="s">
        <v>1067</v>
      </c>
      <c r="K912" s="17"/>
      <c r="L912" s="17"/>
      <c r="AC912" s="1301"/>
    </row>
    <row r="913">
      <c r="B913" s="17"/>
      <c r="C913" s="17"/>
      <c r="D913" s="17"/>
      <c r="E913" s="343"/>
      <c r="F913" s="17"/>
      <c r="G913" s="17"/>
      <c r="H913" s="17"/>
      <c r="I913" s="17"/>
      <c r="J913" s="17" t="s">
        <v>1067</v>
      </c>
      <c r="K913" s="17"/>
      <c r="L913" s="17"/>
      <c r="AC913" s="1301"/>
    </row>
    <row r="914">
      <c r="B914" s="17"/>
      <c r="C914" s="17"/>
      <c r="D914" s="17"/>
      <c r="E914" s="343"/>
      <c r="F914" s="17"/>
      <c r="G914" s="17"/>
      <c r="H914" s="17"/>
      <c r="I914" s="17"/>
      <c r="J914" s="17" t="s">
        <v>1067</v>
      </c>
      <c r="K914" s="17"/>
      <c r="L914" s="17"/>
      <c r="AC914" s="1301"/>
    </row>
    <row r="915">
      <c r="B915" s="17"/>
      <c r="C915" s="17"/>
      <c r="D915" s="17"/>
      <c r="E915" s="343"/>
      <c r="F915" s="17"/>
      <c r="G915" s="17"/>
      <c r="H915" s="17"/>
      <c r="I915" s="17"/>
      <c r="J915" s="17" t="s">
        <v>1067</v>
      </c>
      <c r="K915" s="17"/>
      <c r="L915" s="17"/>
      <c r="AC915" s="1301"/>
    </row>
    <row r="916">
      <c r="B916" s="17"/>
      <c r="C916" s="17"/>
      <c r="D916" s="17"/>
      <c r="E916" s="343"/>
      <c r="F916" s="17"/>
      <c r="G916" s="17"/>
      <c r="H916" s="17"/>
      <c r="I916" s="17"/>
      <c r="J916" s="17" t="s">
        <v>1067</v>
      </c>
      <c r="K916" s="17"/>
      <c r="L916" s="17"/>
      <c r="AC916" s="1301"/>
    </row>
    <row r="917">
      <c r="B917" s="17"/>
      <c r="C917" s="17"/>
      <c r="D917" s="17"/>
      <c r="E917" s="343"/>
      <c r="F917" s="17"/>
      <c r="G917" s="17"/>
      <c r="H917" s="17"/>
      <c r="I917" s="17"/>
      <c r="J917" s="17" t="s">
        <v>1067</v>
      </c>
      <c r="K917" s="17"/>
      <c r="L917" s="17"/>
      <c r="AC917" s="1301"/>
    </row>
    <row r="918">
      <c r="B918" s="17"/>
      <c r="C918" s="17"/>
      <c r="D918" s="17"/>
      <c r="E918" s="343"/>
      <c r="F918" s="17"/>
      <c r="G918" s="17"/>
      <c r="H918" s="17"/>
      <c r="I918" s="17"/>
      <c r="J918" s="17" t="s">
        <v>1067</v>
      </c>
      <c r="K918" s="17"/>
      <c r="L918" s="17"/>
      <c r="AC918" s="1301"/>
    </row>
    <row r="919">
      <c r="B919" s="17"/>
      <c r="C919" s="17"/>
      <c r="D919" s="17"/>
      <c r="E919" s="343"/>
      <c r="F919" s="17"/>
      <c r="G919" s="17"/>
      <c r="H919" s="17"/>
      <c r="I919" s="17"/>
      <c r="J919" s="17" t="s">
        <v>1067</v>
      </c>
      <c r="K919" s="17"/>
      <c r="L919" s="17"/>
      <c r="AC919" s="1301"/>
    </row>
    <row r="920">
      <c r="B920" s="17"/>
      <c r="C920" s="17"/>
      <c r="D920" s="17"/>
      <c r="E920" s="343"/>
      <c r="F920" s="17"/>
      <c r="G920" s="17"/>
      <c r="H920" s="17"/>
      <c r="I920" s="17"/>
      <c r="J920" s="17" t="s">
        <v>1067</v>
      </c>
      <c r="K920" s="17"/>
      <c r="L920" s="17"/>
      <c r="AC920" s="1301"/>
    </row>
    <row r="921">
      <c r="B921" s="17"/>
      <c r="C921" s="17"/>
      <c r="D921" s="17"/>
      <c r="E921" s="343"/>
      <c r="F921" s="17"/>
      <c r="G921" s="17"/>
      <c r="H921" s="17"/>
      <c r="I921" s="17"/>
      <c r="J921" s="17" t="s">
        <v>1067</v>
      </c>
      <c r="K921" s="17"/>
      <c r="L921" s="17"/>
      <c r="AC921" s="1301"/>
    </row>
    <row r="922">
      <c r="B922" s="17"/>
      <c r="C922" s="17"/>
      <c r="D922" s="17"/>
      <c r="E922" s="343"/>
      <c r="F922" s="17"/>
      <c r="G922" s="17"/>
      <c r="H922" s="17"/>
      <c r="I922" s="17"/>
      <c r="J922" s="17" t="s">
        <v>1067</v>
      </c>
      <c r="K922" s="17"/>
      <c r="L922" s="17"/>
      <c r="AC922" s="1301"/>
    </row>
    <row r="923">
      <c r="B923" s="17"/>
      <c r="C923" s="17"/>
      <c r="D923" s="17"/>
      <c r="E923" s="343"/>
      <c r="F923" s="17"/>
      <c r="G923" s="17"/>
      <c r="H923" s="17"/>
      <c r="I923" s="17"/>
      <c r="J923" s="17" t="s">
        <v>1067</v>
      </c>
      <c r="K923" s="17"/>
      <c r="L923" s="17"/>
      <c r="AC923" s="1301"/>
    </row>
    <row r="924">
      <c r="B924" s="17"/>
      <c r="C924" s="17"/>
      <c r="D924" s="17"/>
      <c r="E924" s="343"/>
      <c r="F924" s="17"/>
      <c r="G924" s="17"/>
      <c r="H924" s="17"/>
      <c r="I924" s="17"/>
      <c r="J924" s="17" t="s">
        <v>1067</v>
      </c>
      <c r="K924" s="17"/>
      <c r="L924" s="17"/>
      <c r="AC924" s="1301"/>
    </row>
    <row r="925">
      <c r="B925" s="17"/>
      <c r="C925" s="17"/>
      <c r="D925" s="17"/>
      <c r="E925" s="343"/>
      <c r="F925" s="17"/>
      <c r="G925" s="17"/>
      <c r="H925" s="17"/>
      <c r="I925" s="17"/>
      <c r="J925" s="17" t="s">
        <v>1067</v>
      </c>
      <c r="K925" s="17"/>
      <c r="L925" s="17"/>
      <c r="AC925" s="1301"/>
    </row>
    <row r="926">
      <c r="B926" s="17"/>
      <c r="C926" s="17"/>
      <c r="D926" s="17"/>
      <c r="E926" s="343"/>
      <c r="F926" s="17"/>
      <c r="G926" s="17"/>
      <c r="H926" s="17"/>
      <c r="I926" s="17"/>
      <c r="J926" s="17" t="s">
        <v>1067</v>
      </c>
      <c r="K926" s="17"/>
      <c r="L926" s="17"/>
      <c r="AC926" s="1301"/>
    </row>
    <row r="927">
      <c r="B927" s="17"/>
      <c r="C927" s="17"/>
      <c r="D927" s="17"/>
      <c r="E927" s="343"/>
      <c r="F927" s="17"/>
      <c r="G927" s="17"/>
      <c r="H927" s="17"/>
      <c r="I927" s="17"/>
      <c r="J927" s="17" t="s">
        <v>1067</v>
      </c>
      <c r="K927" s="17"/>
      <c r="L927" s="17"/>
      <c r="AC927" s="1301"/>
    </row>
    <row r="928">
      <c r="B928" s="17"/>
      <c r="C928" s="17"/>
      <c r="D928" s="17"/>
      <c r="E928" s="343"/>
      <c r="F928" s="17"/>
      <c r="G928" s="17"/>
      <c r="H928" s="17"/>
      <c r="I928" s="17"/>
      <c r="J928" s="17" t="s">
        <v>1067</v>
      </c>
      <c r="K928" s="17"/>
      <c r="L928" s="17"/>
      <c r="AC928" s="1301"/>
    </row>
    <row r="929">
      <c r="B929" s="17"/>
      <c r="C929" s="17"/>
      <c r="D929" s="17"/>
      <c r="E929" s="343"/>
      <c r="F929" s="17"/>
      <c r="G929" s="17"/>
      <c r="H929" s="17"/>
      <c r="I929" s="17"/>
      <c r="J929" s="17" t="s">
        <v>1067</v>
      </c>
      <c r="K929" s="17"/>
      <c r="L929" s="17"/>
      <c r="AC929" s="1301"/>
    </row>
    <row r="930">
      <c r="B930" s="17"/>
      <c r="C930" s="17"/>
      <c r="D930" s="17"/>
      <c r="E930" s="343"/>
      <c r="F930" s="17"/>
      <c r="G930" s="17"/>
      <c r="H930" s="17"/>
      <c r="I930" s="17"/>
      <c r="J930" s="17" t="s">
        <v>1067</v>
      </c>
      <c r="K930" s="17"/>
      <c r="L930" s="17"/>
      <c r="AC930" s="1301"/>
    </row>
    <row r="931">
      <c r="B931" s="17"/>
      <c r="C931" s="17"/>
      <c r="D931" s="17"/>
      <c r="E931" s="343"/>
      <c r="F931" s="17"/>
      <c r="G931" s="17"/>
      <c r="H931" s="17"/>
      <c r="I931" s="17"/>
      <c r="J931" s="17" t="s">
        <v>1067</v>
      </c>
      <c r="K931" s="17"/>
      <c r="L931" s="17"/>
      <c r="AC931" s="1301"/>
    </row>
    <row r="932">
      <c r="B932" s="17"/>
      <c r="C932" s="17"/>
      <c r="D932" s="17"/>
      <c r="E932" s="343"/>
      <c r="F932" s="17"/>
      <c r="G932" s="17"/>
      <c r="H932" s="17"/>
      <c r="I932" s="17"/>
      <c r="J932" s="17" t="s">
        <v>1067</v>
      </c>
      <c r="K932" s="17"/>
      <c r="L932" s="17"/>
      <c r="AC932" s="1301"/>
    </row>
    <row r="933">
      <c r="B933" s="17"/>
      <c r="C933" s="17"/>
      <c r="D933" s="17"/>
      <c r="E933" s="343"/>
      <c r="F933" s="17"/>
      <c r="G933" s="17"/>
      <c r="H933" s="17"/>
      <c r="I933" s="17"/>
      <c r="J933" s="17" t="s">
        <v>1067</v>
      </c>
      <c r="K933" s="17"/>
      <c r="L933" s="17"/>
      <c r="AC933" s="1301"/>
    </row>
    <row r="934">
      <c r="B934" s="17"/>
      <c r="C934" s="17"/>
      <c r="D934" s="17"/>
      <c r="E934" s="343"/>
      <c r="F934" s="17"/>
      <c r="G934" s="17"/>
      <c r="H934" s="17"/>
      <c r="I934" s="17"/>
      <c r="J934" s="17" t="s">
        <v>1067</v>
      </c>
      <c r="K934" s="17"/>
      <c r="L934" s="17"/>
      <c r="AC934" s="1301"/>
    </row>
    <row r="935">
      <c r="B935" s="17"/>
      <c r="C935" s="17"/>
      <c r="D935" s="17"/>
      <c r="E935" s="343"/>
      <c r="F935" s="17"/>
      <c r="G935" s="17"/>
      <c r="H935" s="17"/>
      <c r="I935" s="17"/>
      <c r="J935" s="17" t="s">
        <v>1067</v>
      </c>
      <c r="K935" s="17"/>
      <c r="L935" s="17"/>
      <c r="AC935" s="1301"/>
    </row>
    <row r="936">
      <c r="B936" s="17"/>
      <c r="C936" s="17"/>
      <c r="D936" s="17"/>
      <c r="E936" s="343"/>
      <c r="F936" s="17"/>
      <c r="G936" s="17"/>
      <c r="H936" s="17"/>
      <c r="I936" s="17"/>
      <c r="J936" s="17" t="s">
        <v>1067</v>
      </c>
      <c r="K936" s="17"/>
      <c r="L936" s="17"/>
      <c r="AC936" s="1301"/>
    </row>
    <row r="937">
      <c r="B937" s="17"/>
      <c r="C937" s="17"/>
      <c r="D937" s="17"/>
      <c r="E937" s="343"/>
      <c r="F937" s="17"/>
      <c r="G937" s="17"/>
      <c r="H937" s="17"/>
      <c r="I937" s="17"/>
      <c r="J937" s="17" t="s">
        <v>1067</v>
      </c>
      <c r="K937" s="17"/>
      <c r="L937" s="17"/>
      <c r="AC937" s="1301"/>
    </row>
    <row r="938">
      <c r="B938" s="17"/>
      <c r="C938" s="17"/>
      <c r="D938" s="17"/>
      <c r="E938" s="343"/>
      <c r="F938" s="17"/>
      <c r="G938" s="17"/>
      <c r="H938" s="17"/>
      <c r="I938" s="17"/>
      <c r="J938" s="17" t="s">
        <v>1067</v>
      </c>
      <c r="K938" s="17"/>
      <c r="L938" s="17"/>
      <c r="AC938" s="1301"/>
    </row>
    <row r="939">
      <c r="B939" s="17"/>
      <c r="C939" s="17"/>
      <c r="D939" s="17"/>
      <c r="E939" s="343"/>
      <c r="F939" s="17"/>
      <c r="G939" s="17"/>
      <c r="H939" s="17"/>
      <c r="I939" s="17"/>
      <c r="J939" s="17" t="s">
        <v>1067</v>
      </c>
      <c r="K939" s="17"/>
      <c r="L939" s="17"/>
      <c r="AC939" s="1301"/>
    </row>
    <row r="940">
      <c r="B940" s="17"/>
      <c r="C940" s="17"/>
      <c r="D940" s="17"/>
      <c r="E940" s="343"/>
      <c r="F940" s="17"/>
      <c r="G940" s="17"/>
      <c r="H940" s="17"/>
      <c r="I940" s="17"/>
      <c r="J940" s="17" t="s">
        <v>1067</v>
      </c>
      <c r="K940" s="17"/>
      <c r="L940" s="17"/>
      <c r="AC940" s="1301"/>
    </row>
    <row r="941">
      <c r="B941" s="17"/>
      <c r="C941" s="17"/>
      <c r="D941" s="17"/>
      <c r="E941" s="343"/>
      <c r="F941" s="17"/>
      <c r="G941" s="17"/>
      <c r="H941" s="17"/>
      <c r="I941" s="17"/>
      <c r="J941" s="17" t="s">
        <v>1067</v>
      </c>
      <c r="K941" s="17"/>
      <c r="L941" s="17"/>
      <c r="AC941" s="1301"/>
    </row>
    <row r="942">
      <c r="B942" s="17"/>
      <c r="C942" s="17"/>
      <c r="D942" s="17"/>
      <c r="E942" s="343"/>
      <c r="F942" s="17"/>
      <c r="G942" s="17"/>
      <c r="H942" s="17"/>
      <c r="I942" s="17"/>
      <c r="J942" s="17" t="s">
        <v>1067</v>
      </c>
      <c r="K942" s="17"/>
      <c r="L942" s="17"/>
      <c r="AC942" s="1301"/>
    </row>
    <row r="943">
      <c r="B943" s="17"/>
      <c r="C943" s="17"/>
      <c r="D943" s="17"/>
      <c r="E943" s="343"/>
      <c r="F943" s="17"/>
      <c r="G943" s="17"/>
      <c r="H943" s="17"/>
      <c r="I943" s="17"/>
      <c r="J943" s="17" t="s">
        <v>1067</v>
      </c>
      <c r="K943" s="17"/>
      <c r="L943" s="17"/>
      <c r="AC943" s="1301"/>
    </row>
    <row r="944">
      <c r="B944" s="17"/>
      <c r="C944" s="17"/>
      <c r="D944" s="17"/>
      <c r="E944" s="343"/>
      <c r="F944" s="17"/>
      <c r="G944" s="17"/>
      <c r="H944" s="17"/>
      <c r="I944" s="17"/>
      <c r="J944" s="17" t="s">
        <v>1067</v>
      </c>
      <c r="K944" s="17"/>
      <c r="L944" s="17"/>
      <c r="AC944" s="1301"/>
    </row>
    <row r="945">
      <c r="B945" s="17"/>
      <c r="C945" s="17"/>
      <c r="D945" s="17"/>
      <c r="E945" s="343"/>
      <c r="F945" s="17"/>
      <c r="G945" s="17"/>
      <c r="H945" s="17"/>
      <c r="I945" s="17"/>
      <c r="J945" s="17" t="s">
        <v>1067</v>
      </c>
      <c r="K945" s="17"/>
      <c r="L945" s="17"/>
      <c r="AC945" s="1301"/>
    </row>
    <row r="946">
      <c r="B946" s="17"/>
      <c r="C946" s="17"/>
      <c r="D946" s="17"/>
      <c r="E946" s="343"/>
      <c r="F946" s="17"/>
      <c r="G946" s="17"/>
      <c r="H946" s="17"/>
      <c r="I946" s="17"/>
      <c r="J946" s="17" t="s">
        <v>1067</v>
      </c>
      <c r="K946" s="17"/>
      <c r="L946" s="17"/>
      <c r="AC946" s="1301"/>
    </row>
    <row r="947">
      <c r="B947" s="17"/>
      <c r="C947" s="17"/>
      <c r="D947" s="17"/>
      <c r="E947" s="343"/>
      <c r="F947" s="17"/>
      <c r="G947" s="17"/>
      <c r="H947" s="17"/>
      <c r="I947" s="17"/>
      <c r="J947" s="17" t="s">
        <v>1067</v>
      </c>
      <c r="K947" s="17"/>
      <c r="L947" s="17"/>
      <c r="AC947" s="1301"/>
    </row>
    <row r="948">
      <c r="B948" s="17"/>
      <c r="C948" s="17"/>
      <c r="D948" s="17"/>
      <c r="E948" s="343"/>
      <c r="F948" s="17"/>
      <c r="G948" s="17"/>
      <c r="H948" s="17"/>
      <c r="I948" s="17"/>
      <c r="J948" s="17" t="s">
        <v>1067</v>
      </c>
      <c r="K948" s="17"/>
      <c r="L948" s="17"/>
      <c r="AC948" s="1301"/>
    </row>
    <row r="949">
      <c r="B949" s="17"/>
      <c r="C949" s="17"/>
      <c r="D949" s="17"/>
      <c r="E949" s="343"/>
      <c r="F949" s="17"/>
      <c r="G949" s="17"/>
      <c r="H949" s="17"/>
      <c r="I949" s="17"/>
      <c r="J949" s="17" t="s">
        <v>1067</v>
      </c>
      <c r="K949" s="17"/>
      <c r="L949" s="17"/>
      <c r="AC949" s="1301"/>
    </row>
    <row r="950">
      <c r="B950" s="17"/>
      <c r="C950" s="17"/>
      <c r="D950" s="17"/>
      <c r="E950" s="343"/>
      <c r="F950" s="17"/>
      <c r="G950" s="17"/>
      <c r="H950" s="17"/>
      <c r="I950" s="17"/>
      <c r="J950" s="17" t="s">
        <v>1067</v>
      </c>
      <c r="K950" s="17"/>
      <c r="L950" s="17"/>
      <c r="AC950" s="1301"/>
    </row>
    <row r="951">
      <c r="B951" s="17"/>
      <c r="C951" s="17"/>
      <c r="D951" s="17"/>
      <c r="E951" s="343"/>
      <c r="F951" s="17"/>
      <c r="G951" s="17"/>
      <c r="H951" s="17"/>
      <c r="I951" s="17"/>
      <c r="J951" s="17" t="s">
        <v>1067</v>
      </c>
      <c r="K951" s="17"/>
      <c r="L951" s="17"/>
      <c r="AC951" s="1301"/>
    </row>
    <row r="952">
      <c r="B952" s="17"/>
      <c r="C952" s="17"/>
      <c r="D952" s="17"/>
      <c r="E952" s="343"/>
      <c r="F952" s="17"/>
      <c r="G952" s="17"/>
      <c r="H952" s="17"/>
      <c r="I952" s="17"/>
      <c r="J952" s="17" t="s">
        <v>1067</v>
      </c>
      <c r="K952" s="17"/>
      <c r="L952" s="17"/>
      <c r="AC952" s="1301"/>
    </row>
    <row r="953">
      <c r="B953" s="17"/>
      <c r="C953" s="17"/>
      <c r="D953" s="17"/>
      <c r="E953" s="343"/>
      <c r="F953" s="17"/>
      <c r="G953" s="17"/>
      <c r="H953" s="17"/>
      <c r="I953" s="17"/>
      <c r="J953" s="17" t="s">
        <v>1067</v>
      </c>
      <c r="K953" s="17"/>
      <c r="L953" s="17"/>
      <c r="AC953" s="1301"/>
    </row>
    <row r="954">
      <c r="B954" s="17"/>
      <c r="C954" s="17"/>
      <c r="D954" s="17"/>
      <c r="E954" s="343"/>
      <c r="F954" s="17"/>
      <c r="G954" s="17"/>
      <c r="H954" s="17"/>
      <c r="I954" s="17"/>
      <c r="J954" s="17" t="s">
        <v>1067</v>
      </c>
      <c r="K954" s="17"/>
      <c r="L954" s="17"/>
      <c r="AC954" s="1301"/>
    </row>
    <row r="955">
      <c r="B955" s="17"/>
      <c r="C955" s="17"/>
      <c r="D955" s="17"/>
      <c r="E955" s="343"/>
      <c r="F955" s="17"/>
      <c r="G955" s="17"/>
      <c r="H955" s="17"/>
      <c r="I955" s="17"/>
      <c r="J955" s="17" t="s">
        <v>1067</v>
      </c>
      <c r="K955" s="17"/>
      <c r="L955" s="17"/>
      <c r="AC955" s="1301"/>
    </row>
    <row r="956">
      <c r="B956" s="17"/>
      <c r="C956" s="17"/>
      <c r="D956" s="17"/>
      <c r="E956" s="343"/>
      <c r="F956" s="17"/>
      <c r="G956" s="17"/>
      <c r="H956" s="17"/>
      <c r="I956" s="17"/>
      <c r="J956" s="17" t="s">
        <v>1067</v>
      </c>
      <c r="K956" s="17"/>
      <c r="L956" s="17"/>
      <c r="AC956" s="1301"/>
    </row>
    <row r="957">
      <c r="B957" s="17"/>
      <c r="C957" s="17"/>
      <c r="D957" s="17"/>
      <c r="E957" s="343"/>
      <c r="F957" s="17"/>
      <c r="G957" s="17"/>
      <c r="H957" s="17"/>
      <c r="I957" s="17"/>
      <c r="J957" s="17" t="s">
        <v>1067</v>
      </c>
      <c r="K957" s="17"/>
      <c r="L957" s="17"/>
      <c r="AC957" s="1301"/>
    </row>
    <row r="958">
      <c r="B958" s="17"/>
      <c r="C958" s="17"/>
      <c r="D958" s="17"/>
      <c r="E958" s="343"/>
      <c r="F958" s="17"/>
      <c r="G958" s="17"/>
      <c r="H958" s="17"/>
      <c r="I958" s="17"/>
      <c r="J958" s="17" t="s">
        <v>1067</v>
      </c>
      <c r="K958" s="17"/>
      <c r="L958" s="17"/>
      <c r="AC958" s="1301"/>
    </row>
    <row r="959">
      <c r="B959" s="17"/>
      <c r="C959" s="17"/>
      <c r="D959" s="17"/>
      <c r="E959" s="343"/>
      <c r="F959" s="17"/>
      <c r="G959" s="17"/>
      <c r="H959" s="17"/>
      <c r="I959" s="17"/>
      <c r="J959" s="17" t="s">
        <v>1067</v>
      </c>
      <c r="K959" s="17"/>
      <c r="L959" s="17"/>
      <c r="AC959" s="1301"/>
    </row>
    <row r="960">
      <c r="B960" s="17"/>
      <c r="C960" s="17"/>
      <c r="D960" s="17"/>
      <c r="E960" s="343"/>
      <c r="F960" s="17"/>
      <c r="G960" s="17"/>
      <c r="H960" s="17"/>
      <c r="I960" s="17"/>
      <c r="J960" s="17" t="s">
        <v>1067</v>
      </c>
      <c r="K960" s="17"/>
      <c r="L960" s="17"/>
      <c r="AC960" s="1301"/>
    </row>
    <row r="961">
      <c r="B961" s="17"/>
      <c r="C961" s="17"/>
      <c r="D961" s="17"/>
      <c r="E961" s="343"/>
      <c r="F961" s="17"/>
      <c r="G961" s="17"/>
      <c r="H961" s="17"/>
      <c r="I961" s="17"/>
      <c r="J961" s="17" t="s">
        <v>1067</v>
      </c>
      <c r="K961" s="17"/>
      <c r="L961" s="17"/>
      <c r="AC961" s="1301"/>
    </row>
    <row r="962">
      <c r="B962" s="17"/>
      <c r="C962" s="17"/>
      <c r="D962" s="17"/>
      <c r="E962" s="343"/>
      <c r="F962" s="17"/>
      <c r="G962" s="17"/>
      <c r="H962" s="17"/>
      <c r="I962" s="17"/>
      <c r="J962" s="17" t="s">
        <v>1067</v>
      </c>
      <c r="K962" s="17"/>
      <c r="L962" s="17"/>
      <c r="AC962" s="1301"/>
    </row>
    <row r="963">
      <c r="B963" s="17"/>
      <c r="C963" s="17"/>
      <c r="D963" s="17"/>
      <c r="E963" s="343"/>
      <c r="F963" s="17"/>
      <c r="G963" s="17"/>
      <c r="H963" s="17"/>
      <c r="I963" s="17"/>
      <c r="J963" s="17" t="s">
        <v>1067</v>
      </c>
      <c r="K963" s="17"/>
      <c r="L963" s="17"/>
      <c r="AC963" s="1301"/>
    </row>
    <row r="964">
      <c r="B964" s="17"/>
      <c r="C964" s="17"/>
      <c r="D964" s="17"/>
      <c r="E964" s="343"/>
      <c r="F964" s="17"/>
      <c r="G964" s="17"/>
      <c r="H964" s="17"/>
      <c r="I964" s="17"/>
      <c r="J964" s="17" t="s">
        <v>1067</v>
      </c>
      <c r="K964" s="17"/>
      <c r="L964" s="17"/>
      <c r="AC964" s="1301"/>
    </row>
    <row r="965">
      <c r="B965" s="17"/>
      <c r="C965" s="17"/>
      <c r="D965" s="17"/>
      <c r="E965" s="343"/>
      <c r="F965" s="17"/>
      <c r="G965" s="17"/>
      <c r="H965" s="17"/>
      <c r="I965" s="17"/>
      <c r="J965" s="17" t="s">
        <v>1067</v>
      </c>
      <c r="K965" s="17"/>
      <c r="L965" s="17"/>
      <c r="AC965" s="1301"/>
    </row>
    <row r="966">
      <c r="B966" s="17"/>
      <c r="C966" s="17"/>
      <c r="D966" s="17"/>
      <c r="E966" s="343"/>
      <c r="F966" s="17"/>
      <c r="G966" s="17"/>
      <c r="H966" s="17"/>
      <c r="I966" s="17"/>
      <c r="J966" s="17" t="s">
        <v>1067</v>
      </c>
      <c r="K966" s="17"/>
      <c r="L966" s="17"/>
      <c r="AC966" s="1301"/>
    </row>
    <row r="967">
      <c r="B967" s="17"/>
      <c r="C967" s="17"/>
      <c r="D967" s="17"/>
      <c r="E967" s="343"/>
      <c r="F967" s="17"/>
      <c r="G967" s="17"/>
      <c r="H967" s="17"/>
      <c r="I967" s="17"/>
      <c r="J967" s="17" t="s">
        <v>1067</v>
      </c>
      <c r="K967" s="17"/>
      <c r="L967" s="17"/>
      <c r="AC967" s="1301"/>
    </row>
    <row r="968">
      <c r="B968" s="17"/>
      <c r="C968" s="17"/>
      <c r="D968" s="17"/>
      <c r="E968" s="343"/>
      <c r="F968" s="17"/>
      <c r="G968" s="17"/>
      <c r="H968" s="17"/>
      <c r="I968" s="17"/>
      <c r="J968" s="17" t="s">
        <v>1067</v>
      </c>
      <c r="K968" s="17"/>
      <c r="L968" s="17"/>
      <c r="AC968" s="1301"/>
    </row>
    <row r="969">
      <c r="B969" s="17"/>
      <c r="C969" s="17"/>
      <c r="D969" s="17"/>
      <c r="E969" s="343"/>
      <c r="F969" s="17"/>
      <c r="G969" s="17"/>
      <c r="H969" s="17"/>
      <c r="I969" s="17"/>
      <c r="J969" s="17" t="s">
        <v>1067</v>
      </c>
      <c r="K969" s="17"/>
      <c r="L969" s="17"/>
      <c r="AC969" s="1301"/>
    </row>
    <row r="970">
      <c r="B970" s="17"/>
      <c r="C970" s="17"/>
      <c r="D970" s="17"/>
      <c r="E970" s="343"/>
      <c r="F970" s="17"/>
      <c r="G970" s="17"/>
      <c r="H970" s="17"/>
      <c r="I970" s="17"/>
      <c r="J970" s="17" t="s">
        <v>1067</v>
      </c>
      <c r="K970" s="17"/>
      <c r="L970" s="17"/>
      <c r="AC970" s="1301"/>
    </row>
    <row r="971">
      <c r="B971" s="17"/>
      <c r="C971" s="17"/>
      <c r="D971" s="17"/>
      <c r="E971" s="343"/>
      <c r="F971" s="17"/>
      <c r="G971" s="17"/>
      <c r="H971" s="17"/>
      <c r="I971" s="17"/>
      <c r="J971" s="17" t="s">
        <v>1067</v>
      </c>
      <c r="K971" s="17"/>
      <c r="L971" s="17"/>
      <c r="AC971" s="1301"/>
    </row>
    <row r="972">
      <c r="B972" s="17"/>
      <c r="C972" s="17"/>
      <c r="D972" s="17"/>
      <c r="E972" s="343"/>
      <c r="F972" s="17"/>
      <c r="G972" s="17"/>
      <c r="H972" s="17"/>
      <c r="I972" s="17"/>
      <c r="J972" s="17" t="s">
        <v>1067</v>
      </c>
      <c r="K972" s="17"/>
      <c r="L972" s="17"/>
      <c r="AC972" s="1301"/>
    </row>
    <row r="973">
      <c r="B973" s="17"/>
      <c r="C973" s="17"/>
      <c r="D973" s="17"/>
      <c r="E973" s="343"/>
      <c r="F973" s="17"/>
      <c r="G973" s="17"/>
      <c r="H973" s="17"/>
      <c r="I973" s="17"/>
      <c r="J973" s="17" t="s">
        <v>1067</v>
      </c>
      <c r="K973" s="17"/>
      <c r="L973" s="17"/>
      <c r="AC973" s="1301"/>
    </row>
    <row r="974">
      <c r="B974" s="17"/>
      <c r="C974" s="17"/>
      <c r="D974" s="17"/>
      <c r="E974" s="343"/>
      <c r="F974" s="17"/>
      <c r="G974" s="17"/>
      <c r="H974" s="17"/>
      <c r="I974" s="17"/>
      <c r="J974" s="17" t="s">
        <v>1067</v>
      </c>
      <c r="K974" s="17"/>
      <c r="L974" s="17"/>
      <c r="AC974" s="1301"/>
    </row>
    <row r="975">
      <c r="B975" s="17"/>
      <c r="C975" s="17"/>
      <c r="D975" s="17"/>
      <c r="E975" s="343"/>
      <c r="F975" s="17"/>
      <c r="G975" s="17"/>
      <c r="H975" s="17"/>
      <c r="I975" s="17"/>
      <c r="J975" s="17" t="s">
        <v>1067</v>
      </c>
      <c r="K975" s="17"/>
      <c r="L975" s="17"/>
      <c r="AC975" s="1301"/>
    </row>
    <row r="976">
      <c r="B976" s="17"/>
      <c r="C976" s="17"/>
      <c r="D976" s="17"/>
      <c r="E976" s="343"/>
      <c r="F976" s="17"/>
      <c r="G976" s="17"/>
      <c r="H976" s="17"/>
      <c r="I976" s="17"/>
      <c r="J976" s="17" t="s">
        <v>1067</v>
      </c>
      <c r="K976" s="17"/>
      <c r="L976" s="17"/>
      <c r="AC976" s="1301"/>
    </row>
    <row r="977">
      <c r="B977" s="17"/>
      <c r="C977" s="17"/>
      <c r="D977" s="17"/>
      <c r="E977" s="343"/>
      <c r="F977" s="17"/>
      <c r="G977" s="17"/>
      <c r="H977" s="17"/>
      <c r="I977" s="17"/>
      <c r="J977" s="17" t="s">
        <v>1067</v>
      </c>
      <c r="K977" s="17"/>
      <c r="L977" s="17"/>
      <c r="AC977" s="1301"/>
    </row>
    <row r="978">
      <c r="B978" s="17"/>
      <c r="C978" s="17"/>
      <c r="D978" s="17"/>
      <c r="E978" s="343"/>
      <c r="F978" s="17"/>
      <c r="G978" s="17"/>
      <c r="H978" s="17"/>
      <c r="I978" s="17"/>
      <c r="J978" s="17" t="s">
        <v>1067</v>
      </c>
      <c r="K978" s="17"/>
      <c r="L978" s="17"/>
      <c r="AC978" s="1301"/>
    </row>
    <row r="979">
      <c r="B979" s="17"/>
      <c r="C979" s="17"/>
      <c r="D979" s="17"/>
      <c r="E979" s="343"/>
      <c r="F979" s="17"/>
      <c r="G979" s="17"/>
      <c r="H979" s="17"/>
      <c r="I979" s="17"/>
      <c r="J979" s="17" t="s">
        <v>1067</v>
      </c>
      <c r="K979" s="17"/>
      <c r="L979" s="17"/>
      <c r="AC979" s="1301"/>
    </row>
    <row r="980">
      <c r="B980" s="17"/>
      <c r="C980" s="17"/>
      <c r="D980" s="17"/>
      <c r="E980" s="343"/>
      <c r="F980" s="17"/>
      <c r="G980" s="17"/>
      <c r="H980" s="17"/>
      <c r="I980" s="17"/>
      <c r="J980" s="17" t="s">
        <v>1067</v>
      </c>
      <c r="K980" s="17"/>
      <c r="L980" s="17"/>
      <c r="AC980" s="1301"/>
    </row>
    <row r="981">
      <c r="B981" s="17"/>
      <c r="C981" s="17"/>
      <c r="D981" s="17"/>
      <c r="E981" s="343"/>
      <c r="F981" s="17"/>
      <c r="G981" s="17"/>
      <c r="H981" s="17"/>
      <c r="I981" s="17"/>
      <c r="J981" s="17" t="s">
        <v>1067</v>
      </c>
      <c r="K981" s="17"/>
      <c r="L981" s="17"/>
      <c r="AC981" s="1301"/>
    </row>
    <row r="982">
      <c r="B982" s="17"/>
      <c r="C982" s="17"/>
      <c r="D982" s="17"/>
      <c r="E982" s="343"/>
      <c r="F982" s="17"/>
      <c r="G982" s="17"/>
      <c r="H982" s="17"/>
      <c r="I982" s="17"/>
      <c r="J982" s="17" t="s">
        <v>1067</v>
      </c>
      <c r="K982" s="17"/>
      <c r="L982" s="17"/>
      <c r="AC982" s="1301"/>
    </row>
    <row r="983">
      <c r="B983" s="17"/>
      <c r="C983" s="17"/>
      <c r="D983" s="17"/>
      <c r="E983" s="343"/>
      <c r="F983" s="17"/>
      <c r="G983" s="17"/>
      <c r="H983" s="17"/>
      <c r="I983" s="17"/>
      <c r="J983" s="17" t="s">
        <v>1067</v>
      </c>
      <c r="K983" s="17"/>
      <c r="L983" s="17"/>
      <c r="AC983" s="1301"/>
    </row>
    <row r="984">
      <c r="B984" s="17"/>
      <c r="C984" s="17"/>
      <c r="D984" s="17"/>
      <c r="E984" s="343"/>
      <c r="F984" s="17"/>
      <c r="G984" s="17"/>
      <c r="H984" s="17"/>
      <c r="I984" s="17"/>
      <c r="J984" s="17" t="s">
        <v>1067</v>
      </c>
      <c r="K984" s="17"/>
      <c r="L984" s="17"/>
      <c r="AC984" s="1301"/>
    </row>
    <row r="985">
      <c r="B985" s="17"/>
      <c r="C985" s="17"/>
      <c r="D985" s="17"/>
      <c r="E985" s="343"/>
      <c r="F985" s="17"/>
      <c r="G985" s="17"/>
      <c r="H985" s="17"/>
      <c r="I985" s="17"/>
      <c r="J985" s="17" t="s">
        <v>1067</v>
      </c>
      <c r="K985" s="17"/>
      <c r="L985" s="17"/>
      <c r="AC985" s="1301"/>
    </row>
    <row r="986">
      <c r="B986" s="17"/>
      <c r="C986" s="17"/>
      <c r="D986" s="17"/>
      <c r="E986" s="343"/>
      <c r="F986" s="17"/>
      <c r="G986" s="17"/>
      <c r="H986" s="17"/>
      <c r="I986" s="17"/>
      <c r="J986" s="17" t="s">
        <v>1067</v>
      </c>
      <c r="K986" s="17"/>
      <c r="L986" s="17"/>
      <c r="AC986" s="1301"/>
    </row>
    <row r="987">
      <c r="B987" s="17"/>
      <c r="C987" s="17"/>
      <c r="D987" s="17"/>
      <c r="E987" s="343"/>
      <c r="F987" s="17"/>
      <c r="G987" s="17"/>
      <c r="H987" s="17"/>
      <c r="I987" s="17"/>
      <c r="J987" s="17" t="s">
        <v>1067</v>
      </c>
      <c r="K987" s="17"/>
      <c r="L987" s="17"/>
      <c r="AC987" s="1301"/>
    </row>
    <row r="988">
      <c r="B988" s="17"/>
      <c r="C988" s="17"/>
      <c r="D988" s="17"/>
      <c r="E988" s="343"/>
      <c r="F988" s="17"/>
      <c r="G988" s="17"/>
      <c r="H988" s="17"/>
      <c r="I988" s="17"/>
      <c r="J988" s="17" t="s">
        <v>1067</v>
      </c>
      <c r="K988" s="17"/>
      <c r="L988" s="17"/>
      <c r="AC988" s="1301"/>
    </row>
    <row r="989">
      <c r="B989" s="17"/>
      <c r="C989" s="17"/>
      <c r="D989" s="17"/>
      <c r="E989" s="343"/>
      <c r="F989" s="17"/>
      <c r="G989" s="17"/>
      <c r="H989" s="17"/>
      <c r="I989" s="17"/>
      <c r="J989" s="17" t="s">
        <v>1067</v>
      </c>
      <c r="K989" s="17"/>
      <c r="L989" s="17"/>
      <c r="AC989" s="1301"/>
    </row>
    <row r="990">
      <c r="B990" s="17"/>
      <c r="C990" s="17"/>
      <c r="D990" s="17"/>
      <c r="E990" s="343"/>
      <c r="F990" s="17"/>
      <c r="G990" s="17"/>
      <c r="H990" s="17"/>
      <c r="I990" s="17"/>
      <c r="J990" s="17" t="s">
        <v>1067</v>
      </c>
      <c r="K990" s="17"/>
      <c r="L990" s="17"/>
      <c r="AC990" s="1301"/>
    </row>
    <row r="991">
      <c r="B991" s="17"/>
      <c r="C991" s="17"/>
      <c r="D991" s="17"/>
      <c r="E991" s="343"/>
      <c r="F991" s="17"/>
      <c r="G991" s="17"/>
      <c r="H991" s="17"/>
      <c r="I991" s="17"/>
      <c r="J991" s="17" t="s">
        <v>1067</v>
      </c>
      <c r="K991" s="17"/>
      <c r="L991" s="17"/>
      <c r="AC991" s="1301"/>
    </row>
    <row r="992">
      <c r="B992" s="17"/>
      <c r="C992" s="17"/>
      <c r="D992" s="17"/>
      <c r="E992" s="343"/>
      <c r="F992" s="17"/>
      <c r="G992" s="17"/>
      <c r="H992" s="17"/>
      <c r="I992" s="17"/>
      <c r="J992" s="17" t="s">
        <v>1067</v>
      </c>
      <c r="K992" s="17"/>
      <c r="L992" s="17"/>
      <c r="AC992" s="1301"/>
    </row>
    <row r="993">
      <c r="B993" s="17"/>
      <c r="C993" s="17"/>
      <c r="D993" s="17"/>
      <c r="E993" s="343"/>
      <c r="F993" s="17"/>
      <c r="G993" s="17"/>
      <c r="H993" s="17"/>
      <c r="I993" s="17"/>
      <c r="J993" s="17" t="s">
        <v>1067</v>
      </c>
      <c r="K993" s="17"/>
      <c r="L993" s="17"/>
      <c r="AC993" s="1301"/>
    </row>
    <row r="994">
      <c r="B994" s="17"/>
      <c r="C994" s="17"/>
      <c r="D994" s="17"/>
      <c r="E994" s="343"/>
      <c r="F994" s="17"/>
      <c r="G994" s="17"/>
      <c r="H994" s="17"/>
      <c r="I994" s="17"/>
      <c r="J994" s="17" t="s">
        <v>1067</v>
      </c>
      <c r="K994" s="17"/>
      <c r="L994" s="17"/>
      <c r="AC994" s="1301"/>
    </row>
    <row r="995">
      <c r="B995" s="17"/>
      <c r="C995" s="17"/>
      <c r="D995" s="17"/>
      <c r="E995" s="343"/>
      <c r="F995" s="17"/>
      <c r="G995" s="17"/>
      <c r="H995" s="17"/>
      <c r="I995" s="17"/>
      <c r="J995" s="17" t="s">
        <v>1067</v>
      </c>
      <c r="K995" s="17"/>
      <c r="L995" s="17"/>
      <c r="AC995" s="1301"/>
    </row>
    <row r="996">
      <c r="B996" s="17"/>
      <c r="C996" s="17"/>
      <c r="D996" s="17"/>
      <c r="E996" s="343"/>
      <c r="F996" s="17"/>
      <c r="G996" s="17"/>
      <c r="H996" s="17"/>
      <c r="I996" s="17"/>
      <c r="J996" s="17" t="s">
        <v>1067</v>
      </c>
      <c r="K996" s="17"/>
      <c r="L996" s="17"/>
      <c r="AC996" s="1301"/>
    </row>
    <row r="997">
      <c r="B997" s="17"/>
      <c r="C997" s="17"/>
      <c r="D997" s="17"/>
      <c r="E997" s="343"/>
      <c r="F997" s="17"/>
      <c r="G997" s="17"/>
      <c r="H997" s="17"/>
      <c r="I997" s="17"/>
      <c r="J997" s="17" t="s">
        <v>1067</v>
      </c>
      <c r="K997" s="17"/>
      <c r="L997" s="17"/>
      <c r="AC997" s="1301"/>
    </row>
    <row r="998">
      <c r="B998" s="17"/>
      <c r="C998" s="17"/>
      <c r="D998" s="17"/>
      <c r="E998" s="343"/>
      <c r="F998" s="17"/>
      <c r="G998" s="17"/>
      <c r="H998" s="17"/>
      <c r="I998" s="17"/>
      <c r="J998" s="17" t="s">
        <v>1067</v>
      </c>
      <c r="K998" s="17"/>
      <c r="L998" s="17"/>
      <c r="AC998" s="1301"/>
    </row>
    <row r="999">
      <c r="B999" s="17"/>
      <c r="C999" s="17"/>
      <c r="D999" s="17"/>
      <c r="E999" s="343"/>
      <c r="F999" s="17"/>
      <c r="G999" s="17"/>
      <c r="H999" s="17"/>
      <c r="I999" s="17"/>
      <c r="J999" s="17" t="s">
        <v>1067</v>
      </c>
      <c r="K999" s="17"/>
      <c r="L999" s="17"/>
      <c r="AC999" s="1301"/>
    </row>
    <row r="1000">
      <c r="B1000" s="17"/>
      <c r="C1000" s="17"/>
      <c r="D1000" s="17"/>
      <c r="E1000" s="343"/>
      <c r="F1000" s="17"/>
      <c r="G1000" s="17"/>
      <c r="H1000" s="17"/>
      <c r="I1000" s="17"/>
      <c r="J1000" s="17" t="s">
        <v>1067</v>
      </c>
      <c r="K1000" s="17"/>
      <c r="L1000" s="17"/>
      <c r="AC1000" s="1301"/>
    </row>
    <row r="1001">
      <c r="B1001" s="17"/>
      <c r="C1001" s="17"/>
      <c r="D1001" s="17"/>
      <c r="E1001" s="343"/>
      <c r="F1001" s="17"/>
      <c r="G1001" s="17"/>
      <c r="H1001" s="17"/>
      <c r="I1001" s="17"/>
      <c r="J1001" s="17" t="s">
        <v>1067</v>
      </c>
      <c r="K1001" s="17"/>
      <c r="L1001" s="17"/>
      <c r="AC1001" s="1301"/>
    </row>
    <row r="1002">
      <c r="B1002" s="17"/>
      <c r="C1002" s="17"/>
      <c r="D1002" s="17"/>
      <c r="E1002" s="343"/>
      <c r="F1002" s="17"/>
      <c r="G1002" s="17"/>
      <c r="H1002" s="17"/>
      <c r="I1002" s="17"/>
      <c r="J1002" s="17" t="s">
        <v>1067</v>
      </c>
      <c r="K1002" s="17"/>
      <c r="L1002" s="17"/>
      <c r="AC1002" s="1301"/>
    </row>
    <row r="1003">
      <c r="B1003" s="17"/>
      <c r="C1003" s="17"/>
      <c r="D1003" s="17"/>
      <c r="E1003" s="343"/>
      <c r="F1003" s="17"/>
      <c r="G1003" s="17"/>
      <c r="H1003" s="17"/>
      <c r="I1003" s="17"/>
      <c r="J1003" s="17" t="s">
        <v>1067</v>
      </c>
      <c r="K1003" s="17"/>
      <c r="L1003" s="17"/>
      <c r="AC1003" s="1301"/>
    </row>
    <row r="1004">
      <c r="B1004" s="17"/>
      <c r="C1004" s="17"/>
      <c r="D1004" s="17"/>
      <c r="E1004" s="343"/>
      <c r="F1004" s="17"/>
      <c r="G1004" s="17"/>
      <c r="H1004" s="17"/>
      <c r="I1004" s="17"/>
      <c r="J1004" s="17" t="s">
        <v>1067</v>
      </c>
      <c r="K1004" s="17"/>
      <c r="L1004" s="17"/>
      <c r="AC1004" s="1301"/>
    </row>
    <row r="1005">
      <c r="B1005" s="17"/>
      <c r="C1005" s="17"/>
      <c r="D1005" s="17"/>
      <c r="E1005" s="343"/>
      <c r="F1005" s="17"/>
      <c r="G1005" s="17"/>
      <c r="H1005" s="17"/>
      <c r="I1005" s="17"/>
      <c r="J1005" s="17" t="s">
        <v>1067</v>
      </c>
      <c r="K1005" s="17"/>
      <c r="L1005" s="17"/>
      <c r="AC1005" s="1301"/>
    </row>
    <row r="1006">
      <c r="B1006" s="17"/>
      <c r="C1006" s="17"/>
      <c r="D1006" s="17"/>
      <c r="E1006" s="343"/>
      <c r="F1006" s="17"/>
      <c r="G1006" s="17"/>
      <c r="H1006" s="17"/>
      <c r="I1006" s="17"/>
      <c r="J1006" s="17" t="s">
        <v>1067</v>
      </c>
      <c r="K1006" s="17"/>
      <c r="L1006" s="17"/>
      <c r="AC1006" s="1301"/>
    </row>
    <row r="1007">
      <c r="B1007" s="17"/>
      <c r="C1007" s="17"/>
      <c r="D1007" s="17"/>
      <c r="E1007" s="343"/>
      <c r="F1007" s="17"/>
      <c r="G1007" s="17"/>
      <c r="H1007" s="17"/>
      <c r="I1007" s="17"/>
      <c r="J1007" s="17" t="s">
        <v>1067</v>
      </c>
      <c r="K1007" s="17"/>
      <c r="L1007" s="17"/>
      <c r="AC1007" s="1301"/>
    </row>
    <row r="1008">
      <c r="B1008" s="17"/>
      <c r="C1008" s="17"/>
      <c r="D1008" s="17"/>
      <c r="E1008" s="343"/>
      <c r="F1008" s="17"/>
      <c r="G1008" s="17"/>
      <c r="H1008" s="17"/>
      <c r="I1008" s="17"/>
      <c r="J1008" s="17" t="s">
        <v>1067</v>
      </c>
      <c r="K1008" s="17"/>
      <c r="L1008" s="17"/>
      <c r="AC1008" s="1301"/>
    </row>
    <row r="1009">
      <c r="B1009" s="17"/>
      <c r="C1009" s="17"/>
      <c r="D1009" s="17"/>
      <c r="E1009" s="343"/>
      <c r="F1009" s="17"/>
      <c r="G1009" s="17"/>
      <c r="H1009" s="17"/>
      <c r="I1009" s="17"/>
      <c r="J1009" s="17" t="s">
        <v>1067</v>
      </c>
      <c r="K1009" s="17"/>
      <c r="L1009" s="17"/>
      <c r="AC1009" s="1301"/>
    </row>
    <row r="1010">
      <c r="B1010" s="17"/>
      <c r="C1010" s="17"/>
      <c r="D1010" s="17"/>
      <c r="E1010" s="343"/>
      <c r="F1010" s="17"/>
      <c r="G1010" s="17"/>
      <c r="H1010" s="17"/>
      <c r="I1010" s="17"/>
      <c r="J1010" s="17" t="s">
        <v>1067</v>
      </c>
      <c r="K1010" s="17"/>
      <c r="L1010" s="17"/>
      <c r="AC1010" s="1301"/>
    </row>
    <row r="1011">
      <c r="B1011" s="17"/>
      <c r="C1011" s="17"/>
      <c r="D1011" s="17"/>
      <c r="E1011" s="343"/>
      <c r="F1011" s="17"/>
      <c r="G1011" s="17"/>
      <c r="H1011" s="17"/>
      <c r="I1011" s="17"/>
      <c r="J1011" s="17" t="s">
        <v>1067</v>
      </c>
      <c r="K1011" s="17"/>
      <c r="L1011" s="17"/>
      <c r="AC1011" s="1301"/>
    </row>
    <row r="1012">
      <c r="B1012" s="17"/>
      <c r="C1012" s="17"/>
      <c r="D1012" s="17"/>
      <c r="E1012" s="343"/>
      <c r="F1012" s="17"/>
      <c r="G1012" s="17"/>
      <c r="H1012" s="17"/>
      <c r="I1012" s="17"/>
      <c r="J1012" s="17" t="s">
        <v>1067</v>
      </c>
      <c r="K1012" s="17"/>
      <c r="L1012" s="17"/>
      <c r="AC1012" s="1301"/>
    </row>
    <row r="1013">
      <c r="B1013" s="17"/>
      <c r="C1013" s="17"/>
      <c r="D1013" s="17"/>
      <c r="E1013" s="343"/>
      <c r="F1013" s="17"/>
      <c r="G1013" s="17"/>
      <c r="H1013" s="17"/>
      <c r="I1013" s="17"/>
      <c r="J1013" s="17" t="s">
        <v>1067</v>
      </c>
      <c r="K1013" s="17"/>
      <c r="L1013" s="17"/>
      <c r="AC1013" s="1301"/>
    </row>
    <row r="1014">
      <c r="B1014" s="17"/>
      <c r="C1014" s="17"/>
      <c r="D1014" s="17"/>
      <c r="E1014" s="343"/>
      <c r="F1014" s="17"/>
      <c r="G1014" s="17"/>
      <c r="H1014" s="17"/>
      <c r="I1014" s="17"/>
      <c r="J1014" s="17" t="s">
        <v>1067</v>
      </c>
      <c r="K1014" s="17"/>
      <c r="L1014" s="17"/>
      <c r="AC1014" s="1301"/>
    </row>
    <row r="1015">
      <c r="B1015" s="17"/>
      <c r="C1015" s="17"/>
      <c r="D1015" s="17"/>
      <c r="E1015" s="343"/>
      <c r="F1015" s="17"/>
      <c r="G1015" s="17"/>
      <c r="H1015" s="17"/>
      <c r="I1015" s="17"/>
      <c r="J1015" s="17" t="s">
        <v>1067</v>
      </c>
      <c r="K1015" s="17"/>
      <c r="L1015" s="17"/>
      <c r="AC1015" s="1301"/>
    </row>
    <row r="1016">
      <c r="B1016" s="17"/>
      <c r="C1016" s="17"/>
      <c r="D1016" s="17"/>
      <c r="E1016" s="343"/>
      <c r="F1016" s="17"/>
      <c r="G1016" s="17"/>
      <c r="H1016" s="17"/>
      <c r="I1016" s="17"/>
      <c r="J1016" s="17" t="s">
        <v>1067</v>
      </c>
      <c r="K1016" s="17"/>
      <c r="L1016" s="17"/>
      <c r="AC1016" s="1301"/>
    </row>
    <row r="1017">
      <c r="B1017" s="17"/>
      <c r="C1017" s="17"/>
      <c r="D1017" s="17"/>
      <c r="E1017" s="343"/>
      <c r="F1017" s="17"/>
      <c r="G1017" s="17"/>
      <c r="H1017" s="17"/>
      <c r="I1017" s="17"/>
      <c r="J1017" s="17" t="s">
        <v>1067</v>
      </c>
      <c r="K1017" s="17"/>
      <c r="L1017" s="17"/>
      <c r="AC1017" s="1301"/>
    </row>
    <row r="1018">
      <c r="B1018" s="17"/>
      <c r="C1018" s="17"/>
      <c r="D1018" s="17"/>
      <c r="E1018" s="343"/>
      <c r="F1018" s="17"/>
      <c r="G1018" s="17"/>
      <c r="H1018" s="17"/>
      <c r="I1018" s="17"/>
      <c r="J1018" s="17" t="s">
        <v>1067</v>
      </c>
      <c r="K1018" s="17"/>
      <c r="L1018" s="17"/>
      <c r="AC1018" s="1301"/>
    </row>
    <row r="1019">
      <c r="B1019" s="17"/>
      <c r="C1019" s="17"/>
      <c r="D1019" s="17"/>
      <c r="E1019" s="343"/>
      <c r="F1019" s="17"/>
      <c r="G1019" s="17"/>
      <c r="H1019" s="17"/>
      <c r="I1019" s="17"/>
      <c r="J1019" s="17" t="s">
        <v>1067</v>
      </c>
      <c r="K1019" s="17"/>
      <c r="L1019" s="17"/>
      <c r="AC1019" s="1301"/>
    </row>
    <row r="1020">
      <c r="B1020" s="17"/>
      <c r="C1020" s="17"/>
      <c r="D1020" s="17"/>
      <c r="E1020" s="343"/>
      <c r="F1020" s="17"/>
      <c r="G1020" s="17"/>
      <c r="H1020" s="17"/>
      <c r="I1020" s="17"/>
      <c r="J1020" s="17" t="s">
        <v>1067</v>
      </c>
      <c r="K1020" s="17"/>
      <c r="L1020" s="17"/>
      <c r="AC1020" s="1301"/>
    </row>
    <row r="1021">
      <c r="B1021" s="17"/>
      <c r="C1021" s="17"/>
      <c r="D1021" s="17"/>
      <c r="E1021" s="343"/>
      <c r="F1021" s="17"/>
      <c r="G1021" s="17"/>
      <c r="H1021" s="17"/>
      <c r="I1021" s="17"/>
      <c r="J1021" s="17" t="s">
        <v>1067</v>
      </c>
      <c r="K1021" s="17"/>
      <c r="L1021" s="17"/>
      <c r="AC1021" s="1301"/>
    </row>
    <row r="1022">
      <c r="B1022" s="17"/>
      <c r="C1022" s="17"/>
      <c r="D1022" s="17"/>
      <c r="E1022" s="343"/>
      <c r="F1022" s="17"/>
      <c r="G1022" s="17"/>
      <c r="H1022" s="17"/>
      <c r="I1022" s="17"/>
      <c r="J1022" s="17" t="s">
        <v>1067</v>
      </c>
      <c r="K1022" s="17"/>
      <c r="L1022" s="17"/>
      <c r="AC1022" s="1301"/>
    </row>
    <row r="1023">
      <c r="B1023" s="17"/>
      <c r="C1023" s="17"/>
      <c r="D1023" s="17"/>
      <c r="E1023" s="343"/>
      <c r="F1023" s="17"/>
      <c r="G1023" s="17"/>
      <c r="H1023" s="17"/>
      <c r="I1023" s="17"/>
      <c r="J1023" s="17" t="s">
        <v>1067</v>
      </c>
      <c r="K1023" s="17"/>
      <c r="L1023" s="17"/>
      <c r="AC1023" s="1301"/>
    </row>
    <row r="1024">
      <c r="B1024" s="17"/>
      <c r="C1024" s="17"/>
      <c r="D1024" s="17"/>
      <c r="E1024" s="343"/>
      <c r="F1024" s="17"/>
      <c r="G1024" s="17"/>
      <c r="H1024" s="17"/>
      <c r="I1024" s="17"/>
      <c r="J1024" s="17" t="s">
        <v>1067</v>
      </c>
      <c r="K1024" s="17"/>
      <c r="L1024" s="17"/>
      <c r="AC1024" s="1301"/>
    </row>
    <row r="1025">
      <c r="B1025" s="17"/>
      <c r="C1025" s="17"/>
      <c r="D1025" s="17"/>
      <c r="E1025" s="343"/>
      <c r="F1025" s="17"/>
      <c r="G1025" s="17"/>
      <c r="H1025" s="17"/>
      <c r="I1025" s="17"/>
      <c r="J1025" s="17" t="s">
        <v>1067</v>
      </c>
      <c r="K1025" s="17"/>
      <c r="L1025" s="17"/>
      <c r="AC1025" s="1301"/>
    </row>
    <row r="1026">
      <c r="B1026" s="17"/>
      <c r="C1026" s="17"/>
      <c r="D1026" s="17"/>
      <c r="E1026" s="343"/>
      <c r="F1026" s="17"/>
      <c r="G1026" s="17"/>
      <c r="H1026" s="17"/>
      <c r="I1026" s="17"/>
      <c r="J1026" s="17" t="s">
        <v>1067</v>
      </c>
      <c r="K1026" s="17"/>
      <c r="L1026" s="17"/>
      <c r="AC1026" s="1301"/>
    </row>
    <row r="1027">
      <c r="B1027" s="17"/>
      <c r="C1027" s="17"/>
      <c r="D1027" s="17"/>
      <c r="E1027" s="343"/>
      <c r="F1027" s="17"/>
      <c r="G1027" s="17"/>
      <c r="H1027" s="17"/>
      <c r="I1027" s="17"/>
      <c r="J1027" s="17" t="s">
        <v>1067</v>
      </c>
      <c r="K1027" s="17"/>
      <c r="L1027" s="17"/>
      <c r="AC1027" s="1301"/>
    </row>
    <row r="1028">
      <c r="B1028" s="17"/>
      <c r="C1028" s="17"/>
      <c r="D1028" s="17"/>
      <c r="E1028" s="343"/>
      <c r="F1028" s="17"/>
      <c r="G1028" s="17"/>
      <c r="H1028" s="17"/>
      <c r="I1028" s="17"/>
      <c r="J1028" s="17" t="s">
        <v>1067</v>
      </c>
      <c r="K1028" s="17"/>
      <c r="L1028" s="17"/>
      <c r="AC1028" s="1301"/>
    </row>
    <row r="1029">
      <c r="B1029" s="17"/>
      <c r="C1029" s="17"/>
      <c r="D1029" s="17"/>
      <c r="E1029" s="343"/>
      <c r="F1029" s="17"/>
      <c r="G1029" s="17"/>
      <c r="H1029" s="17"/>
      <c r="I1029" s="17"/>
      <c r="J1029" s="17" t="s">
        <v>1067</v>
      </c>
      <c r="K1029" s="17"/>
      <c r="L1029" s="17"/>
      <c r="AC1029" s="1301"/>
    </row>
    <row r="1030">
      <c r="B1030" s="17"/>
      <c r="C1030" s="17"/>
      <c r="D1030" s="17"/>
      <c r="E1030" s="343"/>
      <c r="F1030" s="17"/>
      <c r="G1030" s="17"/>
      <c r="H1030" s="17"/>
      <c r="I1030" s="17"/>
      <c r="J1030" s="17" t="s">
        <v>1067</v>
      </c>
      <c r="K1030" s="17"/>
      <c r="L1030" s="17"/>
      <c r="AC1030" s="1301"/>
    </row>
    <row r="1031">
      <c r="B1031" s="17"/>
      <c r="C1031" s="17"/>
      <c r="D1031" s="17"/>
      <c r="E1031" s="343"/>
      <c r="F1031" s="17"/>
      <c r="G1031" s="17"/>
      <c r="H1031" s="17"/>
      <c r="I1031" s="17"/>
      <c r="J1031" s="17" t="s">
        <v>1067</v>
      </c>
      <c r="K1031" s="17"/>
      <c r="L1031" s="17"/>
      <c r="AC1031" s="1301"/>
    </row>
    <row r="1032">
      <c r="B1032" s="17"/>
      <c r="C1032" s="17"/>
      <c r="D1032" s="17"/>
      <c r="E1032" s="343"/>
      <c r="F1032" s="17"/>
      <c r="G1032" s="17"/>
      <c r="H1032" s="17"/>
      <c r="I1032" s="17"/>
      <c r="J1032" s="17" t="s">
        <v>1067</v>
      </c>
      <c r="K1032" s="17"/>
      <c r="L1032" s="17"/>
      <c r="AC1032" s="1301"/>
    </row>
    <row r="1033">
      <c r="B1033" s="17"/>
      <c r="C1033" s="17"/>
      <c r="D1033" s="17"/>
      <c r="E1033" s="343"/>
      <c r="F1033" s="17"/>
      <c r="G1033" s="17"/>
      <c r="H1033" s="17"/>
      <c r="I1033" s="17"/>
      <c r="J1033" s="17" t="s">
        <v>1067</v>
      </c>
      <c r="K1033" s="17"/>
      <c r="L1033" s="17"/>
      <c r="AC1033" s="1301"/>
    </row>
    <row r="1034">
      <c r="B1034" s="17"/>
      <c r="C1034" s="17"/>
      <c r="D1034" s="17"/>
      <c r="E1034" s="343"/>
      <c r="F1034" s="17"/>
      <c r="G1034" s="17"/>
      <c r="H1034" s="17"/>
      <c r="I1034" s="17"/>
      <c r="J1034" s="17" t="s">
        <v>1067</v>
      </c>
      <c r="K1034" s="17"/>
      <c r="L1034" s="17"/>
      <c r="AC1034" s="1301"/>
    </row>
    <row r="1035">
      <c r="B1035" s="17"/>
      <c r="C1035" s="17"/>
      <c r="D1035" s="17"/>
      <c r="E1035" s="343"/>
      <c r="F1035" s="17"/>
      <c r="G1035" s="17"/>
      <c r="H1035" s="17"/>
      <c r="I1035" s="17"/>
      <c r="J1035" s="17" t="s">
        <v>1067</v>
      </c>
      <c r="K1035" s="17"/>
      <c r="L1035" s="17"/>
      <c r="AC1035" s="1301"/>
    </row>
    <row r="1036">
      <c r="B1036" s="17"/>
      <c r="C1036" s="17"/>
      <c r="D1036" s="17"/>
      <c r="E1036" s="343"/>
      <c r="F1036" s="17"/>
      <c r="G1036" s="17"/>
      <c r="H1036" s="17"/>
      <c r="I1036" s="17"/>
      <c r="J1036" s="17" t="s">
        <v>1067</v>
      </c>
      <c r="K1036" s="17"/>
      <c r="L1036" s="17"/>
      <c r="AC1036" s="1301"/>
    </row>
    <row r="1037">
      <c r="B1037" s="17"/>
      <c r="C1037" s="17"/>
      <c r="D1037" s="17"/>
      <c r="E1037" s="343"/>
      <c r="F1037" s="17"/>
      <c r="G1037" s="17"/>
      <c r="H1037" s="17"/>
      <c r="I1037" s="17"/>
      <c r="J1037" s="17" t="s">
        <v>1067</v>
      </c>
      <c r="K1037" s="17"/>
      <c r="L1037" s="17"/>
      <c r="AC1037" s="1301"/>
    </row>
    <row r="1038">
      <c r="B1038" s="17"/>
      <c r="C1038" s="17"/>
      <c r="D1038" s="17"/>
      <c r="E1038" s="343"/>
      <c r="F1038" s="17"/>
      <c r="G1038" s="17"/>
      <c r="H1038" s="17"/>
      <c r="I1038" s="17"/>
      <c r="J1038" s="17" t="s">
        <v>1067</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